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2.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https://carsonk12nv-my.sharepoint.com/personal/afeuling_carson_k12_nv_us/Documents/Departments/Fiscal Services/Finance/Funding/PCFP/"/>
    </mc:Choice>
  </mc:AlternateContent>
  <xr:revisionPtr revIDLastSave="0" documentId="8_{B08747C8-BACA-4084-8E0C-FE6C5CACD7C9}" xr6:coauthVersionLast="47" xr6:coauthVersionMax="47" xr10:uidLastSave="{00000000-0000-0000-0000-000000000000}"/>
  <bookViews>
    <workbookView xWindow="390" yWindow="390" windowWidth="27585" windowHeight="13335" tabRatio="863" firstSheet="11" activeTab="16" xr2:uid="{383AF654-DFAF-41BA-AD4E-C50F9EE77D11}"/>
  </bookViews>
  <sheets>
    <sheet name="Summary Model Revisions" sheetId="556" r:id="rId1"/>
    <sheet name="Table of Contents" sheetId="401" r:id="rId2"/>
    <sheet name="1.1 Assumption Control YR1" sheetId="551" r:id="rId3"/>
    <sheet name="1.2 Budgeted Enrollment YR1" sheetId="577" r:id="rId4"/>
    <sheet name="1.3 Budgeted Revenues YR1" sheetId="332" r:id="rId5"/>
    <sheet name="1.4 FY 2020 Revenue Received" sheetId="526" r:id="rId6"/>
    <sheet name="2.1 Auxiliary Services YR1" sheetId="336" r:id="rId7"/>
    <sheet name="2.2 Spec Ed Local YR1" sheetId="601" r:id="rId8"/>
    <sheet name="2.3 Statewide Base Funding YR1" sheetId="337" r:id="rId9"/>
    <sheet name="2.4 District Size Adj. YR1" sheetId="588" r:id="rId10"/>
    <sheet name="2.5 NCEI Adj. YR1" sheetId="504" r:id="rId11"/>
    <sheet name="2.6 Adj. Base Summary YR1" sheetId="338" r:id="rId12"/>
    <sheet name="2.7 Weighted Funding YR1" sheetId="340" r:id="rId13"/>
    <sheet name="2.8 Alloc of Residual Rev. YR1" sheetId="343" r:id="rId14"/>
    <sheet name="2.9 PCFP Funding Comparison YR1" sheetId="602" r:id="rId15"/>
    <sheet name="3.1a Initial Allocations YR1" sheetId="603" r:id="rId16"/>
    <sheet name="3.1b Allocation Adj. YR1 " sheetId="604" r:id="rId17"/>
    <sheet name="4.0 PCFP Allocation Summary" sheetId="333" r:id="rId18"/>
    <sheet name="5.1 Assumption Control YR2" sheetId="606" r:id="rId19"/>
    <sheet name="5.2 Budgeted Enrollment YR2" sheetId="607" r:id="rId20"/>
    <sheet name="5.3 Budgeted Revenues YR2" sheetId="608" r:id="rId21"/>
    <sheet name="6.1 Auxiliary Services YR2" sheetId="609" r:id="rId22"/>
    <sheet name="6.2 Spec Ed Local YR2" sheetId="611" r:id="rId23"/>
    <sheet name="6.3 Statewide Base Funding YR2" sheetId="612" r:id="rId24"/>
    <sheet name="6.4 District Size Adj. YR2" sheetId="613" r:id="rId25"/>
    <sheet name="6.5 NCEI Adj. YR2" sheetId="614" r:id="rId26"/>
    <sheet name="6.6 Adj. Base Summary YR2" sheetId="615" r:id="rId27"/>
    <sheet name="6.7 Weighted Funding YR2" sheetId="616" r:id="rId28"/>
    <sheet name="6.8 Alloc of Residual Rev. YR2" sheetId="617" r:id="rId29"/>
    <sheet name="6.9 PCFP Funding Comparison YR2" sheetId="618" r:id="rId30"/>
    <sheet name="7.1a Initial Allocations YR2" sheetId="619" r:id="rId31"/>
    <sheet name="7.1b Allocation Adj. YR2" sheetId="620" r:id="rId32"/>
    <sheet name="8.0 Mid biennial weighted adj." sheetId="605" r:id="rId33"/>
    <sheet name="Biennial Comparison" sheetId="621" r:id="rId34"/>
    <sheet name="BA by DU" sheetId="622" state="hidden" r:id="rId35"/>
    <sheet name="SEF-FY23FY24FY25 Forecast-May23" sheetId="624" state="hidden" r:id="rId36"/>
    <sheet name="SEF-FY23FY24FY25 Forecast-Dec22" sheetId="623" state="hidden" r:id="rId37"/>
  </sheets>
  <definedNames>
    <definedName name="_xlnm._FilterDatabase" localSheetId="9" hidden="1">'2.4 District Size Adj. YR1'!$A$127:$G$188</definedName>
    <definedName name="_xlnm._FilterDatabase" localSheetId="34" hidden="1">'BA by DU'!$A$8:$M$349</definedName>
    <definedName name="_xlnm._FilterDatabase" localSheetId="33" hidden="1">'Biennial Comparison'!$A$6:$C$6</definedName>
    <definedName name="_xlnm.Print_Area" localSheetId="2">'1.1 Assumption Control YR1'!$A$1:$F$65</definedName>
    <definedName name="_xlnm.Print_Area" localSheetId="3">'1.2 Budgeted Enrollment YR1'!$A$1:$K$734</definedName>
    <definedName name="_xlnm.Print_Area" localSheetId="4">'1.3 Budgeted Revenues YR1'!$A$1:$G$37</definedName>
    <definedName name="_xlnm.Print_Area" localSheetId="5">'1.4 FY 2020 Revenue Received'!$A$1:$H$91</definedName>
    <definedName name="_xlnm.Print_Area" localSheetId="6">'2.1 Auxiliary Services YR1'!$A$1:$J$31</definedName>
    <definedName name="_xlnm.Print_Area" localSheetId="7">'2.2 Spec Ed Local YR1'!$A$1:$E$7</definedName>
    <definedName name="_xlnm.Print_Area" localSheetId="8">'2.3 Statewide Base Funding YR1'!$A$1:$E$96</definedName>
    <definedName name="_xlnm.Print_Area" localSheetId="9">'2.4 District Size Adj. YR1'!$A$1:$G$120</definedName>
    <definedName name="_xlnm.Print_Area" localSheetId="12">'2.7 Weighted Funding YR1'!$A$1:$N$99</definedName>
    <definedName name="_xlnm.Print_Area" localSheetId="14">'2.9 PCFP Funding Comparison YR1'!$A$4:$V$92</definedName>
    <definedName name="_xlnm.Print_Area" localSheetId="15">'3.1a Initial Allocations YR1'!$A$1:$U$95</definedName>
    <definedName name="_xlnm.Print_Area" localSheetId="16">'3.1b Allocation Adj. YR1 '!$A$4:$W$30</definedName>
    <definedName name="_xlnm.Print_Area" localSheetId="18">'5.1 Assumption Control YR2'!$A$1:$F$65</definedName>
    <definedName name="_xlnm.Print_Area" localSheetId="19">'5.2 Budgeted Enrollment YR2'!$A$1:$L$725</definedName>
    <definedName name="_xlnm.Print_Area" localSheetId="20">'5.3 Budgeted Revenues YR2'!$A$1:$G$39</definedName>
    <definedName name="_xlnm.Print_Area" localSheetId="21">'6.1 Auxiliary Services YR2'!$A$1:$J$31</definedName>
    <definedName name="_xlnm.Print_Area" localSheetId="22">'6.2 Spec Ed Local YR2'!$A$1:$E$7</definedName>
    <definedName name="_xlnm.Print_Area" localSheetId="23">'6.3 Statewide Base Funding YR2'!$A$1:$E$96</definedName>
    <definedName name="_xlnm.Print_Area" localSheetId="24">'6.4 District Size Adj. YR2'!$A$1:$G$120</definedName>
    <definedName name="_xlnm.Print_Area" localSheetId="27">'6.7 Weighted Funding YR2'!$A$1:$N$96</definedName>
    <definedName name="_xlnm.Print_Area" localSheetId="29">'6.9 PCFP Funding Comparison YR2'!$A$4:$V$93</definedName>
    <definedName name="_xlnm.Print_Area" localSheetId="30">'7.1a Initial Allocations YR2'!$A$1:$U$94</definedName>
    <definedName name="_xlnm.Print_Area" localSheetId="31">'7.1b Allocation Adj. YR2'!$A$4:$W$29</definedName>
    <definedName name="_xlnm.Print_Area" localSheetId="35">'SEF-FY23FY24FY25 Forecast-May23'!$A$1:$K$40</definedName>
    <definedName name="_xlnm.Print_Area" localSheetId="0">'Summary Model Revisions'!$A$1:$U$55</definedName>
    <definedName name="_xlnm.Print_Area" localSheetId="1">'Table of Contents'!$A$1:$Q$32</definedName>
    <definedName name="_xlnm.Print_Titles" localSheetId="3">'1.2 Budgeted Enrollment YR1'!$1:$8</definedName>
    <definedName name="_xlnm.Print_Titles" localSheetId="5">'1.4 FY 2020 Revenue Received'!$1:$6</definedName>
    <definedName name="_xlnm.Print_Titles" localSheetId="6">'2.1 Auxiliary Services YR1'!$1:$9</definedName>
    <definedName name="_xlnm.Print_Titles" localSheetId="7">'2.2 Spec Ed Local YR1'!$1:$7</definedName>
    <definedName name="_xlnm.Print_Titles" localSheetId="8">'2.3 Statewide Base Funding YR1'!$10:$12</definedName>
    <definedName name="_xlnm.Print_Titles" localSheetId="9">'2.4 District Size Adj. YR1'!$13:$14</definedName>
    <definedName name="_xlnm.Print_Titles" localSheetId="10">'2.5 NCEI Adj. YR1'!$5:$5</definedName>
    <definedName name="_xlnm.Print_Titles" localSheetId="11">'2.6 Adj. Base Summary YR1'!$8:$13</definedName>
    <definedName name="_xlnm.Print_Titles" localSheetId="12">'2.7 Weighted Funding YR1'!$A:$B,'2.7 Weighted Funding YR1'!$11:$13</definedName>
    <definedName name="_xlnm.Print_Titles" localSheetId="13">'2.8 Alloc of Residual Rev. YR1'!$A:$B,'2.8 Alloc of Residual Rev. YR1'!$5:$11</definedName>
    <definedName name="_xlnm.Print_Titles" localSheetId="15">'3.1a Initial Allocations YR1'!$4:$4</definedName>
    <definedName name="_xlnm.Print_Titles" localSheetId="16">'3.1b Allocation Adj. YR1 '!$6:$8</definedName>
    <definedName name="_xlnm.Print_Titles" localSheetId="19">'5.2 Budgeted Enrollment YR2'!$1:$8</definedName>
    <definedName name="_xlnm.Print_Titles" localSheetId="21">'6.1 Auxiliary Services YR2'!$1:$9</definedName>
    <definedName name="_xlnm.Print_Titles" localSheetId="22">'6.2 Spec Ed Local YR2'!$1:$7</definedName>
    <definedName name="_xlnm.Print_Titles" localSheetId="23">'6.3 Statewide Base Funding YR2'!$10:$12</definedName>
    <definedName name="_xlnm.Print_Titles" localSheetId="24">'6.4 District Size Adj. YR2'!$13:$14</definedName>
    <definedName name="_xlnm.Print_Titles" localSheetId="25">'6.5 NCEI Adj. YR2'!$5:$5</definedName>
    <definedName name="_xlnm.Print_Titles" localSheetId="26">'6.6 Adj. Base Summary YR2'!$8:$13</definedName>
    <definedName name="_xlnm.Print_Titles" localSheetId="27">'6.7 Weighted Funding YR2'!$A:$B,'6.7 Weighted Funding YR2'!$11:$13</definedName>
    <definedName name="_xlnm.Print_Titles" localSheetId="28">'6.8 Alloc of Residual Rev. YR2'!$A:$B,'6.8 Alloc of Residual Rev. YR2'!$5:$11</definedName>
    <definedName name="_xlnm.Print_Titles" localSheetId="30">'7.1a Initial Allocations YR2'!#REF!</definedName>
    <definedName name="_xlnm.Print_Titles" localSheetId="31">'7.1b Allocation Adj. YR2'!$6:$8</definedName>
    <definedName name="_xlnm.Print_Titles" localSheetId="34">'BA by DU'!$A:$B,'BA by DU'!$8:$8</definedName>
    <definedName name="_xlnm.Print_Titles" localSheetId="36">'SEF-FY23FY24FY25 Forecast-Dec22'!$A:$D,'SEF-FY23FY24FY25 Forecast-Dec22'!$1:$5</definedName>
    <definedName name="_xlnm.Print_Titles" localSheetId="35">'SEF-FY23FY24FY25 Forecast-May23'!$A:$D,'SEF-FY23FY24FY25 Forecast-May23'!$1:$5</definedName>
    <definedName name="_xlnm.Print_Titles" localSheetId="1">'Table of Contents'!$1:$4</definedName>
    <definedName name="Z_92EB2B16_3546_4CC6_AF3A_0019867B62A7_.wvu.Cols" localSheetId="10" hidden="1">'2.5 NCEI Adj. YR1'!#REF!</definedName>
    <definedName name="Z_92EB2B16_3546_4CC6_AF3A_0019867B62A7_.wvu.Cols" localSheetId="25" hidden="1">'6.5 NCEI Adj. YR2'!#REF!</definedName>
    <definedName name="Z_92EB2B16_3546_4CC6_AF3A_0019867B62A7_.wvu.PrintArea" localSheetId="4" hidden="1">'1.3 Budgeted Revenues YR1'!$B$1:$D$35</definedName>
    <definedName name="Z_92EB2B16_3546_4CC6_AF3A_0019867B62A7_.wvu.PrintArea" localSheetId="6" hidden="1">'2.1 Auxiliary Services YR1'!$A$1:$J$32</definedName>
    <definedName name="Z_92EB2B16_3546_4CC6_AF3A_0019867B62A7_.wvu.PrintArea" localSheetId="7" hidden="1">'2.2 Spec Ed Local YR1'!$A$1:$E$7</definedName>
    <definedName name="Z_92EB2B16_3546_4CC6_AF3A_0019867B62A7_.wvu.PrintArea" localSheetId="8" hidden="1">'2.3 Statewide Base Funding YR1'!$A$4:$E$96</definedName>
    <definedName name="Z_92EB2B16_3546_4CC6_AF3A_0019867B62A7_.wvu.PrintArea" localSheetId="10" hidden="1">'2.5 NCEI Adj. YR1'!#REF!</definedName>
    <definedName name="Z_92EB2B16_3546_4CC6_AF3A_0019867B62A7_.wvu.PrintArea" localSheetId="12" hidden="1">'2.7 Weighted Funding YR1'!$A$5:$N$99</definedName>
    <definedName name="Z_92EB2B16_3546_4CC6_AF3A_0019867B62A7_.wvu.PrintArea" localSheetId="14" hidden="1">'2.9 PCFP Funding Comparison YR1'!$A$4:$V$92</definedName>
    <definedName name="Z_92EB2B16_3546_4CC6_AF3A_0019867B62A7_.wvu.PrintArea" localSheetId="15" hidden="1">'3.1a Initial Allocations YR1'!$A$4:$V$33</definedName>
    <definedName name="Z_92EB2B16_3546_4CC6_AF3A_0019867B62A7_.wvu.PrintArea" localSheetId="16" hidden="1">'3.1b Allocation Adj. YR1 '!$A$4:$W$32</definedName>
    <definedName name="Z_92EB2B16_3546_4CC6_AF3A_0019867B62A7_.wvu.PrintArea" localSheetId="20" hidden="1">'5.3 Budgeted Revenues YR2'!$B$1:$D$36</definedName>
    <definedName name="Z_92EB2B16_3546_4CC6_AF3A_0019867B62A7_.wvu.PrintArea" localSheetId="21" hidden="1">'6.1 Auxiliary Services YR2'!$A$1:$J$32</definedName>
    <definedName name="Z_92EB2B16_3546_4CC6_AF3A_0019867B62A7_.wvu.PrintArea" localSheetId="22" hidden="1">'6.2 Spec Ed Local YR2'!$A$1:$E$7</definedName>
    <definedName name="Z_92EB2B16_3546_4CC6_AF3A_0019867B62A7_.wvu.PrintArea" localSheetId="23" hidden="1">'6.3 Statewide Base Funding YR2'!$A$4:$E$96</definedName>
    <definedName name="Z_92EB2B16_3546_4CC6_AF3A_0019867B62A7_.wvu.PrintArea" localSheetId="25" hidden="1">'6.5 NCEI Adj. YR2'!#REF!</definedName>
    <definedName name="Z_92EB2B16_3546_4CC6_AF3A_0019867B62A7_.wvu.PrintArea" localSheetId="27" hidden="1">'6.7 Weighted Funding YR2'!$A$5:$N$96</definedName>
    <definedName name="Z_92EB2B16_3546_4CC6_AF3A_0019867B62A7_.wvu.PrintArea" localSheetId="29" hidden="1">'6.9 PCFP Funding Comparison YR2'!$A$4:$V$93</definedName>
    <definedName name="Z_92EB2B16_3546_4CC6_AF3A_0019867B62A7_.wvu.PrintArea" localSheetId="30" hidden="1">'7.1a Initial Allocations YR2'!$A$4:$V$31</definedName>
    <definedName name="Z_92EB2B16_3546_4CC6_AF3A_0019867B62A7_.wvu.PrintArea" localSheetId="31" hidden="1">'7.1b Allocation Adj. YR2'!$A$4:$W$31</definedName>
    <definedName name="Z_92EB2B16_3546_4CC6_AF3A_0019867B62A7_.wvu.PrintArea" localSheetId="0" hidden="1">'Summary Model Revisions'!$A$1:$U$55</definedName>
    <definedName name="Z_92EB2B16_3546_4CC6_AF3A_0019867B62A7_.wvu.PrintArea" localSheetId="1" hidden="1">'Table of Contents'!$A$1:$K$4</definedName>
    <definedName name="Z_92EB2B16_3546_4CC6_AF3A_0019867B62A7_.wvu.PrintTitles" localSheetId="6" hidden="1">'2.1 Auxiliary Services YR1'!$1:$9</definedName>
    <definedName name="Z_92EB2B16_3546_4CC6_AF3A_0019867B62A7_.wvu.PrintTitles" localSheetId="7" hidden="1">'2.2 Spec Ed Local YR1'!$1:$7</definedName>
    <definedName name="Z_92EB2B16_3546_4CC6_AF3A_0019867B62A7_.wvu.PrintTitles" localSheetId="8" hidden="1">'2.3 Statewide Base Funding YR1'!$4:$11</definedName>
    <definedName name="Z_92EB2B16_3546_4CC6_AF3A_0019867B62A7_.wvu.PrintTitles" localSheetId="10" hidden="1">'2.5 NCEI Adj. YR1'!#REF!</definedName>
    <definedName name="Z_92EB2B16_3546_4CC6_AF3A_0019867B62A7_.wvu.PrintTitles" localSheetId="11" hidden="1">'2.6 Adj. Base Summary YR1'!$4:$12</definedName>
    <definedName name="Z_92EB2B16_3546_4CC6_AF3A_0019867B62A7_.wvu.PrintTitles" localSheetId="12" hidden="1">'2.7 Weighted Funding YR1'!$A:$B,'2.7 Weighted Funding YR1'!$5:$13</definedName>
    <definedName name="Z_92EB2B16_3546_4CC6_AF3A_0019867B62A7_.wvu.PrintTitles" localSheetId="13" hidden="1">'2.8 Alloc of Residual Rev. YR1'!$A:$B,'2.8 Alloc of Residual Rev. YR1'!$5:$11</definedName>
    <definedName name="Z_92EB2B16_3546_4CC6_AF3A_0019867B62A7_.wvu.PrintTitles" localSheetId="15" hidden="1">'3.1a Initial Allocations YR1'!$4:$4</definedName>
    <definedName name="Z_92EB2B16_3546_4CC6_AF3A_0019867B62A7_.wvu.PrintTitles" localSheetId="16" hidden="1">'3.1b Allocation Adj. YR1 '!#REF!</definedName>
    <definedName name="Z_92EB2B16_3546_4CC6_AF3A_0019867B62A7_.wvu.PrintTitles" localSheetId="21" hidden="1">'6.1 Auxiliary Services YR2'!$1:$9</definedName>
    <definedName name="Z_92EB2B16_3546_4CC6_AF3A_0019867B62A7_.wvu.PrintTitles" localSheetId="22" hidden="1">'6.2 Spec Ed Local YR2'!$1:$7</definedName>
    <definedName name="Z_92EB2B16_3546_4CC6_AF3A_0019867B62A7_.wvu.PrintTitles" localSheetId="23" hidden="1">'6.3 Statewide Base Funding YR2'!$4:$11</definedName>
    <definedName name="Z_92EB2B16_3546_4CC6_AF3A_0019867B62A7_.wvu.PrintTitles" localSheetId="25" hidden="1">'6.5 NCEI Adj. YR2'!#REF!</definedName>
    <definedName name="Z_92EB2B16_3546_4CC6_AF3A_0019867B62A7_.wvu.PrintTitles" localSheetId="26" hidden="1">'6.6 Adj. Base Summary YR2'!$4:$12</definedName>
    <definedName name="Z_92EB2B16_3546_4CC6_AF3A_0019867B62A7_.wvu.PrintTitles" localSheetId="27" hidden="1">'6.7 Weighted Funding YR2'!$A:$B,'6.7 Weighted Funding YR2'!$5:$13</definedName>
    <definedName name="Z_92EB2B16_3546_4CC6_AF3A_0019867B62A7_.wvu.PrintTitles" localSheetId="28" hidden="1">'6.8 Alloc of Residual Rev. YR2'!$A:$B,'6.8 Alloc of Residual Rev. YR2'!$5:$11</definedName>
    <definedName name="Z_92EB2B16_3546_4CC6_AF3A_0019867B62A7_.wvu.PrintTitles" localSheetId="30" hidden="1">'7.1a Initial Allocations YR2'!#REF!</definedName>
    <definedName name="Z_92EB2B16_3546_4CC6_AF3A_0019867B62A7_.wvu.PrintTitles" localSheetId="31" hidden="1">'7.1b Allocation Adj. YR2'!#REF!</definedName>
    <definedName name="Z_92EB2B16_3546_4CC6_AF3A_0019867B62A7_.wvu.PrintTitles" localSheetId="1" hidden="1">'Table of Contents'!$1:$4</definedName>
    <definedName name="Z_92EB2B16_3546_4CC6_AF3A_0019867B62A7_.wvu.Rows" localSheetId="5" hidden="1">'1.4 FY 2020 Revenue Received'!#REF!</definedName>
    <definedName name="Z_9F71BA88_74DF_4B45_811C_93ABE8314534_.wvu.Cols" localSheetId="10" hidden="1">'2.5 NCEI Adj. YR1'!#REF!</definedName>
    <definedName name="Z_9F71BA88_74DF_4B45_811C_93ABE8314534_.wvu.Cols" localSheetId="25" hidden="1">'6.5 NCEI Adj. YR2'!#REF!</definedName>
    <definedName name="Z_9F71BA88_74DF_4B45_811C_93ABE8314534_.wvu.PrintArea" localSheetId="4" hidden="1">'1.3 Budgeted Revenues YR1'!$B$1:$D$35</definedName>
    <definedName name="Z_9F71BA88_74DF_4B45_811C_93ABE8314534_.wvu.PrintArea" localSheetId="6" hidden="1">'2.1 Auxiliary Services YR1'!$A$1:$J$32</definedName>
    <definedName name="Z_9F71BA88_74DF_4B45_811C_93ABE8314534_.wvu.PrintArea" localSheetId="7" hidden="1">'2.2 Spec Ed Local YR1'!$A$1:$E$7</definedName>
    <definedName name="Z_9F71BA88_74DF_4B45_811C_93ABE8314534_.wvu.PrintArea" localSheetId="8" hidden="1">'2.3 Statewide Base Funding YR1'!$A$4:$E$96</definedName>
    <definedName name="Z_9F71BA88_74DF_4B45_811C_93ABE8314534_.wvu.PrintArea" localSheetId="10" hidden="1">'2.5 NCEI Adj. YR1'!#REF!</definedName>
    <definedName name="Z_9F71BA88_74DF_4B45_811C_93ABE8314534_.wvu.PrintArea" localSheetId="12" hidden="1">'2.7 Weighted Funding YR1'!$A$5:$N$99</definedName>
    <definedName name="Z_9F71BA88_74DF_4B45_811C_93ABE8314534_.wvu.PrintArea" localSheetId="14" hidden="1">'2.9 PCFP Funding Comparison YR1'!$A$4:$V$92</definedName>
    <definedName name="Z_9F71BA88_74DF_4B45_811C_93ABE8314534_.wvu.PrintArea" localSheetId="15" hidden="1">'3.1a Initial Allocations YR1'!$A$4:$V$33</definedName>
    <definedName name="Z_9F71BA88_74DF_4B45_811C_93ABE8314534_.wvu.PrintArea" localSheetId="16" hidden="1">'3.1b Allocation Adj. YR1 '!$A$4:$W$32</definedName>
    <definedName name="Z_9F71BA88_74DF_4B45_811C_93ABE8314534_.wvu.PrintArea" localSheetId="20" hidden="1">'5.3 Budgeted Revenues YR2'!$B$1:$D$36</definedName>
    <definedName name="Z_9F71BA88_74DF_4B45_811C_93ABE8314534_.wvu.PrintArea" localSheetId="21" hidden="1">'6.1 Auxiliary Services YR2'!$A$1:$J$32</definedName>
    <definedName name="Z_9F71BA88_74DF_4B45_811C_93ABE8314534_.wvu.PrintArea" localSheetId="22" hidden="1">'6.2 Spec Ed Local YR2'!$A$1:$E$7</definedName>
    <definedName name="Z_9F71BA88_74DF_4B45_811C_93ABE8314534_.wvu.PrintArea" localSheetId="23" hidden="1">'6.3 Statewide Base Funding YR2'!$A$4:$E$96</definedName>
    <definedName name="Z_9F71BA88_74DF_4B45_811C_93ABE8314534_.wvu.PrintArea" localSheetId="25" hidden="1">'6.5 NCEI Adj. YR2'!#REF!</definedName>
    <definedName name="Z_9F71BA88_74DF_4B45_811C_93ABE8314534_.wvu.PrintArea" localSheetId="27" hidden="1">'6.7 Weighted Funding YR2'!$A$5:$N$96</definedName>
    <definedName name="Z_9F71BA88_74DF_4B45_811C_93ABE8314534_.wvu.PrintArea" localSheetId="29" hidden="1">'6.9 PCFP Funding Comparison YR2'!$A$4:$V$93</definedName>
    <definedName name="Z_9F71BA88_74DF_4B45_811C_93ABE8314534_.wvu.PrintArea" localSheetId="30" hidden="1">'7.1a Initial Allocations YR2'!$A$4:$V$31</definedName>
    <definedName name="Z_9F71BA88_74DF_4B45_811C_93ABE8314534_.wvu.PrintArea" localSheetId="31" hidden="1">'7.1b Allocation Adj. YR2'!$A$4:$W$31</definedName>
    <definedName name="Z_9F71BA88_74DF_4B45_811C_93ABE8314534_.wvu.PrintArea" localSheetId="0" hidden="1">'Summary Model Revisions'!$A$1:$U$55</definedName>
    <definedName name="Z_9F71BA88_74DF_4B45_811C_93ABE8314534_.wvu.PrintArea" localSheetId="1" hidden="1">'Table of Contents'!$A$1:$K$4</definedName>
    <definedName name="Z_9F71BA88_74DF_4B45_811C_93ABE8314534_.wvu.PrintTitles" localSheetId="6" hidden="1">'2.1 Auxiliary Services YR1'!$1:$9</definedName>
    <definedName name="Z_9F71BA88_74DF_4B45_811C_93ABE8314534_.wvu.PrintTitles" localSheetId="7" hidden="1">'2.2 Spec Ed Local YR1'!$1:$7</definedName>
    <definedName name="Z_9F71BA88_74DF_4B45_811C_93ABE8314534_.wvu.PrintTitles" localSheetId="8" hidden="1">'2.3 Statewide Base Funding YR1'!$4:$11</definedName>
    <definedName name="Z_9F71BA88_74DF_4B45_811C_93ABE8314534_.wvu.PrintTitles" localSheetId="10" hidden="1">'2.5 NCEI Adj. YR1'!#REF!</definedName>
    <definedName name="Z_9F71BA88_74DF_4B45_811C_93ABE8314534_.wvu.PrintTitles" localSheetId="11" hidden="1">'2.6 Adj. Base Summary YR1'!$4:$12</definedName>
    <definedName name="Z_9F71BA88_74DF_4B45_811C_93ABE8314534_.wvu.PrintTitles" localSheetId="12" hidden="1">'2.7 Weighted Funding YR1'!$A:$B,'2.7 Weighted Funding YR1'!$5:$13</definedName>
    <definedName name="Z_9F71BA88_74DF_4B45_811C_93ABE8314534_.wvu.PrintTitles" localSheetId="13" hidden="1">'2.8 Alloc of Residual Rev. YR1'!$A:$B,'2.8 Alloc of Residual Rev. YR1'!$5:$11</definedName>
    <definedName name="Z_9F71BA88_74DF_4B45_811C_93ABE8314534_.wvu.PrintTitles" localSheetId="15" hidden="1">'3.1a Initial Allocations YR1'!$4:$4</definedName>
    <definedName name="Z_9F71BA88_74DF_4B45_811C_93ABE8314534_.wvu.PrintTitles" localSheetId="16" hidden="1">'3.1b Allocation Adj. YR1 '!#REF!</definedName>
    <definedName name="Z_9F71BA88_74DF_4B45_811C_93ABE8314534_.wvu.PrintTitles" localSheetId="21" hidden="1">'6.1 Auxiliary Services YR2'!$1:$9</definedName>
    <definedName name="Z_9F71BA88_74DF_4B45_811C_93ABE8314534_.wvu.PrintTitles" localSheetId="22" hidden="1">'6.2 Spec Ed Local YR2'!$1:$7</definedName>
    <definedName name="Z_9F71BA88_74DF_4B45_811C_93ABE8314534_.wvu.PrintTitles" localSheetId="23" hidden="1">'6.3 Statewide Base Funding YR2'!$4:$11</definedName>
    <definedName name="Z_9F71BA88_74DF_4B45_811C_93ABE8314534_.wvu.PrintTitles" localSheetId="25" hidden="1">'6.5 NCEI Adj. YR2'!#REF!</definedName>
    <definedName name="Z_9F71BA88_74DF_4B45_811C_93ABE8314534_.wvu.PrintTitles" localSheetId="26" hidden="1">'6.6 Adj. Base Summary YR2'!$4:$12</definedName>
    <definedName name="Z_9F71BA88_74DF_4B45_811C_93ABE8314534_.wvu.PrintTitles" localSheetId="27" hidden="1">'6.7 Weighted Funding YR2'!$A:$B,'6.7 Weighted Funding YR2'!$5:$13</definedName>
    <definedName name="Z_9F71BA88_74DF_4B45_811C_93ABE8314534_.wvu.PrintTitles" localSheetId="28" hidden="1">'6.8 Alloc of Residual Rev. YR2'!$A:$B,'6.8 Alloc of Residual Rev. YR2'!$5:$11</definedName>
    <definedName name="Z_9F71BA88_74DF_4B45_811C_93ABE8314534_.wvu.PrintTitles" localSheetId="30" hidden="1">'7.1a Initial Allocations YR2'!#REF!</definedName>
    <definedName name="Z_9F71BA88_74DF_4B45_811C_93ABE8314534_.wvu.PrintTitles" localSheetId="31" hidden="1">'7.1b Allocation Adj. YR2'!#REF!</definedName>
    <definedName name="Z_9F71BA88_74DF_4B45_811C_93ABE8314534_.wvu.PrintTitles" localSheetId="1" hidden="1">'Table of Contents'!$1:$4</definedName>
    <definedName name="Z_9F71BA88_74DF_4B45_811C_93ABE8314534_.wvu.Rows" localSheetId="5" hidden="1">'1.4 FY 2020 Revenue Received'!#REF!</definedName>
    <definedName name="Z_CA1C9262_C0F9_4BBB_95C8_A52990BD1149_.wvu.Cols" localSheetId="10" hidden="1">'2.5 NCEI Adj. YR1'!#REF!</definedName>
    <definedName name="Z_CA1C9262_C0F9_4BBB_95C8_A52990BD1149_.wvu.Cols" localSheetId="25" hidden="1">'6.5 NCEI Adj. YR2'!#REF!</definedName>
    <definedName name="Z_CA1C9262_C0F9_4BBB_95C8_A52990BD1149_.wvu.PrintArea" localSheetId="4" hidden="1">'1.3 Budgeted Revenues YR1'!$B$1:$D$35</definedName>
    <definedName name="Z_CA1C9262_C0F9_4BBB_95C8_A52990BD1149_.wvu.PrintArea" localSheetId="6" hidden="1">'2.1 Auxiliary Services YR1'!$A$1:$J$32</definedName>
    <definedName name="Z_CA1C9262_C0F9_4BBB_95C8_A52990BD1149_.wvu.PrintArea" localSheetId="7" hidden="1">'2.2 Spec Ed Local YR1'!$A$1:$E$7</definedName>
    <definedName name="Z_CA1C9262_C0F9_4BBB_95C8_A52990BD1149_.wvu.PrintArea" localSheetId="8" hidden="1">'2.3 Statewide Base Funding YR1'!$A$4:$E$96</definedName>
    <definedName name="Z_CA1C9262_C0F9_4BBB_95C8_A52990BD1149_.wvu.PrintArea" localSheetId="10" hidden="1">'2.5 NCEI Adj. YR1'!#REF!</definedName>
    <definedName name="Z_CA1C9262_C0F9_4BBB_95C8_A52990BD1149_.wvu.PrintArea" localSheetId="12" hidden="1">'2.7 Weighted Funding YR1'!$A$5:$N$99</definedName>
    <definedName name="Z_CA1C9262_C0F9_4BBB_95C8_A52990BD1149_.wvu.PrintArea" localSheetId="14" hidden="1">'2.9 PCFP Funding Comparison YR1'!$A$4:$V$92</definedName>
    <definedName name="Z_CA1C9262_C0F9_4BBB_95C8_A52990BD1149_.wvu.PrintArea" localSheetId="15" hidden="1">'3.1a Initial Allocations YR1'!$A$4:$V$33</definedName>
    <definedName name="Z_CA1C9262_C0F9_4BBB_95C8_A52990BD1149_.wvu.PrintArea" localSheetId="16" hidden="1">'3.1b Allocation Adj. YR1 '!$A$4:$W$32</definedName>
    <definedName name="Z_CA1C9262_C0F9_4BBB_95C8_A52990BD1149_.wvu.PrintArea" localSheetId="20" hidden="1">'5.3 Budgeted Revenues YR2'!$B$1:$D$36</definedName>
    <definedName name="Z_CA1C9262_C0F9_4BBB_95C8_A52990BD1149_.wvu.PrintArea" localSheetId="21" hidden="1">'6.1 Auxiliary Services YR2'!$A$1:$J$32</definedName>
    <definedName name="Z_CA1C9262_C0F9_4BBB_95C8_A52990BD1149_.wvu.PrintArea" localSheetId="22" hidden="1">'6.2 Spec Ed Local YR2'!$A$1:$E$7</definedName>
    <definedName name="Z_CA1C9262_C0F9_4BBB_95C8_A52990BD1149_.wvu.PrintArea" localSheetId="23" hidden="1">'6.3 Statewide Base Funding YR2'!$A$4:$E$96</definedName>
    <definedName name="Z_CA1C9262_C0F9_4BBB_95C8_A52990BD1149_.wvu.PrintArea" localSheetId="25" hidden="1">'6.5 NCEI Adj. YR2'!#REF!</definedName>
    <definedName name="Z_CA1C9262_C0F9_4BBB_95C8_A52990BD1149_.wvu.PrintArea" localSheetId="27" hidden="1">'6.7 Weighted Funding YR2'!$A$5:$N$96</definedName>
    <definedName name="Z_CA1C9262_C0F9_4BBB_95C8_A52990BD1149_.wvu.PrintArea" localSheetId="29" hidden="1">'6.9 PCFP Funding Comparison YR2'!$A$4:$V$93</definedName>
    <definedName name="Z_CA1C9262_C0F9_4BBB_95C8_A52990BD1149_.wvu.PrintArea" localSheetId="30" hidden="1">'7.1a Initial Allocations YR2'!$A$4:$V$31</definedName>
    <definedName name="Z_CA1C9262_C0F9_4BBB_95C8_A52990BD1149_.wvu.PrintArea" localSheetId="31" hidden="1">'7.1b Allocation Adj. YR2'!$A$4:$W$31</definedName>
    <definedName name="Z_CA1C9262_C0F9_4BBB_95C8_A52990BD1149_.wvu.PrintArea" localSheetId="0" hidden="1">'Summary Model Revisions'!$A$1:$U$55</definedName>
    <definedName name="Z_CA1C9262_C0F9_4BBB_95C8_A52990BD1149_.wvu.PrintArea" localSheetId="1" hidden="1">'Table of Contents'!$A$1:$K$4</definedName>
    <definedName name="Z_CA1C9262_C0F9_4BBB_95C8_A52990BD1149_.wvu.PrintTitles" localSheetId="6" hidden="1">'2.1 Auxiliary Services YR1'!$1:$9</definedName>
    <definedName name="Z_CA1C9262_C0F9_4BBB_95C8_A52990BD1149_.wvu.PrintTitles" localSheetId="7" hidden="1">'2.2 Spec Ed Local YR1'!$1:$7</definedName>
    <definedName name="Z_CA1C9262_C0F9_4BBB_95C8_A52990BD1149_.wvu.PrintTitles" localSheetId="8" hidden="1">'2.3 Statewide Base Funding YR1'!$4:$11</definedName>
    <definedName name="Z_CA1C9262_C0F9_4BBB_95C8_A52990BD1149_.wvu.PrintTitles" localSheetId="10" hidden="1">'2.5 NCEI Adj. YR1'!#REF!</definedName>
    <definedName name="Z_CA1C9262_C0F9_4BBB_95C8_A52990BD1149_.wvu.PrintTitles" localSheetId="11" hidden="1">'2.6 Adj. Base Summary YR1'!$4:$12</definedName>
    <definedName name="Z_CA1C9262_C0F9_4BBB_95C8_A52990BD1149_.wvu.PrintTitles" localSheetId="12" hidden="1">'2.7 Weighted Funding YR1'!$A:$B,'2.7 Weighted Funding YR1'!$5:$13</definedName>
    <definedName name="Z_CA1C9262_C0F9_4BBB_95C8_A52990BD1149_.wvu.PrintTitles" localSheetId="13" hidden="1">'2.8 Alloc of Residual Rev. YR1'!$A:$B,'2.8 Alloc of Residual Rev. YR1'!$5:$11</definedName>
    <definedName name="Z_CA1C9262_C0F9_4BBB_95C8_A52990BD1149_.wvu.PrintTitles" localSheetId="15" hidden="1">'3.1a Initial Allocations YR1'!$4:$4</definedName>
    <definedName name="Z_CA1C9262_C0F9_4BBB_95C8_A52990BD1149_.wvu.PrintTitles" localSheetId="16" hidden="1">'3.1b Allocation Adj. YR1 '!#REF!</definedName>
    <definedName name="Z_CA1C9262_C0F9_4BBB_95C8_A52990BD1149_.wvu.PrintTitles" localSheetId="21" hidden="1">'6.1 Auxiliary Services YR2'!$1:$9</definedName>
    <definedName name="Z_CA1C9262_C0F9_4BBB_95C8_A52990BD1149_.wvu.PrintTitles" localSheetId="22" hidden="1">'6.2 Spec Ed Local YR2'!$1:$7</definedName>
    <definedName name="Z_CA1C9262_C0F9_4BBB_95C8_A52990BD1149_.wvu.PrintTitles" localSheetId="23" hidden="1">'6.3 Statewide Base Funding YR2'!$4:$11</definedName>
    <definedName name="Z_CA1C9262_C0F9_4BBB_95C8_A52990BD1149_.wvu.PrintTitles" localSheetId="25" hidden="1">'6.5 NCEI Adj. YR2'!#REF!</definedName>
    <definedName name="Z_CA1C9262_C0F9_4BBB_95C8_A52990BD1149_.wvu.PrintTitles" localSheetId="26" hidden="1">'6.6 Adj. Base Summary YR2'!$4:$12</definedName>
    <definedName name="Z_CA1C9262_C0F9_4BBB_95C8_A52990BD1149_.wvu.PrintTitles" localSheetId="27" hidden="1">'6.7 Weighted Funding YR2'!$A:$B,'6.7 Weighted Funding YR2'!$5:$13</definedName>
    <definedName name="Z_CA1C9262_C0F9_4BBB_95C8_A52990BD1149_.wvu.PrintTitles" localSheetId="28" hidden="1">'6.8 Alloc of Residual Rev. YR2'!$A:$B,'6.8 Alloc of Residual Rev. YR2'!$5:$11</definedName>
    <definedName name="Z_CA1C9262_C0F9_4BBB_95C8_A52990BD1149_.wvu.PrintTitles" localSheetId="30" hidden="1">'7.1a Initial Allocations YR2'!#REF!</definedName>
    <definedName name="Z_CA1C9262_C0F9_4BBB_95C8_A52990BD1149_.wvu.PrintTitles" localSheetId="31" hidden="1">'7.1b Allocation Adj. YR2'!#REF!</definedName>
    <definedName name="Z_CA1C9262_C0F9_4BBB_95C8_A52990BD1149_.wvu.PrintTitles" localSheetId="1" hidden="1">'Table of Contents'!$1:$4</definedName>
    <definedName name="Z_CA1C9262_C0F9_4BBB_95C8_A52990BD1149_.wvu.Rows" localSheetId="5" hidden="1">'1.4 FY 2020 Revenue Received'!#REF!</definedName>
  </definedNames>
  <calcPr calcId="191029"/>
  <customWorkbookViews>
    <customWorkbookView name="With NDE Source Files" guid="{92EB2B16-3546-4CC6-AF3A-0019867B62A7}" maximized="1" xWindow="-16" yWindow="-16" windowWidth="3872" windowHeight="2092" tabRatio="763" activeSheetId="508"/>
    <customWorkbookView name="Show Administrative References" guid="{9F71BA88-74DF-4B45-811C-93ABE8314534}" maximized="1" xWindow="-16" yWindow="-16" windowWidth="3872" windowHeight="2092" tabRatio="763" activeSheetId="331"/>
    <customWorkbookView name="Show Only Core Model Elements" guid="{CA1C9262-C0F9-4BBB-95C8-A52990BD1149}" maximized="1" xWindow="-16" yWindow="-16" windowWidth="3872" windowHeight="2092" tabRatio="763" activeSheetId="55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8" i="608" l="1"/>
  <c r="C35" i="332"/>
  <c r="C38" i="332"/>
  <c r="C37" i="332"/>
  <c r="D14" i="343"/>
  <c r="I14" i="343"/>
  <c r="C40" i="613"/>
  <c r="C52" i="613" l="1"/>
  <c r="D51" i="613"/>
  <c r="C60" i="613"/>
  <c r="K9" i="577" l="1"/>
  <c r="K10" i="577"/>
  <c r="K11" i="577"/>
  <c r="K12" i="577"/>
  <c r="K13" i="577"/>
  <c r="K14" i="577"/>
  <c r="K15" i="577"/>
  <c r="K16" i="577"/>
  <c r="K17" i="577"/>
  <c r="K18" i="577"/>
  <c r="K19" i="577"/>
  <c r="E36" i="606" l="1"/>
  <c r="E36" i="551"/>
  <c r="X10" i="332" l="1"/>
  <c r="G10" i="332"/>
  <c r="F10" i="332"/>
  <c r="H6" i="343"/>
  <c r="N6" i="343"/>
  <c r="E34" i="332" l="1"/>
  <c r="E35" i="608"/>
  <c r="I37" i="617"/>
  <c r="I38" i="617"/>
  <c r="I39" i="617"/>
  <c r="I40" i="617"/>
  <c r="I41" i="617"/>
  <c r="I42" i="617"/>
  <c r="I43" i="617"/>
  <c r="I44" i="617"/>
  <c r="I45" i="617"/>
  <c r="I46" i="617"/>
  <c r="I47" i="617"/>
  <c r="I48" i="617"/>
  <c r="I49" i="617"/>
  <c r="I50" i="617"/>
  <c r="I51" i="617"/>
  <c r="I52" i="617"/>
  <c r="I53" i="617"/>
  <c r="I54" i="617"/>
  <c r="I55" i="617"/>
  <c r="I56" i="617"/>
  <c r="I57" i="617"/>
  <c r="I58" i="617"/>
  <c r="I59" i="617"/>
  <c r="I60" i="617"/>
  <c r="I61" i="617"/>
  <c r="I62" i="617"/>
  <c r="I63" i="617"/>
  <c r="I64" i="617"/>
  <c r="I65" i="617"/>
  <c r="I66" i="617"/>
  <c r="I67" i="617"/>
  <c r="I68" i="617"/>
  <c r="I69" i="617"/>
  <c r="I70" i="617"/>
  <c r="I71" i="617"/>
  <c r="I72" i="617"/>
  <c r="I73" i="617"/>
  <c r="I74" i="617"/>
  <c r="I75" i="617"/>
  <c r="I76" i="617"/>
  <c r="I77" i="617"/>
  <c r="I78" i="617"/>
  <c r="I79" i="617"/>
  <c r="I80" i="617"/>
  <c r="I81" i="617"/>
  <c r="I82" i="617"/>
  <c r="I83" i="617"/>
  <c r="I84" i="617"/>
  <c r="I85" i="617"/>
  <c r="I86" i="617"/>
  <c r="I87" i="617"/>
  <c r="I88" i="617"/>
  <c r="I89" i="617"/>
  <c r="I90" i="617"/>
  <c r="I91" i="617"/>
  <c r="I92" i="617"/>
  <c r="I93" i="617"/>
  <c r="I94" i="617"/>
  <c r="I95" i="617"/>
  <c r="I36" i="617"/>
  <c r="I15" i="617"/>
  <c r="I16" i="617"/>
  <c r="I17" i="617"/>
  <c r="I18" i="617"/>
  <c r="I19" i="617"/>
  <c r="I20" i="617"/>
  <c r="I21" i="617"/>
  <c r="I22" i="617"/>
  <c r="I23" i="617"/>
  <c r="I24" i="617"/>
  <c r="I25" i="617"/>
  <c r="I26" i="617"/>
  <c r="I27" i="617"/>
  <c r="I28" i="617"/>
  <c r="I29" i="617"/>
  <c r="I30" i="617"/>
  <c r="I14" i="617"/>
  <c r="H15" i="617"/>
  <c r="H16" i="617"/>
  <c r="H17" i="617"/>
  <c r="H18" i="617"/>
  <c r="H19" i="617"/>
  <c r="H20" i="617"/>
  <c r="H21" i="617"/>
  <c r="H22" i="617"/>
  <c r="H23" i="617"/>
  <c r="H24" i="617"/>
  <c r="H25" i="617"/>
  <c r="H26" i="617"/>
  <c r="H27" i="617"/>
  <c r="H28" i="617"/>
  <c r="H29" i="617"/>
  <c r="H30" i="617"/>
  <c r="H14" i="617"/>
  <c r="K37" i="616"/>
  <c r="C37" i="616"/>
  <c r="G37" i="616"/>
  <c r="G38" i="616"/>
  <c r="K101" i="616"/>
  <c r="C101" i="616"/>
  <c r="G101" i="616"/>
  <c r="G19" i="616"/>
  <c r="G20" i="616"/>
  <c r="G21" i="616"/>
  <c r="G22" i="616"/>
  <c r="G23" i="616"/>
  <c r="G24" i="616"/>
  <c r="G25" i="616"/>
  <c r="G26" i="616"/>
  <c r="G27" i="616"/>
  <c r="G28" i="616"/>
  <c r="G29" i="616"/>
  <c r="G30" i="616"/>
  <c r="G31" i="616"/>
  <c r="G32" i="616"/>
  <c r="G33" i="616"/>
  <c r="G34" i="616"/>
  <c r="G35" i="616"/>
  <c r="G36" i="616"/>
  <c r="K38" i="616"/>
  <c r="C38" i="616"/>
  <c r="C35" i="615"/>
  <c r="F7" i="609"/>
  <c r="K38" i="340"/>
  <c r="G38" i="340"/>
  <c r="C38" i="340"/>
  <c r="D34" i="337"/>
  <c r="AA27" i="526"/>
  <c r="C9" i="602"/>
  <c r="C10" i="602"/>
  <c r="C11" i="602"/>
  <c r="C12" i="602"/>
  <c r="C13" i="602"/>
  <c r="C14" i="602"/>
  <c r="C15" i="602"/>
  <c r="C16" i="602"/>
  <c r="C17" i="602"/>
  <c r="C18" i="602"/>
  <c r="C19" i="602"/>
  <c r="C20" i="602"/>
  <c r="C21" i="602"/>
  <c r="C22" i="602"/>
  <c r="C23" i="602"/>
  <c r="C24" i="602"/>
  <c r="C25" i="602"/>
  <c r="C26" i="602"/>
  <c r="D14" i="602"/>
  <c r="D15" i="602"/>
  <c r="D16" i="602"/>
  <c r="D17" i="602"/>
  <c r="D18" i="602"/>
  <c r="D19" i="602"/>
  <c r="D20" i="602"/>
  <c r="D21" i="602"/>
  <c r="D22" i="602"/>
  <c r="D23" i="602"/>
  <c r="D24" i="602"/>
  <c r="D25" i="602"/>
  <c r="D26" i="602"/>
  <c r="D13" i="602"/>
  <c r="D12" i="602"/>
  <c r="D11" i="602"/>
  <c r="D10" i="602"/>
  <c r="D9" i="602"/>
  <c r="D8" i="602"/>
  <c r="G28" i="577"/>
  <c r="B31" i="602"/>
  <c r="B32" i="602"/>
  <c r="B33" i="602"/>
  <c r="B34" i="602"/>
  <c r="B35" i="602"/>
  <c r="B36" i="602"/>
  <c r="B37" i="602"/>
  <c r="B38" i="602"/>
  <c r="B39" i="602"/>
  <c r="B40" i="602"/>
  <c r="B41" i="602"/>
  <c r="B42" i="602"/>
  <c r="B43" i="602"/>
  <c r="B44" i="602"/>
  <c r="B45" i="602"/>
  <c r="B46" i="602"/>
  <c r="B47" i="602"/>
  <c r="B48" i="602"/>
  <c r="B49" i="602"/>
  <c r="B50" i="602"/>
  <c r="B51" i="602"/>
  <c r="B52" i="602"/>
  <c r="B53" i="602"/>
  <c r="B54" i="602"/>
  <c r="B55" i="602"/>
  <c r="B56" i="602"/>
  <c r="B57" i="602"/>
  <c r="B58" i="602"/>
  <c r="B59" i="602"/>
  <c r="B60" i="602"/>
  <c r="B61" i="602"/>
  <c r="B62" i="602"/>
  <c r="B63" i="602"/>
  <c r="B64" i="602"/>
  <c r="B65" i="602"/>
  <c r="B66" i="602"/>
  <c r="B67" i="602"/>
  <c r="B68" i="602"/>
  <c r="B69" i="602"/>
  <c r="B70" i="602"/>
  <c r="B71" i="602"/>
  <c r="B72" i="602"/>
  <c r="B73" i="602"/>
  <c r="B74" i="602"/>
  <c r="B75" i="602"/>
  <c r="B76" i="602"/>
  <c r="B77" i="602"/>
  <c r="B78" i="602"/>
  <c r="B79" i="602"/>
  <c r="B80" i="602"/>
  <c r="B81" i="602"/>
  <c r="B82" i="602"/>
  <c r="B83" i="602"/>
  <c r="B84" i="602"/>
  <c r="B85" i="602"/>
  <c r="B86" i="602"/>
  <c r="B87" i="602"/>
  <c r="B88" i="602"/>
  <c r="B89" i="602"/>
  <c r="I37" i="343"/>
  <c r="I38" i="343"/>
  <c r="I39" i="343"/>
  <c r="I40" i="343"/>
  <c r="I41" i="343"/>
  <c r="I42" i="343"/>
  <c r="I43" i="343"/>
  <c r="I44" i="343"/>
  <c r="I45" i="343"/>
  <c r="I46" i="343"/>
  <c r="I47" i="343"/>
  <c r="I48" i="343"/>
  <c r="I49" i="343"/>
  <c r="I50" i="343"/>
  <c r="I51" i="343"/>
  <c r="I52" i="343"/>
  <c r="I53" i="343"/>
  <c r="I54" i="343"/>
  <c r="I55" i="343"/>
  <c r="I56" i="343"/>
  <c r="I57" i="343"/>
  <c r="I58" i="343"/>
  <c r="I59" i="343"/>
  <c r="I60" i="343"/>
  <c r="I61" i="343"/>
  <c r="I62" i="343"/>
  <c r="I63" i="343"/>
  <c r="I64" i="343"/>
  <c r="I65" i="343"/>
  <c r="I66" i="343"/>
  <c r="I67" i="343"/>
  <c r="I68" i="343"/>
  <c r="I69" i="343"/>
  <c r="I70" i="343"/>
  <c r="I71" i="343"/>
  <c r="I72" i="343"/>
  <c r="I73" i="343"/>
  <c r="I74" i="343"/>
  <c r="I75" i="343"/>
  <c r="I76" i="343"/>
  <c r="I77" i="343"/>
  <c r="I78" i="343"/>
  <c r="I79" i="343"/>
  <c r="I80" i="343"/>
  <c r="I81" i="343"/>
  <c r="I82" i="343"/>
  <c r="I83" i="343"/>
  <c r="I84" i="343"/>
  <c r="I85" i="343"/>
  <c r="I86" i="343"/>
  <c r="I87" i="343"/>
  <c r="I88" i="343"/>
  <c r="I89" i="343"/>
  <c r="I90" i="343"/>
  <c r="I91" i="343"/>
  <c r="I92" i="343"/>
  <c r="I93" i="343"/>
  <c r="I94" i="343"/>
  <c r="I95" i="343"/>
  <c r="I36" i="343"/>
  <c r="I15" i="343"/>
  <c r="I16" i="343"/>
  <c r="I17" i="343"/>
  <c r="I18" i="343"/>
  <c r="I19" i="343"/>
  <c r="I20" i="343"/>
  <c r="I21" i="343"/>
  <c r="I22" i="343"/>
  <c r="I23" i="343"/>
  <c r="I24" i="343"/>
  <c r="I25" i="343"/>
  <c r="I26" i="343"/>
  <c r="I27" i="343"/>
  <c r="I28" i="343"/>
  <c r="I29" i="343"/>
  <c r="I30" i="343"/>
  <c r="H15" i="343"/>
  <c r="H16" i="343"/>
  <c r="H17" i="343"/>
  <c r="H18" i="343"/>
  <c r="H19" i="343"/>
  <c r="H20" i="343"/>
  <c r="H21" i="343"/>
  <c r="H22" i="343"/>
  <c r="H23" i="343"/>
  <c r="H24" i="343"/>
  <c r="H25" i="343"/>
  <c r="H26" i="343"/>
  <c r="H27" i="343"/>
  <c r="H28" i="343"/>
  <c r="H29" i="343"/>
  <c r="H30" i="343"/>
  <c r="H14" i="343"/>
  <c r="I32" i="343"/>
  <c r="H32" i="343"/>
  <c r="H31" i="343"/>
  <c r="L30" i="603"/>
  <c r="L29" i="603"/>
  <c r="M30" i="603"/>
  <c r="M29" i="603"/>
  <c r="N30" i="603"/>
  <c r="N29" i="603"/>
  <c r="O30" i="603"/>
  <c r="O29" i="603"/>
  <c r="G28" i="604"/>
  <c r="N29" i="604"/>
  <c r="O29" i="604"/>
  <c r="P29" i="604"/>
  <c r="Q29" i="604"/>
  <c r="C5" i="332"/>
  <c r="M7" i="343"/>
  <c r="G734" i="607"/>
  <c r="D28" i="602" l="1"/>
  <c r="D27" i="602"/>
  <c r="G734" i="577"/>
  <c r="G733" i="577"/>
  <c r="D6" i="611"/>
  <c r="D12" i="336"/>
  <c r="G40" i="336"/>
  <c r="G41" i="336"/>
  <c r="G42" i="336"/>
  <c r="G43" i="336"/>
  <c r="G44" i="336"/>
  <c r="G45" i="336"/>
  <c r="G46" i="336"/>
  <c r="G47" i="336"/>
  <c r="G48" i="336"/>
  <c r="G49" i="336"/>
  <c r="G50" i="336"/>
  <c r="G51" i="336"/>
  <c r="G52" i="336"/>
  <c r="G53" i="336"/>
  <c r="G54" i="336"/>
  <c r="G55" i="336"/>
  <c r="G56" i="336"/>
  <c r="G61" i="336"/>
  <c r="G62" i="336"/>
  <c r="G63" i="336"/>
  <c r="G64" i="336"/>
  <c r="G65" i="336"/>
  <c r="G66" i="336"/>
  <c r="G67" i="336"/>
  <c r="G68" i="336"/>
  <c r="G69" i="336"/>
  <c r="G70" i="336"/>
  <c r="G71" i="336"/>
  <c r="G72" i="336"/>
  <c r="G73" i="336"/>
  <c r="G74" i="336"/>
  <c r="G75" i="336"/>
  <c r="G76" i="336"/>
  <c r="G77" i="336"/>
  <c r="G39" i="609"/>
  <c r="G40" i="609"/>
  <c r="G41" i="609"/>
  <c r="G42" i="609"/>
  <c r="G43" i="609"/>
  <c r="G44" i="609"/>
  <c r="G45" i="609"/>
  <c r="G46" i="609"/>
  <c r="G47" i="609"/>
  <c r="G48" i="609"/>
  <c r="G49" i="609"/>
  <c r="G50" i="609"/>
  <c r="G51" i="609"/>
  <c r="G52" i="609"/>
  <c r="G53" i="609"/>
  <c r="G54" i="609"/>
  <c r="G55" i="609"/>
  <c r="G60" i="609"/>
  <c r="G61" i="609"/>
  <c r="G62" i="609"/>
  <c r="G63" i="609"/>
  <c r="G64" i="609"/>
  <c r="G65" i="609"/>
  <c r="G66" i="609"/>
  <c r="G67" i="609"/>
  <c r="G68" i="609"/>
  <c r="G69" i="609"/>
  <c r="G70" i="609"/>
  <c r="G71" i="609"/>
  <c r="G72" i="609"/>
  <c r="G73" i="609"/>
  <c r="G74" i="609"/>
  <c r="G75" i="609"/>
  <c r="G76" i="609"/>
  <c r="H32" i="617"/>
  <c r="I32" i="617"/>
  <c r="H10" i="332"/>
  <c r="F10" i="608"/>
  <c r="G32" i="608"/>
  <c r="O29" i="619" l="1"/>
  <c r="O28" i="619"/>
  <c r="N29" i="619"/>
  <c r="N28" i="619"/>
  <c r="M29" i="619"/>
  <c r="M28" i="619"/>
  <c r="L29" i="619"/>
  <c r="L28" i="619"/>
  <c r="G16" i="608" l="1"/>
  <c r="G17" i="608"/>
  <c r="G18" i="608"/>
  <c r="G19" i="608"/>
  <c r="G20" i="608"/>
  <c r="G21" i="608"/>
  <c r="G22" i="608"/>
  <c r="G23" i="608"/>
  <c r="G24" i="608"/>
  <c r="G25" i="608"/>
  <c r="G26" i="608"/>
  <c r="G27" i="608"/>
  <c r="G28" i="608"/>
  <c r="G29" i="608"/>
  <c r="G30" i="608"/>
  <c r="G31" i="608"/>
  <c r="G15" i="608"/>
  <c r="H32" i="608"/>
  <c r="H16" i="608"/>
  <c r="H17" i="608"/>
  <c r="H18" i="608"/>
  <c r="H19" i="608"/>
  <c r="H20" i="608"/>
  <c r="H21" i="608"/>
  <c r="H22" i="608"/>
  <c r="H23" i="608"/>
  <c r="H24" i="608"/>
  <c r="H25" i="608"/>
  <c r="H26" i="608"/>
  <c r="H27" i="608"/>
  <c r="H28" i="608"/>
  <c r="H29" i="608"/>
  <c r="H30" i="608"/>
  <c r="H31" i="608"/>
  <c r="H15" i="608"/>
  <c r="C33" i="332" l="1"/>
  <c r="G36" i="332"/>
  <c r="G35" i="332"/>
  <c r="G18" i="332"/>
  <c r="G19" i="332"/>
  <c r="G20" i="332"/>
  <c r="G21" i="332"/>
  <c r="G22" i="332"/>
  <c r="G23" i="332"/>
  <c r="G24" i="332"/>
  <c r="G25" i="332"/>
  <c r="G26" i="332"/>
  <c r="G27" i="332"/>
  <c r="G28" i="332"/>
  <c r="G29" i="332"/>
  <c r="G30" i="332"/>
  <c r="G31" i="332"/>
  <c r="G32" i="332"/>
  <c r="G33" i="332"/>
  <c r="G17" i="332"/>
  <c r="I39" i="624"/>
  <c r="E39" i="624"/>
  <c r="I38" i="624"/>
  <c r="H38" i="624"/>
  <c r="J38" i="624" s="1"/>
  <c r="E38" i="624"/>
  <c r="I37" i="624"/>
  <c r="H37" i="624"/>
  <c r="J37" i="624" s="1"/>
  <c r="E37" i="624"/>
  <c r="K36" i="624"/>
  <c r="J36" i="624"/>
  <c r="G36" i="624"/>
  <c r="J35" i="624"/>
  <c r="K35" i="624" s="1"/>
  <c r="G35" i="624"/>
  <c r="J33" i="624"/>
  <c r="K33" i="624" s="1"/>
  <c r="G33" i="624"/>
  <c r="J32" i="624"/>
  <c r="K32" i="624" s="1"/>
  <c r="G32" i="624"/>
  <c r="J29" i="624"/>
  <c r="K29" i="624" s="1"/>
  <c r="G29" i="624"/>
  <c r="J28" i="624"/>
  <c r="K28" i="624" s="1"/>
  <c r="G28" i="624"/>
  <c r="J27" i="624"/>
  <c r="K27" i="624" s="1"/>
  <c r="G27" i="624"/>
  <c r="K26" i="624"/>
  <c r="J26" i="624"/>
  <c r="G26" i="624"/>
  <c r="K25" i="624"/>
  <c r="J25" i="624"/>
  <c r="G25" i="624"/>
  <c r="J24" i="624"/>
  <c r="K24" i="624" s="1"/>
  <c r="G24" i="624"/>
  <c r="J23" i="624"/>
  <c r="K23" i="624" s="1"/>
  <c r="G23" i="624"/>
  <c r="K22" i="624"/>
  <c r="J21" i="624"/>
  <c r="K21" i="624" s="1"/>
  <c r="G21" i="624"/>
  <c r="K20" i="624"/>
  <c r="J20" i="624"/>
  <c r="G20" i="624"/>
  <c r="K19" i="624"/>
  <c r="J19" i="624"/>
  <c r="G19" i="624"/>
  <c r="J18" i="624"/>
  <c r="K18" i="624" s="1"/>
  <c r="G18" i="624"/>
  <c r="J17" i="624"/>
  <c r="K17" i="624" s="1"/>
  <c r="G17" i="624"/>
  <c r="K16" i="624"/>
  <c r="J15" i="624"/>
  <c r="K15" i="624" s="1"/>
  <c r="G15" i="624"/>
  <c r="K14" i="624"/>
  <c r="J14" i="624"/>
  <c r="G14" i="624"/>
  <c r="K13" i="624"/>
  <c r="J13" i="624"/>
  <c r="G13" i="624"/>
  <c r="J12" i="624"/>
  <c r="K12" i="624" s="1"/>
  <c r="G12" i="624"/>
  <c r="I11" i="624"/>
  <c r="J11" i="624" s="1"/>
  <c r="H11" i="624"/>
  <c r="H39" i="624" s="1"/>
  <c r="J39" i="624" s="1"/>
  <c r="F11" i="624"/>
  <c r="F37" i="624" s="1"/>
  <c r="G37" i="624" s="1"/>
  <c r="J10" i="624"/>
  <c r="K10" i="624" s="1"/>
  <c r="G10" i="624"/>
  <c r="J9" i="624"/>
  <c r="K9" i="624" s="1"/>
  <c r="G9" i="624"/>
  <c r="J8" i="624"/>
  <c r="K8" i="624" s="1"/>
  <c r="G8" i="624"/>
  <c r="K7" i="624"/>
  <c r="J7" i="624"/>
  <c r="G7" i="624"/>
  <c r="K6" i="624"/>
  <c r="J6" i="624"/>
  <c r="G6" i="624"/>
  <c r="K37" i="624" l="1"/>
  <c r="G11" i="624"/>
  <c r="K11" i="624" s="1"/>
  <c r="F39" i="624"/>
  <c r="G39" i="624" s="1"/>
  <c r="K39" i="624" s="1"/>
  <c r="F38" i="624"/>
  <c r="G38" i="624" s="1"/>
  <c r="K38" i="624" s="1"/>
  <c r="H34" i="332" l="1"/>
  <c r="G11" i="577"/>
  <c r="G103" i="607"/>
  <c r="G104" i="607"/>
  <c r="G105" i="607"/>
  <c r="G106" i="607"/>
  <c r="G107" i="607"/>
  <c r="G108" i="607"/>
  <c r="G109" i="607"/>
  <c r="G110" i="607"/>
  <c r="G111" i="607"/>
  <c r="G112" i="607"/>
  <c r="G113" i="607"/>
  <c r="G114" i="607"/>
  <c r="G115" i="607"/>
  <c r="G116" i="607"/>
  <c r="G117" i="607"/>
  <c r="G118" i="607"/>
  <c r="G119" i="607"/>
  <c r="G120" i="607"/>
  <c r="G121" i="607"/>
  <c r="G122" i="607"/>
  <c r="G123" i="607"/>
  <c r="G124" i="607"/>
  <c r="G125" i="607"/>
  <c r="G126" i="607"/>
  <c r="G127" i="607"/>
  <c r="G128" i="607"/>
  <c r="G129" i="607"/>
  <c r="G130" i="607"/>
  <c r="G131" i="607"/>
  <c r="G132" i="607"/>
  <c r="G133" i="607"/>
  <c r="G134" i="607"/>
  <c r="G135" i="607"/>
  <c r="G136" i="607"/>
  <c r="G137" i="607"/>
  <c r="G138" i="607"/>
  <c r="G139" i="607"/>
  <c r="G140" i="607"/>
  <c r="G141" i="607"/>
  <c r="G142" i="607"/>
  <c r="G143" i="607"/>
  <c r="G144" i="607"/>
  <c r="G145" i="607"/>
  <c r="G146" i="607"/>
  <c r="G147" i="607"/>
  <c r="G148" i="607"/>
  <c r="G149" i="607"/>
  <c r="G150" i="607"/>
  <c r="G151" i="607"/>
  <c r="G152" i="607"/>
  <c r="G153" i="607"/>
  <c r="G154" i="607"/>
  <c r="G155" i="607"/>
  <c r="G156" i="607"/>
  <c r="G157" i="607"/>
  <c r="G158" i="607"/>
  <c r="G159" i="607"/>
  <c r="G160" i="607"/>
  <c r="G161" i="607"/>
  <c r="G162" i="607"/>
  <c r="G163" i="607"/>
  <c r="G164" i="607"/>
  <c r="G165" i="607"/>
  <c r="G166" i="607"/>
  <c r="G167" i="607"/>
  <c r="G168" i="607"/>
  <c r="G169" i="607"/>
  <c r="G170" i="607"/>
  <c r="G171" i="607"/>
  <c r="G172" i="607"/>
  <c r="G173" i="607"/>
  <c r="G174" i="607"/>
  <c r="G175" i="607"/>
  <c r="G176" i="607"/>
  <c r="G177" i="607"/>
  <c r="G178" i="607"/>
  <c r="G179" i="607"/>
  <c r="G180" i="607"/>
  <c r="G181" i="607"/>
  <c r="G182" i="607"/>
  <c r="G183" i="607"/>
  <c r="G185" i="607"/>
  <c r="G186" i="607"/>
  <c r="G187" i="607"/>
  <c r="G188" i="607"/>
  <c r="G189" i="607"/>
  <c r="G190" i="607"/>
  <c r="G191" i="607"/>
  <c r="G192" i="607"/>
  <c r="G193" i="607"/>
  <c r="G194" i="607"/>
  <c r="G195" i="607"/>
  <c r="G196" i="607"/>
  <c r="G197" i="607"/>
  <c r="G198" i="607"/>
  <c r="G199" i="607"/>
  <c r="G200" i="607"/>
  <c r="G201" i="607"/>
  <c r="G202" i="607"/>
  <c r="G203" i="607"/>
  <c r="G204" i="607"/>
  <c r="G205" i="607"/>
  <c r="G206" i="607"/>
  <c r="G207" i="607"/>
  <c r="G208" i="607"/>
  <c r="G209" i="607"/>
  <c r="G210" i="607"/>
  <c r="G211" i="607"/>
  <c r="G212" i="607"/>
  <c r="G213" i="607"/>
  <c r="G214" i="607"/>
  <c r="G215" i="607"/>
  <c r="G216" i="607"/>
  <c r="G217" i="607"/>
  <c r="G218" i="607"/>
  <c r="G219" i="607"/>
  <c r="G220" i="607"/>
  <c r="G221" i="607"/>
  <c r="G222" i="607"/>
  <c r="G223" i="607"/>
  <c r="G224" i="607"/>
  <c r="G225" i="607"/>
  <c r="G226" i="607"/>
  <c r="G227" i="607"/>
  <c r="G228" i="607"/>
  <c r="G229" i="607"/>
  <c r="G230" i="607"/>
  <c r="G231" i="607"/>
  <c r="G232" i="607"/>
  <c r="G233" i="607"/>
  <c r="G234" i="607"/>
  <c r="G235" i="607"/>
  <c r="G236" i="607"/>
  <c r="G237" i="607"/>
  <c r="G238" i="607"/>
  <c r="G239" i="607"/>
  <c r="G240" i="607"/>
  <c r="G241" i="607"/>
  <c r="G242" i="607"/>
  <c r="G243" i="607"/>
  <c r="G244" i="607"/>
  <c r="G245" i="607"/>
  <c r="G246" i="607"/>
  <c r="G247" i="607"/>
  <c r="G248" i="607"/>
  <c r="G249" i="607"/>
  <c r="G250" i="607"/>
  <c r="G251" i="607"/>
  <c r="G252" i="607"/>
  <c r="G253" i="607"/>
  <c r="G254" i="607"/>
  <c r="G255" i="607"/>
  <c r="G256" i="607"/>
  <c r="G257" i="607"/>
  <c r="G258" i="607"/>
  <c r="G259" i="607"/>
  <c r="G260" i="607"/>
  <c r="G261" i="607"/>
  <c r="G262" i="607"/>
  <c r="G263" i="607"/>
  <c r="G264" i="607"/>
  <c r="G265" i="607"/>
  <c r="G266" i="607"/>
  <c r="G267" i="607"/>
  <c r="G268" i="607"/>
  <c r="G269" i="607"/>
  <c r="G270" i="607"/>
  <c r="G271" i="607"/>
  <c r="G272" i="607"/>
  <c r="G273" i="607"/>
  <c r="G274" i="607"/>
  <c r="G275" i="607"/>
  <c r="G276" i="607"/>
  <c r="G277" i="607"/>
  <c r="G278" i="607"/>
  <c r="G279" i="607"/>
  <c r="G280" i="607"/>
  <c r="G281" i="607"/>
  <c r="G282" i="607"/>
  <c r="G283" i="607"/>
  <c r="G284" i="607"/>
  <c r="G285" i="607"/>
  <c r="G286" i="607"/>
  <c r="G287" i="607"/>
  <c r="G288" i="607"/>
  <c r="G289" i="607"/>
  <c r="G290" i="607"/>
  <c r="G291" i="607"/>
  <c r="G292" i="607"/>
  <c r="G293" i="607"/>
  <c r="G294" i="607"/>
  <c r="G295" i="607"/>
  <c r="G296" i="607"/>
  <c r="G297" i="607"/>
  <c r="G298" i="607"/>
  <c r="G299" i="607"/>
  <c r="G300" i="607"/>
  <c r="G301" i="607"/>
  <c r="G302" i="607"/>
  <c r="G303" i="607"/>
  <c r="G304" i="607"/>
  <c r="G305" i="607"/>
  <c r="G306" i="607"/>
  <c r="G307" i="607"/>
  <c r="G308" i="607"/>
  <c r="G309" i="607"/>
  <c r="G310" i="607"/>
  <c r="G311" i="607"/>
  <c r="G312" i="607"/>
  <c r="G313" i="607"/>
  <c r="G314" i="607"/>
  <c r="G315" i="607"/>
  <c r="G316" i="607"/>
  <c r="G317" i="607"/>
  <c r="G318" i="607"/>
  <c r="G319" i="607"/>
  <c r="G320" i="607"/>
  <c r="G321" i="607"/>
  <c r="G322" i="607"/>
  <c r="G323" i="607"/>
  <c r="G324" i="607"/>
  <c r="G325" i="607"/>
  <c r="G326" i="607"/>
  <c r="G327" i="607"/>
  <c r="G328" i="607"/>
  <c r="G329" i="607"/>
  <c r="G330" i="607"/>
  <c r="G331" i="607"/>
  <c r="G332" i="607"/>
  <c r="G333" i="607"/>
  <c r="G334" i="607"/>
  <c r="G335" i="607"/>
  <c r="G336" i="607"/>
  <c r="G337" i="607"/>
  <c r="G338" i="607"/>
  <c r="G339" i="607"/>
  <c r="G340" i="607"/>
  <c r="G341" i="607"/>
  <c r="G342" i="607"/>
  <c r="G343" i="607"/>
  <c r="G344" i="607"/>
  <c r="G345" i="607"/>
  <c r="G346" i="607"/>
  <c r="G347" i="607"/>
  <c r="G348" i="607"/>
  <c r="G349" i="607"/>
  <c r="G350" i="607"/>
  <c r="G351" i="607"/>
  <c r="G352" i="607"/>
  <c r="G353" i="607"/>
  <c r="G356" i="607"/>
  <c r="G357" i="607"/>
  <c r="G358" i="607"/>
  <c r="G359" i="607"/>
  <c r="G360" i="607"/>
  <c r="G361" i="607"/>
  <c r="G362" i="607"/>
  <c r="G363" i="607"/>
  <c r="G364" i="607"/>
  <c r="G365" i="607"/>
  <c r="G366" i="607"/>
  <c r="G367" i="607"/>
  <c r="G368" i="607"/>
  <c r="G369" i="607"/>
  <c r="G370" i="607"/>
  <c r="G371" i="607"/>
  <c r="G372" i="607"/>
  <c r="G373" i="607"/>
  <c r="G374" i="607"/>
  <c r="G375" i="607"/>
  <c r="G376" i="607"/>
  <c r="G377" i="607"/>
  <c r="G378" i="607"/>
  <c r="G379" i="607"/>
  <c r="G380" i="607"/>
  <c r="G381" i="607"/>
  <c r="G382" i="607"/>
  <c r="G383" i="607"/>
  <c r="G384" i="607"/>
  <c r="G385" i="607"/>
  <c r="G386" i="607"/>
  <c r="G387" i="607"/>
  <c r="G388" i="607"/>
  <c r="G389" i="607"/>
  <c r="G390" i="607"/>
  <c r="G391" i="607"/>
  <c r="G392" i="607"/>
  <c r="G393" i="607"/>
  <c r="G394" i="607"/>
  <c r="G395" i="607"/>
  <c r="G396" i="607"/>
  <c r="G397" i="607"/>
  <c r="G398" i="607"/>
  <c r="G400" i="607"/>
  <c r="G401" i="607"/>
  <c r="G402" i="607"/>
  <c r="G403" i="607"/>
  <c r="G404" i="607"/>
  <c r="G405" i="607"/>
  <c r="G406" i="607"/>
  <c r="G407" i="607"/>
  <c r="G408" i="607"/>
  <c r="G409" i="607"/>
  <c r="G410" i="607"/>
  <c r="G411" i="607"/>
  <c r="G412" i="607"/>
  <c r="G413" i="607"/>
  <c r="G414" i="607"/>
  <c r="G415" i="607"/>
  <c r="G416" i="607"/>
  <c r="G417" i="607"/>
  <c r="G418" i="607"/>
  <c r="G419" i="607"/>
  <c r="G420" i="607"/>
  <c r="G421" i="607"/>
  <c r="G422" i="607"/>
  <c r="G423" i="607"/>
  <c r="G424" i="607"/>
  <c r="G425" i="607"/>
  <c r="G426" i="607"/>
  <c r="G427" i="607"/>
  <c r="G428" i="607"/>
  <c r="G429" i="607"/>
  <c r="G430" i="607"/>
  <c r="G431" i="607"/>
  <c r="G432" i="607"/>
  <c r="G433" i="607"/>
  <c r="G434" i="607"/>
  <c r="G435" i="607"/>
  <c r="G436" i="607"/>
  <c r="G437" i="607"/>
  <c r="G438" i="607"/>
  <c r="G439" i="607"/>
  <c r="G440" i="607"/>
  <c r="G441" i="607"/>
  <c r="G442" i="607"/>
  <c r="G443" i="607"/>
  <c r="G444" i="607"/>
  <c r="G445" i="607"/>
  <c r="G446" i="607"/>
  <c r="G447" i="607"/>
  <c r="G448" i="607"/>
  <c r="G449" i="607"/>
  <c r="G450" i="607"/>
  <c r="G451" i="607"/>
  <c r="G452" i="607"/>
  <c r="G453" i="607"/>
  <c r="G454" i="607"/>
  <c r="G455" i="607"/>
  <c r="G456" i="607"/>
  <c r="G457" i="607"/>
  <c r="G458" i="607"/>
  <c r="G459" i="607"/>
  <c r="G460" i="607"/>
  <c r="G461" i="607"/>
  <c r="G462" i="607"/>
  <c r="G463" i="607"/>
  <c r="G464" i="607"/>
  <c r="G465" i="607"/>
  <c r="G466" i="607"/>
  <c r="G467" i="607"/>
  <c r="G468" i="607"/>
  <c r="G469" i="607"/>
  <c r="G470" i="607"/>
  <c r="G471" i="607"/>
  <c r="G472" i="607"/>
  <c r="G473" i="607"/>
  <c r="G474" i="607"/>
  <c r="G475" i="607"/>
  <c r="G476" i="607"/>
  <c r="G477" i="607"/>
  <c r="G478" i="607"/>
  <c r="G479" i="607"/>
  <c r="G480" i="607"/>
  <c r="G481" i="607"/>
  <c r="G482" i="607"/>
  <c r="G483" i="607"/>
  <c r="G484" i="607"/>
  <c r="G485" i="607"/>
  <c r="G486" i="607"/>
  <c r="G487" i="607"/>
  <c r="G488" i="607"/>
  <c r="G489" i="607"/>
  <c r="G490" i="607"/>
  <c r="G491" i="607"/>
  <c r="G492" i="607"/>
  <c r="G493" i="607"/>
  <c r="G494" i="607"/>
  <c r="G495" i="607"/>
  <c r="G496" i="607"/>
  <c r="G497" i="607"/>
  <c r="G498" i="607"/>
  <c r="G499" i="607"/>
  <c r="G500" i="607"/>
  <c r="G501" i="607"/>
  <c r="G502" i="607"/>
  <c r="G503" i="607"/>
  <c r="G504" i="607"/>
  <c r="G505" i="607"/>
  <c r="G506" i="607"/>
  <c r="G507" i="607"/>
  <c r="G508" i="607"/>
  <c r="G509" i="607"/>
  <c r="G510" i="607"/>
  <c r="G511" i="607"/>
  <c r="G512" i="607"/>
  <c r="G513" i="607"/>
  <c r="G514" i="607"/>
  <c r="G515" i="607"/>
  <c r="G516" i="607"/>
  <c r="G517" i="607"/>
  <c r="G518" i="607"/>
  <c r="G519" i="607"/>
  <c r="G520" i="607"/>
  <c r="G521" i="607"/>
  <c r="G522" i="607"/>
  <c r="G523" i="607"/>
  <c r="G524" i="607"/>
  <c r="G525" i="607"/>
  <c r="G526" i="607"/>
  <c r="G527" i="607"/>
  <c r="G528" i="607"/>
  <c r="G529" i="607"/>
  <c r="G530" i="607"/>
  <c r="G531" i="607"/>
  <c r="G532" i="607"/>
  <c r="G533" i="607"/>
  <c r="G534" i="607"/>
  <c r="G535" i="607"/>
  <c r="G536" i="607"/>
  <c r="G537" i="607"/>
  <c r="G538" i="607"/>
  <c r="G539" i="607"/>
  <c r="G540" i="607"/>
  <c r="G541" i="607"/>
  <c r="G542" i="607"/>
  <c r="G543" i="607"/>
  <c r="G544" i="607"/>
  <c r="G545" i="607"/>
  <c r="G546" i="607"/>
  <c r="G547" i="607"/>
  <c r="G548" i="607"/>
  <c r="G549" i="607"/>
  <c r="G550" i="607"/>
  <c r="G551" i="607"/>
  <c r="G552" i="607"/>
  <c r="G553" i="607"/>
  <c r="G554" i="607"/>
  <c r="G555" i="607"/>
  <c r="G556" i="607"/>
  <c r="G557" i="607"/>
  <c r="G558" i="607"/>
  <c r="G559" i="607"/>
  <c r="G560" i="607"/>
  <c r="G561" i="607"/>
  <c r="G562" i="607"/>
  <c r="G563" i="607"/>
  <c r="G564" i="607"/>
  <c r="G565" i="607"/>
  <c r="G566" i="607"/>
  <c r="G567" i="607"/>
  <c r="G568" i="607"/>
  <c r="G569" i="607"/>
  <c r="G570" i="607"/>
  <c r="G571" i="607"/>
  <c r="G572" i="607"/>
  <c r="G573" i="607"/>
  <c r="G574" i="607"/>
  <c r="G575" i="607"/>
  <c r="G576" i="607"/>
  <c r="G577" i="607"/>
  <c r="G578" i="607"/>
  <c r="G579" i="607"/>
  <c r="G580" i="607"/>
  <c r="G581" i="607"/>
  <c r="G582" i="607"/>
  <c r="G583" i="607"/>
  <c r="G584" i="607"/>
  <c r="G585" i="607"/>
  <c r="G586" i="607"/>
  <c r="G587" i="607"/>
  <c r="G588" i="607"/>
  <c r="G589" i="607"/>
  <c r="G590" i="607"/>
  <c r="G591" i="607"/>
  <c r="G592" i="607"/>
  <c r="G593" i="607"/>
  <c r="G594" i="607"/>
  <c r="G595" i="607"/>
  <c r="G596" i="607"/>
  <c r="G597" i="607"/>
  <c r="G598" i="607"/>
  <c r="G599" i="607"/>
  <c r="G600" i="607"/>
  <c r="G601" i="607"/>
  <c r="G602" i="607"/>
  <c r="G603" i="607"/>
  <c r="G604" i="607"/>
  <c r="G605" i="607"/>
  <c r="G606" i="607"/>
  <c r="G607" i="607"/>
  <c r="G608" i="607"/>
  <c r="G609" i="607"/>
  <c r="G610" i="607"/>
  <c r="G611" i="607"/>
  <c r="G612" i="607"/>
  <c r="G613" i="607"/>
  <c r="G614" i="607"/>
  <c r="G615" i="607"/>
  <c r="G616" i="607"/>
  <c r="G617" i="607"/>
  <c r="G618" i="607"/>
  <c r="G619" i="607"/>
  <c r="G620" i="607"/>
  <c r="G621" i="607"/>
  <c r="G622" i="607"/>
  <c r="G623" i="607"/>
  <c r="G624" i="607"/>
  <c r="G625" i="607"/>
  <c r="G626" i="607"/>
  <c r="G627" i="607"/>
  <c r="G628" i="607"/>
  <c r="G629" i="607"/>
  <c r="G630" i="607"/>
  <c r="G631" i="607"/>
  <c r="G632" i="607"/>
  <c r="G633" i="607"/>
  <c r="G634" i="607"/>
  <c r="G635" i="607"/>
  <c r="G636" i="607"/>
  <c r="G637" i="607"/>
  <c r="G638" i="607"/>
  <c r="G639" i="607"/>
  <c r="G640" i="607"/>
  <c r="G641" i="607"/>
  <c r="G642" i="607"/>
  <c r="G643" i="607"/>
  <c r="G644" i="607"/>
  <c r="G645" i="607"/>
  <c r="G646" i="607"/>
  <c r="G647" i="607"/>
  <c r="G648" i="607"/>
  <c r="G649" i="607"/>
  <c r="G650" i="607"/>
  <c r="G651" i="607"/>
  <c r="G652" i="607"/>
  <c r="G653" i="607"/>
  <c r="G654" i="607"/>
  <c r="G655" i="607"/>
  <c r="G656" i="607"/>
  <c r="G657" i="607"/>
  <c r="G658" i="607"/>
  <c r="G659" i="607"/>
  <c r="G660" i="607"/>
  <c r="G661" i="607"/>
  <c r="G662" i="607"/>
  <c r="G663" i="607"/>
  <c r="G664" i="607"/>
  <c r="G665" i="607"/>
  <c r="G666" i="607"/>
  <c r="G667" i="607"/>
  <c r="G668" i="607"/>
  <c r="G669" i="607"/>
  <c r="G670" i="607"/>
  <c r="G671" i="607"/>
  <c r="G672" i="607"/>
  <c r="G673" i="607"/>
  <c r="G674" i="607"/>
  <c r="G675" i="607"/>
  <c r="G676" i="607"/>
  <c r="G677" i="607"/>
  <c r="G678" i="607"/>
  <c r="G679" i="607"/>
  <c r="G680" i="607"/>
  <c r="G681" i="607"/>
  <c r="G682" i="607"/>
  <c r="G683" i="607"/>
  <c r="G684" i="607"/>
  <c r="G685" i="607"/>
  <c r="G686" i="607"/>
  <c r="G687" i="607"/>
  <c r="G688" i="607"/>
  <c r="G689" i="607"/>
  <c r="G690" i="607"/>
  <c r="G691" i="607"/>
  <c r="G692" i="607"/>
  <c r="G693" i="607"/>
  <c r="G694" i="607"/>
  <c r="G695" i="607"/>
  <c r="G696" i="607"/>
  <c r="G697" i="607"/>
  <c r="G698" i="607"/>
  <c r="G699" i="607"/>
  <c r="G700" i="607"/>
  <c r="G701" i="607"/>
  <c r="G702" i="607"/>
  <c r="G703" i="607"/>
  <c r="G704" i="607"/>
  <c r="G705" i="607"/>
  <c r="G706" i="607"/>
  <c r="G707" i="607"/>
  <c r="G708" i="607"/>
  <c r="G709" i="607"/>
  <c r="G710" i="607"/>
  <c r="G711" i="607"/>
  <c r="G712" i="607"/>
  <c r="G713" i="607"/>
  <c r="G714" i="607"/>
  <c r="G715" i="607"/>
  <c r="G716" i="607"/>
  <c r="G717" i="607"/>
  <c r="G718" i="607"/>
  <c r="G719" i="607"/>
  <c r="G720" i="607"/>
  <c r="G721" i="607"/>
  <c r="G722" i="607"/>
  <c r="G723" i="607"/>
  <c r="G724" i="607"/>
  <c r="G725" i="607"/>
  <c r="G726" i="607"/>
  <c r="G727" i="607"/>
  <c r="G728" i="607"/>
  <c r="G729" i="607"/>
  <c r="G730" i="607"/>
  <c r="G731" i="607"/>
  <c r="G732" i="607"/>
  <c r="E592" i="607"/>
  <c r="D592" i="607"/>
  <c r="C592" i="607"/>
  <c r="B592" i="607"/>
  <c r="A592" i="607"/>
  <c r="E412" i="607"/>
  <c r="D412" i="607"/>
  <c r="C412" i="607"/>
  <c r="B412" i="607"/>
  <c r="A412" i="607"/>
  <c r="G399" i="577"/>
  <c r="G399" i="607" s="1"/>
  <c r="G355" i="577"/>
  <c r="G355" i="607" s="1"/>
  <c r="G354" i="577"/>
  <c r="G354" i="607" s="1"/>
  <c r="G184" i="577"/>
  <c r="G184" i="607" s="1"/>
  <c r="E173" i="607"/>
  <c r="D173" i="607"/>
  <c r="C173" i="607"/>
  <c r="B173" i="607"/>
  <c r="A173" i="607"/>
  <c r="G58" i="577"/>
  <c r="I11" i="607" l="1"/>
  <c r="H11" i="607"/>
  <c r="I58" i="607"/>
  <c r="H58" i="607"/>
  <c r="G11" i="607"/>
  <c r="I11" i="577"/>
  <c r="I58" i="577"/>
  <c r="H11" i="577"/>
  <c r="H58" i="577"/>
  <c r="G58" i="607"/>
  <c r="G102" i="607"/>
  <c r="G97" i="607"/>
  <c r="G96" i="607"/>
  <c r="G91" i="607"/>
  <c r="G33" i="607"/>
  <c r="G34" i="607"/>
  <c r="G35" i="607"/>
  <c r="G36" i="607"/>
  <c r="G37" i="607"/>
  <c r="G38" i="607"/>
  <c r="G39" i="607"/>
  <c r="G40" i="607"/>
  <c r="G41" i="607"/>
  <c r="G42" i="607"/>
  <c r="G43" i="607"/>
  <c r="G44" i="607"/>
  <c r="G45" i="607"/>
  <c r="G46" i="607"/>
  <c r="G47" i="607"/>
  <c r="G48" i="607"/>
  <c r="G49" i="607"/>
  <c r="G50" i="607"/>
  <c r="G51" i="607"/>
  <c r="G52" i="607"/>
  <c r="G53" i="607"/>
  <c r="G54" i="607"/>
  <c r="G55" i="607"/>
  <c r="G56" i="607"/>
  <c r="G57" i="607"/>
  <c r="G59" i="607"/>
  <c r="G60" i="607"/>
  <c r="G61" i="607"/>
  <c r="G62" i="607"/>
  <c r="G63" i="607"/>
  <c r="G64" i="607"/>
  <c r="G65" i="607"/>
  <c r="G66" i="607"/>
  <c r="G67" i="607"/>
  <c r="G68" i="607"/>
  <c r="G69" i="607"/>
  <c r="G70" i="607"/>
  <c r="G71" i="607"/>
  <c r="G73" i="607"/>
  <c r="G74" i="607"/>
  <c r="G75" i="607"/>
  <c r="G76" i="607"/>
  <c r="G77" i="607"/>
  <c r="G78" i="607"/>
  <c r="G79" i="607"/>
  <c r="G80" i="607"/>
  <c r="G81" i="607"/>
  <c r="G82" i="607"/>
  <c r="G83" i="607"/>
  <c r="G84" i="607"/>
  <c r="G85" i="607"/>
  <c r="G86" i="607"/>
  <c r="G87" i="607"/>
  <c r="G88" i="607"/>
  <c r="G89" i="607"/>
  <c r="G90" i="607"/>
  <c r="G32" i="607"/>
  <c r="G19" i="607"/>
  <c r="G20" i="607"/>
  <c r="G21" i="607"/>
  <c r="G22" i="607"/>
  <c r="G23" i="607"/>
  <c r="G24" i="607"/>
  <c r="G25" i="607"/>
  <c r="G18" i="607"/>
  <c r="G17" i="607"/>
  <c r="G16" i="607"/>
  <c r="G15" i="607"/>
  <c r="G14" i="607"/>
  <c r="G13" i="607"/>
  <c r="G12" i="607"/>
  <c r="G10" i="607"/>
  <c r="G9" i="607"/>
  <c r="C125" i="613" s="1"/>
  <c r="J93" i="601"/>
  <c r="C95" i="601"/>
  <c r="J89" i="601"/>
  <c r="J94" i="601"/>
  <c r="D93" i="611"/>
  <c r="E93" i="611"/>
  <c r="F93" i="611"/>
  <c r="G93" i="611"/>
  <c r="H93" i="611"/>
  <c r="D94" i="611"/>
  <c r="E94" i="611"/>
  <c r="F94" i="611"/>
  <c r="G94" i="611"/>
  <c r="H94" i="611"/>
  <c r="C94" i="611"/>
  <c r="J94" i="611" s="1"/>
  <c r="C93" i="611"/>
  <c r="J93" i="611" s="1"/>
  <c r="M112" i="577" l="1"/>
  <c r="M118" i="577"/>
  <c r="M480" i="577"/>
  <c r="F8" i="611" l="1"/>
  <c r="F95" i="611"/>
  <c r="F27" i="611" s="1"/>
  <c r="F89" i="611"/>
  <c r="F88" i="611"/>
  <c r="F87" i="611"/>
  <c r="F86" i="611"/>
  <c r="F85" i="611"/>
  <c r="F84" i="611"/>
  <c r="F83" i="611"/>
  <c r="F82" i="611"/>
  <c r="F81" i="611"/>
  <c r="F80" i="611"/>
  <c r="F79" i="611"/>
  <c r="F78" i="611"/>
  <c r="F77" i="611"/>
  <c r="F76" i="611"/>
  <c r="F75" i="611"/>
  <c r="F74" i="611"/>
  <c r="F73" i="611"/>
  <c r="F72" i="611"/>
  <c r="F71" i="611"/>
  <c r="F70" i="611"/>
  <c r="F69" i="611"/>
  <c r="F68" i="611"/>
  <c r="F67" i="611"/>
  <c r="F66" i="611"/>
  <c r="F65" i="611"/>
  <c r="F64" i="611"/>
  <c r="F63" i="611"/>
  <c r="F62" i="611"/>
  <c r="F61" i="611"/>
  <c r="F60" i="611"/>
  <c r="F59" i="611"/>
  <c r="F58" i="611"/>
  <c r="F57" i="611"/>
  <c r="F56" i="611"/>
  <c r="F55" i="611"/>
  <c r="F54" i="611"/>
  <c r="F53" i="611"/>
  <c r="F52" i="611"/>
  <c r="F51" i="611"/>
  <c r="F50" i="611"/>
  <c r="F49" i="611"/>
  <c r="F48" i="611"/>
  <c r="F47" i="611"/>
  <c r="F46" i="611"/>
  <c r="F45" i="611"/>
  <c r="F44" i="611"/>
  <c r="F43" i="611"/>
  <c r="F42" i="611"/>
  <c r="F41" i="611"/>
  <c r="F40" i="611"/>
  <c r="F39" i="611"/>
  <c r="F38" i="611"/>
  <c r="F37" i="611"/>
  <c r="F36" i="611"/>
  <c r="F35" i="611"/>
  <c r="F34" i="611"/>
  <c r="F33" i="611"/>
  <c r="F32" i="611"/>
  <c r="F31" i="611"/>
  <c r="F30" i="611"/>
  <c r="F25" i="611"/>
  <c r="F24" i="611"/>
  <c r="F23" i="611"/>
  <c r="F22" i="611"/>
  <c r="F21" i="611"/>
  <c r="F20" i="611"/>
  <c r="F19" i="611"/>
  <c r="F18" i="611"/>
  <c r="F17" i="611"/>
  <c r="F16" i="611"/>
  <c r="F15" i="611"/>
  <c r="F14" i="611"/>
  <c r="F13" i="611"/>
  <c r="F12" i="611"/>
  <c r="F11" i="611"/>
  <c r="F10" i="611"/>
  <c r="F9" i="611"/>
  <c r="AB88" i="605"/>
  <c r="AA88" i="605"/>
  <c r="Z88" i="605"/>
  <c r="X88" i="605"/>
  <c r="W88" i="605"/>
  <c r="V88" i="605"/>
  <c r="R88" i="605"/>
  <c r="T88" i="605" s="1"/>
  <c r="P88" i="605"/>
  <c r="O88" i="605"/>
  <c r="N88" i="605"/>
  <c r="J88" i="605"/>
  <c r="L88" i="605" s="1"/>
  <c r="H88" i="605"/>
  <c r="G88" i="605"/>
  <c r="F88" i="605"/>
  <c r="B88" i="605"/>
  <c r="D88" i="605" s="1"/>
  <c r="A88" i="605"/>
  <c r="AB82" i="605"/>
  <c r="AA82" i="605"/>
  <c r="Z82" i="605"/>
  <c r="X82" i="605"/>
  <c r="W82" i="605"/>
  <c r="V82" i="605"/>
  <c r="R82" i="605"/>
  <c r="T82" i="605" s="1"/>
  <c r="P82" i="605"/>
  <c r="O82" i="605"/>
  <c r="N82" i="605"/>
  <c r="J82" i="605"/>
  <c r="L82" i="605" s="1"/>
  <c r="H82" i="605"/>
  <c r="G82" i="605"/>
  <c r="F82" i="605"/>
  <c r="B82" i="605"/>
  <c r="D82" i="605" s="1"/>
  <c r="A82" i="605"/>
  <c r="Q89" i="620"/>
  <c r="Q83" i="620"/>
  <c r="O89" i="619"/>
  <c r="O83" i="619"/>
  <c r="H85" i="618"/>
  <c r="O85" i="618" s="1"/>
  <c r="D85" i="618"/>
  <c r="C85" i="618"/>
  <c r="I85" i="618" s="1"/>
  <c r="D79" i="618"/>
  <c r="C79" i="618"/>
  <c r="I79" i="618" s="1"/>
  <c r="K95" i="616"/>
  <c r="G95" i="616"/>
  <c r="C95" i="616"/>
  <c r="K89" i="616"/>
  <c r="G89" i="616"/>
  <c r="C89" i="616"/>
  <c r="C92" i="615"/>
  <c r="C86" i="615"/>
  <c r="E85" i="614"/>
  <c r="G85" i="614" s="1"/>
  <c r="E79" i="614"/>
  <c r="G79" i="614" s="1"/>
  <c r="D184" i="613"/>
  <c r="D178" i="613"/>
  <c r="D91" i="612"/>
  <c r="D85" i="612"/>
  <c r="H85" i="611"/>
  <c r="I85" i="611" s="1"/>
  <c r="G85" i="611"/>
  <c r="E85" i="611"/>
  <c r="D85" i="611"/>
  <c r="C85" i="611"/>
  <c r="H79" i="611"/>
  <c r="G79" i="611"/>
  <c r="E79" i="611"/>
  <c r="D79" i="611"/>
  <c r="C79" i="611"/>
  <c r="J79" i="611" s="1"/>
  <c r="E87" i="607"/>
  <c r="B85" i="614" s="1"/>
  <c r="D87" i="607"/>
  <c r="C184" i="613" s="1"/>
  <c r="E184" i="613" s="1"/>
  <c r="C87" i="607"/>
  <c r="B87" i="607"/>
  <c r="A87" i="607"/>
  <c r="C85" i="614" s="1"/>
  <c r="E81" i="607"/>
  <c r="B85" i="617" s="1"/>
  <c r="D81" i="607"/>
  <c r="C178" i="613" s="1"/>
  <c r="E178" i="613" s="1"/>
  <c r="C81" i="607"/>
  <c r="B81" i="607"/>
  <c r="A81" i="607"/>
  <c r="C79" i="614" s="1"/>
  <c r="Q89" i="604"/>
  <c r="B89" i="604"/>
  <c r="Q83" i="604"/>
  <c r="B83" i="604"/>
  <c r="O90" i="603"/>
  <c r="B90" i="603"/>
  <c r="O84" i="603"/>
  <c r="B84" i="603"/>
  <c r="D85" i="602"/>
  <c r="C85" i="602"/>
  <c r="I85" i="602" s="1"/>
  <c r="A85" i="602"/>
  <c r="H79" i="602"/>
  <c r="O79" i="602" s="1"/>
  <c r="D79" i="602"/>
  <c r="C79" i="602"/>
  <c r="I79" i="602" s="1"/>
  <c r="A79" i="602"/>
  <c r="B91" i="343"/>
  <c r="B85" i="343"/>
  <c r="K95" i="340"/>
  <c r="G95" i="340"/>
  <c r="C95" i="340"/>
  <c r="B95" i="340"/>
  <c r="K89" i="340"/>
  <c r="G89" i="340"/>
  <c r="C89" i="340"/>
  <c r="B89" i="340"/>
  <c r="C92" i="338"/>
  <c r="B92" i="338"/>
  <c r="C86" i="338"/>
  <c r="B86" i="338"/>
  <c r="E85" i="504"/>
  <c r="G85" i="504" s="1"/>
  <c r="C85" i="504"/>
  <c r="B85" i="504"/>
  <c r="E79" i="504"/>
  <c r="G79" i="504" s="1"/>
  <c r="C79" i="504"/>
  <c r="B79" i="504"/>
  <c r="D183" i="588"/>
  <c r="C183" i="588"/>
  <c r="E183" i="588" s="1"/>
  <c r="A183" i="588"/>
  <c r="C177" i="588"/>
  <c r="E177" i="588" s="1"/>
  <c r="D177" i="588"/>
  <c r="A177" i="588"/>
  <c r="D91" i="337"/>
  <c r="B91" i="337"/>
  <c r="D85" i="337"/>
  <c r="B85" i="337"/>
  <c r="J85" i="601"/>
  <c r="I85" i="601"/>
  <c r="B85" i="601"/>
  <c r="J79" i="601"/>
  <c r="I79" i="601"/>
  <c r="B79" i="601"/>
  <c r="M85" i="526"/>
  <c r="F85" i="526"/>
  <c r="H85" i="526" s="1"/>
  <c r="Z85" i="526" s="1"/>
  <c r="B85" i="526"/>
  <c r="M79" i="526"/>
  <c r="F79" i="526"/>
  <c r="H79" i="526" s="1"/>
  <c r="Z79" i="526" s="1"/>
  <c r="B79" i="526"/>
  <c r="G10" i="608"/>
  <c r="C5" i="608" s="1"/>
  <c r="M23" i="618"/>
  <c r="M24" i="618"/>
  <c r="M8" i="618"/>
  <c r="M9" i="618"/>
  <c r="M10" i="618"/>
  <c r="M11" i="618"/>
  <c r="M12" i="618"/>
  <c r="M13" i="618"/>
  <c r="M14" i="618"/>
  <c r="M15" i="618"/>
  <c r="M16" i="618"/>
  <c r="M17" i="618"/>
  <c r="M18" i="618"/>
  <c r="M19" i="618"/>
  <c r="M20" i="618"/>
  <c r="M21" i="618"/>
  <c r="M22" i="618"/>
  <c r="B79" i="618" l="1"/>
  <c r="B92" i="615"/>
  <c r="B85" i="611"/>
  <c r="J85" i="611"/>
  <c r="A184" i="613"/>
  <c r="B91" i="612"/>
  <c r="A85" i="618"/>
  <c r="B95" i="616"/>
  <c r="A178" i="613"/>
  <c r="B83" i="620"/>
  <c r="B86" i="615"/>
  <c r="B79" i="611"/>
  <c r="B89" i="620"/>
  <c r="B85" i="612"/>
  <c r="B91" i="617"/>
  <c r="A79" i="618"/>
  <c r="B89" i="619"/>
  <c r="F90" i="611"/>
  <c r="F26" i="611" s="1"/>
  <c r="F28" i="611" s="1"/>
  <c r="H79" i="618"/>
  <c r="O79" i="618" s="1"/>
  <c r="H85" i="602"/>
  <c r="O85" i="602" s="1"/>
  <c r="B85" i="618"/>
  <c r="B79" i="614"/>
  <c r="B83" i="619"/>
  <c r="B89" i="616"/>
  <c r="G178" i="613"/>
  <c r="E86" i="615" s="1"/>
  <c r="G184" i="613"/>
  <c r="E92" i="615" s="1"/>
  <c r="I79" i="611"/>
  <c r="G183" i="588"/>
  <c r="E92" i="338" s="1"/>
  <c r="G177" i="588"/>
  <c r="E86" i="338" s="1"/>
  <c r="C30" i="602" l="1"/>
  <c r="C8" i="332"/>
  <c r="D7" i="333" s="1"/>
  <c r="D8" i="333" s="1"/>
  <c r="D11" i="333" l="1"/>
  <c r="C30" i="608"/>
  <c r="G33" i="608" s="1"/>
  <c r="A30" i="608"/>
  <c r="B30" i="608"/>
  <c r="T31" i="608"/>
  <c r="U31" i="608" s="1"/>
  <c r="O31" i="608"/>
  <c r="Q31" i="608" s="1"/>
  <c r="B31" i="608"/>
  <c r="A31" i="608"/>
  <c r="T30" i="608"/>
  <c r="U30" i="608" s="1"/>
  <c r="O30" i="608"/>
  <c r="Q30" i="608" s="1"/>
  <c r="J12" i="601" l="1"/>
  <c r="F90" i="601"/>
  <c r="J32" i="601"/>
  <c r="J33" i="601"/>
  <c r="J34" i="601"/>
  <c r="J35" i="601"/>
  <c r="J36" i="601"/>
  <c r="J37" i="601"/>
  <c r="J38" i="601"/>
  <c r="J39" i="601"/>
  <c r="J40" i="601"/>
  <c r="J41" i="601"/>
  <c r="J42" i="601"/>
  <c r="J43" i="601"/>
  <c r="J44" i="601"/>
  <c r="J45" i="601"/>
  <c r="J46" i="601"/>
  <c r="J47" i="601"/>
  <c r="J48" i="601"/>
  <c r="J49" i="601"/>
  <c r="J50" i="601"/>
  <c r="J51" i="601"/>
  <c r="J52" i="601"/>
  <c r="J53" i="601"/>
  <c r="J54" i="601"/>
  <c r="J55" i="601"/>
  <c r="J56" i="601"/>
  <c r="J57" i="601"/>
  <c r="J58" i="601"/>
  <c r="J59" i="601"/>
  <c r="J60" i="601"/>
  <c r="J61" i="601"/>
  <c r="J62" i="601"/>
  <c r="J63" i="601"/>
  <c r="J64" i="601"/>
  <c r="J65" i="601"/>
  <c r="J66" i="601"/>
  <c r="J67" i="601"/>
  <c r="J68" i="601"/>
  <c r="J69" i="601"/>
  <c r="J70" i="601"/>
  <c r="J71" i="601"/>
  <c r="J72" i="601"/>
  <c r="J73" i="601"/>
  <c r="J74" i="601"/>
  <c r="J75" i="601"/>
  <c r="J76" i="601"/>
  <c r="J77" i="601"/>
  <c r="J78" i="601"/>
  <c r="J80" i="601"/>
  <c r="J81" i="601"/>
  <c r="J82" i="601"/>
  <c r="J83" i="601"/>
  <c r="J84" i="601"/>
  <c r="J86" i="601"/>
  <c r="J87" i="601"/>
  <c r="J88" i="601"/>
  <c r="J31" i="601"/>
  <c r="J30" i="601"/>
  <c r="J10" i="601"/>
  <c r="J11" i="601"/>
  <c r="J13" i="601"/>
  <c r="J14" i="601"/>
  <c r="J15" i="601"/>
  <c r="J16" i="601"/>
  <c r="J17" i="601"/>
  <c r="J18" i="601"/>
  <c r="J19" i="601"/>
  <c r="J20" i="601"/>
  <c r="J21" i="601"/>
  <c r="J22" i="601"/>
  <c r="J23" i="601"/>
  <c r="J24" i="601"/>
  <c r="J25" i="601"/>
  <c r="J9" i="601"/>
  <c r="J90" i="601" l="1"/>
  <c r="F95" i="601" l="1"/>
  <c r="F27" i="601" s="1"/>
  <c r="F26" i="601"/>
  <c r="F28" i="601" s="1"/>
  <c r="D180" i="613" l="1"/>
  <c r="F37" i="623"/>
  <c r="F11" i="623"/>
  <c r="D23" i="551"/>
  <c r="E18" i="551"/>
  <c r="D18" i="551"/>
  <c r="D22" i="551"/>
  <c r="D25" i="621"/>
  <c r="D8" i="621"/>
  <c r="D9" i="621"/>
  <c r="D10" i="621"/>
  <c r="D26" i="621" s="1"/>
  <c r="D11" i="621"/>
  <c r="D12" i="621"/>
  <c r="D13" i="621"/>
  <c r="D14" i="621"/>
  <c r="D15" i="621"/>
  <c r="D16" i="621"/>
  <c r="D17" i="621"/>
  <c r="D18" i="621"/>
  <c r="D19" i="621"/>
  <c r="D20" i="621"/>
  <c r="D21" i="621"/>
  <c r="D22" i="621"/>
  <c r="D23" i="621"/>
  <c r="D24" i="621"/>
  <c r="D7" i="621"/>
  <c r="B26" i="621"/>
  <c r="E39" i="623" l="1"/>
  <c r="C26" i="621"/>
  <c r="D21" i="551"/>
  <c r="A10" i="606"/>
  <c r="A10" i="551"/>
  <c r="D349" i="622"/>
  <c r="E349" i="622"/>
  <c r="F349" i="622"/>
  <c r="G349" i="622"/>
  <c r="H349" i="622"/>
  <c r="J349" i="622"/>
  <c r="K349" i="622"/>
  <c r="D347" i="622"/>
  <c r="E347" i="622"/>
  <c r="F347" i="622"/>
  <c r="G347" i="622"/>
  <c r="J347" i="622"/>
  <c r="D345" i="622"/>
  <c r="E345" i="622"/>
  <c r="F345" i="622"/>
  <c r="G345" i="622"/>
  <c r="H345" i="622"/>
  <c r="J345" i="622"/>
  <c r="K345" i="622"/>
  <c r="D343" i="622"/>
  <c r="E343" i="622"/>
  <c r="F343" i="622"/>
  <c r="G343" i="622"/>
  <c r="H343" i="622"/>
  <c r="J343" i="622"/>
  <c r="K343" i="622"/>
  <c r="D341" i="622"/>
  <c r="E341" i="622"/>
  <c r="F341" i="622"/>
  <c r="G341" i="622"/>
  <c r="J341" i="622"/>
  <c r="D326" i="622"/>
  <c r="E326" i="622"/>
  <c r="F326" i="622"/>
  <c r="G326" i="622"/>
  <c r="J326" i="622"/>
  <c r="D257" i="622"/>
  <c r="E257" i="622"/>
  <c r="F257" i="622"/>
  <c r="G257" i="622"/>
  <c r="J257" i="622"/>
  <c r="D189" i="622"/>
  <c r="E189" i="622"/>
  <c r="F189" i="622"/>
  <c r="G189" i="622"/>
  <c r="J189" i="622"/>
  <c r="D142" i="622"/>
  <c r="E142" i="622"/>
  <c r="F142" i="622"/>
  <c r="G142" i="622"/>
  <c r="J142" i="622"/>
  <c r="D127" i="622"/>
  <c r="E127" i="622"/>
  <c r="F127" i="622"/>
  <c r="G127" i="622"/>
  <c r="J127" i="622"/>
  <c r="D108" i="622"/>
  <c r="E108" i="622"/>
  <c r="F108" i="622"/>
  <c r="G108" i="622"/>
  <c r="J108" i="622"/>
  <c r="D33" i="622"/>
  <c r="E33" i="622"/>
  <c r="F33" i="622"/>
  <c r="G33" i="622"/>
  <c r="J33" i="622"/>
  <c r="J350" i="622" l="1"/>
  <c r="G350" i="622"/>
  <c r="F350" i="622"/>
  <c r="E350" i="622"/>
  <c r="D350" i="622"/>
  <c r="H27" i="622" l="1"/>
  <c r="H21" i="622"/>
  <c r="I43" i="623"/>
  <c r="H43" i="623"/>
  <c r="J43" i="623" s="1"/>
  <c r="F43" i="623"/>
  <c r="E43" i="623"/>
  <c r="G43" i="623" s="1"/>
  <c r="J42" i="623"/>
  <c r="G42" i="623"/>
  <c r="J41" i="623"/>
  <c r="G41" i="623"/>
  <c r="E38" i="623"/>
  <c r="E37" i="623"/>
  <c r="G36" i="623"/>
  <c r="J35" i="623"/>
  <c r="G35" i="623"/>
  <c r="I33" i="623"/>
  <c r="H33" i="623"/>
  <c r="F33" i="623"/>
  <c r="G33" i="623" s="1"/>
  <c r="J32" i="623"/>
  <c r="G32" i="623"/>
  <c r="J29" i="623"/>
  <c r="G29" i="623"/>
  <c r="J28" i="623"/>
  <c r="G28" i="623"/>
  <c r="J27" i="623"/>
  <c r="G27" i="623"/>
  <c r="I26" i="623"/>
  <c r="H26" i="623"/>
  <c r="F26" i="623"/>
  <c r="G26" i="623" s="1"/>
  <c r="J25" i="623"/>
  <c r="G25" i="623"/>
  <c r="J24" i="623"/>
  <c r="G24" i="623"/>
  <c r="J23" i="623"/>
  <c r="G23" i="623"/>
  <c r="K22" i="623"/>
  <c r="J21" i="623"/>
  <c r="G21" i="623"/>
  <c r="J20" i="623"/>
  <c r="G20" i="623"/>
  <c r="J19" i="623"/>
  <c r="G19" i="623"/>
  <c r="J18" i="623"/>
  <c r="G18" i="623"/>
  <c r="J17" i="623"/>
  <c r="G17" i="623"/>
  <c r="K16" i="623"/>
  <c r="J15" i="623"/>
  <c r="G15" i="623"/>
  <c r="J14" i="623"/>
  <c r="K14" i="623" s="1"/>
  <c r="G14" i="623"/>
  <c r="J13" i="623"/>
  <c r="G13" i="623"/>
  <c r="J12" i="623"/>
  <c r="G12" i="623"/>
  <c r="I11" i="623"/>
  <c r="H11" i="623"/>
  <c r="J10" i="623"/>
  <c r="G10" i="623"/>
  <c r="J9" i="623"/>
  <c r="G9" i="623"/>
  <c r="J8" i="623"/>
  <c r="G8" i="623"/>
  <c r="J7" i="623"/>
  <c r="G7" i="623"/>
  <c r="J6" i="623"/>
  <c r="G6" i="623"/>
  <c r="K7" i="623" l="1"/>
  <c r="H38" i="623"/>
  <c r="K42" i="623"/>
  <c r="K25" i="623"/>
  <c r="K6" i="623"/>
  <c r="K20" i="623"/>
  <c r="K35" i="623"/>
  <c r="K17" i="623"/>
  <c r="K13" i="623"/>
  <c r="J33" i="623"/>
  <c r="K21" i="623"/>
  <c r="K29" i="623"/>
  <c r="K18" i="623"/>
  <c r="I36" i="623"/>
  <c r="I37" i="623" s="1"/>
  <c r="H36" i="623"/>
  <c r="J36" i="623" s="1"/>
  <c r="K36" i="623" s="1"/>
  <c r="K8" i="623"/>
  <c r="K27" i="623"/>
  <c r="K24" i="623"/>
  <c r="K41" i="623"/>
  <c r="K10" i="623"/>
  <c r="G37" i="623"/>
  <c r="F39" i="623"/>
  <c r="H39" i="623"/>
  <c r="K32" i="623"/>
  <c r="K19" i="623"/>
  <c r="K23" i="623"/>
  <c r="K15" i="623"/>
  <c r="K12" i="623"/>
  <c r="K9" i="623"/>
  <c r="K28" i="623"/>
  <c r="K33" i="623"/>
  <c r="K43" i="623"/>
  <c r="I38" i="623"/>
  <c r="J38" i="623" s="1"/>
  <c r="J26" i="623"/>
  <c r="K26" i="623" s="1"/>
  <c r="G11" i="623"/>
  <c r="J11" i="623"/>
  <c r="F38" i="623"/>
  <c r="G38" i="623" s="1"/>
  <c r="K11" i="623" l="1"/>
  <c r="I39" i="623"/>
  <c r="I45" i="623" s="1"/>
  <c r="H37" i="623"/>
  <c r="H47" i="623"/>
  <c r="G39" i="623"/>
  <c r="J37" i="623"/>
  <c r="K37" i="623" s="1"/>
  <c r="H45" i="623"/>
  <c r="J39" i="623"/>
  <c r="K38" i="623"/>
  <c r="E21" i="551"/>
  <c r="K39" i="623" l="1"/>
  <c r="AA8" i="526"/>
  <c r="G7" i="614"/>
  <c r="D130" i="613" l="1"/>
  <c r="D131" i="613"/>
  <c r="D132" i="613"/>
  <c r="D133" i="613"/>
  <c r="D134" i="613"/>
  <c r="D135" i="613"/>
  <c r="D136" i="613"/>
  <c r="D137" i="613"/>
  <c r="D138" i="613"/>
  <c r="D139" i="613"/>
  <c r="D140" i="613"/>
  <c r="D141" i="613"/>
  <c r="D142" i="613"/>
  <c r="D143" i="613"/>
  <c r="D144" i="613"/>
  <c r="D145" i="613"/>
  <c r="D146" i="613"/>
  <c r="D147" i="613"/>
  <c r="D148" i="613"/>
  <c r="D149" i="613"/>
  <c r="D150" i="613"/>
  <c r="D151" i="613"/>
  <c r="D152" i="613"/>
  <c r="D153" i="613"/>
  <c r="D154" i="613"/>
  <c r="D155" i="613"/>
  <c r="D156" i="613"/>
  <c r="D157" i="613"/>
  <c r="D158" i="613"/>
  <c r="D159" i="613"/>
  <c r="D160" i="613"/>
  <c r="D161" i="613"/>
  <c r="D162" i="613"/>
  <c r="D163" i="613"/>
  <c r="D164" i="613"/>
  <c r="D165" i="613"/>
  <c r="D166" i="613"/>
  <c r="D167" i="613"/>
  <c r="D168" i="613"/>
  <c r="D170" i="613"/>
  <c r="D171" i="613"/>
  <c r="D172" i="613"/>
  <c r="D173" i="613"/>
  <c r="D174" i="613"/>
  <c r="D175" i="613"/>
  <c r="D176" i="613"/>
  <c r="D177" i="613"/>
  <c r="D179" i="613"/>
  <c r="D181" i="613"/>
  <c r="D182" i="613"/>
  <c r="D183" i="613"/>
  <c r="D185" i="613"/>
  <c r="D186" i="613"/>
  <c r="D187" i="613"/>
  <c r="D188" i="613"/>
  <c r="D129" i="613"/>
  <c r="G7" i="504"/>
  <c r="C21" i="588"/>
  <c r="C22" i="588"/>
  <c r="C23" i="588"/>
  <c r="C24" i="588"/>
  <c r="C25" i="588"/>
  <c r="C26" i="588"/>
  <c r="C27" i="588"/>
  <c r="C28" i="588"/>
  <c r="C29" i="588"/>
  <c r="C30" i="588"/>
  <c r="C20" i="588"/>
  <c r="C18" i="588"/>
  <c r="C16" i="588"/>
  <c r="C110" i="588"/>
  <c r="D131" i="588"/>
  <c r="D132" i="588"/>
  <c r="D133" i="588"/>
  <c r="D134" i="588"/>
  <c r="D135" i="588"/>
  <c r="D136" i="588"/>
  <c r="D137" i="588"/>
  <c r="D138" i="588"/>
  <c r="D139" i="588"/>
  <c r="D140" i="588"/>
  <c r="D141" i="588"/>
  <c r="D142" i="588"/>
  <c r="D143" i="588"/>
  <c r="D144" i="588"/>
  <c r="D145" i="588"/>
  <c r="D146" i="588"/>
  <c r="D147" i="588"/>
  <c r="D148" i="588"/>
  <c r="D149" i="588"/>
  <c r="D150" i="588"/>
  <c r="D151" i="588"/>
  <c r="D152" i="588"/>
  <c r="D153" i="588"/>
  <c r="D154" i="588"/>
  <c r="D155" i="588"/>
  <c r="D156" i="588"/>
  <c r="D157" i="588"/>
  <c r="D158" i="588"/>
  <c r="D159" i="588"/>
  <c r="D160" i="588"/>
  <c r="D161" i="588"/>
  <c r="D162" i="588"/>
  <c r="D163" i="588"/>
  <c r="D164" i="588"/>
  <c r="D165" i="588"/>
  <c r="D166" i="588"/>
  <c r="D167" i="588"/>
  <c r="D169" i="588"/>
  <c r="D170" i="588"/>
  <c r="D171" i="588"/>
  <c r="D172" i="588"/>
  <c r="D173" i="588"/>
  <c r="D174" i="588"/>
  <c r="D175" i="588"/>
  <c r="D176" i="588"/>
  <c r="D178" i="588"/>
  <c r="D179" i="588"/>
  <c r="D180" i="588"/>
  <c r="D181" i="588"/>
  <c r="D182" i="588"/>
  <c r="D184" i="588"/>
  <c r="D185" i="588"/>
  <c r="D186" i="588"/>
  <c r="D187" i="588"/>
  <c r="D128" i="588"/>
  <c r="D129" i="588"/>
  <c r="D130" i="588"/>
  <c r="C119" i="588"/>
  <c r="C118" i="588"/>
  <c r="C117" i="588"/>
  <c r="C116" i="588"/>
  <c r="C113" i="588"/>
  <c r="C112" i="588"/>
  <c r="C111" i="588"/>
  <c r="C109" i="588"/>
  <c r="C108" i="588"/>
  <c r="C107" i="588"/>
  <c r="C106" i="588"/>
  <c r="C103" i="588"/>
  <c r="C102" i="588"/>
  <c r="C99" i="588"/>
  <c r="C98" i="588"/>
  <c r="C95" i="588"/>
  <c r="C94" i="588"/>
  <c r="C93" i="588"/>
  <c r="C92" i="588"/>
  <c r="C91" i="588"/>
  <c r="C90" i="588"/>
  <c r="C89" i="588"/>
  <c r="C86" i="588"/>
  <c r="C85" i="588"/>
  <c r="C82" i="588"/>
  <c r="C81" i="588"/>
  <c r="C80" i="588"/>
  <c r="C79" i="588"/>
  <c r="C78" i="588"/>
  <c r="C75" i="588"/>
  <c r="C74" i="588"/>
  <c r="C73" i="588"/>
  <c r="C72" i="588"/>
  <c r="C69" i="588"/>
  <c r="C68" i="588"/>
  <c r="C65" i="588"/>
  <c r="C64" i="588"/>
  <c r="C63" i="588"/>
  <c r="C62" i="588"/>
  <c r="C61" i="588"/>
  <c r="C60" i="588"/>
  <c r="C57" i="588"/>
  <c r="C56" i="588"/>
  <c r="C53" i="588"/>
  <c r="C52" i="588"/>
  <c r="C51" i="588"/>
  <c r="C48" i="588"/>
  <c r="C47" i="588"/>
  <c r="C46" i="588"/>
  <c r="C45" i="588"/>
  <c r="C44" i="588"/>
  <c r="C43" i="588"/>
  <c r="C42" i="588"/>
  <c r="C41" i="588"/>
  <c r="C40" i="588"/>
  <c r="C39" i="588"/>
  <c r="C38" i="588"/>
  <c r="C35" i="588"/>
  <c r="C34" i="588"/>
  <c r="C33" i="588"/>
  <c r="E3" i="577"/>
  <c r="E2" i="577" s="1"/>
  <c r="E5" i="577" l="1"/>
  <c r="H6" i="617"/>
  <c r="K8" i="607" l="1"/>
  <c r="J8" i="607"/>
  <c r="I8" i="607"/>
  <c r="H8" i="607"/>
  <c r="G9" i="608"/>
  <c r="F9" i="608"/>
  <c r="H9" i="332"/>
  <c r="G6" i="617"/>
  <c r="D29" i="606"/>
  <c r="D29" i="551"/>
  <c r="A30" i="606"/>
  <c r="A28" i="606"/>
  <c r="H35" i="606"/>
  <c r="H36" i="606"/>
  <c r="H37" i="606"/>
  <c r="H9" i="608" l="1"/>
  <c r="AA22" i="526"/>
  <c r="AA14" i="526"/>
  <c r="AA13" i="526"/>
  <c r="AA9" i="526"/>
  <c r="AA10" i="526"/>
  <c r="AA11" i="526"/>
  <c r="AA12" i="526"/>
  <c r="AA15" i="526"/>
  <c r="AA16" i="526"/>
  <c r="AA17" i="526"/>
  <c r="AA18" i="526"/>
  <c r="AA19" i="526"/>
  <c r="AA20" i="526"/>
  <c r="AA21" i="526"/>
  <c r="AA23" i="526"/>
  <c r="AA24" i="526"/>
  <c r="F13" i="526"/>
  <c r="H13" i="526" s="1"/>
  <c r="Z13" i="526" s="1"/>
  <c r="A30" i="551"/>
  <c r="A48" i="551"/>
  <c r="A28" i="551"/>
  <c r="A37" i="551"/>
  <c r="A36" i="551"/>
  <c r="A23" i="551"/>
  <c r="D33" i="551"/>
  <c r="A24" i="551"/>
  <c r="H13" i="618" l="1"/>
  <c r="H13" i="602"/>
  <c r="K13" i="526"/>
  <c r="H32" i="622"/>
  <c r="I32" i="622" s="1"/>
  <c r="H31" i="622"/>
  <c r="I31" i="622" s="1"/>
  <c r="H30" i="622"/>
  <c r="I30" i="622" s="1"/>
  <c r="H29" i="622"/>
  <c r="I29" i="622" s="1"/>
  <c r="H28" i="622"/>
  <c r="I28" i="622" s="1"/>
  <c r="I27" i="622"/>
  <c r="H26" i="622"/>
  <c r="I26" i="622" s="1"/>
  <c r="H25" i="622"/>
  <c r="I25" i="622" s="1"/>
  <c r="H24" i="622"/>
  <c r="I24" i="622" s="1"/>
  <c r="H23" i="622"/>
  <c r="I23" i="622" s="1"/>
  <c r="H22" i="622"/>
  <c r="I22" i="622" s="1"/>
  <c r="I21" i="622"/>
  <c r="H20" i="622"/>
  <c r="I20" i="622" s="1"/>
  <c r="H19" i="622"/>
  <c r="I19" i="622" s="1"/>
  <c r="H18" i="622"/>
  <c r="I18" i="622" s="1"/>
  <c r="H17" i="622"/>
  <c r="I17" i="622" s="1"/>
  <c r="H16" i="622"/>
  <c r="I16" i="622" s="1"/>
  <c r="H15" i="622"/>
  <c r="I15" i="622" s="1"/>
  <c r="H14" i="622"/>
  <c r="I14" i="622" s="1"/>
  <c r="H13" i="622"/>
  <c r="I13" i="622" s="1"/>
  <c r="H12" i="622"/>
  <c r="I12" i="622" s="1"/>
  <c r="H11" i="622"/>
  <c r="I11" i="622" s="1"/>
  <c r="H10" i="622"/>
  <c r="L348" i="622"/>
  <c r="I348" i="622"/>
  <c r="I349" i="622" s="1"/>
  <c r="L344" i="622"/>
  <c r="I344" i="622"/>
  <c r="I345" i="622" s="1"/>
  <c r="L342" i="622"/>
  <c r="L343" i="622" s="1"/>
  <c r="I342" i="622"/>
  <c r="I343" i="622" s="1"/>
  <c r="L340" i="622"/>
  <c r="I340" i="622"/>
  <c r="L339" i="622"/>
  <c r="I339" i="622"/>
  <c r="L338" i="622"/>
  <c r="I338" i="622"/>
  <c r="L337" i="622"/>
  <c r="I337" i="622"/>
  <c r="M337" i="622" s="1"/>
  <c r="L336" i="622"/>
  <c r="I336" i="622"/>
  <c r="L335" i="622"/>
  <c r="I335" i="622"/>
  <c r="L334" i="622"/>
  <c r="I334" i="622"/>
  <c r="L333" i="622"/>
  <c r="I333" i="622"/>
  <c r="L332" i="622"/>
  <c r="I332" i="622"/>
  <c r="L331" i="622"/>
  <c r="I331" i="622"/>
  <c r="L330" i="622"/>
  <c r="I330" i="622"/>
  <c r="L329" i="622"/>
  <c r="I329" i="622"/>
  <c r="M329" i="622" s="1"/>
  <c r="L328" i="622"/>
  <c r="I328" i="622"/>
  <c r="L325" i="622"/>
  <c r="I325" i="622"/>
  <c r="L324" i="622"/>
  <c r="I324" i="622"/>
  <c r="L323" i="622"/>
  <c r="I323" i="622"/>
  <c r="L322" i="622"/>
  <c r="I322" i="622"/>
  <c r="L321" i="622"/>
  <c r="I321" i="622"/>
  <c r="L320" i="622"/>
  <c r="I320" i="622"/>
  <c r="L319" i="622"/>
  <c r="I319" i="622"/>
  <c r="L318" i="622"/>
  <c r="I318" i="622"/>
  <c r="L317" i="622"/>
  <c r="I317" i="622"/>
  <c r="L316" i="622"/>
  <c r="I316" i="622"/>
  <c r="L315" i="622"/>
  <c r="I315" i="622"/>
  <c r="L314" i="622"/>
  <c r="I314" i="622"/>
  <c r="L313" i="622"/>
  <c r="I313" i="622"/>
  <c r="L312" i="622"/>
  <c r="I312" i="622"/>
  <c r="L311" i="622"/>
  <c r="I311" i="622"/>
  <c r="L310" i="622"/>
  <c r="I310" i="622"/>
  <c r="L309" i="622"/>
  <c r="I309" i="622"/>
  <c r="L308" i="622"/>
  <c r="I308" i="622"/>
  <c r="L307" i="622"/>
  <c r="I307" i="622"/>
  <c r="L306" i="622"/>
  <c r="I306" i="622"/>
  <c r="L305" i="622"/>
  <c r="I305" i="622"/>
  <c r="L304" i="622"/>
  <c r="I304" i="622"/>
  <c r="L303" i="622"/>
  <c r="I303" i="622"/>
  <c r="L302" i="622"/>
  <c r="I302" i="622"/>
  <c r="L301" i="622"/>
  <c r="I301" i="622"/>
  <c r="L300" i="622"/>
  <c r="I300" i="622"/>
  <c r="L299" i="622"/>
  <c r="I299" i="622"/>
  <c r="L298" i="622"/>
  <c r="I298" i="622"/>
  <c r="L297" i="622"/>
  <c r="I297" i="622"/>
  <c r="L296" i="622"/>
  <c r="I296" i="622"/>
  <c r="L295" i="622"/>
  <c r="I295" i="622"/>
  <c r="L294" i="622"/>
  <c r="I294" i="622"/>
  <c r="L293" i="622"/>
  <c r="I293" i="622"/>
  <c r="L292" i="622"/>
  <c r="I292" i="622"/>
  <c r="L291" i="622"/>
  <c r="I291" i="622"/>
  <c r="L290" i="622"/>
  <c r="I290" i="622"/>
  <c r="L289" i="622"/>
  <c r="I289" i="622"/>
  <c r="L288" i="622"/>
  <c r="I288" i="622"/>
  <c r="L287" i="622"/>
  <c r="I287" i="622"/>
  <c r="L286" i="622"/>
  <c r="I286" i="622"/>
  <c r="L285" i="622"/>
  <c r="I285" i="622"/>
  <c r="L284" i="622"/>
  <c r="I284" i="622"/>
  <c r="L283" i="622"/>
  <c r="I283" i="622"/>
  <c r="L282" i="622"/>
  <c r="I282" i="622"/>
  <c r="L281" i="622"/>
  <c r="I281" i="622"/>
  <c r="L280" i="622"/>
  <c r="I280" i="622"/>
  <c r="L279" i="622"/>
  <c r="I279" i="622"/>
  <c r="L278" i="622"/>
  <c r="I278" i="622"/>
  <c r="L277" i="622"/>
  <c r="I277" i="622"/>
  <c r="L276" i="622"/>
  <c r="I276" i="622"/>
  <c r="L275" i="622"/>
  <c r="I275" i="622"/>
  <c r="L274" i="622"/>
  <c r="I274" i="622"/>
  <c r="L273" i="622"/>
  <c r="I273" i="622"/>
  <c r="L272" i="622"/>
  <c r="I272" i="622"/>
  <c r="L271" i="622"/>
  <c r="I271" i="622"/>
  <c r="L270" i="622"/>
  <c r="I270" i="622"/>
  <c r="L269" i="622"/>
  <c r="I269" i="622"/>
  <c r="L268" i="622"/>
  <c r="I268" i="622"/>
  <c r="L267" i="622"/>
  <c r="I267" i="622"/>
  <c r="L266" i="622"/>
  <c r="I266" i="622"/>
  <c r="L265" i="622"/>
  <c r="I265" i="622"/>
  <c r="L264" i="622"/>
  <c r="I264" i="622"/>
  <c r="L263" i="622"/>
  <c r="I263" i="622"/>
  <c r="L262" i="622"/>
  <c r="I262" i="622"/>
  <c r="L261" i="622"/>
  <c r="I261" i="622"/>
  <c r="L260" i="622"/>
  <c r="I260" i="622"/>
  <c r="L259" i="622"/>
  <c r="I259" i="622"/>
  <c r="L256" i="622"/>
  <c r="I256" i="622"/>
  <c r="L255" i="622"/>
  <c r="I255" i="622"/>
  <c r="L254" i="622"/>
  <c r="I254" i="622"/>
  <c r="L253" i="622"/>
  <c r="I253" i="622"/>
  <c r="L252" i="622"/>
  <c r="I252" i="622"/>
  <c r="L251" i="622"/>
  <c r="I251" i="622"/>
  <c r="L250" i="622"/>
  <c r="I250" i="622"/>
  <c r="L249" i="622"/>
  <c r="I249" i="622"/>
  <c r="L248" i="622"/>
  <c r="I248" i="622"/>
  <c r="L247" i="622"/>
  <c r="I247" i="622"/>
  <c r="L246" i="622"/>
  <c r="I246" i="622"/>
  <c r="L245" i="622"/>
  <c r="I245" i="622"/>
  <c r="L244" i="622"/>
  <c r="I244" i="622"/>
  <c r="L243" i="622"/>
  <c r="I243" i="622"/>
  <c r="L242" i="622"/>
  <c r="I242" i="622"/>
  <c r="L241" i="622"/>
  <c r="I241" i="622"/>
  <c r="L240" i="622"/>
  <c r="I240" i="622"/>
  <c r="L239" i="622"/>
  <c r="I239" i="622"/>
  <c r="L238" i="622"/>
  <c r="I238" i="622"/>
  <c r="L237" i="622"/>
  <c r="I237" i="622"/>
  <c r="L236" i="622"/>
  <c r="I236" i="622"/>
  <c r="L235" i="622"/>
  <c r="I235" i="622"/>
  <c r="L234" i="622"/>
  <c r="I234" i="622"/>
  <c r="L233" i="622"/>
  <c r="I233" i="622"/>
  <c r="L232" i="622"/>
  <c r="I232" i="622"/>
  <c r="L231" i="622"/>
  <c r="I231" i="622"/>
  <c r="L230" i="622"/>
  <c r="I230" i="622"/>
  <c r="L229" i="622"/>
  <c r="I229" i="622"/>
  <c r="L228" i="622"/>
  <c r="I228" i="622"/>
  <c r="L227" i="622"/>
  <c r="I227" i="622"/>
  <c r="L226" i="622"/>
  <c r="I226" i="622"/>
  <c r="L225" i="622"/>
  <c r="I225" i="622"/>
  <c r="L224" i="622"/>
  <c r="I224" i="622"/>
  <c r="L223" i="622"/>
  <c r="I223" i="622"/>
  <c r="L222" i="622"/>
  <c r="I222" i="622"/>
  <c r="M222" i="622" s="1"/>
  <c r="L221" i="622"/>
  <c r="I221" i="622"/>
  <c r="L220" i="622"/>
  <c r="I220" i="622"/>
  <c r="L219" i="622"/>
  <c r="I219" i="622"/>
  <c r="L218" i="622"/>
  <c r="I218" i="622"/>
  <c r="M218" i="622" s="1"/>
  <c r="L217" i="622"/>
  <c r="I217" i="622"/>
  <c r="L216" i="622"/>
  <c r="I216" i="622"/>
  <c r="L215" i="622"/>
  <c r="I215" i="622"/>
  <c r="L214" i="622"/>
  <c r="I214" i="622"/>
  <c r="L213" i="622"/>
  <c r="I213" i="622"/>
  <c r="L212" i="622"/>
  <c r="I212" i="622"/>
  <c r="L211" i="622"/>
  <c r="I211" i="622"/>
  <c r="L210" i="622"/>
  <c r="I210" i="622"/>
  <c r="M210" i="622" s="1"/>
  <c r="L209" i="622"/>
  <c r="I209" i="622"/>
  <c r="L208" i="622"/>
  <c r="I208" i="622"/>
  <c r="L207" i="622"/>
  <c r="I207" i="622"/>
  <c r="L206" i="622"/>
  <c r="I206" i="622"/>
  <c r="M206" i="622" s="1"/>
  <c r="L205" i="622"/>
  <c r="I205" i="622"/>
  <c r="L204" i="622"/>
  <c r="I204" i="622"/>
  <c r="L203" i="622"/>
  <c r="I203" i="622"/>
  <c r="L202" i="622"/>
  <c r="I202" i="622"/>
  <c r="M202" i="622" s="1"/>
  <c r="L201" i="622"/>
  <c r="I201" i="622"/>
  <c r="L200" i="622"/>
  <c r="I200" i="622"/>
  <c r="L199" i="622"/>
  <c r="I199" i="622"/>
  <c r="L198" i="622"/>
  <c r="I198" i="622"/>
  <c r="M198" i="622" s="1"/>
  <c r="L197" i="622"/>
  <c r="I197" i="622"/>
  <c r="L196" i="622"/>
  <c r="I196" i="622"/>
  <c r="L195" i="622"/>
  <c r="I195" i="622"/>
  <c r="L194" i="622"/>
  <c r="I194" i="622"/>
  <c r="M194" i="622" s="1"/>
  <c r="L193" i="622"/>
  <c r="I193" i="622"/>
  <c r="L192" i="622"/>
  <c r="I192" i="622"/>
  <c r="L191" i="622"/>
  <c r="I191" i="622"/>
  <c r="L188" i="622"/>
  <c r="I188" i="622"/>
  <c r="L187" i="622"/>
  <c r="I187" i="622"/>
  <c r="L186" i="622"/>
  <c r="I186" i="622"/>
  <c r="L185" i="622"/>
  <c r="I185" i="622"/>
  <c r="L184" i="622"/>
  <c r="I184" i="622"/>
  <c r="L183" i="622"/>
  <c r="I183" i="622"/>
  <c r="L182" i="622"/>
  <c r="I182" i="622"/>
  <c r="L181" i="622"/>
  <c r="I181" i="622"/>
  <c r="L180" i="622"/>
  <c r="I180" i="622"/>
  <c r="L179" i="622"/>
  <c r="I179" i="622"/>
  <c r="L178" i="622"/>
  <c r="I178" i="622"/>
  <c r="L177" i="622"/>
  <c r="I177" i="622"/>
  <c r="L176" i="622"/>
  <c r="I176" i="622"/>
  <c r="L175" i="622"/>
  <c r="I175" i="622"/>
  <c r="L174" i="622"/>
  <c r="I174" i="622"/>
  <c r="L173" i="622"/>
  <c r="I173" i="622"/>
  <c r="L172" i="622"/>
  <c r="I172" i="622"/>
  <c r="L171" i="622"/>
  <c r="I171" i="622"/>
  <c r="L170" i="622"/>
  <c r="I170" i="622"/>
  <c r="L169" i="622"/>
  <c r="I169" i="622"/>
  <c r="L168" i="622"/>
  <c r="I168" i="622"/>
  <c r="L167" i="622"/>
  <c r="I167" i="622"/>
  <c r="L166" i="622"/>
  <c r="I166" i="622"/>
  <c r="L165" i="622"/>
  <c r="I165" i="622"/>
  <c r="L164" i="622"/>
  <c r="I164" i="622"/>
  <c r="L163" i="622"/>
  <c r="I163" i="622"/>
  <c r="L162" i="622"/>
  <c r="I162" i="622"/>
  <c r="L161" i="622"/>
  <c r="I161" i="622"/>
  <c r="L160" i="622"/>
  <c r="I160" i="622"/>
  <c r="L159" i="622"/>
  <c r="I159" i="622"/>
  <c r="L158" i="622"/>
  <c r="I158" i="622"/>
  <c r="L157" i="622"/>
  <c r="I157" i="622"/>
  <c r="L156" i="622"/>
  <c r="I156" i="622"/>
  <c r="L155" i="622"/>
  <c r="I155" i="622"/>
  <c r="L154" i="622"/>
  <c r="I154" i="622"/>
  <c r="L153" i="622"/>
  <c r="I153" i="622"/>
  <c r="L152" i="622"/>
  <c r="I152" i="622"/>
  <c r="L151" i="622"/>
  <c r="I151" i="622"/>
  <c r="L150" i="622"/>
  <c r="I150" i="622"/>
  <c r="L149" i="622"/>
  <c r="I149" i="622"/>
  <c r="L148" i="622"/>
  <c r="I148" i="622"/>
  <c r="L147" i="622"/>
  <c r="I147" i="622"/>
  <c r="L146" i="622"/>
  <c r="I146" i="622"/>
  <c r="L145" i="622"/>
  <c r="I145" i="622"/>
  <c r="L144" i="622"/>
  <c r="I144" i="622"/>
  <c r="L141" i="622"/>
  <c r="I141" i="622"/>
  <c r="L140" i="622"/>
  <c r="I140" i="622"/>
  <c r="L139" i="622"/>
  <c r="I139" i="622"/>
  <c r="L138" i="622"/>
  <c r="I138" i="622"/>
  <c r="L137" i="622"/>
  <c r="I137" i="622"/>
  <c r="L136" i="622"/>
  <c r="I136" i="622"/>
  <c r="L135" i="622"/>
  <c r="I135" i="622"/>
  <c r="L134" i="622"/>
  <c r="I134" i="622"/>
  <c r="L133" i="622"/>
  <c r="I133" i="622"/>
  <c r="L132" i="622"/>
  <c r="I132" i="622"/>
  <c r="L131" i="622"/>
  <c r="I131" i="622"/>
  <c r="L130" i="622"/>
  <c r="I130" i="622"/>
  <c r="L129" i="622"/>
  <c r="I129" i="622"/>
  <c r="L126" i="622"/>
  <c r="I126" i="622"/>
  <c r="L125" i="622"/>
  <c r="I125" i="622"/>
  <c r="L124" i="622"/>
  <c r="I124" i="622"/>
  <c r="L123" i="622"/>
  <c r="I123" i="622"/>
  <c r="M123" i="622" s="1"/>
  <c r="L122" i="622"/>
  <c r="I122" i="622"/>
  <c r="L121" i="622"/>
  <c r="I121" i="622"/>
  <c r="L120" i="622"/>
  <c r="I120" i="622"/>
  <c r="L119" i="622"/>
  <c r="I119" i="622"/>
  <c r="L118" i="622"/>
  <c r="I118" i="622"/>
  <c r="L117" i="622"/>
  <c r="I117" i="622"/>
  <c r="L116" i="622"/>
  <c r="I116" i="622"/>
  <c r="L115" i="622"/>
  <c r="I115" i="622"/>
  <c r="L114" i="622"/>
  <c r="I114" i="622"/>
  <c r="L113" i="622"/>
  <c r="I113" i="622"/>
  <c r="L112" i="622"/>
  <c r="I112" i="622"/>
  <c r="L111" i="622"/>
  <c r="I111" i="622"/>
  <c r="L110" i="622"/>
  <c r="I110" i="622"/>
  <c r="L107" i="622"/>
  <c r="I107" i="622"/>
  <c r="L106" i="622"/>
  <c r="I106" i="622"/>
  <c r="L105" i="622"/>
  <c r="I105" i="622"/>
  <c r="L104" i="622"/>
  <c r="I104" i="622"/>
  <c r="L103" i="622"/>
  <c r="I103" i="622"/>
  <c r="L102" i="622"/>
  <c r="I102" i="622"/>
  <c r="L101" i="622"/>
  <c r="I101" i="622"/>
  <c r="L100" i="622"/>
  <c r="I100" i="622"/>
  <c r="L99" i="622"/>
  <c r="I99" i="622"/>
  <c r="L98" i="622"/>
  <c r="I98" i="622"/>
  <c r="L97" i="622"/>
  <c r="I97" i="622"/>
  <c r="L96" i="622"/>
  <c r="I96" i="622"/>
  <c r="L95" i="622"/>
  <c r="I95" i="622"/>
  <c r="L94" i="622"/>
  <c r="I94" i="622"/>
  <c r="L93" i="622"/>
  <c r="I93" i="622"/>
  <c r="L92" i="622"/>
  <c r="I92" i="622"/>
  <c r="L91" i="622"/>
  <c r="I91" i="622"/>
  <c r="L90" i="622"/>
  <c r="I90" i="622"/>
  <c r="L89" i="622"/>
  <c r="I89" i="622"/>
  <c r="L88" i="622"/>
  <c r="I88" i="622"/>
  <c r="L87" i="622"/>
  <c r="I87" i="622"/>
  <c r="L86" i="622"/>
  <c r="I86" i="622"/>
  <c r="L85" i="622"/>
  <c r="I85" i="622"/>
  <c r="L84" i="622"/>
  <c r="I84" i="622"/>
  <c r="L83" i="622"/>
  <c r="I83" i="622"/>
  <c r="L82" i="622"/>
  <c r="I82" i="622"/>
  <c r="L81" i="622"/>
  <c r="I81" i="622"/>
  <c r="L80" i="622"/>
  <c r="I80" i="622"/>
  <c r="L79" i="622"/>
  <c r="I79" i="622"/>
  <c r="L78" i="622"/>
  <c r="I78" i="622"/>
  <c r="L77" i="622"/>
  <c r="I77" i="622"/>
  <c r="L76" i="622"/>
  <c r="I76" i="622"/>
  <c r="L75" i="622"/>
  <c r="I75" i="622"/>
  <c r="L74" i="622"/>
  <c r="I74" i="622"/>
  <c r="L73" i="622"/>
  <c r="I73" i="622"/>
  <c r="L72" i="622"/>
  <c r="I72" i="622"/>
  <c r="L71" i="622"/>
  <c r="I71" i="622"/>
  <c r="L70" i="622"/>
  <c r="I70" i="622"/>
  <c r="L69" i="622"/>
  <c r="I69" i="622"/>
  <c r="L68" i="622"/>
  <c r="I68" i="622"/>
  <c r="L67" i="622"/>
  <c r="I67" i="622"/>
  <c r="L66" i="622"/>
  <c r="I66" i="622"/>
  <c r="L65" i="622"/>
  <c r="I65" i="622"/>
  <c r="L64" i="622"/>
  <c r="I64" i="622"/>
  <c r="L63" i="622"/>
  <c r="I63" i="622"/>
  <c r="L62" i="622"/>
  <c r="I62" i="622"/>
  <c r="L61" i="622"/>
  <c r="I61" i="622"/>
  <c r="L60" i="622"/>
  <c r="I60" i="622"/>
  <c r="L59" i="622"/>
  <c r="I59" i="622"/>
  <c r="L58" i="622"/>
  <c r="I58" i="622"/>
  <c r="L57" i="622"/>
  <c r="I57" i="622"/>
  <c r="L56" i="622"/>
  <c r="I56" i="622"/>
  <c r="L55" i="622"/>
  <c r="I55" i="622"/>
  <c r="L54" i="622"/>
  <c r="I54" i="622"/>
  <c r="L53" i="622"/>
  <c r="I53" i="622"/>
  <c r="L52" i="622"/>
  <c r="I52" i="622"/>
  <c r="L51" i="622"/>
  <c r="I51" i="622"/>
  <c r="L50" i="622"/>
  <c r="I50" i="622"/>
  <c r="L49" i="622"/>
  <c r="I49" i="622"/>
  <c r="L48" i="622"/>
  <c r="I48" i="622"/>
  <c r="L47" i="622"/>
  <c r="I47" i="622"/>
  <c r="L46" i="622"/>
  <c r="I46" i="622"/>
  <c r="L45" i="622"/>
  <c r="I45" i="622"/>
  <c r="L44" i="622"/>
  <c r="I44" i="622"/>
  <c r="L43" i="622"/>
  <c r="I43" i="622"/>
  <c r="L42" i="622"/>
  <c r="I42" i="622"/>
  <c r="L41" i="622"/>
  <c r="I41" i="622"/>
  <c r="L40" i="622"/>
  <c r="I40" i="622"/>
  <c r="L39" i="622"/>
  <c r="I39" i="622"/>
  <c r="L38" i="622"/>
  <c r="I38" i="622"/>
  <c r="L37" i="622"/>
  <c r="I37" i="622"/>
  <c r="L36" i="622"/>
  <c r="I36" i="622"/>
  <c r="L34" i="622"/>
  <c r="I34" i="622"/>
  <c r="M36" i="622" l="1"/>
  <c r="M40" i="622"/>
  <c r="M44" i="622"/>
  <c r="M48" i="622"/>
  <c r="M52" i="622"/>
  <c r="M56" i="622"/>
  <c r="M60" i="622"/>
  <c r="M232" i="622"/>
  <c r="M226" i="622"/>
  <c r="M230" i="622"/>
  <c r="M234" i="622"/>
  <c r="M238" i="622"/>
  <c r="M242" i="622"/>
  <c r="M250" i="622"/>
  <c r="M261" i="622"/>
  <c r="M265" i="622"/>
  <c r="M269" i="622"/>
  <c r="M273" i="622"/>
  <c r="M277" i="622"/>
  <c r="M281" i="622"/>
  <c r="M289" i="622"/>
  <c r="M293" i="622"/>
  <c r="M331" i="622"/>
  <c r="M335" i="622"/>
  <c r="M339" i="622"/>
  <c r="I10" i="622"/>
  <c r="M233" i="622"/>
  <c r="M237" i="622"/>
  <c r="M241" i="622"/>
  <c r="M245" i="622"/>
  <c r="M249" i="622"/>
  <c r="M253" i="622"/>
  <c r="M328" i="622"/>
  <c r="M332" i="622"/>
  <c r="M336" i="622"/>
  <c r="M340" i="622"/>
  <c r="M113" i="622"/>
  <c r="M121" i="622"/>
  <c r="M144" i="622"/>
  <c r="M148" i="622"/>
  <c r="M152" i="622"/>
  <c r="M156" i="622"/>
  <c r="M160" i="622"/>
  <c r="M164" i="622"/>
  <c r="M168" i="622"/>
  <c r="M176" i="622"/>
  <c r="M188" i="622"/>
  <c r="M34" i="622"/>
  <c r="M39" i="622"/>
  <c r="M67" i="622"/>
  <c r="M71" i="622"/>
  <c r="M75" i="622"/>
  <c r="M83" i="622"/>
  <c r="M87" i="622"/>
  <c r="M91" i="622"/>
  <c r="M99" i="622"/>
  <c r="M174" i="622"/>
  <c r="M178" i="622"/>
  <c r="M297" i="622"/>
  <c r="M301" i="622"/>
  <c r="M305" i="622"/>
  <c r="M64" i="622"/>
  <c r="M255" i="622"/>
  <c r="M268" i="622"/>
  <c r="M276" i="622"/>
  <c r="M284" i="622"/>
  <c r="M300" i="622"/>
  <c r="M308" i="622"/>
  <c r="M316" i="622"/>
  <c r="M342" i="622"/>
  <c r="M343" i="622" s="1"/>
  <c r="M254" i="622"/>
  <c r="M147" i="622"/>
  <c r="M151" i="622"/>
  <c r="M159" i="622"/>
  <c r="M163" i="622"/>
  <c r="M167" i="622"/>
  <c r="M171" i="622"/>
  <c r="M175" i="622"/>
  <c r="M183" i="622"/>
  <c r="M187" i="622"/>
  <c r="M200" i="622"/>
  <c r="M240" i="622"/>
  <c r="M132" i="622"/>
  <c r="M136" i="622"/>
  <c r="M140" i="622"/>
  <c r="M191" i="622"/>
  <c r="M199" i="622"/>
  <c r="M215" i="622"/>
  <c r="M223" i="622"/>
  <c r="M231" i="622"/>
  <c r="M278" i="622"/>
  <c r="M282" i="622"/>
  <c r="M286" i="622"/>
  <c r="M290" i="622"/>
  <c r="M294" i="622"/>
  <c r="M298" i="622"/>
  <c r="M302" i="622"/>
  <c r="M306" i="622"/>
  <c r="M57" i="622"/>
  <c r="M61" i="622"/>
  <c r="M65" i="622"/>
  <c r="M158" i="622"/>
  <c r="M92" i="622"/>
  <c r="M317" i="622"/>
  <c r="M274" i="622"/>
  <c r="M70" i="622"/>
  <c r="M74" i="622"/>
  <c r="M82" i="622"/>
  <c r="M86" i="622"/>
  <c r="M90" i="622"/>
  <c r="M94" i="622"/>
  <c r="M98" i="622"/>
  <c r="M102" i="622"/>
  <c r="M106" i="622"/>
  <c r="M129" i="622"/>
  <c r="M133" i="622"/>
  <c r="M224" i="622"/>
  <c r="M228" i="622"/>
  <c r="M275" i="622"/>
  <c r="M279" i="622"/>
  <c r="M283" i="622"/>
  <c r="M287" i="622"/>
  <c r="M291" i="622"/>
  <c r="M295" i="622"/>
  <c r="M303" i="622"/>
  <c r="M330" i="622"/>
  <c r="M334" i="622"/>
  <c r="M134" i="622"/>
  <c r="M221" i="622"/>
  <c r="M110" i="622"/>
  <c r="M122" i="622"/>
  <c r="M126" i="622"/>
  <c r="M161" i="622"/>
  <c r="M177" i="622"/>
  <c r="M181" i="622"/>
  <c r="M256" i="622"/>
  <c r="M307" i="622"/>
  <c r="M311" i="622"/>
  <c r="M315" i="622"/>
  <c r="M319" i="622"/>
  <c r="M323" i="622"/>
  <c r="M348" i="622"/>
  <c r="M124" i="622"/>
  <c r="M155" i="622"/>
  <c r="M179" i="622"/>
  <c r="M118" i="622"/>
  <c r="M37" i="622"/>
  <c r="M41" i="622"/>
  <c r="M45" i="622"/>
  <c r="M49" i="622"/>
  <c r="M53" i="622"/>
  <c r="M68" i="622"/>
  <c r="M72" i="622"/>
  <c r="M76" i="622"/>
  <c r="M80" i="622"/>
  <c r="M84" i="622"/>
  <c r="M88" i="622"/>
  <c r="M96" i="622"/>
  <c r="M100" i="622"/>
  <c r="M104" i="622"/>
  <c r="M115" i="622"/>
  <c r="M119" i="622"/>
  <c r="M130" i="622"/>
  <c r="M138" i="622"/>
  <c r="M145" i="622"/>
  <c r="M149" i="622"/>
  <c r="M157" i="622"/>
  <c r="M192" i="622"/>
  <c r="M196" i="622"/>
  <c r="M204" i="622"/>
  <c r="M208" i="622"/>
  <c r="M212" i="622"/>
  <c r="M216" i="622"/>
  <c r="M220" i="622"/>
  <c r="M247" i="622"/>
  <c r="M262" i="622"/>
  <c r="M266" i="622"/>
  <c r="M270" i="622"/>
  <c r="M285" i="622"/>
  <c r="M309" i="622"/>
  <c r="M313" i="622"/>
  <c r="M321" i="622"/>
  <c r="M325" i="622"/>
  <c r="M229" i="622"/>
  <c r="M338" i="622"/>
  <c r="M103" i="622"/>
  <c r="M38" i="622"/>
  <c r="M42" i="622"/>
  <c r="M46" i="622"/>
  <c r="M54" i="622"/>
  <c r="M73" i="622"/>
  <c r="M77" i="622"/>
  <c r="M81" i="622"/>
  <c r="M89" i="622"/>
  <c r="M93" i="622"/>
  <c r="M101" i="622"/>
  <c r="M112" i="622"/>
  <c r="M116" i="622"/>
  <c r="M120" i="622"/>
  <c r="M131" i="622"/>
  <c r="M135" i="622"/>
  <c r="M139" i="622"/>
  <c r="M193" i="622"/>
  <c r="M197" i="622"/>
  <c r="M201" i="622"/>
  <c r="M205" i="622"/>
  <c r="M209" i="622"/>
  <c r="M213" i="622"/>
  <c r="M217" i="622"/>
  <c r="M244" i="622"/>
  <c r="M248" i="622"/>
  <c r="M252" i="622"/>
  <c r="M259" i="622"/>
  <c r="M263" i="622"/>
  <c r="M271" i="622"/>
  <c r="M310" i="622"/>
  <c r="M314" i="622"/>
  <c r="M318" i="622"/>
  <c r="M322" i="622"/>
  <c r="M47" i="622"/>
  <c r="M51" i="622"/>
  <c r="M55" i="622"/>
  <c r="M162" i="622"/>
  <c r="M166" i="622"/>
  <c r="M170" i="622"/>
  <c r="M97" i="622"/>
  <c r="F1" i="622"/>
  <c r="M211" i="622"/>
  <c r="M219" i="622"/>
  <c r="M264" i="622"/>
  <c r="M272" i="622"/>
  <c r="M79" i="622"/>
  <c r="M58" i="622"/>
  <c r="M62" i="622"/>
  <c r="M69" i="622"/>
  <c r="M114" i="622"/>
  <c r="M125" i="622"/>
  <c r="M169" i="622"/>
  <c r="M173" i="622"/>
  <c r="M180" i="622"/>
  <c r="M184" i="622"/>
  <c r="M225" i="622"/>
  <c r="M236" i="622"/>
  <c r="M243" i="622"/>
  <c r="M251" i="622"/>
  <c r="M296" i="622"/>
  <c r="M304" i="622"/>
  <c r="M59" i="622"/>
  <c r="M105" i="622"/>
  <c r="M146" i="622"/>
  <c r="M63" i="622"/>
  <c r="M150" i="622"/>
  <c r="M195" i="622"/>
  <c r="M227" i="622"/>
  <c r="M280" i="622"/>
  <c r="M312" i="622"/>
  <c r="M333" i="622"/>
  <c r="L349" i="622"/>
  <c r="M154" i="622"/>
  <c r="M43" i="622"/>
  <c r="M78" i="622"/>
  <c r="M85" i="622"/>
  <c r="M95" i="622"/>
  <c r="M107" i="622"/>
  <c r="M117" i="622"/>
  <c r="E1" i="622"/>
  <c r="M137" i="622"/>
  <c r="M141" i="622"/>
  <c r="M165" i="622"/>
  <c r="M172" i="622"/>
  <c r="M182" i="622"/>
  <c r="M186" i="622"/>
  <c r="M203" i="622"/>
  <c r="M207" i="622"/>
  <c r="M214" i="622"/>
  <c r="M235" i="622"/>
  <c r="M239" i="622"/>
  <c r="M246" i="622"/>
  <c r="M260" i="622"/>
  <c r="M267" i="622"/>
  <c r="M288" i="622"/>
  <c r="M292" i="622"/>
  <c r="M299" i="622"/>
  <c r="M320" i="622"/>
  <c r="M324" i="622"/>
  <c r="G1" i="622"/>
  <c r="M66" i="622"/>
  <c r="M153" i="622"/>
  <c r="J1" i="622"/>
  <c r="M50" i="622"/>
  <c r="L345" i="622"/>
  <c r="M344" i="622"/>
  <c r="M345" i="622" s="1"/>
  <c r="M111" i="622"/>
  <c r="M185" i="622"/>
  <c r="M349" i="622" l="1"/>
  <c r="D60" i="609"/>
  <c r="E60" i="609"/>
  <c r="F60" i="609"/>
  <c r="D61" i="609"/>
  <c r="E61" i="609"/>
  <c r="F61" i="609"/>
  <c r="D62" i="609"/>
  <c r="E62" i="609"/>
  <c r="F62" i="609"/>
  <c r="D63" i="609"/>
  <c r="E63" i="609"/>
  <c r="F63" i="609"/>
  <c r="D64" i="609"/>
  <c r="E64" i="609"/>
  <c r="F64" i="609"/>
  <c r="D65" i="609"/>
  <c r="E65" i="609"/>
  <c r="F65" i="609"/>
  <c r="D66" i="609"/>
  <c r="E66" i="609"/>
  <c r="F66" i="609"/>
  <c r="D67" i="609"/>
  <c r="E67" i="609"/>
  <c r="F67" i="609"/>
  <c r="D68" i="609"/>
  <c r="E68" i="609"/>
  <c r="F68" i="609"/>
  <c r="D69" i="609"/>
  <c r="E69" i="609"/>
  <c r="F69" i="609"/>
  <c r="D70" i="609"/>
  <c r="E70" i="609"/>
  <c r="F70" i="609"/>
  <c r="D71" i="609"/>
  <c r="E71" i="609"/>
  <c r="F71" i="609"/>
  <c r="D72" i="609"/>
  <c r="E72" i="609"/>
  <c r="F72" i="609"/>
  <c r="D73" i="609"/>
  <c r="E73" i="609"/>
  <c r="F73" i="609"/>
  <c r="D74" i="609"/>
  <c r="E74" i="609"/>
  <c r="F74" i="609"/>
  <c r="D75" i="609"/>
  <c r="E75" i="609"/>
  <c r="F75" i="609"/>
  <c r="D76" i="609"/>
  <c r="E76" i="609"/>
  <c r="F76" i="609"/>
  <c r="C62" i="609"/>
  <c r="C63" i="609"/>
  <c r="C64" i="609"/>
  <c r="C65" i="609"/>
  <c r="C66" i="609"/>
  <c r="C67" i="609"/>
  <c r="C68" i="609"/>
  <c r="C69" i="609"/>
  <c r="C70" i="609"/>
  <c r="C71" i="609"/>
  <c r="C72" i="609"/>
  <c r="C73" i="609"/>
  <c r="C74" i="609"/>
  <c r="C75" i="609"/>
  <c r="C76" i="609"/>
  <c r="C61" i="609"/>
  <c r="C60" i="609"/>
  <c r="D58" i="609"/>
  <c r="E58" i="609"/>
  <c r="F58" i="609"/>
  <c r="D59" i="609"/>
  <c r="E59" i="609"/>
  <c r="F59" i="609"/>
  <c r="C59" i="609"/>
  <c r="C58" i="609"/>
  <c r="D39" i="609"/>
  <c r="E39" i="609"/>
  <c r="F39" i="609"/>
  <c r="D40" i="609"/>
  <c r="E40" i="609"/>
  <c r="F40" i="609"/>
  <c r="D41" i="609"/>
  <c r="E41" i="609"/>
  <c r="F41" i="609"/>
  <c r="D42" i="609"/>
  <c r="E42" i="609"/>
  <c r="F42" i="609"/>
  <c r="D43" i="609"/>
  <c r="E43" i="609"/>
  <c r="F43" i="609"/>
  <c r="D44" i="609"/>
  <c r="E44" i="609"/>
  <c r="F44" i="609"/>
  <c r="D45" i="609"/>
  <c r="E45" i="609"/>
  <c r="F45" i="609"/>
  <c r="D46" i="609"/>
  <c r="E46" i="609"/>
  <c r="F46" i="609"/>
  <c r="D47" i="609"/>
  <c r="E47" i="609"/>
  <c r="F47" i="609"/>
  <c r="D48" i="609"/>
  <c r="E48" i="609"/>
  <c r="F48" i="609"/>
  <c r="D49" i="609"/>
  <c r="E49" i="609"/>
  <c r="F49" i="609"/>
  <c r="D50" i="609"/>
  <c r="E50" i="609"/>
  <c r="F50" i="609"/>
  <c r="D51" i="609"/>
  <c r="E51" i="609"/>
  <c r="F51" i="609"/>
  <c r="D52" i="609"/>
  <c r="E52" i="609"/>
  <c r="F52" i="609"/>
  <c r="D53" i="609"/>
  <c r="E53" i="609"/>
  <c r="F53" i="609"/>
  <c r="D54" i="609"/>
  <c r="E54" i="609"/>
  <c r="F54" i="609"/>
  <c r="D55" i="609"/>
  <c r="E55" i="609"/>
  <c r="F55" i="609"/>
  <c r="C39" i="609"/>
  <c r="C40" i="609"/>
  <c r="C41" i="609"/>
  <c r="C42" i="609"/>
  <c r="C43" i="609"/>
  <c r="C44" i="609"/>
  <c r="C45" i="609"/>
  <c r="C46" i="609"/>
  <c r="C47" i="609"/>
  <c r="C48" i="609"/>
  <c r="C49" i="609"/>
  <c r="C50" i="609"/>
  <c r="C51" i="609"/>
  <c r="C52" i="609"/>
  <c r="C53" i="609"/>
  <c r="C54" i="609"/>
  <c r="C55" i="609"/>
  <c r="D37" i="609"/>
  <c r="E37" i="609"/>
  <c r="F37" i="609"/>
  <c r="D38" i="609"/>
  <c r="E38" i="609"/>
  <c r="F38" i="609"/>
  <c r="C38" i="609"/>
  <c r="C37" i="609"/>
  <c r="B34" i="609" l="1"/>
  <c r="B33" i="609"/>
  <c r="H4" i="607" l="1"/>
  <c r="H5" i="607"/>
  <c r="G5" i="607"/>
  <c r="D5" i="614"/>
  <c r="S32" i="619"/>
  <c r="Q32" i="619"/>
  <c r="O32" i="619"/>
  <c r="N32" i="619"/>
  <c r="M32" i="619"/>
  <c r="L32" i="619"/>
  <c r="J32" i="619"/>
  <c r="I32" i="619"/>
  <c r="H32" i="619"/>
  <c r="G32" i="619"/>
  <c r="E32" i="619"/>
  <c r="D32" i="619"/>
  <c r="G12" i="605"/>
  <c r="W32" i="620"/>
  <c r="U32" i="620"/>
  <c r="S32" i="620"/>
  <c r="Q32" i="620"/>
  <c r="P32" i="620"/>
  <c r="O32" i="620"/>
  <c r="N32" i="620"/>
  <c r="L32" i="620"/>
  <c r="K32" i="620"/>
  <c r="J32" i="620"/>
  <c r="I32" i="620"/>
  <c r="G32" i="620"/>
  <c r="F32" i="620"/>
  <c r="J29" i="614"/>
  <c r="D29" i="614"/>
  <c r="E29" i="614"/>
  <c r="F29" i="614"/>
  <c r="G29" i="614"/>
  <c r="H29" i="614"/>
  <c r="C29" i="614"/>
  <c r="D17" i="551"/>
  <c r="C33" i="608" l="1"/>
  <c r="K733" i="607"/>
  <c r="G733" i="607"/>
  <c r="G5" i="617"/>
  <c r="M11" i="551"/>
  <c r="M9" i="551"/>
  <c r="K346" i="622" l="1"/>
  <c r="K347" i="622" s="1"/>
  <c r="C37" i="608"/>
  <c r="E22" i="551"/>
  <c r="K12" i="607"/>
  <c r="K9" i="607"/>
  <c r="D28" i="614"/>
  <c r="G14" i="614"/>
  <c r="G15" i="614"/>
  <c r="G23" i="614"/>
  <c r="E93" i="614"/>
  <c r="E95" i="614" s="1"/>
  <c r="F94" i="614"/>
  <c r="E31" i="614"/>
  <c r="G31" i="614" s="1"/>
  <c r="E32" i="614"/>
  <c r="G32" i="614" s="1"/>
  <c r="E33" i="614"/>
  <c r="G33" i="614" s="1"/>
  <c r="E34" i="614"/>
  <c r="G34" i="614" s="1"/>
  <c r="E35" i="614"/>
  <c r="G35" i="614" s="1"/>
  <c r="E36" i="614"/>
  <c r="G36" i="614" s="1"/>
  <c r="E37" i="614"/>
  <c r="G37" i="614" s="1"/>
  <c r="E38" i="614"/>
  <c r="G38" i="614" s="1"/>
  <c r="E39" i="614"/>
  <c r="G39" i="614" s="1"/>
  <c r="E40" i="614"/>
  <c r="G40" i="614" s="1"/>
  <c r="E41" i="614"/>
  <c r="G41" i="614" s="1"/>
  <c r="E42" i="614"/>
  <c r="G42" i="614" s="1"/>
  <c r="E43" i="614"/>
  <c r="G43" i="614" s="1"/>
  <c r="E44" i="614"/>
  <c r="G44" i="614" s="1"/>
  <c r="E45" i="614"/>
  <c r="G45" i="614" s="1"/>
  <c r="E46" i="614"/>
  <c r="G46" i="614" s="1"/>
  <c r="E47" i="614"/>
  <c r="G47" i="614" s="1"/>
  <c r="E48" i="614"/>
  <c r="G48" i="614" s="1"/>
  <c r="E49" i="614"/>
  <c r="G49" i="614" s="1"/>
  <c r="E50" i="614"/>
  <c r="G50" i="614" s="1"/>
  <c r="E51" i="614"/>
  <c r="G51" i="614" s="1"/>
  <c r="E52" i="614"/>
  <c r="G52" i="614" s="1"/>
  <c r="E53" i="614"/>
  <c r="G53" i="614" s="1"/>
  <c r="E54" i="614"/>
  <c r="G54" i="614" s="1"/>
  <c r="E55" i="614"/>
  <c r="G55" i="614" s="1"/>
  <c r="E56" i="614"/>
  <c r="G56" i="614" s="1"/>
  <c r="E57" i="614"/>
  <c r="G57" i="614" s="1"/>
  <c r="E58" i="614"/>
  <c r="G58" i="614" s="1"/>
  <c r="E59" i="614"/>
  <c r="G59" i="614" s="1"/>
  <c r="E60" i="614"/>
  <c r="G60" i="614" s="1"/>
  <c r="E61" i="614"/>
  <c r="E62" i="614"/>
  <c r="G62" i="614" s="1"/>
  <c r="E63" i="614"/>
  <c r="G63" i="614" s="1"/>
  <c r="E64" i="614"/>
  <c r="G64" i="614" s="1"/>
  <c r="E65" i="614"/>
  <c r="G65" i="614" s="1"/>
  <c r="E66" i="614"/>
  <c r="G66" i="614" s="1"/>
  <c r="E67" i="614"/>
  <c r="G67" i="614" s="1"/>
  <c r="E68" i="614"/>
  <c r="G68" i="614" s="1"/>
  <c r="E69" i="614"/>
  <c r="G69" i="614" s="1"/>
  <c r="E70" i="614"/>
  <c r="E71" i="614"/>
  <c r="G71" i="614" s="1"/>
  <c r="E72" i="614"/>
  <c r="E73" i="614"/>
  <c r="G73" i="614" s="1"/>
  <c r="E74" i="614"/>
  <c r="G74" i="614" s="1"/>
  <c r="E75" i="614"/>
  <c r="G75" i="614" s="1"/>
  <c r="E76" i="614"/>
  <c r="G76" i="614" s="1"/>
  <c r="E77" i="614"/>
  <c r="G77" i="614" s="1"/>
  <c r="E78" i="614"/>
  <c r="G78" i="614" s="1"/>
  <c r="E80" i="614"/>
  <c r="G80" i="614" s="1"/>
  <c r="E81" i="614"/>
  <c r="G81" i="614" s="1"/>
  <c r="E82" i="614"/>
  <c r="G82" i="614" s="1"/>
  <c r="E83" i="614"/>
  <c r="G83" i="614" s="1"/>
  <c r="E84" i="614"/>
  <c r="G84" i="614" s="1"/>
  <c r="E86" i="614"/>
  <c r="G86" i="614" s="1"/>
  <c r="E87" i="614"/>
  <c r="E88" i="614"/>
  <c r="G88" i="614" s="1"/>
  <c r="E89" i="614"/>
  <c r="G89" i="614" s="1"/>
  <c r="E30" i="614"/>
  <c r="G30" i="614" s="1"/>
  <c r="G8" i="614"/>
  <c r="G9" i="614"/>
  <c r="G11" i="614"/>
  <c r="G13" i="614"/>
  <c r="G16" i="614"/>
  <c r="G17" i="614"/>
  <c r="G18" i="614"/>
  <c r="G19" i="614"/>
  <c r="G20" i="614"/>
  <c r="G21" i="614"/>
  <c r="E5" i="614"/>
  <c r="E28" i="614" s="1"/>
  <c r="F5" i="614"/>
  <c r="F28" i="614" s="1"/>
  <c r="G5" i="614"/>
  <c r="G28" i="614" s="1"/>
  <c r="H5" i="614"/>
  <c r="H28" i="614" s="1"/>
  <c r="I5" i="614"/>
  <c r="I28" i="614" s="1"/>
  <c r="J5" i="614"/>
  <c r="J28" i="614" s="1"/>
  <c r="C13" i="613"/>
  <c r="M13" i="603"/>
  <c r="M14" i="603"/>
  <c r="M15" i="603"/>
  <c r="M16" i="603"/>
  <c r="M17" i="603"/>
  <c r="M18" i="603"/>
  <c r="M19" i="603"/>
  <c r="M20" i="603"/>
  <c r="M21" i="603"/>
  <c r="M22" i="603"/>
  <c r="M23" i="603"/>
  <c r="M24" i="603"/>
  <c r="M25" i="603"/>
  <c r="M26" i="603"/>
  <c r="M27" i="603"/>
  <c r="M28" i="603"/>
  <c r="M12" i="603"/>
  <c r="K92" i="607"/>
  <c r="K24" i="607"/>
  <c r="K13" i="607"/>
  <c r="K2" i="616"/>
  <c r="K6" i="616"/>
  <c r="G6" i="608"/>
  <c r="F6" i="332"/>
  <c r="F6" i="608" s="1"/>
  <c r="G93" i="614" l="1"/>
  <c r="L346" i="622"/>
  <c r="L347" i="622" s="1"/>
  <c r="H6" i="608"/>
  <c r="C8" i="608" s="1"/>
  <c r="C35" i="608" s="1"/>
  <c r="N7" i="333" s="1"/>
  <c r="N11" i="333" s="1"/>
  <c r="D28" i="551"/>
  <c r="E23" i="551"/>
  <c r="G10" i="614"/>
  <c r="G87" i="614"/>
  <c r="G22" i="614"/>
  <c r="G72" i="614"/>
  <c r="E90" i="614"/>
  <c r="G61" i="614"/>
  <c r="H10" i="608" l="1"/>
  <c r="E24" i="551"/>
  <c r="E25" i="551" s="1"/>
  <c r="D30" i="551"/>
  <c r="E33" i="551" s="1"/>
  <c r="H92" i="577"/>
  <c r="I92" i="577"/>
  <c r="J92" i="577"/>
  <c r="G72" i="607"/>
  <c r="D168" i="588" l="1"/>
  <c r="E41" i="551"/>
  <c r="E30" i="551"/>
  <c r="E43" i="551"/>
  <c r="E42" i="551"/>
  <c r="E11" i="588"/>
  <c r="C127" i="588"/>
  <c r="D92" i="504"/>
  <c r="E92" i="504"/>
  <c r="F92" i="504"/>
  <c r="G92" i="504"/>
  <c r="H92" i="504"/>
  <c r="I92" i="504"/>
  <c r="J92" i="504"/>
  <c r="C92" i="504"/>
  <c r="E28" i="504"/>
  <c r="F28" i="504"/>
  <c r="G28" i="504"/>
  <c r="H28" i="504"/>
  <c r="I28" i="504"/>
  <c r="J28" i="504"/>
  <c r="D28" i="504"/>
  <c r="D29" i="504"/>
  <c r="E29" i="504"/>
  <c r="F29" i="504"/>
  <c r="G29" i="504"/>
  <c r="H29" i="504"/>
  <c r="I29" i="504"/>
  <c r="J29" i="504"/>
  <c r="C29" i="504"/>
  <c r="E77" i="504"/>
  <c r="G77" i="504" s="1"/>
  <c r="E78" i="504"/>
  <c r="G78" i="504" s="1"/>
  <c r="E80" i="504"/>
  <c r="G80" i="504" s="1"/>
  <c r="E81" i="504"/>
  <c r="G81" i="504" s="1"/>
  <c r="E82" i="504"/>
  <c r="G82" i="504" s="1"/>
  <c r="E83" i="504"/>
  <c r="G83" i="504" s="1"/>
  <c r="E84" i="504"/>
  <c r="G84" i="504" s="1"/>
  <c r="E86" i="504"/>
  <c r="G86" i="504" s="1"/>
  <c r="E87" i="504"/>
  <c r="G87" i="504" s="1"/>
  <c r="E88" i="504"/>
  <c r="G88" i="504" s="1"/>
  <c r="E89" i="504"/>
  <c r="G89" i="504" s="1"/>
  <c r="E63" i="504"/>
  <c r="G63" i="504" s="1"/>
  <c r="E64" i="504"/>
  <c r="G64" i="504" s="1"/>
  <c r="E65" i="504"/>
  <c r="G65" i="504" s="1"/>
  <c r="E66" i="504"/>
  <c r="G66" i="504" s="1"/>
  <c r="E67" i="504"/>
  <c r="G67" i="504" s="1"/>
  <c r="E68" i="504"/>
  <c r="G68" i="504" s="1"/>
  <c r="E69" i="504"/>
  <c r="G69" i="504" s="1"/>
  <c r="E70" i="504"/>
  <c r="G70" i="504" s="1"/>
  <c r="E71" i="504"/>
  <c r="G71" i="504" s="1"/>
  <c r="E72" i="504"/>
  <c r="G72" i="504" s="1"/>
  <c r="E73" i="504"/>
  <c r="G73" i="504" s="1"/>
  <c r="E74" i="504"/>
  <c r="G74" i="504" s="1"/>
  <c r="E75" i="504"/>
  <c r="G75" i="504" s="1"/>
  <c r="E76" i="504"/>
  <c r="G76" i="504" s="1"/>
  <c r="E50" i="504"/>
  <c r="G50" i="504" s="1"/>
  <c r="E51" i="504"/>
  <c r="G51" i="504" s="1"/>
  <c r="E52" i="504"/>
  <c r="G52" i="504" s="1"/>
  <c r="E53" i="504"/>
  <c r="G53" i="504" s="1"/>
  <c r="E54" i="504"/>
  <c r="G54" i="504" s="1"/>
  <c r="E55" i="504"/>
  <c r="G55" i="504" s="1"/>
  <c r="E56" i="504"/>
  <c r="G56" i="504" s="1"/>
  <c r="E57" i="504"/>
  <c r="G57" i="504" s="1"/>
  <c r="E58" i="504"/>
  <c r="G58" i="504" s="1"/>
  <c r="E59" i="504"/>
  <c r="G59" i="504" s="1"/>
  <c r="E60" i="504"/>
  <c r="G60" i="504" s="1"/>
  <c r="E61" i="504"/>
  <c r="G61" i="504" s="1"/>
  <c r="E62" i="504"/>
  <c r="G62" i="504" s="1"/>
  <c r="E31" i="504"/>
  <c r="G31" i="504" s="1"/>
  <c r="E32" i="504"/>
  <c r="G32" i="504" s="1"/>
  <c r="E33" i="504"/>
  <c r="G33" i="504" s="1"/>
  <c r="E34" i="504"/>
  <c r="G34" i="504" s="1"/>
  <c r="E35" i="504"/>
  <c r="G35" i="504" s="1"/>
  <c r="E36" i="504"/>
  <c r="G36" i="504" s="1"/>
  <c r="E37" i="504"/>
  <c r="G37" i="504" s="1"/>
  <c r="E38" i="504"/>
  <c r="G38" i="504" s="1"/>
  <c r="E39" i="504"/>
  <c r="G39" i="504" s="1"/>
  <c r="E40" i="504"/>
  <c r="G40" i="504" s="1"/>
  <c r="E41" i="504"/>
  <c r="G41" i="504" s="1"/>
  <c r="E42" i="504"/>
  <c r="G42" i="504" s="1"/>
  <c r="E43" i="504"/>
  <c r="G43" i="504" s="1"/>
  <c r="E44" i="504"/>
  <c r="G44" i="504" s="1"/>
  <c r="E45" i="504"/>
  <c r="G45" i="504" s="1"/>
  <c r="E46" i="504"/>
  <c r="G46" i="504" s="1"/>
  <c r="E47" i="504"/>
  <c r="G47" i="504" s="1"/>
  <c r="E48" i="504"/>
  <c r="G48" i="504" s="1"/>
  <c r="E49" i="504"/>
  <c r="G49" i="504" s="1"/>
  <c r="E30" i="504"/>
  <c r="G11" i="504"/>
  <c r="I7" i="504"/>
  <c r="G92" i="607" l="1"/>
  <c r="D169" i="613"/>
  <c r="D189" i="613" s="1"/>
  <c r="G70" i="614"/>
  <c r="G90" i="614" s="1"/>
  <c r="C31" i="588"/>
  <c r="E90" i="504"/>
  <c r="G30" i="504"/>
  <c r="G90" i="504" s="1"/>
  <c r="G24" i="504" s="1"/>
  <c r="C12" i="336"/>
  <c r="G24" i="614" l="1"/>
  <c r="G91" i="614"/>
  <c r="G26" i="607"/>
  <c r="O22" i="577"/>
  <c r="O23" i="577"/>
  <c r="O24" i="577"/>
  <c r="O25" i="577"/>
  <c r="D16" i="606"/>
  <c r="B34" i="608"/>
  <c r="B33" i="608"/>
  <c r="B20" i="608"/>
  <c r="H6" i="332"/>
  <c r="B32" i="608"/>
  <c r="O35" i="332"/>
  <c r="S35" i="332"/>
  <c r="K25" i="607"/>
  <c r="K23" i="607"/>
  <c r="K22" i="607"/>
  <c r="K21" i="607"/>
  <c r="K20" i="607"/>
  <c r="K19" i="607"/>
  <c r="K18" i="607"/>
  <c r="K17" i="607"/>
  <c r="K16" i="607"/>
  <c r="K15" i="607"/>
  <c r="K14" i="607"/>
  <c r="K11" i="607"/>
  <c r="K10" i="607"/>
  <c r="K25" i="577"/>
  <c r="K24" i="577"/>
  <c r="K23" i="577"/>
  <c r="K22" i="577"/>
  <c r="K21" i="577"/>
  <c r="K20" i="577"/>
  <c r="T14" i="608"/>
  <c r="U14" i="608" s="1"/>
  <c r="T15" i="608"/>
  <c r="U15" i="608" s="1"/>
  <c r="T16" i="608"/>
  <c r="U16" i="608" s="1"/>
  <c r="T17" i="608"/>
  <c r="U17" i="608" s="1"/>
  <c r="T18" i="608"/>
  <c r="U18" i="608" s="1"/>
  <c r="T19" i="608"/>
  <c r="U19" i="608" s="1"/>
  <c r="T20" i="608"/>
  <c r="U20" i="608" s="1"/>
  <c r="T21" i="608"/>
  <c r="U21" i="608" s="1"/>
  <c r="T22" i="608"/>
  <c r="U22" i="608" s="1"/>
  <c r="T23" i="608"/>
  <c r="U23" i="608" s="1"/>
  <c r="T24" i="608"/>
  <c r="U24" i="608" s="1"/>
  <c r="T25" i="608"/>
  <c r="U25" i="608" s="1"/>
  <c r="T26" i="608"/>
  <c r="U26" i="608" s="1"/>
  <c r="T27" i="608"/>
  <c r="U27" i="608" s="1"/>
  <c r="T28" i="608"/>
  <c r="U28" i="608" s="1"/>
  <c r="T29" i="608"/>
  <c r="U29" i="608" s="1"/>
  <c r="T32" i="608"/>
  <c r="U32" i="608" s="1"/>
  <c r="T33" i="608"/>
  <c r="U33" i="608" s="1"/>
  <c r="T34" i="608"/>
  <c r="U34" i="608" s="1"/>
  <c r="T35" i="608"/>
  <c r="U35" i="608" s="1"/>
  <c r="T36" i="608"/>
  <c r="U36" i="608" s="1"/>
  <c r="U25" i="332"/>
  <c r="U26" i="332"/>
  <c r="U27" i="332"/>
  <c r="U28" i="332"/>
  <c r="U29" i="332"/>
  <c r="U30" i="332"/>
  <c r="U31" i="332"/>
  <c r="U32" i="332"/>
  <c r="U33" i="332"/>
  <c r="U24" i="332"/>
  <c r="U23" i="332"/>
  <c r="U22" i="332"/>
  <c r="U21" i="332"/>
  <c r="U20" i="332"/>
  <c r="U19" i="332"/>
  <c r="U18" i="332"/>
  <c r="U17" i="332"/>
  <c r="U16" i="332"/>
  <c r="U14" i="332"/>
  <c r="U15" i="332"/>
  <c r="S14" i="332"/>
  <c r="S15" i="332"/>
  <c r="S16" i="332"/>
  <c r="S17" i="332"/>
  <c r="S18" i="332"/>
  <c r="S19" i="332"/>
  <c r="S20" i="332"/>
  <c r="S21" i="332"/>
  <c r="S22" i="332"/>
  <c r="S23" i="332"/>
  <c r="S24" i="332"/>
  <c r="S25" i="332"/>
  <c r="S26" i="332"/>
  <c r="S27" i="332"/>
  <c r="S28" i="332"/>
  <c r="S29" i="332"/>
  <c r="S30" i="332"/>
  <c r="S31" i="332"/>
  <c r="S32" i="332"/>
  <c r="S33" i="332"/>
  <c r="S34" i="332"/>
  <c r="S13" i="332"/>
  <c r="M7" i="551" l="1"/>
  <c r="D31" i="332" l="1"/>
  <c r="G12" i="614"/>
  <c r="A72" i="606"/>
  <c r="A73" i="606"/>
  <c r="A74" i="606"/>
  <c r="A75" i="606"/>
  <c r="A71" i="606"/>
  <c r="H2" i="607"/>
  <c r="H3" i="607"/>
  <c r="G3" i="607"/>
  <c r="G4" i="607"/>
  <c r="G1" i="607"/>
  <c r="G2" i="607"/>
  <c r="E695" i="607"/>
  <c r="H9" i="622" l="1"/>
  <c r="H33" i="622" s="1"/>
  <c r="D30" i="332"/>
  <c r="O14" i="608"/>
  <c r="Q14" i="608" s="1"/>
  <c r="O15" i="608"/>
  <c r="Q15" i="608" s="1"/>
  <c r="O16" i="608"/>
  <c r="D127" i="588" l="1"/>
  <c r="E12" i="336"/>
  <c r="D60" i="336"/>
  <c r="E60" i="336"/>
  <c r="F60" i="336"/>
  <c r="C60" i="336"/>
  <c r="D59" i="336"/>
  <c r="E59" i="336"/>
  <c r="F59" i="336"/>
  <c r="C59" i="336"/>
  <c r="N95" i="526"/>
  <c r="O95" i="526"/>
  <c r="P95" i="526"/>
  <c r="Q95" i="526"/>
  <c r="S95" i="526"/>
  <c r="M8" i="526"/>
  <c r="H38" i="606"/>
  <c r="H39" i="606"/>
  <c r="H40" i="606"/>
  <c r="H41" i="606"/>
  <c r="H42" i="606"/>
  <c r="H43" i="606"/>
  <c r="H44" i="606"/>
  <c r="H45" i="606"/>
  <c r="H46" i="606"/>
  <c r="H47" i="606"/>
  <c r="H48" i="606"/>
  <c r="H49" i="606"/>
  <c r="H50" i="606"/>
  <c r="H51" i="606"/>
  <c r="M34" i="551" l="1"/>
  <c r="H34" i="551"/>
  <c r="A33" i="551"/>
  <c r="G191" i="588" l="1"/>
  <c r="E191" i="588"/>
  <c r="P36" i="608"/>
  <c r="O24" i="608" l="1"/>
  <c r="G92" i="577" l="1"/>
  <c r="A2" i="607"/>
  <c r="A103" i="607"/>
  <c r="B103" i="607"/>
  <c r="C103" i="607"/>
  <c r="D103" i="607"/>
  <c r="E103" i="607"/>
  <c r="A104" i="607"/>
  <c r="B104" i="607"/>
  <c r="C104" i="607"/>
  <c r="D104" i="607"/>
  <c r="E104" i="607"/>
  <c r="A105" i="607"/>
  <c r="B105" i="607"/>
  <c r="C105" i="607"/>
  <c r="D105" i="607"/>
  <c r="E105" i="607"/>
  <c r="A106" i="607"/>
  <c r="B106" i="607"/>
  <c r="C106" i="607"/>
  <c r="D106" i="607"/>
  <c r="E106" i="607"/>
  <c r="A107" i="607"/>
  <c r="B107" i="607"/>
  <c r="C107" i="607"/>
  <c r="D107" i="607"/>
  <c r="E107" i="607"/>
  <c r="A108" i="607"/>
  <c r="B108" i="607"/>
  <c r="C108" i="607"/>
  <c r="D108" i="607"/>
  <c r="E108" i="607"/>
  <c r="A109" i="607"/>
  <c r="B109" i="607"/>
  <c r="C109" i="607"/>
  <c r="D109" i="607"/>
  <c r="E109" i="607"/>
  <c r="A110" i="607"/>
  <c r="B110" i="607"/>
  <c r="C110" i="607"/>
  <c r="D110" i="607"/>
  <c r="E110" i="607"/>
  <c r="A111" i="607"/>
  <c r="B111" i="607"/>
  <c r="C111" i="607"/>
  <c r="D111" i="607"/>
  <c r="E111" i="607"/>
  <c r="A112" i="607"/>
  <c r="B112" i="607"/>
  <c r="C112" i="607"/>
  <c r="D112" i="607"/>
  <c r="E112" i="607"/>
  <c r="A113" i="607"/>
  <c r="B113" i="607"/>
  <c r="C113" i="607"/>
  <c r="D113" i="607"/>
  <c r="E113" i="607"/>
  <c r="A114" i="607"/>
  <c r="B114" i="607"/>
  <c r="C114" i="607"/>
  <c r="D114" i="607"/>
  <c r="E114" i="607"/>
  <c r="A115" i="607"/>
  <c r="B115" i="607"/>
  <c r="C115" i="607"/>
  <c r="D115" i="607"/>
  <c r="E115" i="607"/>
  <c r="A116" i="607"/>
  <c r="B116" i="607"/>
  <c r="C116" i="607"/>
  <c r="D116" i="607"/>
  <c r="E116" i="607"/>
  <c r="A117" i="607"/>
  <c r="B117" i="607"/>
  <c r="C117" i="607"/>
  <c r="D117" i="607"/>
  <c r="E117" i="607"/>
  <c r="A118" i="607"/>
  <c r="B118" i="607"/>
  <c r="C118" i="607"/>
  <c r="D118" i="607"/>
  <c r="E118" i="607"/>
  <c r="A119" i="607"/>
  <c r="B119" i="607"/>
  <c r="C119" i="607"/>
  <c r="D119" i="607"/>
  <c r="E119" i="607"/>
  <c r="A120" i="607"/>
  <c r="B120" i="607"/>
  <c r="C120" i="607"/>
  <c r="D120" i="607"/>
  <c r="E120" i="607"/>
  <c r="A121" i="607"/>
  <c r="B121" i="607"/>
  <c r="C121" i="607"/>
  <c r="D121" i="607"/>
  <c r="E121" i="607"/>
  <c r="A122" i="607"/>
  <c r="B122" i="607"/>
  <c r="C122" i="607"/>
  <c r="D122" i="607"/>
  <c r="E122" i="607"/>
  <c r="A123" i="607"/>
  <c r="B123" i="607"/>
  <c r="C123" i="607"/>
  <c r="D123" i="607"/>
  <c r="E123" i="607"/>
  <c r="A124" i="607"/>
  <c r="B124" i="607"/>
  <c r="C124" i="607"/>
  <c r="D124" i="607"/>
  <c r="E124" i="607"/>
  <c r="A125" i="607"/>
  <c r="B125" i="607"/>
  <c r="C125" i="607"/>
  <c r="D125" i="607"/>
  <c r="E125" i="607"/>
  <c r="A126" i="607"/>
  <c r="B126" i="607"/>
  <c r="C126" i="607"/>
  <c r="D126" i="607"/>
  <c r="E126" i="607"/>
  <c r="A127" i="607"/>
  <c r="B127" i="607"/>
  <c r="C127" i="607"/>
  <c r="D127" i="607"/>
  <c r="E127" i="607"/>
  <c r="A128" i="607"/>
  <c r="B128" i="607"/>
  <c r="C128" i="607"/>
  <c r="D128" i="607"/>
  <c r="E128" i="607"/>
  <c r="A129" i="607"/>
  <c r="B129" i="607"/>
  <c r="C129" i="607"/>
  <c r="D129" i="607"/>
  <c r="E129" i="607"/>
  <c r="A130" i="607"/>
  <c r="B130" i="607"/>
  <c r="C130" i="607"/>
  <c r="D130" i="607"/>
  <c r="E130" i="607"/>
  <c r="A131" i="607"/>
  <c r="B131" i="607"/>
  <c r="C131" i="607"/>
  <c r="D131" i="607"/>
  <c r="E131" i="607"/>
  <c r="A132" i="607"/>
  <c r="B132" i="607"/>
  <c r="C132" i="607"/>
  <c r="D132" i="607"/>
  <c r="E132" i="607"/>
  <c r="A133" i="607"/>
  <c r="B133" i="607"/>
  <c r="C133" i="607"/>
  <c r="D133" i="607"/>
  <c r="E133" i="607"/>
  <c r="A134" i="607"/>
  <c r="B134" i="607"/>
  <c r="C134" i="607"/>
  <c r="D134" i="607"/>
  <c r="E134" i="607"/>
  <c r="A135" i="607"/>
  <c r="B135" i="607"/>
  <c r="C135" i="607"/>
  <c r="D135" i="607"/>
  <c r="E135" i="607"/>
  <c r="A136" i="607"/>
  <c r="B136" i="607"/>
  <c r="C136" i="607"/>
  <c r="D136" i="607"/>
  <c r="E136" i="607"/>
  <c r="A137" i="607"/>
  <c r="B137" i="607"/>
  <c r="C137" i="607"/>
  <c r="D137" i="607"/>
  <c r="E137" i="607"/>
  <c r="A138" i="607"/>
  <c r="B138" i="607"/>
  <c r="C138" i="607"/>
  <c r="D138" i="607"/>
  <c r="E138" i="607"/>
  <c r="A139" i="607"/>
  <c r="B139" i="607"/>
  <c r="C139" i="607"/>
  <c r="D139" i="607"/>
  <c r="E139" i="607"/>
  <c r="A140" i="607"/>
  <c r="B140" i="607"/>
  <c r="C140" i="607"/>
  <c r="D140" i="607"/>
  <c r="E140" i="607"/>
  <c r="A141" i="607"/>
  <c r="B141" i="607"/>
  <c r="C141" i="607"/>
  <c r="D141" i="607"/>
  <c r="E141" i="607"/>
  <c r="A142" i="607"/>
  <c r="B142" i="607"/>
  <c r="C142" i="607"/>
  <c r="D142" i="607"/>
  <c r="E142" i="607"/>
  <c r="A143" i="607"/>
  <c r="B143" i="607"/>
  <c r="C143" i="607"/>
  <c r="D143" i="607"/>
  <c r="E143" i="607"/>
  <c r="A144" i="607"/>
  <c r="B144" i="607"/>
  <c r="C144" i="607"/>
  <c r="D144" i="607"/>
  <c r="E144" i="607"/>
  <c r="A145" i="607"/>
  <c r="B145" i="607"/>
  <c r="C145" i="607"/>
  <c r="D145" i="607"/>
  <c r="E145" i="607"/>
  <c r="A146" i="607"/>
  <c r="B146" i="607"/>
  <c r="C146" i="607"/>
  <c r="D146" i="607"/>
  <c r="E146" i="607"/>
  <c r="A147" i="607"/>
  <c r="B147" i="607"/>
  <c r="C147" i="607"/>
  <c r="D147" i="607"/>
  <c r="E147" i="607"/>
  <c r="A148" i="607"/>
  <c r="B148" i="607"/>
  <c r="C148" i="607"/>
  <c r="D148" i="607"/>
  <c r="E148" i="607"/>
  <c r="A149" i="607"/>
  <c r="B149" i="607"/>
  <c r="C149" i="607"/>
  <c r="D149" i="607"/>
  <c r="E149" i="607"/>
  <c r="A150" i="607"/>
  <c r="B150" i="607"/>
  <c r="C150" i="607"/>
  <c r="D150" i="607"/>
  <c r="E150" i="607"/>
  <c r="A151" i="607"/>
  <c r="B151" i="607"/>
  <c r="C151" i="607"/>
  <c r="D151" i="607"/>
  <c r="E151" i="607"/>
  <c r="A152" i="607"/>
  <c r="B152" i="607"/>
  <c r="C152" i="607"/>
  <c r="D152" i="607"/>
  <c r="E152" i="607"/>
  <c r="A153" i="607"/>
  <c r="B153" i="607"/>
  <c r="C153" i="607"/>
  <c r="D153" i="607"/>
  <c r="E153" i="607"/>
  <c r="A154" i="607"/>
  <c r="B154" i="607"/>
  <c r="C154" i="607"/>
  <c r="D154" i="607"/>
  <c r="E154" i="607"/>
  <c r="A155" i="607"/>
  <c r="B155" i="607"/>
  <c r="C155" i="607"/>
  <c r="D155" i="607"/>
  <c r="E155" i="607"/>
  <c r="A156" i="607"/>
  <c r="B156" i="607"/>
  <c r="C156" i="607"/>
  <c r="D156" i="607"/>
  <c r="E156" i="607"/>
  <c r="A157" i="607"/>
  <c r="B157" i="607"/>
  <c r="C157" i="607"/>
  <c r="D157" i="607"/>
  <c r="E157" i="607"/>
  <c r="A158" i="607"/>
  <c r="B158" i="607"/>
  <c r="C158" i="607"/>
  <c r="D158" i="607"/>
  <c r="E158" i="607"/>
  <c r="A159" i="607"/>
  <c r="B159" i="607"/>
  <c r="C159" i="607"/>
  <c r="D159" i="607"/>
  <c r="E159" i="607"/>
  <c r="A160" i="607"/>
  <c r="B160" i="607"/>
  <c r="C160" i="607"/>
  <c r="D160" i="607"/>
  <c r="E160" i="607"/>
  <c r="A161" i="607"/>
  <c r="B161" i="607"/>
  <c r="C161" i="607"/>
  <c r="D161" i="607"/>
  <c r="E161" i="607"/>
  <c r="A162" i="607"/>
  <c r="B162" i="607"/>
  <c r="C162" i="607"/>
  <c r="D162" i="607"/>
  <c r="E162" i="607"/>
  <c r="A163" i="607"/>
  <c r="B163" i="607"/>
  <c r="C163" i="607"/>
  <c r="D163" i="607"/>
  <c r="E163" i="607"/>
  <c r="A164" i="607"/>
  <c r="B164" i="607"/>
  <c r="C164" i="607"/>
  <c r="D164" i="607"/>
  <c r="E164" i="607"/>
  <c r="A165" i="607"/>
  <c r="B165" i="607"/>
  <c r="C165" i="607"/>
  <c r="D165" i="607"/>
  <c r="E165" i="607"/>
  <c r="A166" i="607"/>
  <c r="B166" i="607"/>
  <c r="C166" i="607"/>
  <c r="D166" i="607"/>
  <c r="E166" i="607"/>
  <c r="A167" i="607"/>
  <c r="B167" i="607"/>
  <c r="C167" i="607"/>
  <c r="D167" i="607"/>
  <c r="E167" i="607"/>
  <c r="A168" i="607"/>
  <c r="B168" i="607"/>
  <c r="C168" i="607"/>
  <c r="D168" i="607"/>
  <c r="E168" i="607"/>
  <c r="A169" i="607"/>
  <c r="B169" i="607"/>
  <c r="C169" i="607"/>
  <c r="D169" i="607"/>
  <c r="E169" i="607"/>
  <c r="A170" i="607"/>
  <c r="B170" i="607"/>
  <c r="C170" i="607"/>
  <c r="D170" i="607"/>
  <c r="E170" i="607"/>
  <c r="A171" i="607"/>
  <c r="B171" i="607"/>
  <c r="C171" i="607"/>
  <c r="D171" i="607"/>
  <c r="E171" i="607"/>
  <c r="A172" i="607"/>
  <c r="B172" i="607"/>
  <c r="C172" i="607"/>
  <c r="D172" i="607"/>
  <c r="E172" i="607"/>
  <c r="A174" i="607"/>
  <c r="B174" i="607"/>
  <c r="C174" i="607"/>
  <c r="D174" i="607"/>
  <c r="E174" i="607"/>
  <c r="A175" i="607"/>
  <c r="B175" i="607"/>
  <c r="C175" i="607"/>
  <c r="D175" i="607"/>
  <c r="E175" i="607"/>
  <c r="A176" i="607"/>
  <c r="B176" i="607"/>
  <c r="C176" i="607"/>
  <c r="D176" i="607"/>
  <c r="E176" i="607"/>
  <c r="A177" i="607"/>
  <c r="B177" i="607"/>
  <c r="C177" i="607"/>
  <c r="D177" i="607"/>
  <c r="E177" i="607"/>
  <c r="A178" i="607"/>
  <c r="B178" i="607"/>
  <c r="C178" i="607"/>
  <c r="D178" i="607"/>
  <c r="E178" i="607"/>
  <c r="A179" i="607"/>
  <c r="B179" i="607"/>
  <c r="C179" i="607"/>
  <c r="D179" i="607"/>
  <c r="E179" i="607"/>
  <c r="A180" i="607"/>
  <c r="B180" i="607"/>
  <c r="C180" i="607"/>
  <c r="D180" i="607"/>
  <c r="E180" i="607"/>
  <c r="A181" i="607"/>
  <c r="B181" i="607"/>
  <c r="C181" i="607"/>
  <c r="D181" i="607"/>
  <c r="E181" i="607"/>
  <c r="A182" i="607"/>
  <c r="B182" i="607"/>
  <c r="C182" i="607"/>
  <c r="D182" i="607"/>
  <c r="E182" i="607"/>
  <c r="A183" i="607"/>
  <c r="B183" i="607"/>
  <c r="C183" i="607"/>
  <c r="D183" i="607"/>
  <c r="E183" i="607"/>
  <c r="A184" i="607"/>
  <c r="B184" i="607"/>
  <c r="C184" i="607"/>
  <c r="D184" i="607"/>
  <c r="E184" i="607"/>
  <c r="A185" i="607"/>
  <c r="B185" i="607"/>
  <c r="C185" i="607"/>
  <c r="D185" i="607"/>
  <c r="E185" i="607"/>
  <c r="A186" i="607"/>
  <c r="B186" i="607"/>
  <c r="C186" i="607"/>
  <c r="D186" i="607"/>
  <c r="E186" i="607"/>
  <c r="A187" i="607"/>
  <c r="B187" i="607"/>
  <c r="C187" i="607"/>
  <c r="D187" i="607"/>
  <c r="E187" i="607"/>
  <c r="A188" i="607"/>
  <c r="B188" i="607"/>
  <c r="C188" i="607"/>
  <c r="D188" i="607"/>
  <c r="E188" i="607"/>
  <c r="A189" i="607"/>
  <c r="B189" i="607"/>
  <c r="C189" i="607"/>
  <c r="D189" i="607"/>
  <c r="E189" i="607"/>
  <c r="A190" i="607"/>
  <c r="B190" i="607"/>
  <c r="C190" i="607"/>
  <c r="D190" i="607"/>
  <c r="E190" i="607"/>
  <c r="A191" i="607"/>
  <c r="B191" i="607"/>
  <c r="C191" i="607"/>
  <c r="D191" i="607"/>
  <c r="E191" i="607"/>
  <c r="A192" i="607"/>
  <c r="B192" i="607"/>
  <c r="C192" i="607"/>
  <c r="D192" i="607"/>
  <c r="E192" i="607"/>
  <c r="A193" i="607"/>
  <c r="B193" i="607"/>
  <c r="C193" i="607"/>
  <c r="D193" i="607"/>
  <c r="E193" i="607"/>
  <c r="A194" i="607"/>
  <c r="B194" i="607"/>
  <c r="C194" i="607"/>
  <c r="D194" i="607"/>
  <c r="E194" i="607"/>
  <c r="A195" i="607"/>
  <c r="B195" i="607"/>
  <c r="C195" i="607"/>
  <c r="D195" i="607"/>
  <c r="E195" i="607"/>
  <c r="A196" i="607"/>
  <c r="B196" i="607"/>
  <c r="C196" i="607"/>
  <c r="D196" i="607"/>
  <c r="E196" i="607"/>
  <c r="A197" i="607"/>
  <c r="B197" i="607"/>
  <c r="C197" i="607"/>
  <c r="D197" i="607"/>
  <c r="E197" i="607"/>
  <c r="A198" i="607"/>
  <c r="B198" i="607"/>
  <c r="C198" i="607"/>
  <c r="D198" i="607"/>
  <c r="E198" i="607"/>
  <c r="A199" i="607"/>
  <c r="B199" i="607"/>
  <c r="C199" i="607"/>
  <c r="D199" i="607"/>
  <c r="E199" i="607"/>
  <c r="A200" i="607"/>
  <c r="B200" i="607"/>
  <c r="C200" i="607"/>
  <c r="D200" i="607"/>
  <c r="E200" i="607"/>
  <c r="A201" i="607"/>
  <c r="B201" i="607"/>
  <c r="C201" i="607"/>
  <c r="D201" i="607"/>
  <c r="E201" i="607"/>
  <c r="A202" i="607"/>
  <c r="B202" i="607"/>
  <c r="C202" i="607"/>
  <c r="D202" i="607"/>
  <c r="E202" i="607"/>
  <c r="A203" i="607"/>
  <c r="B203" i="607"/>
  <c r="C203" i="607"/>
  <c r="D203" i="607"/>
  <c r="E203" i="607"/>
  <c r="A204" i="607"/>
  <c r="B204" i="607"/>
  <c r="C204" i="607"/>
  <c r="D204" i="607"/>
  <c r="E204" i="607"/>
  <c r="A205" i="607"/>
  <c r="B205" i="607"/>
  <c r="C205" i="607"/>
  <c r="D205" i="607"/>
  <c r="E205" i="607"/>
  <c r="A206" i="607"/>
  <c r="B206" i="607"/>
  <c r="C206" i="607"/>
  <c r="D206" i="607"/>
  <c r="E206" i="607"/>
  <c r="A207" i="607"/>
  <c r="B207" i="607"/>
  <c r="C207" i="607"/>
  <c r="D207" i="607"/>
  <c r="E207" i="607"/>
  <c r="A208" i="607"/>
  <c r="B208" i="607"/>
  <c r="C208" i="607"/>
  <c r="D208" i="607"/>
  <c r="E208" i="607"/>
  <c r="A209" i="607"/>
  <c r="B209" i="607"/>
  <c r="C209" i="607"/>
  <c r="D209" i="607"/>
  <c r="E209" i="607"/>
  <c r="A210" i="607"/>
  <c r="B210" i="607"/>
  <c r="C210" i="607"/>
  <c r="D210" i="607"/>
  <c r="E210" i="607"/>
  <c r="A211" i="607"/>
  <c r="B211" i="607"/>
  <c r="C211" i="607"/>
  <c r="D211" i="607"/>
  <c r="E211" i="607"/>
  <c r="A212" i="607"/>
  <c r="B212" i="607"/>
  <c r="C212" i="607"/>
  <c r="D212" i="607"/>
  <c r="E212" i="607"/>
  <c r="A213" i="607"/>
  <c r="B213" i="607"/>
  <c r="C213" i="607"/>
  <c r="D213" i="607"/>
  <c r="E213" i="607"/>
  <c r="A214" i="607"/>
  <c r="B214" i="607"/>
  <c r="C214" i="607"/>
  <c r="D214" i="607"/>
  <c r="E214" i="607"/>
  <c r="A215" i="607"/>
  <c r="B215" i="607"/>
  <c r="C215" i="607"/>
  <c r="D215" i="607"/>
  <c r="E215" i="607"/>
  <c r="A216" i="607"/>
  <c r="B216" i="607"/>
  <c r="C216" i="607"/>
  <c r="D216" i="607"/>
  <c r="E216" i="607"/>
  <c r="A217" i="607"/>
  <c r="B217" i="607"/>
  <c r="C217" i="607"/>
  <c r="D217" i="607"/>
  <c r="E217" i="607"/>
  <c r="A218" i="607"/>
  <c r="B218" i="607"/>
  <c r="C218" i="607"/>
  <c r="D218" i="607"/>
  <c r="E218" i="607"/>
  <c r="A219" i="607"/>
  <c r="B219" i="607"/>
  <c r="C219" i="607"/>
  <c r="D219" i="607"/>
  <c r="E219" i="607"/>
  <c r="A220" i="607"/>
  <c r="B220" i="607"/>
  <c r="C220" i="607"/>
  <c r="D220" i="607"/>
  <c r="E220" i="607"/>
  <c r="A221" i="607"/>
  <c r="B221" i="607"/>
  <c r="C221" i="607"/>
  <c r="D221" i="607"/>
  <c r="E221" i="607"/>
  <c r="A222" i="607"/>
  <c r="B222" i="607"/>
  <c r="C222" i="607"/>
  <c r="D222" i="607"/>
  <c r="E222" i="607"/>
  <c r="A223" i="607"/>
  <c r="B223" i="607"/>
  <c r="C223" i="607"/>
  <c r="D223" i="607"/>
  <c r="E223" i="607"/>
  <c r="A224" i="607"/>
  <c r="B224" i="607"/>
  <c r="C224" i="607"/>
  <c r="D224" i="607"/>
  <c r="E224" i="607"/>
  <c r="A225" i="607"/>
  <c r="B225" i="607"/>
  <c r="C225" i="607"/>
  <c r="D225" i="607"/>
  <c r="E225" i="607"/>
  <c r="A226" i="607"/>
  <c r="B226" i="607"/>
  <c r="C226" i="607"/>
  <c r="D226" i="607"/>
  <c r="E226" i="607"/>
  <c r="A227" i="607"/>
  <c r="B227" i="607"/>
  <c r="C227" i="607"/>
  <c r="D227" i="607"/>
  <c r="E227" i="607"/>
  <c r="A228" i="607"/>
  <c r="B228" i="607"/>
  <c r="C228" i="607"/>
  <c r="D228" i="607"/>
  <c r="E228" i="607"/>
  <c r="A229" i="607"/>
  <c r="B229" i="607"/>
  <c r="C229" i="607"/>
  <c r="D229" i="607"/>
  <c r="E229" i="607"/>
  <c r="A230" i="607"/>
  <c r="B230" i="607"/>
  <c r="C230" i="607"/>
  <c r="D230" i="607"/>
  <c r="E230" i="607"/>
  <c r="A231" i="607"/>
  <c r="B231" i="607"/>
  <c r="C231" i="607"/>
  <c r="D231" i="607"/>
  <c r="E231" i="607"/>
  <c r="A232" i="607"/>
  <c r="B232" i="607"/>
  <c r="C232" i="607"/>
  <c r="D232" i="607"/>
  <c r="E232" i="607"/>
  <c r="A233" i="607"/>
  <c r="B233" i="607"/>
  <c r="C233" i="607"/>
  <c r="D233" i="607"/>
  <c r="E233" i="607"/>
  <c r="A234" i="607"/>
  <c r="B234" i="607"/>
  <c r="C234" i="607"/>
  <c r="D234" i="607"/>
  <c r="E234" i="607"/>
  <c r="A235" i="607"/>
  <c r="B235" i="607"/>
  <c r="C235" i="607"/>
  <c r="D235" i="607"/>
  <c r="E235" i="607"/>
  <c r="A236" i="607"/>
  <c r="B236" i="607"/>
  <c r="C236" i="607"/>
  <c r="D236" i="607"/>
  <c r="E236" i="607"/>
  <c r="A237" i="607"/>
  <c r="B237" i="607"/>
  <c r="C237" i="607"/>
  <c r="D237" i="607"/>
  <c r="E237" i="607"/>
  <c r="A238" i="607"/>
  <c r="B238" i="607"/>
  <c r="C238" i="607"/>
  <c r="D238" i="607"/>
  <c r="E238" i="607"/>
  <c r="A239" i="607"/>
  <c r="B239" i="607"/>
  <c r="C239" i="607"/>
  <c r="D239" i="607"/>
  <c r="E239" i="607"/>
  <c r="A240" i="607"/>
  <c r="B240" i="607"/>
  <c r="C240" i="607"/>
  <c r="D240" i="607"/>
  <c r="E240" i="607"/>
  <c r="A241" i="607"/>
  <c r="B241" i="607"/>
  <c r="C241" i="607"/>
  <c r="D241" i="607"/>
  <c r="E241" i="607"/>
  <c r="A242" i="607"/>
  <c r="B242" i="607"/>
  <c r="C242" i="607"/>
  <c r="D242" i="607"/>
  <c r="E242" i="607"/>
  <c r="A243" i="607"/>
  <c r="B243" i="607"/>
  <c r="C243" i="607"/>
  <c r="D243" i="607"/>
  <c r="E243" i="607"/>
  <c r="A244" i="607"/>
  <c r="B244" i="607"/>
  <c r="C244" i="607"/>
  <c r="D244" i="607"/>
  <c r="E244" i="607"/>
  <c r="A245" i="607"/>
  <c r="B245" i="607"/>
  <c r="C245" i="607"/>
  <c r="D245" i="607"/>
  <c r="E245" i="607"/>
  <c r="A246" i="607"/>
  <c r="B246" i="607"/>
  <c r="C246" i="607"/>
  <c r="D246" i="607"/>
  <c r="E246" i="607"/>
  <c r="A247" i="607"/>
  <c r="B247" i="607"/>
  <c r="C247" i="607"/>
  <c r="D247" i="607"/>
  <c r="E247" i="607"/>
  <c r="A248" i="607"/>
  <c r="B248" i="607"/>
  <c r="C248" i="607"/>
  <c r="D248" i="607"/>
  <c r="E248" i="607"/>
  <c r="A249" i="607"/>
  <c r="B249" i="607"/>
  <c r="C249" i="607"/>
  <c r="D249" i="607"/>
  <c r="E249" i="607"/>
  <c r="A250" i="607"/>
  <c r="B250" i="607"/>
  <c r="C250" i="607"/>
  <c r="D250" i="607"/>
  <c r="E250" i="607"/>
  <c r="A251" i="607"/>
  <c r="B251" i="607"/>
  <c r="C251" i="607"/>
  <c r="D251" i="607"/>
  <c r="E251" i="607"/>
  <c r="A252" i="607"/>
  <c r="B252" i="607"/>
  <c r="C252" i="607"/>
  <c r="D252" i="607"/>
  <c r="E252" i="607"/>
  <c r="A253" i="607"/>
  <c r="B253" i="607"/>
  <c r="C253" i="607"/>
  <c r="D253" i="607"/>
  <c r="E253" i="607"/>
  <c r="A254" i="607"/>
  <c r="B254" i="607"/>
  <c r="C254" i="607"/>
  <c r="D254" i="607"/>
  <c r="E254" i="607"/>
  <c r="A255" i="607"/>
  <c r="B255" i="607"/>
  <c r="C255" i="607"/>
  <c r="D255" i="607"/>
  <c r="E255" i="607"/>
  <c r="A256" i="607"/>
  <c r="B256" i="607"/>
  <c r="C256" i="607"/>
  <c r="D256" i="607"/>
  <c r="E256" i="607"/>
  <c r="A257" i="607"/>
  <c r="B257" i="607"/>
  <c r="C257" i="607"/>
  <c r="D257" i="607"/>
  <c r="E257" i="607"/>
  <c r="A258" i="607"/>
  <c r="B258" i="607"/>
  <c r="C258" i="607"/>
  <c r="D258" i="607"/>
  <c r="E258" i="607"/>
  <c r="A259" i="607"/>
  <c r="B259" i="607"/>
  <c r="C259" i="607"/>
  <c r="D259" i="607"/>
  <c r="E259" i="607"/>
  <c r="A260" i="607"/>
  <c r="B260" i="607"/>
  <c r="C260" i="607"/>
  <c r="D260" i="607"/>
  <c r="E260" i="607"/>
  <c r="A261" i="607"/>
  <c r="B261" i="607"/>
  <c r="C261" i="607"/>
  <c r="D261" i="607"/>
  <c r="E261" i="607"/>
  <c r="A262" i="607"/>
  <c r="B262" i="607"/>
  <c r="C262" i="607"/>
  <c r="D262" i="607"/>
  <c r="E262" i="607"/>
  <c r="A263" i="607"/>
  <c r="B263" i="607"/>
  <c r="C263" i="607"/>
  <c r="D263" i="607"/>
  <c r="E263" i="607"/>
  <c r="A264" i="607"/>
  <c r="B264" i="607"/>
  <c r="C264" i="607"/>
  <c r="D264" i="607"/>
  <c r="E264" i="607"/>
  <c r="A265" i="607"/>
  <c r="B265" i="607"/>
  <c r="C265" i="607"/>
  <c r="D265" i="607"/>
  <c r="E265" i="607"/>
  <c r="A266" i="607"/>
  <c r="B266" i="607"/>
  <c r="C266" i="607"/>
  <c r="D266" i="607"/>
  <c r="E266" i="607"/>
  <c r="A267" i="607"/>
  <c r="B267" i="607"/>
  <c r="C267" i="607"/>
  <c r="D267" i="607"/>
  <c r="E267" i="607"/>
  <c r="A268" i="607"/>
  <c r="B268" i="607"/>
  <c r="C268" i="607"/>
  <c r="D268" i="607"/>
  <c r="E268" i="607"/>
  <c r="A269" i="607"/>
  <c r="B269" i="607"/>
  <c r="C269" i="607"/>
  <c r="D269" i="607"/>
  <c r="E269" i="607"/>
  <c r="A270" i="607"/>
  <c r="B270" i="607"/>
  <c r="C270" i="607"/>
  <c r="D270" i="607"/>
  <c r="E270" i="607"/>
  <c r="A271" i="607"/>
  <c r="B271" i="607"/>
  <c r="C271" i="607"/>
  <c r="D271" i="607"/>
  <c r="E271" i="607"/>
  <c r="A272" i="607"/>
  <c r="B272" i="607"/>
  <c r="C272" i="607"/>
  <c r="D272" i="607"/>
  <c r="E272" i="607"/>
  <c r="A273" i="607"/>
  <c r="B273" i="607"/>
  <c r="C273" i="607"/>
  <c r="D273" i="607"/>
  <c r="E273" i="607"/>
  <c r="A274" i="607"/>
  <c r="B274" i="607"/>
  <c r="C274" i="607"/>
  <c r="D274" i="607"/>
  <c r="E274" i="607"/>
  <c r="A275" i="607"/>
  <c r="B275" i="607"/>
  <c r="C275" i="607"/>
  <c r="D275" i="607"/>
  <c r="E275" i="607"/>
  <c r="A276" i="607"/>
  <c r="B276" i="607"/>
  <c r="C276" i="607"/>
  <c r="D276" i="607"/>
  <c r="E276" i="607"/>
  <c r="A277" i="607"/>
  <c r="B277" i="607"/>
  <c r="C277" i="607"/>
  <c r="D277" i="607"/>
  <c r="E277" i="607"/>
  <c r="A278" i="607"/>
  <c r="B278" i="607"/>
  <c r="C278" i="607"/>
  <c r="D278" i="607"/>
  <c r="E278" i="607"/>
  <c r="A279" i="607"/>
  <c r="B279" i="607"/>
  <c r="C279" i="607"/>
  <c r="D279" i="607"/>
  <c r="E279" i="607"/>
  <c r="A280" i="607"/>
  <c r="B280" i="607"/>
  <c r="C280" i="607"/>
  <c r="D280" i="607"/>
  <c r="E280" i="607"/>
  <c r="A281" i="607"/>
  <c r="B281" i="607"/>
  <c r="C281" i="607"/>
  <c r="D281" i="607"/>
  <c r="E281" i="607"/>
  <c r="A282" i="607"/>
  <c r="B282" i="607"/>
  <c r="C282" i="607"/>
  <c r="D282" i="607"/>
  <c r="E282" i="607"/>
  <c r="A283" i="607"/>
  <c r="B283" i="607"/>
  <c r="C283" i="607"/>
  <c r="D283" i="607"/>
  <c r="E283" i="607"/>
  <c r="A284" i="607"/>
  <c r="B284" i="607"/>
  <c r="C284" i="607"/>
  <c r="D284" i="607"/>
  <c r="E284" i="607"/>
  <c r="A285" i="607"/>
  <c r="B285" i="607"/>
  <c r="C285" i="607"/>
  <c r="D285" i="607"/>
  <c r="E285" i="607"/>
  <c r="A286" i="607"/>
  <c r="B286" i="607"/>
  <c r="C286" i="607"/>
  <c r="D286" i="607"/>
  <c r="E286" i="607"/>
  <c r="A287" i="607"/>
  <c r="B287" i="607"/>
  <c r="C287" i="607"/>
  <c r="D287" i="607"/>
  <c r="E287" i="607"/>
  <c r="A288" i="607"/>
  <c r="B288" i="607"/>
  <c r="C288" i="607"/>
  <c r="D288" i="607"/>
  <c r="E288" i="607"/>
  <c r="A289" i="607"/>
  <c r="B289" i="607"/>
  <c r="C289" i="607"/>
  <c r="D289" i="607"/>
  <c r="E289" i="607"/>
  <c r="A290" i="607"/>
  <c r="B290" i="607"/>
  <c r="C290" i="607"/>
  <c r="D290" i="607"/>
  <c r="E290" i="607"/>
  <c r="A291" i="607"/>
  <c r="B291" i="607"/>
  <c r="C291" i="607"/>
  <c r="D291" i="607"/>
  <c r="E291" i="607"/>
  <c r="A292" i="607"/>
  <c r="B292" i="607"/>
  <c r="C292" i="607"/>
  <c r="D292" i="607"/>
  <c r="E292" i="607"/>
  <c r="A293" i="607"/>
  <c r="B293" i="607"/>
  <c r="C293" i="607"/>
  <c r="D293" i="607"/>
  <c r="E293" i="607"/>
  <c r="A294" i="607"/>
  <c r="B294" i="607"/>
  <c r="C294" i="607"/>
  <c r="D294" i="607"/>
  <c r="E294" i="607"/>
  <c r="A295" i="607"/>
  <c r="B295" i="607"/>
  <c r="C295" i="607"/>
  <c r="D295" i="607"/>
  <c r="E295" i="607"/>
  <c r="A296" i="607"/>
  <c r="B296" i="607"/>
  <c r="C296" i="607"/>
  <c r="D296" i="607"/>
  <c r="E296" i="607"/>
  <c r="A297" i="607"/>
  <c r="B297" i="607"/>
  <c r="C297" i="607"/>
  <c r="D297" i="607"/>
  <c r="E297" i="607"/>
  <c r="A298" i="607"/>
  <c r="B298" i="607"/>
  <c r="C298" i="607"/>
  <c r="D298" i="607"/>
  <c r="E298" i="607"/>
  <c r="A299" i="607"/>
  <c r="B299" i="607"/>
  <c r="C299" i="607"/>
  <c r="D299" i="607"/>
  <c r="E299" i="607"/>
  <c r="A300" i="607"/>
  <c r="B300" i="607"/>
  <c r="C300" i="607"/>
  <c r="D300" i="607"/>
  <c r="E300" i="607"/>
  <c r="A301" i="607"/>
  <c r="B301" i="607"/>
  <c r="C301" i="607"/>
  <c r="D301" i="607"/>
  <c r="E301" i="607"/>
  <c r="A302" i="607"/>
  <c r="B302" i="607"/>
  <c r="C302" i="607"/>
  <c r="D302" i="607"/>
  <c r="E302" i="607"/>
  <c r="A303" i="607"/>
  <c r="B303" i="607"/>
  <c r="C303" i="607"/>
  <c r="D303" i="607"/>
  <c r="E303" i="607"/>
  <c r="A304" i="607"/>
  <c r="B304" i="607"/>
  <c r="C304" i="607"/>
  <c r="D304" i="607"/>
  <c r="E304" i="607"/>
  <c r="A305" i="607"/>
  <c r="B305" i="607"/>
  <c r="C305" i="607"/>
  <c r="D305" i="607"/>
  <c r="E305" i="607"/>
  <c r="A306" i="607"/>
  <c r="B306" i="607"/>
  <c r="C306" i="607"/>
  <c r="D306" i="607"/>
  <c r="E306" i="607"/>
  <c r="A307" i="607"/>
  <c r="B307" i="607"/>
  <c r="C307" i="607"/>
  <c r="D307" i="607"/>
  <c r="E307" i="607"/>
  <c r="A308" i="607"/>
  <c r="B308" i="607"/>
  <c r="C308" i="607"/>
  <c r="D308" i="607"/>
  <c r="E308" i="607"/>
  <c r="A309" i="607"/>
  <c r="B309" i="607"/>
  <c r="C309" i="607"/>
  <c r="D309" i="607"/>
  <c r="E309" i="607"/>
  <c r="A310" i="607"/>
  <c r="B310" i="607"/>
  <c r="C310" i="607"/>
  <c r="D310" i="607"/>
  <c r="E310" i="607"/>
  <c r="A311" i="607"/>
  <c r="B311" i="607"/>
  <c r="C311" i="607"/>
  <c r="D311" i="607"/>
  <c r="E311" i="607"/>
  <c r="A312" i="607"/>
  <c r="B312" i="607"/>
  <c r="C312" i="607"/>
  <c r="D312" i="607"/>
  <c r="E312" i="607"/>
  <c r="A313" i="607"/>
  <c r="B313" i="607"/>
  <c r="C313" i="607"/>
  <c r="D313" i="607"/>
  <c r="E313" i="607"/>
  <c r="A314" i="607"/>
  <c r="B314" i="607"/>
  <c r="C314" i="607"/>
  <c r="D314" i="607"/>
  <c r="E314" i="607"/>
  <c r="A315" i="607"/>
  <c r="B315" i="607"/>
  <c r="C315" i="607"/>
  <c r="D315" i="607"/>
  <c r="E315" i="607"/>
  <c r="A316" i="607"/>
  <c r="B316" i="607"/>
  <c r="C316" i="607"/>
  <c r="D316" i="607"/>
  <c r="E316" i="607"/>
  <c r="A317" i="607"/>
  <c r="B317" i="607"/>
  <c r="C317" i="607"/>
  <c r="D317" i="607"/>
  <c r="E317" i="607"/>
  <c r="A318" i="607"/>
  <c r="B318" i="607"/>
  <c r="C318" i="607"/>
  <c r="D318" i="607"/>
  <c r="E318" i="607"/>
  <c r="A319" i="607"/>
  <c r="B319" i="607"/>
  <c r="C319" i="607"/>
  <c r="D319" i="607"/>
  <c r="E319" i="607"/>
  <c r="A320" i="607"/>
  <c r="B320" i="607"/>
  <c r="C320" i="607"/>
  <c r="D320" i="607"/>
  <c r="E320" i="607"/>
  <c r="A321" i="607"/>
  <c r="B321" i="607"/>
  <c r="C321" i="607"/>
  <c r="D321" i="607"/>
  <c r="E321" i="607"/>
  <c r="A322" i="607"/>
  <c r="B322" i="607"/>
  <c r="C322" i="607"/>
  <c r="D322" i="607"/>
  <c r="E322" i="607"/>
  <c r="A323" i="607"/>
  <c r="B323" i="607"/>
  <c r="C323" i="607"/>
  <c r="D323" i="607"/>
  <c r="E323" i="607"/>
  <c r="A324" i="607"/>
  <c r="B324" i="607"/>
  <c r="C324" i="607"/>
  <c r="D324" i="607"/>
  <c r="E324" i="607"/>
  <c r="A325" i="607"/>
  <c r="B325" i="607"/>
  <c r="C325" i="607"/>
  <c r="D325" i="607"/>
  <c r="E325" i="607"/>
  <c r="A326" i="607"/>
  <c r="B326" i="607"/>
  <c r="C326" i="607"/>
  <c r="D326" i="607"/>
  <c r="E326" i="607"/>
  <c r="A327" i="607"/>
  <c r="B327" i="607"/>
  <c r="C327" i="607"/>
  <c r="D327" i="607"/>
  <c r="E327" i="607"/>
  <c r="A328" i="607"/>
  <c r="B328" i="607"/>
  <c r="C328" i="607"/>
  <c r="D328" i="607"/>
  <c r="E328" i="607"/>
  <c r="A329" i="607"/>
  <c r="B329" i="607"/>
  <c r="C329" i="607"/>
  <c r="D329" i="607"/>
  <c r="E329" i="607"/>
  <c r="A330" i="607"/>
  <c r="B330" i="607"/>
  <c r="C330" i="607"/>
  <c r="D330" i="607"/>
  <c r="E330" i="607"/>
  <c r="A331" i="607"/>
  <c r="B331" i="607"/>
  <c r="C331" i="607"/>
  <c r="D331" i="607"/>
  <c r="E331" i="607"/>
  <c r="A332" i="607"/>
  <c r="B332" i="607"/>
  <c r="C332" i="607"/>
  <c r="D332" i="607"/>
  <c r="E332" i="607"/>
  <c r="A333" i="607"/>
  <c r="B333" i="607"/>
  <c r="C333" i="607"/>
  <c r="D333" i="607"/>
  <c r="E333" i="607"/>
  <c r="A334" i="607"/>
  <c r="B334" i="607"/>
  <c r="C334" i="607"/>
  <c r="D334" i="607"/>
  <c r="E334" i="607"/>
  <c r="A335" i="607"/>
  <c r="B335" i="607"/>
  <c r="C335" i="607"/>
  <c r="D335" i="607"/>
  <c r="E335" i="607"/>
  <c r="A336" i="607"/>
  <c r="B336" i="607"/>
  <c r="C336" i="607"/>
  <c r="D336" i="607"/>
  <c r="E336" i="607"/>
  <c r="A337" i="607"/>
  <c r="B337" i="607"/>
  <c r="C337" i="607"/>
  <c r="D337" i="607"/>
  <c r="E337" i="607"/>
  <c r="A338" i="607"/>
  <c r="B338" i="607"/>
  <c r="C338" i="607"/>
  <c r="D338" i="607"/>
  <c r="E338" i="607"/>
  <c r="A339" i="607"/>
  <c r="B339" i="607"/>
  <c r="C339" i="607"/>
  <c r="D339" i="607"/>
  <c r="E339" i="607"/>
  <c r="A340" i="607"/>
  <c r="B340" i="607"/>
  <c r="C340" i="607"/>
  <c r="D340" i="607"/>
  <c r="E340" i="607"/>
  <c r="A341" i="607"/>
  <c r="B341" i="607"/>
  <c r="C341" i="607"/>
  <c r="D341" i="607"/>
  <c r="E341" i="607"/>
  <c r="A342" i="607"/>
  <c r="B342" i="607"/>
  <c r="C342" i="607"/>
  <c r="D342" i="607"/>
  <c r="E342" i="607"/>
  <c r="A343" i="607"/>
  <c r="B343" i="607"/>
  <c r="C343" i="607"/>
  <c r="D343" i="607"/>
  <c r="E343" i="607"/>
  <c r="A344" i="607"/>
  <c r="B344" i="607"/>
  <c r="C344" i="607"/>
  <c r="D344" i="607"/>
  <c r="E344" i="607"/>
  <c r="A345" i="607"/>
  <c r="B345" i="607"/>
  <c r="C345" i="607"/>
  <c r="D345" i="607"/>
  <c r="E345" i="607"/>
  <c r="A346" i="607"/>
  <c r="B346" i="607"/>
  <c r="C346" i="607"/>
  <c r="D346" i="607"/>
  <c r="E346" i="607"/>
  <c r="A347" i="607"/>
  <c r="B347" i="607"/>
  <c r="C347" i="607"/>
  <c r="D347" i="607"/>
  <c r="E347" i="607"/>
  <c r="A348" i="607"/>
  <c r="B348" i="607"/>
  <c r="C348" i="607"/>
  <c r="D348" i="607"/>
  <c r="E348" i="607"/>
  <c r="A349" i="607"/>
  <c r="B349" i="607"/>
  <c r="C349" i="607"/>
  <c r="D349" i="607"/>
  <c r="E349" i="607"/>
  <c r="A350" i="607"/>
  <c r="B350" i="607"/>
  <c r="C350" i="607"/>
  <c r="D350" i="607"/>
  <c r="E350" i="607"/>
  <c r="A351" i="607"/>
  <c r="B351" i="607"/>
  <c r="C351" i="607"/>
  <c r="D351" i="607"/>
  <c r="E351" i="607"/>
  <c r="A352" i="607"/>
  <c r="B352" i="607"/>
  <c r="C352" i="607"/>
  <c r="D352" i="607"/>
  <c r="E352" i="607"/>
  <c r="A353" i="607"/>
  <c r="B353" i="607"/>
  <c r="C353" i="607"/>
  <c r="D353" i="607"/>
  <c r="E353" i="607"/>
  <c r="A354" i="607"/>
  <c r="B354" i="607"/>
  <c r="C354" i="607"/>
  <c r="D354" i="607"/>
  <c r="E354" i="607"/>
  <c r="A355" i="607"/>
  <c r="B355" i="607"/>
  <c r="C355" i="607"/>
  <c r="D355" i="607"/>
  <c r="E355" i="607"/>
  <c r="A356" i="607"/>
  <c r="B356" i="607"/>
  <c r="C356" i="607"/>
  <c r="D356" i="607"/>
  <c r="E356" i="607"/>
  <c r="A357" i="607"/>
  <c r="B357" i="607"/>
  <c r="C357" i="607"/>
  <c r="D357" i="607"/>
  <c r="E357" i="607"/>
  <c r="A358" i="607"/>
  <c r="B358" i="607"/>
  <c r="C358" i="607"/>
  <c r="D358" i="607"/>
  <c r="E358" i="607"/>
  <c r="A359" i="607"/>
  <c r="B359" i="607"/>
  <c r="C359" i="607"/>
  <c r="D359" i="607"/>
  <c r="E359" i="607"/>
  <c r="A360" i="607"/>
  <c r="B360" i="607"/>
  <c r="C360" i="607"/>
  <c r="D360" i="607"/>
  <c r="E360" i="607"/>
  <c r="A361" i="607"/>
  <c r="B361" i="607"/>
  <c r="C361" i="607"/>
  <c r="D361" i="607"/>
  <c r="E361" i="607"/>
  <c r="A362" i="607"/>
  <c r="B362" i="607"/>
  <c r="C362" i="607"/>
  <c r="D362" i="607"/>
  <c r="E362" i="607"/>
  <c r="A363" i="607"/>
  <c r="B363" i="607"/>
  <c r="C363" i="607"/>
  <c r="D363" i="607"/>
  <c r="E363" i="607"/>
  <c r="A364" i="607"/>
  <c r="B364" i="607"/>
  <c r="C364" i="607"/>
  <c r="D364" i="607"/>
  <c r="E364" i="607"/>
  <c r="A365" i="607"/>
  <c r="B365" i="607"/>
  <c r="C365" i="607"/>
  <c r="D365" i="607"/>
  <c r="E365" i="607"/>
  <c r="A366" i="607"/>
  <c r="B366" i="607"/>
  <c r="C366" i="607"/>
  <c r="D366" i="607"/>
  <c r="E366" i="607"/>
  <c r="A367" i="607"/>
  <c r="B367" i="607"/>
  <c r="C367" i="607"/>
  <c r="D367" i="607"/>
  <c r="E367" i="607"/>
  <c r="A368" i="607"/>
  <c r="B368" i="607"/>
  <c r="C368" i="607"/>
  <c r="D368" i="607"/>
  <c r="E368" i="607"/>
  <c r="A369" i="607"/>
  <c r="B369" i="607"/>
  <c r="C369" i="607"/>
  <c r="D369" i="607"/>
  <c r="E369" i="607"/>
  <c r="A370" i="607"/>
  <c r="B370" i="607"/>
  <c r="C370" i="607"/>
  <c r="D370" i="607"/>
  <c r="E370" i="607"/>
  <c r="A371" i="607"/>
  <c r="B371" i="607"/>
  <c r="C371" i="607"/>
  <c r="D371" i="607"/>
  <c r="E371" i="607"/>
  <c r="A372" i="607"/>
  <c r="B372" i="607"/>
  <c r="C372" i="607"/>
  <c r="D372" i="607"/>
  <c r="E372" i="607"/>
  <c r="A373" i="607"/>
  <c r="B373" i="607"/>
  <c r="C373" i="607"/>
  <c r="D373" i="607"/>
  <c r="E373" i="607"/>
  <c r="A374" i="607"/>
  <c r="B374" i="607"/>
  <c r="C374" i="607"/>
  <c r="D374" i="607"/>
  <c r="E374" i="607"/>
  <c r="A375" i="607"/>
  <c r="B375" i="607"/>
  <c r="C375" i="607"/>
  <c r="D375" i="607"/>
  <c r="E375" i="607"/>
  <c r="A376" i="607"/>
  <c r="B376" i="607"/>
  <c r="C376" i="607"/>
  <c r="D376" i="607"/>
  <c r="E376" i="607"/>
  <c r="A377" i="607"/>
  <c r="B377" i="607"/>
  <c r="C377" i="607"/>
  <c r="D377" i="607"/>
  <c r="E377" i="607"/>
  <c r="A378" i="607"/>
  <c r="B378" i="607"/>
  <c r="C378" i="607"/>
  <c r="D378" i="607"/>
  <c r="E378" i="607"/>
  <c r="A379" i="607"/>
  <c r="B379" i="607"/>
  <c r="C379" i="607"/>
  <c r="D379" i="607"/>
  <c r="E379" i="607"/>
  <c r="A380" i="607"/>
  <c r="B380" i="607"/>
  <c r="C380" i="607"/>
  <c r="D380" i="607"/>
  <c r="E380" i="607"/>
  <c r="A381" i="607"/>
  <c r="B381" i="607"/>
  <c r="C381" i="607"/>
  <c r="D381" i="607"/>
  <c r="E381" i="607"/>
  <c r="A382" i="607"/>
  <c r="B382" i="607"/>
  <c r="C382" i="607"/>
  <c r="D382" i="607"/>
  <c r="E382" i="607"/>
  <c r="A383" i="607"/>
  <c r="B383" i="607"/>
  <c r="C383" i="607"/>
  <c r="D383" i="607"/>
  <c r="E383" i="607"/>
  <c r="A384" i="607"/>
  <c r="B384" i="607"/>
  <c r="C384" i="607"/>
  <c r="D384" i="607"/>
  <c r="E384" i="607"/>
  <c r="A385" i="607"/>
  <c r="B385" i="607"/>
  <c r="C385" i="607"/>
  <c r="D385" i="607"/>
  <c r="E385" i="607"/>
  <c r="A386" i="607"/>
  <c r="B386" i="607"/>
  <c r="C386" i="607"/>
  <c r="D386" i="607"/>
  <c r="E386" i="607"/>
  <c r="A387" i="607"/>
  <c r="B387" i="607"/>
  <c r="C387" i="607"/>
  <c r="D387" i="607"/>
  <c r="E387" i="607"/>
  <c r="A388" i="607"/>
  <c r="B388" i="607"/>
  <c r="C388" i="607"/>
  <c r="D388" i="607"/>
  <c r="E388" i="607"/>
  <c r="A389" i="607"/>
  <c r="B389" i="607"/>
  <c r="C389" i="607"/>
  <c r="D389" i="607"/>
  <c r="E389" i="607"/>
  <c r="A390" i="607"/>
  <c r="B390" i="607"/>
  <c r="C390" i="607"/>
  <c r="D390" i="607"/>
  <c r="E390" i="607"/>
  <c r="A391" i="607"/>
  <c r="B391" i="607"/>
  <c r="C391" i="607"/>
  <c r="D391" i="607"/>
  <c r="E391" i="607"/>
  <c r="A392" i="607"/>
  <c r="B392" i="607"/>
  <c r="C392" i="607"/>
  <c r="D392" i="607"/>
  <c r="E392" i="607"/>
  <c r="A393" i="607"/>
  <c r="B393" i="607"/>
  <c r="C393" i="607"/>
  <c r="D393" i="607"/>
  <c r="E393" i="607"/>
  <c r="A394" i="607"/>
  <c r="B394" i="607"/>
  <c r="C394" i="607"/>
  <c r="D394" i="607"/>
  <c r="E394" i="607"/>
  <c r="A395" i="607"/>
  <c r="B395" i="607"/>
  <c r="C395" i="607"/>
  <c r="D395" i="607"/>
  <c r="E395" i="607"/>
  <c r="A396" i="607"/>
  <c r="B396" i="607"/>
  <c r="C396" i="607"/>
  <c r="D396" i="607"/>
  <c r="E396" i="607"/>
  <c r="A397" i="607"/>
  <c r="B397" i="607"/>
  <c r="C397" i="607"/>
  <c r="D397" i="607"/>
  <c r="E397" i="607"/>
  <c r="A398" i="607"/>
  <c r="B398" i="607"/>
  <c r="C398" i="607"/>
  <c r="D398" i="607"/>
  <c r="E398" i="607"/>
  <c r="A399" i="607"/>
  <c r="B399" i="607"/>
  <c r="C399" i="607"/>
  <c r="D399" i="607"/>
  <c r="E399" i="607"/>
  <c r="A400" i="607"/>
  <c r="B400" i="607"/>
  <c r="C400" i="607"/>
  <c r="D400" i="607"/>
  <c r="E400" i="607"/>
  <c r="A401" i="607"/>
  <c r="B401" i="607"/>
  <c r="C401" i="607"/>
  <c r="D401" i="607"/>
  <c r="E401" i="607"/>
  <c r="A402" i="607"/>
  <c r="B402" i="607"/>
  <c r="C402" i="607"/>
  <c r="D402" i="607"/>
  <c r="E402" i="607"/>
  <c r="A403" i="607"/>
  <c r="B403" i="607"/>
  <c r="C403" i="607"/>
  <c r="D403" i="607"/>
  <c r="E403" i="607"/>
  <c r="A404" i="607"/>
  <c r="B404" i="607"/>
  <c r="C404" i="607"/>
  <c r="D404" i="607"/>
  <c r="E404" i="607"/>
  <c r="A405" i="607"/>
  <c r="B405" i="607"/>
  <c r="C405" i="607"/>
  <c r="D405" i="607"/>
  <c r="E405" i="607"/>
  <c r="A406" i="607"/>
  <c r="B406" i="607"/>
  <c r="C406" i="607"/>
  <c r="D406" i="607"/>
  <c r="E406" i="607"/>
  <c r="A407" i="607"/>
  <c r="B407" i="607"/>
  <c r="C407" i="607"/>
  <c r="D407" i="607"/>
  <c r="E407" i="607"/>
  <c r="A408" i="607"/>
  <c r="B408" i="607"/>
  <c r="C408" i="607"/>
  <c r="D408" i="607"/>
  <c r="E408" i="607"/>
  <c r="A409" i="607"/>
  <c r="B409" i="607"/>
  <c r="C409" i="607"/>
  <c r="D409" i="607"/>
  <c r="E409" i="607"/>
  <c r="A410" i="607"/>
  <c r="B410" i="607"/>
  <c r="C410" i="607"/>
  <c r="D410" i="607"/>
  <c r="E410" i="607"/>
  <c r="A411" i="607"/>
  <c r="B411" i="607"/>
  <c r="C411" i="607"/>
  <c r="D411" i="607"/>
  <c r="E411" i="607"/>
  <c r="A413" i="607"/>
  <c r="B413" i="607"/>
  <c r="C413" i="607"/>
  <c r="D413" i="607"/>
  <c r="E413" i="607"/>
  <c r="A414" i="607"/>
  <c r="B414" i="607"/>
  <c r="C414" i="607"/>
  <c r="D414" i="607"/>
  <c r="E414" i="607"/>
  <c r="A415" i="607"/>
  <c r="B415" i="607"/>
  <c r="C415" i="607"/>
  <c r="D415" i="607"/>
  <c r="E415" i="607"/>
  <c r="A416" i="607"/>
  <c r="B416" i="607"/>
  <c r="C416" i="607"/>
  <c r="D416" i="607"/>
  <c r="E416" i="607"/>
  <c r="A417" i="607"/>
  <c r="B417" i="607"/>
  <c r="C417" i="607"/>
  <c r="D417" i="607"/>
  <c r="E417" i="607"/>
  <c r="A418" i="607"/>
  <c r="B418" i="607"/>
  <c r="C418" i="607"/>
  <c r="D418" i="607"/>
  <c r="E418" i="607"/>
  <c r="A419" i="607"/>
  <c r="B419" i="607"/>
  <c r="C419" i="607"/>
  <c r="D419" i="607"/>
  <c r="E419" i="607"/>
  <c r="A420" i="607"/>
  <c r="B420" i="607"/>
  <c r="C420" i="607"/>
  <c r="D420" i="607"/>
  <c r="E420" i="607"/>
  <c r="A421" i="607"/>
  <c r="B421" i="607"/>
  <c r="C421" i="607"/>
  <c r="D421" i="607"/>
  <c r="E421" i="607"/>
  <c r="A422" i="607"/>
  <c r="B422" i="607"/>
  <c r="C422" i="607"/>
  <c r="D422" i="607"/>
  <c r="E422" i="607"/>
  <c r="A423" i="607"/>
  <c r="B423" i="607"/>
  <c r="C423" i="607"/>
  <c r="D423" i="607"/>
  <c r="E423" i="607"/>
  <c r="A424" i="607"/>
  <c r="B424" i="607"/>
  <c r="C424" i="607"/>
  <c r="D424" i="607"/>
  <c r="E424" i="607"/>
  <c r="A425" i="607"/>
  <c r="B425" i="607"/>
  <c r="C425" i="607"/>
  <c r="D425" i="607"/>
  <c r="E425" i="607"/>
  <c r="A426" i="607"/>
  <c r="B426" i="607"/>
  <c r="C426" i="607"/>
  <c r="D426" i="607"/>
  <c r="E426" i="607"/>
  <c r="A427" i="607"/>
  <c r="B427" i="607"/>
  <c r="C427" i="607"/>
  <c r="D427" i="607"/>
  <c r="E427" i="607"/>
  <c r="A428" i="607"/>
  <c r="B428" i="607"/>
  <c r="C428" i="607"/>
  <c r="D428" i="607"/>
  <c r="E428" i="607"/>
  <c r="A429" i="607"/>
  <c r="B429" i="607"/>
  <c r="C429" i="607"/>
  <c r="D429" i="607"/>
  <c r="E429" i="607"/>
  <c r="A430" i="607"/>
  <c r="B430" i="607"/>
  <c r="C430" i="607"/>
  <c r="D430" i="607"/>
  <c r="E430" i="607"/>
  <c r="A431" i="607"/>
  <c r="B431" i="607"/>
  <c r="C431" i="607"/>
  <c r="D431" i="607"/>
  <c r="E431" i="607"/>
  <c r="A432" i="607"/>
  <c r="B432" i="607"/>
  <c r="C432" i="607"/>
  <c r="D432" i="607"/>
  <c r="E432" i="607"/>
  <c r="A433" i="607"/>
  <c r="B433" i="607"/>
  <c r="C433" i="607"/>
  <c r="D433" i="607"/>
  <c r="E433" i="607"/>
  <c r="A434" i="607"/>
  <c r="B434" i="607"/>
  <c r="C434" i="607"/>
  <c r="D434" i="607"/>
  <c r="E434" i="607"/>
  <c r="A435" i="607"/>
  <c r="B435" i="607"/>
  <c r="C435" i="607"/>
  <c r="D435" i="607"/>
  <c r="E435" i="607"/>
  <c r="A436" i="607"/>
  <c r="B436" i="607"/>
  <c r="C436" i="607"/>
  <c r="D436" i="607"/>
  <c r="E436" i="607"/>
  <c r="A437" i="607"/>
  <c r="B437" i="607"/>
  <c r="C437" i="607"/>
  <c r="D437" i="607"/>
  <c r="E437" i="607"/>
  <c r="A438" i="607"/>
  <c r="B438" i="607"/>
  <c r="C438" i="607"/>
  <c r="D438" i="607"/>
  <c r="E438" i="607"/>
  <c r="A439" i="607"/>
  <c r="B439" i="607"/>
  <c r="C439" i="607"/>
  <c r="D439" i="607"/>
  <c r="E439" i="607"/>
  <c r="A440" i="607"/>
  <c r="B440" i="607"/>
  <c r="C440" i="607"/>
  <c r="D440" i="607"/>
  <c r="E440" i="607"/>
  <c r="A441" i="607"/>
  <c r="B441" i="607"/>
  <c r="C441" i="607"/>
  <c r="D441" i="607"/>
  <c r="E441" i="607"/>
  <c r="A442" i="607"/>
  <c r="B442" i="607"/>
  <c r="C442" i="607"/>
  <c r="D442" i="607"/>
  <c r="E442" i="607"/>
  <c r="A443" i="607"/>
  <c r="B443" i="607"/>
  <c r="C443" i="607"/>
  <c r="D443" i="607"/>
  <c r="E443" i="607"/>
  <c r="A444" i="607"/>
  <c r="B444" i="607"/>
  <c r="C444" i="607"/>
  <c r="D444" i="607"/>
  <c r="E444" i="607"/>
  <c r="A445" i="607"/>
  <c r="B445" i="607"/>
  <c r="C445" i="607"/>
  <c r="D445" i="607"/>
  <c r="E445" i="607"/>
  <c r="A446" i="607"/>
  <c r="B446" i="607"/>
  <c r="C446" i="607"/>
  <c r="D446" i="607"/>
  <c r="E446" i="607"/>
  <c r="A447" i="607"/>
  <c r="B447" i="607"/>
  <c r="C447" i="607"/>
  <c r="D447" i="607"/>
  <c r="E447" i="607"/>
  <c r="A448" i="607"/>
  <c r="B448" i="607"/>
  <c r="C448" i="607"/>
  <c r="D448" i="607"/>
  <c r="E448" i="607"/>
  <c r="A449" i="607"/>
  <c r="B449" i="607"/>
  <c r="C449" i="607"/>
  <c r="D449" i="607"/>
  <c r="E449" i="607"/>
  <c r="A450" i="607"/>
  <c r="B450" i="607"/>
  <c r="C450" i="607"/>
  <c r="D450" i="607"/>
  <c r="E450" i="607"/>
  <c r="A451" i="607"/>
  <c r="B451" i="607"/>
  <c r="C451" i="607"/>
  <c r="D451" i="607"/>
  <c r="E451" i="607"/>
  <c r="A452" i="607"/>
  <c r="B452" i="607"/>
  <c r="C452" i="607"/>
  <c r="D452" i="607"/>
  <c r="E452" i="607"/>
  <c r="A453" i="607"/>
  <c r="B453" i="607"/>
  <c r="C453" i="607"/>
  <c r="D453" i="607"/>
  <c r="E453" i="607"/>
  <c r="A454" i="607"/>
  <c r="B454" i="607"/>
  <c r="C454" i="607"/>
  <c r="D454" i="607"/>
  <c r="E454" i="607"/>
  <c r="A455" i="607"/>
  <c r="B455" i="607"/>
  <c r="C455" i="607"/>
  <c r="D455" i="607"/>
  <c r="E455" i="607"/>
  <c r="A456" i="607"/>
  <c r="B456" i="607"/>
  <c r="C456" i="607"/>
  <c r="D456" i="607"/>
  <c r="E456" i="607"/>
  <c r="A457" i="607"/>
  <c r="B457" i="607"/>
  <c r="C457" i="607"/>
  <c r="D457" i="607"/>
  <c r="E457" i="607"/>
  <c r="A458" i="607"/>
  <c r="B458" i="607"/>
  <c r="C458" i="607"/>
  <c r="D458" i="607"/>
  <c r="E458" i="607"/>
  <c r="A459" i="607"/>
  <c r="B459" i="607"/>
  <c r="C459" i="607"/>
  <c r="D459" i="607"/>
  <c r="E459" i="607"/>
  <c r="A460" i="607"/>
  <c r="B460" i="607"/>
  <c r="C460" i="607"/>
  <c r="D460" i="607"/>
  <c r="E460" i="607"/>
  <c r="A461" i="607"/>
  <c r="B461" i="607"/>
  <c r="C461" i="607"/>
  <c r="D461" i="607"/>
  <c r="E461" i="607"/>
  <c r="A462" i="607"/>
  <c r="B462" i="607"/>
  <c r="C462" i="607"/>
  <c r="D462" i="607"/>
  <c r="E462" i="607"/>
  <c r="A463" i="607"/>
  <c r="B463" i="607"/>
  <c r="C463" i="607"/>
  <c r="D463" i="607"/>
  <c r="E463" i="607"/>
  <c r="A464" i="607"/>
  <c r="B464" i="607"/>
  <c r="C464" i="607"/>
  <c r="D464" i="607"/>
  <c r="E464" i="607"/>
  <c r="A465" i="607"/>
  <c r="B465" i="607"/>
  <c r="C465" i="607"/>
  <c r="D465" i="607"/>
  <c r="E465" i="607"/>
  <c r="A466" i="607"/>
  <c r="B466" i="607"/>
  <c r="C466" i="607"/>
  <c r="D466" i="607"/>
  <c r="E466" i="607"/>
  <c r="A467" i="607"/>
  <c r="B467" i="607"/>
  <c r="C467" i="607"/>
  <c r="D467" i="607"/>
  <c r="E467" i="607"/>
  <c r="A468" i="607"/>
  <c r="B468" i="607"/>
  <c r="C468" i="607"/>
  <c r="D468" i="607"/>
  <c r="E468" i="607"/>
  <c r="A469" i="607"/>
  <c r="B469" i="607"/>
  <c r="C469" i="607"/>
  <c r="D469" i="607"/>
  <c r="E469" i="607"/>
  <c r="A470" i="607"/>
  <c r="B470" i="607"/>
  <c r="C470" i="607"/>
  <c r="D470" i="607"/>
  <c r="E470" i="607"/>
  <c r="A471" i="607"/>
  <c r="B471" i="607"/>
  <c r="C471" i="607"/>
  <c r="D471" i="607"/>
  <c r="E471" i="607"/>
  <c r="A472" i="607"/>
  <c r="B472" i="607"/>
  <c r="C472" i="607"/>
  <c r="D472" i="607"/>
  <c r="E472" i="607"/>
  <c r="A473" i="607"/>
  <c r="B473" i="607"/>
  <c r="C473" i="607"/>
  <c r="D473" i="607"/>
  <c r="E473" i="607"/>
  <c r="A474" i="607"/>
  <c r="B474" i="607"/>
  <c r="C474" i="607"/>
  <c r="D474" i="607"/>
  <c r="E474" i="607"/>
  <c r="A475" i="607"/>
  <c r="B475" i="607"/>
  <c r="C475" i="607"/>
  <c r="D475" i="607"/>
  <c r="E475" i="607"/>
  <c r="A476" i="607"/>
  <c r="B476" i="607"/>
  <c r="C476" i="607"/>
  <c r="D476" i="607"/>
  <c r="E476" i="607"/>
  <c r="A477" i="607"/>
  <c r="B477" i="607"/>
  <c r="C477" i="607"/>
  <c r="D477" i="607"/>
  <c r="E477" i="607"/>
  <c r="A478" i="607"/>
  <c r="B478" i="607"/>
  <c r="C478" i="607"/>
  <c r="D478" i="607"/>
  <c r="E478" i="607"/>
  <c r="A479" i="607"/>
  <c r="B479" i="607"/>
  <c r="C479" i="607"/>
  <c r="D479" i="607"/>
  <c r="E479" i="607"/>
  <c r="A480" i="607"/>
  <c r="B480" i="607"/>
  <c r="C480" i="607"/>
  <c r="D480" i="607"/>
  <c r="E480" i="607"/>
  <c r="A481" i="607"/>
  <c r="B481" i="607"/>
  <c r="C481" i="607"/>
  <c r="D481" i="607"/>
  <c r="E481" i="607"/>
  <c r="A482" i="607"/>
  <c r="B482" i="607"/>
  <c r="C482" i="607"/>
  <c r="D482" i="607"/>
  <c r="E482" i="607"/>
  <c r="A483" i="607"/>
  <c r="B483" i="607"/>
  <c r="C483" i="607"/>
  <c r="D483" i="607"/>
  <c r="E483" i="607"/>
  <c r="A484" i="607"/>
  <c r="B484" i="607"/>
  <c r="C484" i="607"/>
  <c r="D484" i="607"/>
  <c r="E484" i="607"/>
  <c r="A485" i="607"/>
  <c r="B485" i="607"/>
  <c r="C485" i="607"/>
  <c r="D485" i="607"/>
  <c r="E485" i="607"/>
  <c r="A486" i="607"/>
  <c r="B486" i="607"/>
  <c r="C486" i="607"/>
  <c r="D486" i="607"/>
  <c r="E486" i="607"/>
  <c r="A487" i="607"/>
  <c r="B487" i="607"/>
  <c r="C487" i="607"/>
  <c r="D487" i="607"/>
  <c r="E487" i="607"/>
  <c r="A488" i="607"/>
  <c r="B488" i="607"/>
  <c r="C488" i="607"/>
  <c r="D488" i="607"/>
  <c r="E488" i="607"/>
  <c r="A489" i="607"/>
  <c r="B489" i="607"/>
  <c r="C489" i="607"/>
  <c r="D489" i="607"/>
  <c r="E489" i="607"/>
  <c r="A490" i="607"/>
  <c r="B490" i="607"/>
  <c r="C490" i="607"/>
  <c r="D490" i="607"/>
  <c r="E490" i="607"/>
  <c r="A491" i="607"/>
  <c r="B491" i="607"/>
  <c r="C491" i="607"/>
  <c r="D491" i="607"/>
  <c r="E491" i="607"/>
  <c r="A492" i="607"/>
  <c r="B492" i="607"/>
  <c r="C492" i="607"/>
  <c r="D492" i="607"/>
  <c r="E492" i="607"/>
  <c r="A493" i="607"/>
  <c r="B493" i="607"/>
  <c r="C493" i="607"/>
  <c r="D493" i="607"/>
  <c r="E493" i="607"/>
  <c r="A494" i="607"/>
  <c r="B494" i="607"/>
  <c r="C494" i="607"/>
  <c r="D494" i="607"/>
  <c r="E494" i="607"/>
  <c r="A495" i="607"/>
  <c r="B495" i="607"/>
  <c r="C495" i="607"/>
  <c r="D495" i="607"/>
  <c r="E495" i="607"/>
  <c r="A496" i="607"/>
  <c r="B496" i="607"/>
  <c r="C496" i="607"/>
  <c r="D496" i="607"/>
  <c r="E496" i="607"/>
  <c r="A497" i="607"/>
  <c r="B497" i="607"/>
  <c r="C497" i="607"/>
  <c r="D497" i="607"/>
  <c r="E497" i="607"/>
  <c r="A498" i="607"/>
  <c r="B498" i="607"/>
  <c r="C498" i="607"/>
  <c r="D498" i="607"/>
  <c r="E498" i="607"/>
  <c r="A499" i="607"/>
  <c r="B499" i="607"/>
  <c r="C499" i="607"/>
  <c r="D499" i="607"/>
  <c r="E499" i="607"/>
  <c r="A500" i="607"/>
  <c r="B500" i="607"/>
  <c r="C500" i="607"/>
  <c r="D500" i="607"/>
  <c r="E500" i="607"/>
  <c r="A501" i="607"/>
  <c r="B501" i="607"/>
  <c r="C501" i="607"/>
  <c r="D501" i="607"/>
  <c r="E501" i="607"/>
  <c r="A502" i="607"/>
  <c r="B502" i="607"/>
  <c r="C502" i="607"/>
  <c r="D502" i="607"/>
  <c r="E502" i="607"/>
  <c r="A503" i="607"/>
  <c r="B503" i="607"/>
  <c r="C503" i="607"/>
  <c r="D503" i="607"/>
  <c r="E503" i="607"/>
  <c r="A504" i="607"/>
  <c r="B504" i="607"/>
  <c r="C504" i="607"/>
  <c r="D504" i="607"/>
  <c r="E504" i="607"/>
  <c r="A505" i="607"/>
  <c r="B505" i="607"/>
  <c r="C505" i="607"/>
  <c r="D505" i="607"/>
  <c r="E505" i="607"/>
  <c r="A506" i="607"/>
  <c r="B506" i="607"/>
  <c r="C506" i="607"/>
  <c r="D506" i="607"/>
  <c r="E506" i="607"/>
  <c r="A507" i="607"/>
  <c r="B507" i="607"/>
  <c r="C507" i="607"/>
  <c r="D507" i="607"/>
  <c r="E507" i="607"/>
  <c r="A508" i="607"/>
  <c r="B508" i="607"/>
  <c r="C508" i="607"/>
  <c r="D508" i="607"/>
  <c r="E508" i="607"/>
  <c r="A509" i="607"/>
  <c r="B509" i="607"/>
  <c r="C509" i="607"/>
  <c r="D509" i="607"/>
  <c r="E509" i="607"/>
  <c r="A510" i="607"/>
  <c r="B510" i="607"/>
  <c r="C510" i="607"/>
  <c r="D510" i="607"/>
  <c r="E510" i="607"/>
  <c r="A511" i="607"/>
  <c r="B511" i="607"/>
  <c r="C511" i="607"/>
  <c r="D511" i="607"/>
  <c r="E511" i="607"/>
  <c r="A512" i="607"/>
  <c r="B512" i="607"/>
  <c r="C512" i="607"/>
  <c r="D512" i="607"/>
  <c r="E512" i="607"/>
  <c r="A513" i="607"/>
  <c r="B513" i="607"/>
  <c r="C513" i="607"/>
  <c r="D513" i="607"/>
  <c r="E513" i="607"/>
  <c r="A514" i="607"/>
  <c r="B514" i="607"/>
  <c r="C514" i="607"/>
  <c r="D514" i="607"/>
  <c r="E514" i="607"/>
  <c r="A515" i="607"/>
  <c r="B515" i="607"/>
  <c r="C515" i="607"/>
  <c r="D515" i="607"/>
  <c r="E515" i="607"/>
  <c r="A516" i="607"/>
  <c r="B516" i="607"/>
  <c r="C516" i="607"/>
  <c r="D516" i="607"/>
  <c r="E516" i="607"/>
  <c r="A517" i="607"/>
  <c r="B517" i="607"/>
  <c r="C517" i="607"/>
  <c r="D517" i="607"/>
  <c r="E517" i="607"/>
  <c r="A518" i="607"/>
  <c r="B518" i="607"/>
  <c r="C518" i="607"/>
  <c r="D518" i="607"/>
  <c r="E518" i="607"/>
  <c r="A519" i="607"/>
  <c r="B519" i="607"/>
  <c r="C519" i="607"/>
  <c r="D519" i="607"/>
  <c r="E519" i="607"/>
  <c r="A520" i="607"/>
  <c r="B520" i="607"/>
  <c r="C520" i="607"/>
  <c r="D520" i="607"/>
  <c r="E520" i="607"/>
  <c r="A521" i="607"/>
  <c r="B521" i="607"/>
  <c r="C521" i="607"/>
  <c r="D521" i="607"/>
  <c r="E521" i="607"/>
  <c r="A522" i="607"/>
  <c r="B522" i="607"/>
  <c r="C522" i="607"/>
  <c r="D522" i="607"/>
  <c r="E522" i="607"/>
  <c r="A523" i="607"/>
  <c r="B523" i="607"/>
  <c r="C523" i="607"/>
  <c r="D523" i="607"/>
  <c r="E523" i="607"/>
  <c r="A524" i="607"/>
  <c r="B524" i="607"/>
  <c r="C524" i="607"/>
  <c r="D524" i="607"/>
  <c r="E524" i="607"/>
  <c r="A525" i="607"/>
  <c r="B525" i="607"/>
  <c r="C525" i="607"/>
  <c r="D525" i="607"/>
  <c r="E525" i="607"/>
  <c r="A526" i="607"/>
  <c r="B526" i="607"/>
  <c r="C526" i="607"/>
  <c r="D526" i="607"/>
  <c r="E526" i="607"/>
  <c r="A527" i="607"/>
  <c r="B527" i="607"/>
  <c r="C527" i="607"/>
  <c r="D527" i="607"/>
  <c r="E527" i="607"/>
  <c r="A528" i="607"/>
  <c r="B528" i="607"/>
  <c r="C528" i="607"/>
  <c r="D528" i="607"/>
  <c r="E528" i="607"/>
  <c r="A529" i="607"/>
  <c r="B529" i="607"/>
  <c r="C529" i="607"/>
  <c r="D529" i="607"/>
  <c r="E529" i="607"/>
  <c r="A530" i="607"/>
  <c r="B530" i="607"/>
  <c r="C530" i="607"/>
  <c r="D530" i="607"/>
  <c r="E530" i="607"/>
  <c r="A531" i="607"/>
  <c r="B531" i="607"/>
  <c r="C531" i="607"/>
  <c r="D531" i="607"/>
  <c r="E531" i="607"/>
  <c r="A532" i="607"/>
  <c r="B532" i="607"/>
  <c r="C532" i="607"/>
  <c r="D532" i="607"/>
  <c r="E532" i="607"/>
  <c r="A533" i="607"/>
  <c r="B533" i="607"/>
  <c r="C533" i="607"/>
  <c r="D533" i="607"/>
  <c r="E533" i="607"/>
  <c r="A534" i="607"/>
  <c r="B534" i="607"/>
  <c r="C534" i="607"/>
  <c r="D534" i="607"/>
  <c r="E534" i="607"/>
  <c r="A535" i="607"/>
  <c r="B535" i="607"/>
  <c r="C535" i="607"/>
  <c r="D535" i="607"/>
  <c r="E535" i="607"/>
  <c r="A536" i="607"/>
  <c r="B536" i="607"/>
  <c r="C536" i="607"/>
  <c r="D536" i="607"/>
  <c r="E536" i="607"/>
  <c r="A537" i="607"/>
  <c r="B537" i="607"/>
  <c r="C537" i="607"/>
  <c r="D537" i="607"/>
  <c r="E537" i="607"/>
  <c r="A538" i="607"/>
  <c r="B538" i="607"/>
  <c r="C538" i="607"/>
  <c r="D538" i="607"/>
  <c r="E538" i="607"/>
  <c r="A539" i="607"/>
  <c r="B539" i="607"/>
  <c r="C539" i="607"/>
  <c r="D539" i="607"/>
  <c r="E539" i="607"/>
  <c r="A540" i="607"/>
  <c r="B540" i="607"/>
  <c r="C540" i="607"/>
  <c r="D540" i="607"/>
  <c r="E540" i="607"/>
  <c r="A541" i="607"/>
  <c r="B541" i="607"/>
  <c r="C541" i="607"/>
  <c r="D541" i="607"/>
  <c r="E541" i="607"/>
  <c r="A542" i="607"/>
  <c r="B542" i="607"/>
  <c r="C542" i="607"/>
  <c r="D542" i="607"/>
  <c r="E542" i="607"/>
  <c r="A543" i="607"/>
  <c r="B543" i="607"/>
  <c r="C543" i="607"/>
  <c r="D543" i="607"/>
  <c r="E543" i="607"/>
  <c r="A544" i="607"/>
  <c r="B544" i="607"/>
  <c r="C544" i="607"/>
  <c r="D544" i="607"/>
  <c r="E544" i="607"/>
  <c r="A545" i="607"/>
  <c r="B545" i="607"/>
  <c r="C545" i="607"/>
  <c r="D545" i="607"/>
  <c r="E545" i="607"/>
  <c r="A546" i="607"/>
  <c r="B546" i="607"/>
  <c r="C546" i="607"/>
  <c r="D546" i="607"/>
  <c r="E546" i="607"/>
  <c r="A547" i="607"/>
  <c r="B547" i="607"/>
  <c r="C547" i="607"/>
  <c r="D547" i="607"/>
  <c r="E547" i="607"/>
  <c r="A548" i="607"/>
  <c r="B548" i="607"/>
  <c r="C548" i="607"/>
  <c r="D548" i="607"/>
  <c r="E548" i="607"/>
  <c r="A549" i="607"/>
  <c r="B549" i="607"/>
  <c r="C549" i="607"/>
  <c r="D549" i="607"/>
  <c r="E549" i="607"/>
  <c r="A550" i="607"/>
  <c r="B550" i="607"/>
  <c r="C550" i="607"/>
  <c r="D550" i="607"/>
  <c r="E550" i="607"/>
  <c r="A551" i="607"/>
  <c r="B551" i="607"/>
  <c r="C551" i="607"/>
  <c r="D551" i="607"/>
  <c r="E551" i="607"/>
  <c r="A552" i="607"/>
  <c r="B552" i="607"/>
  <c r="C552" i="607"/>
  <c r="D552" i="607"/>
  <c r="E552" i="607"/>
  <c r="A553" i="607"/>
  <c r="B553" i="607"/>
  <c r="C553" i="607"/>
  <c r="D553" i="607"/>
  <c r="E553" i="607"/>
  <c r="A554" i="607"/>
  <c r="B554" i="607"/>
  <c r="C554" i="607"/>
  <c r="D554" i="607"/>
  <c r="E554" i="607"/>
  <c r="A555" i="607"/>
  <c r="B555" i="607"/>
  <c r="C555" i="607"/>
  <c r="D555" i="607"/>
  <c r="E555" i="607"/>
  <c r="A556" i="607"/>
  <c r="B556" i="607"/>
  <c r="C556" i="607"/>
  <c r="D556" i="607"/>
  <c r="E556" i="607"/>
  <c r="A557" i="607"/>
  <c r="B557" i="607"/>
  <c r="C557" i="607"/>
  <c r="D557" i="607"/>
  <c r="E557" i="607"/>
  <c r="A558" i="607"/>
  <c r="B558" i="607"/>
  <c r="C558" i="607"/>
  <c r="D558" i="607"/>
  <c r="E558" i="607"/>
  <c r="A559" i="607"/>
  <c r="B559" i="607"/>
  <c r="C559" i="607"/>
  <c r="D559" i="607"/>
  <c r="E559" i="607"/>
  <c r="A560" i="607"/>
  <c r="B560" i="607"/>
  <c r="C560" i="607"/>
  <c r="D560" i="607"/>
  <c r="E560" i="607"/>
  <c r="A561" i="607"/>
  <c r="B561" i="607"/>
  <c r="C561" i="607"/>
  <c r="D561" i="607"/>
  <c r="E561" i="607"/>
  <c r="A562" i="607"/>
  <c r="B562" i="607"/>
  <c r="C562" i="607"/>
  <c r="D562" i="607"/>
  <c r="E562" i="607"/>
  <c r="A563" i="607"/>
  <c r="B563" i="607"/>
  <c r="C563" i="607"/>
  <c r="D563" i="607"/>
  <c r="E563" i="607"/>
  <c r="A564" i="607"/>
  <c r="B564" i="607"/>
  <c r="C564" i="607"/>
  <c r="D564" i="607"/>
  <c r="E564" i="607"/>
  <c r="A565" i="607"/>
  <c r="B565" i="607"/>
  <c r="C565" i="607"/>
  <c r="D565" i="607"/>
  <c r="E565" i="607"/>
  <c r="A566" i="607"/>
  <c r="B566" i="607"/>
  <c r="C566" i="607"/>
  <c r="D566" i="607"/>
  <c r="E566" i="607"/>
  <c r="A567" i="607"/>
  <c r="B567" i="607"/>
  <c r="C567" i="607"/>
  <c r="D567" i="607"/>
  <c r="E567" i="607"/>
  <c r="A568" i="607"/>
  <c r="B568" i="607"/>
  <c r="C568" i="607"/>
  <c r="D568" i="607"/>
  <c r="E568" i="607"/>
  <c r="A569" i="607"/>
  <c r="B569" i="607"/>
  <c r="C569" i="607"/>
  <c r="D569" i="607"/>
  <c r="E569" i="607"/>
  <c r="A570" i="607"/>
  <c r="B570" i="607"/>
  <c r="C570" i="607"/>
  <c r="D570" i="607"/>
  <c r="E570" i="607"/>
  <c r="A571" i="607"/>
  <c r="B571" i="607"/>
  <c r="C571" i="607"/>
  <c r="D571" i="607"/>
  <c r="E571" i="607"/>
  <c r="A572" i="607"/>
  <c r="B572" i="607"/>
  <c r="C572" i="607"/>
  <c r="D572" i="607"/>
  <c r="E572" i="607"/>
  <c r="A573" i="607"/>
  <c r="B573" i="607"/>
  <c r="C573" i="607"/>
  <c r="D573" i="607"/>
  <c r="E573" i="607"/>
  <c r="A574" i="607"/>
  <c r="B574" i="607"/>
  <c r="C574" i="607"/>
  <c r="D574" i="607"/>
  <c r="E574" i="607"/>
  <c r="A575" i="607"/>
  <c r="B575" i="607"/>
  <c r="C575" i="607"/>
  <c r="D575" i="607"/>
  <c r="E575" i="607"/>
  <c r="A576" i="607"/>
  <c r="B576" i="607"/>
  <c r="C576" i="607"/>
  <c r="D576" i="607"/>
  <c r="E576" i="607"/>
  <c r="A577" i="607"/>
  <c r="B577" i="607"/>
  <c r="C577" i="607"/>
  <c r="D577" i="607"/>
  <c r="E577" i="607"/>
  <c r="A578" i="607"/>
  <c r="B578" i="607"/>
  <c r="C578" i="607"/>
  <c r="D578" i="607"/>
  <c r="E578" i="607"/>
  <c r="A579" i="607"/>
  <c r="B579" i="607"/>
  <c r="C579" i="607"/>
  <c r="D579" i="607"/>
  <c r="E579" i="607"/>
  <c r="A580" i="607"/>
  <c r="B580" i="607"/>
  <c r="C580" i="607"/>
  <c r="D580" i="607"/>
  <c r="E580" i="607"/>
  <c r="A581" i="607"/>
  <c r="B581" i="607"/>
  <c r="C581" i="607"/>
  <c r="D581" i="607"/>
  <c r="E581" i="607"/>
  <c r="A582" i="607"/>
  <c r="B582" i="607"/>
  <c r="C582" i="607"/>
  <c r="D582" i="607"/>
  <c r="E582" i="607"/>
  <c r="A583" i="607"/>
  <c r="B583" i="607"/>
  <c r="C583" i="607"/>
  <c r="D583" i="607"/>
  <c r="E583" i="607"/>
  <c r="A584" i="607"/>
  <c r="B584" i="607"/>
  <c r="C584" i="607"/>
  <c r="D584" i="607"/>
  <c r="E584" i="607"/>
  <c r="A585" i="607"/>
  <c r="B585" i="607"/>
  <c r="C585" i="607"/>
  <c r="D585" i="607"/>
  <c r="E585" i="607"/>
  <c r="A586" i="607"/>
  <c r="B586" i="607"/>
  <c r="C586" i="607"/>
  <c r="D586" i="607"/>
  <c r="E586" i="607"/>
  <c r="A587" i="607"/>
  <c r="B587" i="607"/>
  <c r="C587" i="607"/>
  <c r="D587" i="607"/>
  <c r="E587" i="607"/>
  <c r="A588" i="607"/>
  <c r="B588" i="607"/>
  <c r="C588" i="607"/>
  <c r="D588" i="607"/>
  <c r="E588" i="607"/>
  <c r="A589" i="607"/>
  <c r="B589" i="607"/>
  <c r="C589" i="607"/>
  <c r="D589" i="607"/>
  <c r="E589" i="607"/>
  <c r="A590" i="607"/>
  <c r="B590" i="607"/>
  <c r="C590" i="607"/>
  <c r="D590" i="607"/>
  <c r="E590" i="607"/>
  <c r="A591" i="607"/>
  <c r="B591" i="607"/>
  <c r="C591" i="607"/>
  <c r="D591" i="607"/>
  <c r="E591" i="607"/>
  <c r="A593" i="607"/>
  <c r="B593" i="607"/>
  <c r="C593" i="607"/>
  <c r="D593" i="607"/>
  <c r="E593" i="607"/>
  <c r="A594" i="607"/>
  <c r="B594" i="607"/>
  <c r="C594" i="607"/>
  <c r="D594" i="607"/>
  <c r="E594" i="607"/>
  <c r="A595" i="607"/>
  <c r="B595" i="607"/>
  <c r="C595" i="607"/>
  <c r="D595" i="607"/>
  <c r="E595" i="607"/>
  <c r="A596" i="607"/>
  <c r="B596" i="607"/>
  <c r="C596" i="607"/>
  <c r="D596" i="607"/>
  <c r="E596" i="607"/>
  <c r="A597" i="607"/>
  <c r="B597" i="607"/>
  <c r="C597" i="607"/>
  <c r="D597" i="607"/>
  <c r="E597" i="607"/>
  <c r="A598" i="607"/>
  <c r="B598" i="607"/>
  <c r="C598" i="607"/>
  <c r="D598" i="607"/>
  <c r="E598" i="607"/>
  <c r="A599" i="607"/>
  <c r="B599" i="607"/>
  <c r="C599" i="607"/>
  <c r="D599" i="607"/>
  <c r="E599" i="607"/>
  <c r="A600" i="607"/>
  <c r="B600" i="607"/>
  <c r="C600" i="607"/>
  <c r="D600" i="607"/>
  <c r="E600" i="607"/>
  <c r="A601" i="607"/>
  <c r="B601" i="607"/>
  <c r="C601" i="607"/>
  <c r="D601" i="607"/>
  <c r="E601" i="607"/>
  <c r="A602" i="607"/>
  <c r="B602" i="607"/>
  <c r="C602" i="607"/>
  <c r="D602" i="607"/>
  <c r="E602" i="607"/>
  <c r="A603" i="607"/>
  <c r="B603" i="607"/>
  <c r="C603" i="607"/>
  <c r="D603" i="607"/>
  <c r="E603" i="607"/>
  <c r="A604" i="607"/>
  <c r="B604" i="607"/>
  <c r="C604" i="607"/>
  <c r="D604" i="607"/>
  <c r="E604" i="607"/>
  <c r="A605" i="607"/>
  <c r="B605" i="607"/>
  <c r="C605" i="607"/>
  <c r="D605" i="607"/>
  <c r="E605" i="607"/>
  <c r="A606" i="607"/>
  <c r="B606" i="607"/>
  <c r="C606" i="607"/>
  <c r="D606" i="607"/>
  <c r="E606" i="607"/>
  <c r="A607" i="607"/>
  <c r="B607" i="607"/>
  <c r="C607" i="607"/>
  <c r="D607" i="607"/>
  <c r="E607" i="607"/>
  <c r="A608" i="607"/>
  <c r="B608" i="607"/>
  <c r="C608" i="607"/>
  <c r="D608" i="607"/>
  <c r="E608" i="607"/>
  <c r="A609" i="607"/>
  <c r="B609" i="607"/>
  <c r="C609" i="607"/>
  <c r="D609" i="607"/>
  <c r="E609" i="607"/>
  <c r="A610" i="607"/>
  <c r="B610" i="607"/>
  <c r="C610" i="607"/>
  <c r="D610" i="607"/>
  <c r="E610" i="607"/>
  <c r="A611" i="607"/>
  <c r="B611" i="607"/>
  <c r="C611" i="607"/>
  <c r="D611" i="607"/>
  <c r="E611" i="607"/>
  <c r="A612" i="607"/>
  <c r="B612" i="607"/>
  <c r="C612" i="607"/>
  <c r="D612" i="607"/>
  <c r="E612" i="607"/>
  <c r="A613" i="607"/>
  <c r="B613" i="607"/>
  <c r="C613" i="607"/>
  <c r="D613" i="607"/>
  <c r="E613" i="607"/>
  <c r="A614" i="607"/>
  <c r="B614" i="607"/>
  <c r="C614" i="607"/>
  <c r="D614" i="607"/>
  <c r="E614" i="607"/>
  <c r="A615" i="607"/>
  <c r="B615" i="607"/>
  <c r="C615" i="607"/>
  <c r="D615" i="607"/>
  <c r="E615" i="607"/>
  <c r="A616" i="607"/>
  <c r="B616" i="607"/>
  <c r="C616" i="607"/>
  <c r="D616" i="607"/>
  <c r="E616" i="607"/>
  <c r="A617" i="607"/>
  <c r="B617" i="607"/>
  <c r="C617" i="607"/>
  <c r="D617" i="607"/>
  <c r="E617" i="607"/>
  <c r="A618" i="607"/>
  <c r="B618" i="607"/>
  <c r="C618" i="607"/>
  <c r="D618" i="607"/>
  <c r="E618" i="607"/>
  <c r="A619" i="607"/>
  <c r="B619" i="607"/>
  <c r="C619" i="607"/>
  <c r="D619" i="607"/>
  <c r="E619" i="607"/>
  <c r="A620" i="607"/>
  <c r="B620" i="607"/>
  <c r="C620" i="607"/>
  <c r="D620" i="607"/>
  <c r="E620" i="607"/>
  <c r="A621" i="607"/>
  <c r="B621" i="607"/>
  <c r="C621" i="607"/>
  <c r="D621" i="607"/>
  <c r="E621" i="607"/>
  <c r="A622" i="607"/>
  <c r="B622" i="607"/>
  <c r="C622" i="607"/>
  <c r="D622" i="607"/>
  <c r="E622" i="607"/>
  <c r="A623" i="607"/>
  <c r="B623" i="607"/>
  <c r="C623" i="607"/>
  <c r="D623" i="607"/>
  <c r="E623" i="607"/>
  <c r="A624" i="607"/>
  <c r="B624" i="607"/>
  <c r="C624" i="607"/>
  <c r="D624" i="607"/>
  <c r="E624" i="607"/>
  <c r="A625" i="607"/>
  <c r="B625" i="607"/>
  <c r="C625" i="607"/>
  <c r="D625" i="607"/>
  <c r="E625" i="607"/>
  <c r="A626" i="607"/>
  <c r="B626" i="607"/>
  <c r="C626" i="607"/>
  <c r="D626" i="607"/>
  <c r="E626" i="607"/>
  <c r="A627" i="607"/>
  <c r="B627" i="607"/>
  <c r="C627" i="607"/>
  <c r="D627" i="607"/>
  <c r="E627" i="607"/>
  <c r="A628" i="607"/>
  <c r="B628" i="607"/>
  <c r="C628" i="607"/>
  <c r="D628" i="607"/>
  <c r="E628" i="607"/>
  <c r="A629" i="607"/>
  <c r="B629" i="607"/>
  <c r="C629" i="607"/>
  <c r="D629" i="607"/>
  <c r="E629" i="607"/>
  <c r="A630" i="607"/>
  <c r="B630" i="607"/>
  <c r="C630" i="607"/>
  <c r="D630" i="607"/>
  <c r="E630" i="607"/>
  <c r="A631" i="607"/>
  <c r="B631" i="607"/>
  <c r="C631" i="607"/>
  <c r="D631" i="607"/>
  <c r="E631" i="607"/>
  <c r="A632" i="607"/>
  <c r="B632" i="607"/>
  <c r="C632" i="607"/>
  <c r="D632" i="607"/>
  <c r="E632" i="607"/>
  <c r="A633" i="607"/>
  <c r="B633" i="607"/>
  <c r="C633" i="607"/>
  <c r="D633" i="607"/>
  <c r="E633" i="607"/>
  <c r="A634" i="607"/>
  <c r="B634" i="607"/>
  <c r="C634" i="607"/>
  <c r="D634" i="607"/>
  <c r="E634" i="607"/>
  <c r="A635" i="607"/>
  <c r="B635" i="607"/>
  <c r="C635" i="607"/>
  <c r="D635" i="607"/>
  <c r="E635" i="607"/>
  <c r="A636" i="607"/>
  <c r="B636" i="607"/>
  <c r="C636" i="607"/>
  <c r="D636" i="607"/>
  <c r="E636" i="607"/>
  <c r="A637" i="607"/>
  <c r="B637" i="607"/>
  <c r="C637" i="607"/>
  <c r="D637" i="607"/>
  <c r="E637" i="607"/>
  <c r="A638" i="607"/>
  <c r="B638" i="607"/>
  <c r="C638" i="607"/>
  <c r="D638" i="607"/>
  <c r="E638" i="607"/>
  <c r="A639" i="607"/>
  <c r="B639" i="607"/>
  <c r="C639" i="607"/>
  <c r="D639" i="607"/>
  <c r="E639" i="607"/>
  <c r="A640" i="607"/>
  <c r="B640" i="607"/>
  <c r="C640" i="607"/>
  <c r="D640" i="607"/>
  <c r="E640" i="607"/>
  <c r="A641" i="607"/>
  <c r="B641" i="607"/>
  <c r="C641" i="607"/>
  <c r="D641" i="607"/>
  <c r="E641" i="607"/>
  <c r="A642" i="607"/>
  <c r="B642" i="607"/>
  <c r="C642" i="607"/>
  <c r="D642" i="607"/>
  <c r="E642" i="607"/>
  <c r="A643" i="607"/>
  <c r="B643" i="607"/>
  <c r="C643" i="607"/>
  <c r="D643" i="607"/>
  <c r="E643" i="607"/>
  <c r="A644" i="607"/>
  <c r="B644" i="607"/>
  <c r="C644" i="607"/>
  <c r="D644" i="607"/>
  <c r="E644" i="607"/>
  <c r="A645" i="607"/>
  <c r="B645" i="607"/>
  <c r="C645" i="607"/>
  <c r="D645" i="607"/>
  <c r="E645" i="607"/>
  <c r="A646" i="607"/>
  <c r="B646" i="607"/>
  <c r="C646" i="607"/>
  <c r="D646" i="607"/>
  <c r="E646" i="607"/>
  <c r="A647" i="607"/>
  <c r="B647" i="607"/>
  <c r="C647" i="607"/>
  <c r="D647" i="607"/>
  <c r="E647" i="607"/>
  <c r="A648" i="607"/>
  <c r="B648" i="607"/>
  <c r="C648" i="607"/>
  <c r="D648" i="607"/>
  <c r="E648" i="607"/>
  <c r="A649" i="607"/>
  <c r="B649" i="607"/>
  <c r="C649" i="607"/>
  <c r="D649" i="607"/>
  <c r="E649" i="607"/>
  <c r="A650" i="607"/>
  <c r="B650" i="607"/>
  <c r="C650" i="607"/>
  <c r="D650" i="607"/>
  <c r="E650" i="607"/>
  <c r="A651" i="607"/>
  <c r="B651" i="607"/>
  <c r="C651" i="607"/>
  <c r="D651" i="607"/>
  <c r="E651" i="607"/>
  <c r="A652" i="607"/>
  <c r="B652" i="607"/>
  <c r="C652" i="607"/>
  <c r="D652" i="607"/>
  <c r="E652" i="607"/>
  <c r="A653" i="607"/>
  <c r="B653" i="607"/>
  <c r="C653" i="607"/>
  <c r="D653" i="607"/>
  <c r="E653" i="607"/>
  <c r="A654" i="607"/>
  <c r="B654" i="607"/>
  <c r="C654" i="607"/>
  <c r="D654" i="607"/>
  <c r="E654" i="607"/>
  <c r="A655" i="607"/>
  <c r="B655" i="607"/>
  <c r="C655" i="607"/>
  <c r="D655" i="607"/>
  <c r="E655" i="607"/>
  <c r="A656" i="607"/>
  <c r="B656" i="607"/>
  <c r="C656" i="607"/>
  <c r="D656" i="607"/>
  <c r="E656" i="607"/>
  <c r="A657" i="607"/>
  <c r="B657" i="607"/>
  <c r="C657" i="607"/>
  <c r="D657" i="607"/>
  <c r="E657" i="607"/>
  <c r="A658" i="607"/>
  <c r="B658" i="607"/>
  <c r="C658" i="607"/>
  <c r="D658" i="607"/>
  <c r="E658" i="607"/>
  <c r="A659" i="607"/>
  <c r="B659" i="607"/>
  <c r="C659" i="607"/>
  <c r="D659" i="607"/>
  <c r="E659" i="607"/>
  <c r="A660" i="607"/>
  <c r="B660" i="607"/>
  <c r="C660" i="607"/>
  <c r="D660" i="607"/>
  <c r="E660" i="607"/>
  <c r="A661" i="607"/>
  <c r="B661" i="607"/>
  <c r="C661" i="607"/>
  <c r="D661" i="607"/>
  <c r="E661" i="607"/>
  <c r="A662" i="607"/>
  <c r="B662" i="607"/>
  <c r="C662" i="607"/>
  <c r="D662" i="607"/>
  <c r="E662" i="607"/>
  <c r="A663" i="607"/>
  <c r="B663" i="607"/>
  <c r="C663" i="607"/>
  <c r="D663" i="607"/>
  <c r="E663" i="607"/>
  <c r="A664" i="607"/>
  <c r="B664" i="607"/>
  <c r="C664" i="607"/>
  <c r="D664" i="607"/>
  <c r="E664" i="607"/>
  <c r="A665" i="607"/>
  <c r="B665" i="607"/>
  <c r="C665" i="607"/>
  <c r="D665" i="607"/>
  <c r="E665" i="607"/>
  <c r="A666" i="607"/>
  <c r="B666" i="607"/>
  <c r="C666" i="607"/>
  <c r="D666" i="607"/>
  <c r="E666" i="607"/>
  <c r="A667" i="607"/>
  <c r="B667" i="607"/>
  <c r="C667" i="607"/>
  <c r="D667" i="607"/>
  <c r="E667" i="607"/>
  <c r="A668" i="607"/>
  <c r="B668" i="607"/>
  <c r="C668" i="607"/>
  <c r="D668" i="607"/>
  <c r="E668" i="607"/>
  <c r="A669" i="607"/>
  <c r="B669" i="607"/>
  <c r="C669" i="607"/>
  <c r="D669" i="607"/>
  <c r="E669" i="607"/>
  <c r="A670" i="607"/>
  <c r="B670" i="607"/>
  <c r="C670" i="607"/>
  <c r="D670" i="607"/>
  <c r="E670" i="607"/>
  <c r="A671" i="607"/>
  <c r="B671" i="607"/>
  <c r="C671" i="607"/>
  <c r="D671" i="607"/>
  <c r="E671" i="607"/>
  <c r="A672" i="607"/>
  <c r="B672" i="607"/>
  <c r="C672" i="607"/>
  <c r="D672" i="607"/>
  <c r="E672" i="607"/>
  <c r="A673" i="607"/>
  <c r="B673" i="607"/>
  <c r="C673" i="607"/>
  <c r="D673" i="607"/>
  <c r="E673" i="607"/>
  <c r="A674" i="607"/>
  <c r="B674" i="607"/>
  <c r="C674" i="607"/>
  <c r="D674" i="607"/>
  <c r="E674" i="607"/>
  <c r="A675" i="607"/>
  <c r="B675" i="607"/>
  <c r="C675" i="607"/>
  <c r="D675" i="607"/>
  <c r="E675" i="607"/>
  <c r="A676" i="607"/>
  <c r="B676" i="607"/>
  <c r="C676" i="607"/>
  <c r="D676" i="607"/>
  <c r="E676" i="607"/>
  <c r="A677" i="607"/>
  <c r="B677" i="607"/>
  <c r="C677" i="607"/>
  <c r="D677" i="607"/>
  <c r="E677" i="607"/>
  <c r="A678" i="607"/>
  <c r="B678" i="607"/>
  <c r="C678" i="607"/>
  <c r="D678" i="607"/>
  <c r="E678" i="607"/>
  <c r="A679" i="607"/>
  <c r="B679" i="607"/>
  <c r="C679" i="607"/>
  <c r="D679" i="607"/>
  <c r="E679" i="607"/>
  <c r="A680" i="607"/>
  <c r="B680" i="607"/>
  <c r="C680" i="607"/>
  <c r="D680" i="607"/>
  <c r="E680" i="607"/>
  <c r="A681" i="607"/>
  <c r="B681" i="607"/>
  <c r="C681" i="607"/>
  <c r="D681" i="607"/>
  <c r="E681" i="607"/>
  <c r="A682" i="607"/>
  <c r="B682" i="607"/>
  <c r="C682" i="607"/>
  <c r="D682" i="607"/>
  <c r="E682" i="607"/>
  <c r="A683" i="607"/>
  <c r="B683" i="607"/>
  <c r="C683" i="607"/>
  <c r="D683" i="607"/>
  <c r="E683" i="607"/>
  <c r="A684" i="607"/>
  <c r="B684" i="607"/>
  <c r="C684" i="607"/>
  <c r="D684" i="607"/>
  <c r="E684" i="607"/>
  <c r="A685" i="607"/>
  <c r="B685" i="607"/>
  <c r="C685" i="607"/>
  <c r="D685" i="607"/>
  <c r="E685" i="607"/>
  <c r="A686" i="607"/>
  <c r="B686" i="607"/>
  <c r="C686" i="607"/>
  <c r="D686" i="607"/>
  <c r="E686" i="607"/>
  <c r="A687" i="607"/>
  <c r="B687" i="607"/>
  <c r="C687" i="607"/>
  <c r="D687" i="607"/>
  <c r="E687" i="607"/>
  <c r="A688" i="607"/>
  <c r="B688" i="607"/>
  <c r="C688" i="607"/>
  <c r="D688" i="607"/>
  <c r="E688" i="607"/>
  <c r="A689" i="607"/>
  <c r="B689" i="607"/>
  <c r="C689" i="607"/>
  <c r="D689" i="607"/>
  <c r="E689" i="607"/>
  <c r="A690" i="607"/>
  <c r="B690" i="607"/>
  <c r="C690" i="607"/>
  <c r="D690" i="607"/>
  <c r="E690" i="607"/>
  <c r="A691" i="607"/>
  <c r="B691" i="607"/>
  <c r="C691" i="607"/>
  <c r="D691" i="607"/>
  <c r="E691" i="607"/>
  <c r="A692" i="607"/>
  <c r="B692" i="607"/>
  <c r="C692" i="607"/>
  <c r="D692" i="607"/>
  <c r="E692" i="607"/>
  <c r="A693" i="607"/>
  <c r="B693" i="607"/>
  <c r="C693" i="607"/>
  <c r="D693" i="607"/>
  <c r="E693" i="607"/>
  <c r="A694" i="607"/>
  <c r="B694" i="607"/>
  <c r="C694" i="607"/>
  <c r="D694" i="607"/>
  <c r="E694" i="607"/>
  <c r="A695" i="607"/>
  <c r="B695" i="607"/>
  <c r="C695" i="607"/>
  <c r="D695" i="607"/>
  <c r="A696" i="607"/>
  <c r="B696" i="607"/>
  <c r="C696" i="607"/>
  <c r="D696" i="607"/>
  <c r="E696" i="607"/>
  <c r="A697" i="607"/>
  <c r="B697" i="607"/>
  <c r="C697" i="607"/>
  <c r="D697" i="607"/>
  <c r="E697" i="607"/>
  <c r="A698" i="607"/>
  <c r="B698" i="607"/>
  <c r="C698" i="607"/>
  <c r="D698" i="607"/>
  <c r="E698" i="607"/>
  <c r="A699" i="607"/>
  <c r="B699" i="607"/>
  <c r="C699" i="607"/>
  <c r="D699" i="607"/>
  <c r="E699" i="607"/>
  <c r="A700" i="607"/>
  <c r="B700" i="607"/>
  <c r="C700" i="607"/>
  <c r="D700" i="607"/>
  <c r="E700" i="607"/>
  <c r="A701" i="607"/>
  <c r="B701" i="607"/>
  <c r="C701" i="607"/>
  <c r="D701" i="607"/>
  <c r="E701" i="607"/>
  <c r="A702" i="607"/>
  <c r="B702" i="607"/>
  <c r="C702" i="607"/>
  <c r="D702" i="607"/>
  <c r="E702" i="607"/>
  <c r="A703" i="607"/>
  <c r="B703" i="607"/>
  <c r="C703" i="607"/>
  <c r="D703" i="607"/>
  <c r="E703" i="607"/>
  <c r="A704" i="607"/>
  <c r="B704" i="607"/>
  <c r="C704" i="607"/>
  <c r="D704" i="607"/>
  <c r="E704" i="607"/>
  <c r="A705" i="607"/>
  <c r="B705" i="607"/>
  <c r="C705" i="607"/>
  <c r="D705" i="607"/>
  <c r="E705" i="607"/>
  <c r="A706" i="607"/>
  <c r="B706" i="607"/>
  <c r="C706" i="607"/>
  <c r="D706" i="607"/>
  <c r="E706" i="607"/>
  <c r="A707" i="607"/>
  <c r="B707" i="607"/>
  <c r="C707" i="607"/>
  <c r="D707" i="607"/>
  <c r="E707" i="607"/>
  <c r="A708" i="607"/>
  <c r="B708" i="607"/>
  <c r="C708" i="607"/>
  <c r="D708" i="607"/>
  <c r="E708" i="607"/>
  <c r="A709" i="607"/>
  <c r="B709" i="607"/>
  <c r="C709" i="607"/>
  <c r="D709" i="607"/>
  <c r="E709" i="607"/>
  <c r="A710" i="607"/>
  <c r="B710" i="607"/>
  <c r="C710" i="607"/>
  <c r="D710" i="607"/>
  <c r="E710" i="607"/>
  <c r="A711" i="607"/>
  <c r="B711" i="607"/>
  <c r="C711" i="607"/>
  <c r="D711" i="607"/>
  <c r="E711" i="607"/>
  <c r="A712" i="607"/>
  <c r="B712" i="607"/>
  <c r="C712" i="607"/>
  <c r="D712" i="607"/>
  <c r="E712" i="607"/>
  <c r="A713" i="607"/>
  <c r="B713" i="607"/>
  <c r="C713" i="607"/>
  <c r="D713" i="607"/>
  <c r="E713" i="607"/>
  <c r="A714" i="607"/>
  <c r="B714" i="607"/>
  <c r="C714" i="607"/>
  <c r="D714" i="607"/>
  <c r="E714" i="607"/>
  <c r="A715" i="607"/>
  <c r="B715" i="607"/>
  <c r="C715" i="607"/>
  <c r="D715" i="607"/>
  <c r="E715" i="607"/>
  <c r="A716" i="607"/>
  <c r="B716" i="607"/>
  <c r="C716" i="607"/>
  <c r="D716" i="607"/>
  <c r="E716" i="607"/>
  <c r="A717" i="607"/>
  <c r="B717" i="607"/>
  <c r="C717" i="607"/>
  <c r="D717" i="607"/>
  <c r="E717" i="607"/>
  <c r="A718" i="607"/>
  <c r="B718" i="607"/>
  <c r="C718" i="607"/>
  <c r="D718" i="607"/>
  <c r="E718" i="607"/>
  <c r="A719" i="607"/>
  <c r="B719" i="607"/>
  <c r="C719" i="607"/>
  <c r="D719" i="607"/>
  <c r="E719" i="607"/>
  <c r="A720" i="607"/>
  <c r="B720" i="607"/>
  <c r="C720" i="607"/>
  <c r="D720" i="607"/>
  <c r="E720" i="607"/>
  <c r="A721" i="607"/>
  <c r="B721" i="607"/>
  <c r="C721" i="607"/>
  <c r="D721" i="607"/>
  <c r="E721" i="607"/>
  <c r="A722" i="607"/>
  <c r="B722" i="607"/>
  <c r="C722" i="607"/>
  <c r="D722" i="607"/>
  <c r="E722" i="607"/>
  <c r="A723" i="607"/>
  <c r="B723" i="607"/>
  <c r="C723" i="607"/>
  <c r="D723" i="607"/>
  <c r="E723" i="607"/>
  <c r="A724" i="607"/>
  <c r="B724" i="607"/>
  <c r="C724" i="607"/>
  <c r="D724" i="607"/>
  <c r="E724" i="607"/>
  <c r="A725" i="607"/>
  <c r="B725" i="607"/>
  <c r="C725" i="607"/>
  <c r="D725" i="607"/>
  <c r="E725" i="607"/>
  <c r="A726" i="607"/>
  <c r="B726" i="607"/>
  <c r="C726" i="607"/>
  <c r="D726" i="607"/>
  <c r="E726" i="607"/>
  <c r="A727" i="607"/>
  <c r="B727" i="607"/>
  <c r="C727" i="607"/>
  <c r="D727" i="607"/>
  <c r="E727" i="607"/>
  <c r="A728" i="607"/>
  <c r="B728" i="607"/>
  <c r="C728" i="607"/>
  <c r="D728" i="607"/>
  <c r="E728" i="607"/>
  <c r="A729" i="607"/>
  <c r="B729" i="607"/>
  <c r="C729" i="607"/>
  <c r="D729" i="607"/>
  <c r="E729" i="607"/>
  <c r="A730" i="607"/>
  <c r="B730" i="607"/>
  <c r="C730" i="607"/>
  <c r="D730" i="607"/>
  <c r="E730" i="607"/>
  <c r="A731" i="607"/>
  <c r="B731" i="607"/>
  <c r="C731" i="607"/>
  <c r="D731" i="607"/>
  <c r="E731" i="607"/>
  <c r="A732" i="607"/>
  <c r="B732" i="607"/>
  <c r="C732" i="607"/>
  <c r="D732" i="607"/>
  <c r="E732" i="607"/>
  <c r="B102" i="607"/>
  <c r="C102" i="607"/>
  <c r="D102" i="607"/>
  <c r="E102" i="607"/>
  <c r="A102" i="607"/>
  <c r="S36" i="608"/>
  <c r="B21" i="608"/>
  <c r="S26" i="608" s="1"/>
  <c r="A21" i="608"/>
  <c r="B18" i="608"/>
  <c r="S23" i="608" s="1"/>
  <c r="A18" i="608"/>
  <c r="G26" i="577" l="1"/>
  <c r="C111" i="613"/>
  <c r="C99" i="613"/>
  <c r="C89" i="613"/>
  <c r="C75" i="613"/>
  <c r="C63" i="613"/>
  <c r="C51" i="613"/>
  <c r="C41" i="613"/>
  <c r="C29" i="613"/>
  <c r="C21" i="613"/>
  <c r="C110" i="613"/>
  <c r="C119" i="613"/>
  <c r="C109" i="613"/>
  <c r="C95" i="613"/>
  <c r="C85" i="613"/>
  <c r="C73" i="613"/>
  <c r="C61" i="613"/>
  <c r="C47" i="613"/>
  <c r="C39" i="613"/>
  <c r="C27" i="613"/>
  <c r="C18" i="613"/>
  <c r="C118" i="613"/>
  <c r="C108" i="613"/>
  <c r="C94" i="613"/>
  <c r="C82" i="613"/>
  <c r="C72" i="613"/>
  <c r="C46" i="613"/>
  <c r="C38" i="613"/>
  <c r="C26" i="613"/>
  <c r="C16" i="613"/>
  <c r="C74" i="613"/>
  <c r="C62" i="613"/>
  <c r="C117" i="613"/>
  <c r="C107" i="613"/>
  <c r="C93" i="613"/>
  <c r="C81" i="613"/>
  <c r="C69" i="613"/>
  <c r="C57" i="613"/>
  <c r="C45" i="613"/>
  <c r="C35" i="613"/>
  <c r="C25" i="613"/>
  <c r="C116" i="613"/>
  <c r="C106" i="613"/>
  <c r="C92" i="613"/>
  <c r="C80" i="613"/>
  <c r="C68" i="613"/>
  <c r="C56" i="613"/>
  <c r="C44" i="613"/>
  <c r="C34" i="613"/>
  <c r="C24" i="613"/>
  <c r="C98" i="613"/>
  <c r="C20" i="613"/>
  <c r="C113" i="613"/>
  <c r="C103" i="613"/>
  <c r="C91" i="613"/>
  <c r="C79" i="613"/>
  <c r="C65" i="613"/>
  <c r="C53" i="613"/>
  <c r="C43" i="613"/>
  <c r="C33" i="613"/>
  <c r="C23" i="613"/>
  <c r="C86" i="613"/>
  <c r="C48" i="613"/>
  <c r="C28" i="613"/>
  <c r="C112" i="613"/>
  <c r="C102" i="613"/>
  <c r="C90" i="613"/>
  <c r="C78" i="613"/>
  <c r="C64" i="613"/>
  <c r="C42" i="613"/>
  <c r="C30" i="613"/>
  <c r="C22" i="613"/>
  <c r="M15" i="332"/>
  <c r="M16" i="332"/>
  <c r="M17" i="332"/>
  <c r="M18" i="332"/>
  <c r="M19" i="332"/>
  <c r="M20" i="332"/>
  <c r="M21" i="332"/>
  <c r="M22" i="332"/>
  <c r="M23" i="332"/>
  <c r="M24" i="332"/>
  <c r="M25" i="332"/>
  <c r="M26" i="332"/>
  <c r="M27" i="332"/>
  <c r="M28" i="332"/>
  <c r="M29" i="332"/>
  <c r="M30" i="332"/>
  <c r="M31" i="332"/>
  <c r="M32" i="332"/>
  <c r="M33" i="332"/>
  <c r="M14" i="332"/>
  <c r="N15" i="332"/>
  <c r="N16" i="332"/>
  <c r="N17" i="332"/>
  <c r="N18" i="332"/>
  <c r="N19" i="332"/>
  <c r="N20" i="332"/>
  <c r="N21" i="332"/>
  <c r="N22" i="332"/>
  <c r="N23" i="332"/>
  <c r="N24" i="332"/>
  <c r="N25" i="332"/>
  <c r="N26" i="332"/>
  <c r="N27" i="332"/>
  <c r="N28" i="332"/>
  <c r="N29" i="332"/>
  <c r="N30" i="332"/>
  <c r="N31" i="332"/>
  <c r="N32" i="332"/>
  <c r="N33" i="332"/>
  <c r="N14" i="332"/>
  <c r="O15" i="332"/>
  <c r="Q15" i="332" s="1"/>
  <c r="O16" i="332"/>
  <c r="Q16" i="332" s="1"/>
  <c r="O17" i="332"/>
  <c r="Q17" i="332" s="1"/>
  <c r="O18" i="332"/>
  <c r="Q18" i="332" s="1"/>
  <c r="O19" i="332"/>
  <c r="Q19" i="332" s="1"/>
  <c r="O20" i="332"/>
  <c r="Q20" i="332" s="1"/>
  <c r="O21" i="332"/>
  <c r="Q21" i="332" s="1"/>
  <c r="O22" i="332"/>
  <c r="Q22" i="332" s="1"/>
  <c r="O23" i="332"/>
  <c r="Q23" i="332" s="1"/>
  <c r="O24" i="332"/>
  <c r="Q24" i="332" s="1"/>
  <c r="O25" i="332"/>
  <c r="Q25" i="332" s="1"/>
  <c r="O27" i="332"/>
  <c r="Q27" i="332" s="1"/>
  <c r="O28" i="332"/>
  <c r="Q28" i="332" s="1"/>
  <c r="O29" i="332"/>
  <c r="Q29" i="332" s="1"/>
  <c r="O30" i="332"/>
  <c r="Q30" i="332" s="1"/>
  <c r="O31" i="332"/>
  <c r="Q31" i="332" s="1"/>
  <c r="O32" i="332"/>
  <c r="Q32" i="332" s="1"/>
  <c r="O33" i="332"/>
  <c r="Q33" i="332" s="1"/>
  <c r="O34" i="332"/>
  <c r="Q34" i="332" s="1"/>
  <c r="O14" i="332"/>
  <c r="Q14" i="332" s="1"/>
  <c r="O17" i="608" l="1"/>
  <c r="Q17" i="608" s="1"/>
  <c r="O18" i="608"/>
  <c r="Q18" i="608" s="1"/>
  <c r="O19" i="608"/>
  <c r="Q19" i="608" s="1"/>
  <c r="O20" i="608"/>
  <c r="Q20" i="608" s="1"/>
  <c r="O21" i="608"/>
  <c r="Q21" i="608" s="1"/>
  <c r="O22" i="608"/>
  <c r="Q22" i="608" s="1"/>
  <c r="O23" i="608"/>
  <c r="Q23" i="608" s="1"/>
  <c r="Q24" i="608"/>
  <c r="O25" i="608"/>
  <c r="Q25" i="608" s="1"/>
  <c r="O26" i="608"/>
  <c r="Q26" i="608" s="1"/>
  <c r="O27" i="608"/>
  <c r="Q27" i="608" s="1"/>
  <c r="O28" i="608"/>
  <c r="Q28" i="608" s="1"/>
  <c r="O29" i="608"/>
  <c r="Q29" i="608" s="1"/>
  <c r="O32" i="608"/>
  <c r="Q32" i="608" s="1"/>
  <c r="O33" i="608"/>
  <c r="Q33" i="608" s="1"/>
  <c r="O34" i="608"/>
  <c r="Q34" i="608" s="1"/>
  <c r="O35" i="608"/>
  <c r="Q35" i="608" s="1"/>
  <c r="Q16" i="608"/>
  <c r="C31" i="611" l="1"/>
  <c r="D31" i="611"/>
  <c r="E31" i="611"/>
  <c r="G31" i="611"/>
  <c r="H31" i="611"/>
  <c r="C32" i="611"/>
  <c r="D32" i="611"/>
  <c r="E32" i="611"/>
  <c r="G32" i="611"/>
  <c r="H32" i="611"/>
  <c r="C33" i="611"/>
  <c r="D33" i="611"/>
  <c r="E33" i="611"/>
  <c r="G33" i="611"/>
  <c r="H33" i="611"/>
  <c r="C34" i="611"/>
  <c r="D34" i="611"/>
  <c r="E34" i="611"/>
  <c r="G34" i="611"/>
  <c r="H34" i="611"/>
  <c r="C35" i="611"/>
  <c r="D35" i="611"/>
  <c r="E35" i="611"/>
  <c r="G35" i="611"/>
  <c r="H35" i="611"/>
  <c r="C36" i="611"/>
  <c r="J36" i="611" s="1"/>
  <c r="D36" i="611"/>
  <c r="E36" i="611"/>
  <c r="G36" i="611"/>
  <c r="H36" i="611"/>
  <c r="C37" i="611"/>
  <c r="D37" i="611"/>
  <c r="E37" i="611"/>
  <c r="G37" i="611"/>
  <c r="H37" i="611"/>
  <c r="C38" i="611"/>
  <c r="D38" i="611"/>
  <c r="E38" i="611"/>
  <c r="G38" i="611"/>
  <c r="H38" i="611"/>
  <c r="C39" i="611"/>
  <c r="D39" i="611"/>
  <c r="E39" i="611"/>
  <c r="G39" i="611"/>
  <c r="H39" i="611"/>
  <c r="C40" i="611"/>
  <c r="D40" i="611"/>
  <c r="E40" i="611"/>
  <c r="G40" i="611"/>
  <c r="H40" i="611"/>
  <c r="C41" i="611"/>
  <c r="D41" i="611"/>
  <c r="E41" i="611"/>
  <c r="G41" i="611"/>
  <c r="H41" i="611"/>
  <c r="C42" i="611"/>
  <c r="D42" i="611"/>
  <c r="E42" i="611"/>
  <c r="G42" i="611"/>
  <c r="H42" i="611"/>
  <c r="C43" i="611"/>
  <c r="D43" i="611"/>
  <c r="E43" i="611"/>
  <c r="G43" i="611"/>
  <c r="H43" i="611"/>
  <c r="C44" i="611"/>
  <c r="J44" i="611" s="1"/>
  <c r="D44" i="611"/>
  <c r="E44" i="611"/>
  <c r="G44" i="611"/>
  <c r="H44" i="611"/>
  <c r="C45" i="611"/>
  <c r="D45" i="611"/>
  <c r="E45" i="611"/>
  <c r="G45" i="611"/>
  <c r="H45" i="611"/>
  <c r="C46" i="611"/>
  <c r="D46" i="611"/>
  <c r="E46" i="611"/>
  <c r="G46" i="611"/>
  <c r="H46" i="611"/>
  <c r="C47" i="611"/>
  <c r="D47" i="611"/>
  <c r="E47" i="611"/>
  <c r="G47" i="611"/>
  <c r="H47" i="611"/>
  <c r="C48" i="611"/>
  <c r="D48" i="611"/>
  <c r="E48" i="611"/>
  <c r="G48" i="611"/>
  <c r="H48" i="611"/>
  <c r="C49" i="611"/>
  <c r="D49" i="611"/>
  <c r="E49" i="611"/>
  <c r="G49" i="611"/>
  <c r="H49" i="611"/>
  <c r="C50" i="611"/>
  <c r="D50" i="611"/>
  <c r="E50" i="611"/>
  <c r="G50" i="611"/>
  <c r="H50" i="611"/>
  <c r="C51" i="611"/>
  <c r="D51" i="611"/>
  <c r="E51" i="611"/>
  <c r="G51" i="611"/>
  <c r="H51" i="611"/>
  <c r="C52" i="611"/>
  <c r="J52" i="611" s="1"/>
  <c r="D52" i="611"/>
  <c r="E52" i="611"/>
  <c r="G52" i="611"/>
  <c r="H52" i="611"/>
  <c r="C53" i="611"/>
  <c r="D53" i="611"/>
  <c r="E53" i="611"/>
  <c r="G53" i="611"/>
  <c r="H53" i="611"/>
  <c r="C54" i="611"/>
  <c r="D54" i="611"/>
  <c r="E54" i="611"/>
  <c r="G54" i="611"/>
  <c r="H54" i="611"/>
  <c r="C55" i="611"/>
  <c r="D55" i="611"/>
  <c r="E55" i="611"/>
  <c r="G55" i="611"/>
  <c r="H55" i="611"/>
  <c r="C56" i="611"/>
  <c r="D56" i="611"/>
  <c r="E56" i="611"/>
  <c r="G56" i="611"/>
  <c r="H56" i="611"/>
  <c r="C57" i="611"/>
  <c r="D57" i="611"/>
  <c r="E57" i="611"/>
  <c r="G57" i="611"/>
  <c r="H57" i="611"/>
  <c r="C58" i="611"/>
  <c r="D58" i="611"/>
  <c r="E58" i="611"/>
  <c r="G58" i="611"/>
  <c r="H58" i="611"/>
  <c r="C59" i="611"/>
  <c r="D59" i="611"/>
  <c r="E59" i="611"/>
  <c r="G59" i="611"/>
  <c r="H59" i="611"/>
  <c r="C60" i="611"/>
  <c r="J60" i="611" s="1"/>
  <c r="D60" i="611"/>
  <c r="E60" i="611"/>
  <c r="G60" i="611"/>
  <c r="H60" i="611"/>
  <c r="C61" i="611"/>
  <c r="D61" i="611"/>
  <c r="E61" i="611"/>
  <c r="G61" i="611"/>
  <c r="H61" i="611"/>
  <c r="C62" i="611"/>
  <c r="D62" i="611"/>
  <c r="E62" i="611"/>
  <c r="G62" i="611"/>
  <c r="H62" i="611"/>
  <c r="C63" i="611"/>
  <c r="D63" i="611"/>
  <c r="E63" i="611"/>
  <c r="G63" i="611"/>
  <c r="H63" i="611"/>
  <c r="C64" i="611"/>
  <c r="D64" i="611"/>
  <c r="E64" i="611"/>
  <c r="G64" i="611"/>
  <c r="H64" i="611"/>
  <c r="C65" i="611"/>
  <c r="D65" i="611"/>
  <c r="E65" i="611"/>
  <c r="G65" i="611"/>
  <c r="H65" i="611"/>
  <c r="C66" i="611"/>
  <c r="D66" i="611"/>
  <c r="E66" i="611"/>
  <c r="G66" i="611"/>
  <c r="H66" i="611"/>
  <c r="C67" i="611"/>
  <c r="D67" i="611"/>
  <c r="E67" i="611"/>
  <c r="G67" i="611"/>
  <c r="H67" i="611"/>
  <c r="C68" i="611"/>
  <c r="J68" i="611" s="1"/>
  <c r="D68" i="611"/>
  <c r="E68" i="611"/>
  <c r="G68" i="611"/>
  <c r="H68" i="611"/>
  <c r="C69" i="611"/>
  <c r="D69" i="611"/>
  <c r="E69" i="611"/>
  <c r="G69" i="611"/>
  <c r="H69" i="611"/>
  <c r="C70" i="611"/>
  <c r="D70" i="611"/>
  <c r="E70" i="611"/>
  <c r="G70" i="611"/>
  <c r="H70" i="611"/>
  <c r="C71" i="611"/>
  <c r="D71" i="611"/>
  <c r="E71" i="611"/>
  <c r="G71" i="611"/>
  <c r="H71" i="611"/>
  <c r="C72" i="611"/>
  <c r="D72" i="611"/>
  <c r="E72" i="611"/>
  <c r="G72" i="611"/>
  <c r="H72" i="611"/>
  <c r="C73" i="611"/>
  <c r="D73" i="611"/>
  <c r="E73" i="611"/>
  <c r="G73" i="611"/>
  <c r="H73" i="611"/>
  <c r="C74" i="611"/>
  <c r="D74" i="611"/>
  <c r="E74" i="611"/>
  <c r="G74" i="611"/>
  <c r="H74" i="611"/>
  <c r="C75" i="611"/>
  <c r="D75" i="611"/>
  <c r="E75" i="611"/>
  <c r="G75" i="611"/>
  <c r="H75" i="611"/>
  <c r="C76" i="611"/>
  <c r="D76" i="611"/>
  <c r="E76" i="611"/>
  <c r="G76" i="611"/>
  <c r="H76" i="611"/>
  <c r="C77" i="611"/>
  <c r="D77" i="611"/>
  <c r="E77" i="611"/>
  <c r="G77" i="611"/>
  <c r="H77" i="611"/>
  <c r="C78" i="611"/>
  <c r="D78" i="611"/>
  <c r="E78" i="611"/>
  <c r="G78" i="611"/>
  <c r="H78" i="611"/>
  <c r="C80" i="611"/>
  <c r="D80" i="611"/>
  <c r="E80" i="611"/>
  <c r="G80" i="611"/>
  <c r="H80" i="611"/>
  <c r="C81" i="611"/>
  <c r="D81" i="611"/>
  <c r="E81" i="611"/>
  <c r="G81" i="611"/>
  <c r="H81" i="611"/>
  <c r="C82" i="611"/>
  <c r="D82" i="611"/>
  <c r="E82" i="611"/>
  <c r="G82" i="611"/>
  <c r="H82" i="611"/>
  <c r="C83" i="611"/>
  <c r="D83" i="611"/>
  <c r="E83" i="611"/>
  <c r="G83" i="611"/>
  <c r="H83" i="611"/>
  <c r="C84" i="611"/>
  <c r="D84" i="611"/>
  <c r="E84" i="611"/>
  <c r="G84" i="611"/>
  <c r="H84" i="611"/>
  <c r="C86" i="611"/>
  <c r="D86" i="611"/>
  <c r="E86" i="611"/>
  <c r="G86" i="611"/>
  <c r="H86" i="611"/>
  <c r="C87" i="611"/>
  <c r="D87" i="611"/>
  <c r="E87" i="611"/>
  <c r="G87" i="611"/>
  <c r="H87" i="611"/>
  <c r="C88" i="611"/>
  <c r="D88" i="611"/>
  <c r="E88" i="611"/>
  <c r="G88" i="611"/>
  <c r="H88" i="611"/>
  <c r="C89" i="611"/>
  <c r="D89" i="611"/>
  <c r="E89" i="611"/>
  <c r="G89" i="611"/>
  <c r="H89" i="611"/>
  <c r="D30" i="611"/>
  <c r="E30" i="611"/>
  <c r="G30" i="611"/>
  <c r="H30" i="611"/>
  <c r="C30" i="611"/>
  <c r="C25" i="611"/>
  <c r="C10" i="611"/>
  <c r="D10" i="611"/>
  <c r="E10" i="611"/>
  <c r="G10" i="611"/>
  <c r="H10" i="611"/>
  <c r="C11" i="611"/>
  <c r="D11" i="611"/>
  <c r="E11" i="611"/>
  <c r="G11" i="611"/>
  <c r="H11" i="611"/>
  <c r="C12" i="611"/>
  <c r="D12" i="611"/>
  <c r="E12" i="611"/>
  <c r="G12" i="611"/>
  <c r="H12" i="611"/>
  <c r="C13" i="611"/>
  <c r="D13" i="611"/>
  <c r="E13" i="611"/>
  <c r="G13" i="611"/>
  <c r="H13" i="611"/>
  <c r="C14" i="611"/>
  <c r="D14" i="611"/>
  <c r="E14" i="611"/>
  <c r="G14" i="611"/>
  <c r="H14" i="611"/>
  <c r="C15" i="611"/>
  <c r="D15" i="611"/>
  <c r="E15" i="611"/>
  <c r="G15" i="611"/>
  <c r="H15" i="611"/>
  <c r="C16" i="611"/>
  <c r="D16" i="611"/>
  <c r="E16" i="611"/>
  <c r="G16" i="611"/>
  <c r="H16" i="611"/>
  <c r="C17" i="611"/>
  <c r="D17" i="611"/>
  <c r="E17" i="611"/>
  <c r="G17" i="611"/>
  <c r="H17" i="611"/>
  <c r="C18" i="611"/>
  <c r="D18" i="611"/>
  <c r="E18" i="611"/>
  <c r="G18" i="611"/>
  <c r="H18" i="611"/>
  <c r="C19" i="611"/>
  <c r="D19" i="611"/>
  <c r="E19" i="611"/>
  <c r="G19" i="611"/>
  <c r="H19" i="611"/>
  <c r="C20" i="611"/>
  <c r="D20" i="611"/>
  <c r="E20" i="611"/>
  <c r="G20" i="611"/>
  <c r="H20" i="611"/>
  <c r="C21" i="611"/>
  <c r="D21" i="611"/>
  <c r="E21" i="611"/>
  <c r="G21" i="611"/>
  <c r="H21" i="611"/>
  <c r="C22" i="611"/>
  <c r="D22" i="611"/>
  <c r="E22" i="611"/>
  <c r="G22" i="611"/>
  <c r="H22" i="611"/>
  <c r="C23" i="611"/>
  <c r="D23" i="611"/>
  <c r="E23" i="611"/>
  <c r="G23" i="611"/>
  <c r="H23" i="611"/>
  <c r="C24" i="611"/>
  <c r="D24" i="611"/>
  <c r="E24" i="611"/>
  <c r="G24" i="611"/>
  <c r="H24" i="611"/>
  <c r="D25" i="611"/>
  <c r="E25" i="611"/>
  <c r="G25" i="611"/>
  <c r="H25" i="611"/>
  <c r="D9" i="611"/>
  <c r="E9" i="611"/>
  <c r="G9" i="611"/>
  <c r="H9" i="611"/>
  <c r="C9" i="611"/>
  <c r="I9" i="601"/>
  <c r="A65" i="551"/>
  <c r="A64" i="551"/>
  <c r="A62" i="551"/>
  <c r="A61" i="551"/>
  <c r="A59" i="551"/>
  <c r="A58" i="551"/>
  <c r="A56" i="551"/>
  <c r="A55" i="551"/>
  <c r="J64" i="611" l="1"/>
  <c r="J56" i="611"/>
  <c r="J48" i="611"/>
  <c r="J40" i="611"/>
  <c r="J32" i="611"/>
  <c r="J15" i="611"/>
  <c r="J84" i="611"/>
  <c r="J75" i="611"/>
  <c r="J23" i="611"/>
  <c r="J19" i="611"/>
  <c r="J11" i="611"/>
  <c r="J89" i="611"/>
  <c r="J80" i="611"/>
  <c r="J47" i="611"/>
  <c r="J31" i="611"/>
  <c r="J25" i="611"/>
  <c r="J82" i="611"/>
  <c r="J73" i="611"/>
  <c r="J66" i="611"/>
  <c r="J58" i="611"/>
  <c r="J50" i="611"/>
  <c r="J42" i="611"/>
  <c r="J34" i="611"/>
  <c r="J18" i="611"/>
  <c r="J10" i="611"/>
  <c r="J88" i="611"/>
  <c r="J78" i="611"/>
  <c r="J71" i="611"/>
  <c r="J63" i="611"/>
  <c r="J55" i="611"/>
  <c r="J39" i="611"/>
  <c r="J21" i="611"/>
  <c r="J13" i="611"/>
  <c r="J24" i="611"/>
  <c r="J16" i="611"/>
  <c r="J30" i="611"/>
  <c r="J86" i="611"/>
  <c r="J76" i="611"/>
  <c r="J69" i="611"/>
  <c r="J61" i="611"/>
  <c r="J53" i="611"/>
  <c r="J45" i="611"/>
  <c r="J37" i="611"/>
  <c r="J22" i="611"/>
  <c r="J83" i="611"/>
  <c r="J74" i="611"/>
  <c r="J43" i="611"/>
  <c r="J9" i="611"/>
  <c r="J17" i="611"/>
  <c r="J87" i="611"/>
  <c r="J77" i="611"/>
  <c r="J70" i="611"/>
  <c r="J62" i="611"/>
  <c r="J54" i="611"/>
  <c r="J46" i="611"/>
  <c r="J38" i="611"/>
  <c r="J14" i="611"/>
  <c r="J67" i="611"/>
  <c r="J59" i="611"/>
  <c r="J51" i="611"/>
  <c r="J35" i="611"/>
  <c r="J20" i="611"/>
  <c r="J12" i="611"/>
  <c r="J81" i="611"/>
  <c r="J72" i="611"/>
  <c r="J65" i="611"/>
  <c r="J57" i="611"/>
  <c r="J49" i="611"/>
  <c r="J41" i="611"/>
  <c r="J33" i="611"/>
  <c r="D42" i="606"/>
  <c r="M9" i="606" s="1"/>
  <c r="D43" i="606"/>
  <c r="D41" i="606"/>
  <c r="M7" i="606" s="1"/>
  <c r="D15" i="606"/>
  <c r="D5" i="606"/>
  <c r="A37" i="606" l="1"/>
  <c r="A36" i="606"/>
  <c r="A25" i="606"/>
  <c r="A24" i="606"/>
  <c r="A48" i="606"/>
  <c r="M11" i="606"/>
  <c r="H34" i="606"/>
  <c r="G34" i="606"/>
  <c r="A23" i="606"/>
  <c r="A21" i="606"/>
  <c r="A34" i="606"/>
  <c r="M34" i="606"/>
  <c r="A56" i="606"/>
  <c r="A65" i="606"/>
  <c r="A64" i="606"/>
  <c r="A62" i="606"/>
  <c r="A61" i="606"/>
  <c r="A59" i="606"/>
  <c r="A58" i="606"/>
  <c r="A55" i="606"/>
  <c r="Q35" i="620" l="1"/>
  <c r="Q36" i="620"/>
  <c r="Q37" i="620"/>
  <c r="Q38" i="620"/>
  <c r="Q39" i="620"/>
  <c r="Q40" i="620"/>
  <c r="Q41" i="620"/>
  <c r="Q42" i="620"/>
  <c r="Q43" i="620"/>
  <c r="Q44" i="620"/>
  <c r="Q45" i="620"/>
  <c r="Q46" i="620"/>
  <c r="Q47" i="620"/>
  <c r="Q48" i="620"/>
  <c r="Q49" i="620"/>
  <c r="Q50" i="620"/>
  <c r="Q51" i="620"/>
  <c r="Q52" i="620"/>
  <c r="Q53" i="620"/>
  <c r="Q54" i="620"/>
  <c r="Q55" i="620"/>
  <c r="Q56" i="620"/>
  <c r="Q57" i="620"/>
  <c r="Q58" i="620"/>
  <c r="Q59" i="620"/>
  <c r="Q60" i="620"/>
  <c r="Q61" i="620"/>
  <c r="Q62" i="620"/>
  <c r="Q63" i="620"/>
  <c r="Q64" i="620"/>
  <c r="Q65" i="620"/>
  <c r="Q66" i="620"/>
  <c r="Q67" i="620"/>
  <c r="Q68" i="620"/>
  <c r="Q69" i="620"/>
  <c r="Q70" i="620"/>
  <c r="Q71" i="620"/>
  <c r="Q72" i="620"/>
  <c r="Q73" i="620"/>
  <c r="Q74" i="620"/>
  <c r="Q75" i="620"/>
  <c r="Q76" i="620"/>
  <c r="Q77" i="620"/>
  <c r="Q78" i="620"/>
  <c r="Q79" i="620"/>
  <c r="Q80" i="620"/>
  <c r="Q81" i="620"/>
  <c r="Q82" i="620"/>
  <c r="Q84" i="620"/>
  <c r="Q85" i="620"/>
  <c r="Q86" i="620"/>
  <c r="Q87" i="620"/>
  <c r="Q88" i="620"/>
  <c r="Q90" i="620"/>
  <c r="Q91" i="620"/>
  <c r="Q92" i="620"/>
  <c r="Q93" i="620"/>
  <c r="H101" i="343"/>
  <c r="D95" i="618"/>
  <c r="H100" i="620"/>
  <c r="M100" i="620"/>
  <c r="R100" i="620"/>
  <c r="A11" i="608" l="1"/>
  <c r="B11" i="608"/>
  <c r="S16" i="608" s="1"/>
  <c r="A12" i="608"/>
  <c r="B12" i="608"/>
  <c r="S17" i="608" s="1"/>
  <c r="A13" i="608"/>
  <c r="B13" i="608"/>
  <c r="S18" i="608" s="1"/>
  <c r="A14" i="608"/>
  <c r="B14" i="608"/>
  <c r="S19" i="608" s="1"/>
  <c r="A15" i="608"/>
  <c r="B15" i="608"/>
  <c r="S20" i="608" s="1"/>
  <c r="A16" i="608"/>
  <c r="B16" i="608"/>
  <c r="S21" i="608" s="1"/>
  <c r="A17" i="608"/>
  <c r="B17" i="608"/>
  <c r="S22" i="608" s="1"/>
  <c r="A19" i="608"/>
  <c r="B19" i="608"/>
  <c r="S24" i="608" s="1"/>
  <c r="A20" i="608"/>
  <c r="S25" i="608"/>
  <c r="A10" i="608"/>
  <c r="B10" i="608"/>
  <c r="S15" i="608" s="1"/>
  <c r="A9" i="608"/>
  <c r="B9" i="608"/>
  <c r="S14" i="608" s="1"/>
  <c r="A22" i="608"/>
  <c r="B22" i="608"/>
  <c r="S27" i="608" s="1"/>
  <c r="A23" i="608"/>
  <c r="B23" i="608"/>
  <c r="S28" i="608" s="1"/>
  <c r="A24" i="608"/>
  <c r="B24" i="608"/>
  <c r="S31" i="608" s="1"/>
  <c r="A25" i="608"/>
  <c r="B25" i="608"/>
  <c r="S32" i="608" s="1"/>
  <c r="A26" i="608"/>
  <c r="B26" i="608"/>
  <c r="S33" i="608" s="1"/>
  <c r="A27" i="608"/>
  <c r="B27" i="608"/>
  <c r="S34" i="608" s="1"/>
  <c r="S35" i="608"/>
  <c r="A32" i="608"/>
  <c r="B8" i="608"/>
  <c r="S13" i="608" s="1"/>
  <c r="A8" i="608"/>
  <c r="S29" i="608" l="1"/>
  <c r="S30" i="608"/>
  <c r="K29" i="622"/>
  <c r="L29" i="622" s="1"/>
  <c r="M29" i="622" s="1"/>
  <c r="K25" i="622"/>
  <c r="L25" i="622" s="1"/>
  <c r="M25" i="622" s="1"/>
  <c r="K22" i="622"/>
  <c r="L22" i="622" s="1"/>
  <c r="M22" i="622" s="1"/>
  <c r="K18" i="622"/>
  <c r="L18" i="622" s="1"/>
  <c r="M18" i="622" s="1"/>
  <c r="K14" i="622"/>
  <c r="L14" i="622" s="1"/>
  <c r="M14" i="622" s="1"/>
  <c r="K10" i="622"/>
  <c r="K19" i="622"/>
  <c r="L19" i="622" s="1"/>
  <c r="M19" i="622" s="1"/>
  <c r="K23" i="622"/>
  <c r="L23" i="622" s="1"/>
  <c r="M23" i="622" s="1"/>
  <c r="K32" i="622"/>
  <c r="L32" i="622" s="1"/>
  <c r="M32" i="622" s="1"/>
  <c r="K28" i="622"/>
  <c r="L28" i="622" s="1"/>
  <c r="M28" i="622" s="1"/>
  <c r="K24" i="622"/>
  <c r="L24" i="622" s="1"/>
  <c r="M24" i="622" s="1"/>
  <c r="K21" i="622"/>
  <c r="L21" i="622" s="1"/>
  <c r="M21" i="622" s="1"/>
  <c r="K17" i="622"/>
  <c r="L17" i="622" s="1"/>
  <c r="M17" i="622" s="1"/>
  <c r="K13" i="622"/>
  <c r="L13" i="622" s="1"/>
  <c r="M13" i="622" s="1"/>
  <c r="K26" i="622"/>
  <c r="L26" i="622" s="1"/>
  <c r="M26" i="622" s="1"/>
  <c r="K31" i="622"/>
  <c r="L31" i="622" s="1"/>
  <c r="M31" i="622" s="1"/>
  <c r="K27" i="622"/>
  <c r="L27" i="622" s="1"/>
  <c r="M27" i="622" s="1"/>
  <c r="K20" i="622"/>
  <c r="L20" i="622" s="1"/>
  <c r="M20" i="622" s="1"/>
  <c r="K16" i="622"/>
  <c r="L16" i="622" s="1"/>
  <c r="M16" i="622" s="1"/>
  <c r="K12" i="622"/>
  <c r="L12" i="622" s="1"/>
  <c r="M12" i="622" s="1"/>
  <c r="K30" i="622"/>
  <c r="L30" i="622" s="1"/>
  <c r="M30" i="622" s="1"/>
  <c r="K15" i="622"/>
  <c r="L15" i="622" s="1"/>
  <c r="M15" i="622" s="1"/>
  <c r="K11" i="622"/>
  <c r="L11" i="622" s="1"/>
  <c r="M11" i="622" s="1"/>
  <c r="A41" i="605"/>
  <c r="B41" i="605"/>
  <c r="D41" i="605" s="1"/>
  <c r="F41" i="605"/>
  <c r="G41" i="605"/>
  <c r="H41" i="605" s="1"/>
  <c r="J41" i="605"/>
  <c r="L41" i="605" s="1"/>
  <c r="N41" i="605"/>
  <c r="O41" i="605"/>
  <c r="R41" i="605"/>
  <c r="T41" i="605" s="1"/>
  <c r="V41" i="605"/>
  <c r="W41" i="605"/>
  <c r="Z41" i="605"/>
  <c r="A42" i="605"/>
  <c r="B42" i="605"/>
  <c r="D42" i="605" s="1"/>
  <c r="F42" i="605"/>
  <c r="G42" i="605"/>
  <c r="H42" i="605" s="1"/>
  <c r="J42" i="605"/>
  <c r="L42" i="605" s="1"/>
  <c r="N42" i="605"/>
  <c r="O42" i="605"/>
  <c r="R42" i="605"/>
  <c r="T42" i="605" s="1"/>
  <c r="V42" i="605"/>
  <c r="W42" i="605"/>
  <c r="Z42" i="605"/>
  <c r="A43" i="605"/>
  <c r="B43" i="605"/>
  <c r="D43" i="605" s="1"/>
  <c r="F43" i="605"/>
  <c r="G43" i="605"/>
  <c r="H43" i="605"/>
  <c r="J43" i="605"/>
  <c r="L43" i="605" s="1"/>
  <c r="N43" i="605"/>
  <c r="O43" i="605"/>
  <c r="R43" i="605"/>
  <c r="T43" i="605" s="1"/>
  <c r="V43" i="605"/>
  <c r="W43" i="605"/>
  <c r="Z43" i="605"/>
  <c r="A44" i="605"/>
  <c r="B44" i="605"/>
  <c r="D44" i="605" s="1"/>
  <c r="F44" i="605"/>
  <c r="G44" i="605"/>
  <c r="H44" i="605" s="1"/>
  <c r="J44" i="605"/>
  <c r="L44" i="605" s="1"/>
  <c r="N44" i="605"/>
  <c r="O44" i="605"/>
  <c r="R44" i="605"/>
  <c r="T44" i="605" s="1"/>
  <c r="V44" i="605"/>
  <c r="W44" i="605"/>
  <c r="Z44" i="605"/>
  <c r="A45" i="605"/>
  <c r="B45" i="605"/>
  <c r="D45" i="605" s="1"/>
  <c r="F45" i="605"/>
  <c r="G45" i="605"/>
  <c r="H45" i="605" s="1"/>
  <c r="J45" i="605"/>
  <c r="L45" i="605" s="1"/>
  <c r="N45" i="605"/>
  <c r="O45" i="605"/>
  <c r="R45" i="605"/>
  <c r="T45" i="605" s="1"/>
  <c r="V45" i="605"/>
  <c r="W45" i="605"/>
  <c r="Z45" i="605"/>
  <c r="A46" i="605"/>
  <c r="B46" i="605"/>
  <c r="D46" i="605" s="1"/>
  <c r="F46" i="605"/>
  <c r="G46" i="605"/>
  <c r="H46" i="605" s="1"/>
  <c r="J46" i="605"/>
  <c r="L46" i="605" s="1"/>
  <c r="N46" i="605"/>
  <c r="O46" i="605"/>
  <c r="R46" i="605"/>
  <c r="T46" i="605" s="1"/>
  <c r="V46" i="605"/>
  <c r="W46" i="605"/>
  <c r="Z46" i="605"/>
  <c r="A47" i="605"/>
  <c r="B47" i="605"/>
  <c r="D47" i="605" s="1"/>
  <c r="F47" i="605"/>
  <c r="G47" i="605"/>
  <c r="H47" i="605"/>
  <c r="J47" i="605"/>
  <c r="L47" i="605" s="1"/>
  <c r="N47" i="605"/>
  <c r="O47" i="605"/>
  <c r="R47" i="605"/>
  <c r="T47" i="605" s="1"/>
  <c r="V47" i="605"/>
  <c r="W47" i="605"/>
  <c r="Z47" i="605"/>
  <c r="A48" i="605"/>
  <c r="B48" i="605"/>
  <c r="D48" i="605" s="1"/>
  <c r="F48" i="605"/>
  <c r="G48" i="605"/>
  <c r="H48" i="605" s="1"/>
  <c r="J48" i="605"/>
  <c r="L48" i="605" s="1"/>
  <c r="N48" i="605"/>
  <c r="O48" i="605"/>
  <c r="R48" i="605"/>
  <c r="T48" i="605" s="1"/>
  <c r="V48" i="605"/>
  <c r="W48" i="605"/>
  <c r="Z48" i="605"/>
  <c r="A49" i="605"/>
  <c r="B49" i="605"/>
  <c r="D49" i="605" s="1"/>
  <c r="F49" i="605"/>
  <c r="G49" i="605"/>
  <c r="H49" i="605" s="1"/>
  <c r="J49" i="605"/>
  <c r="L49" i="605" s="1"/>
  <c r="N49" i="605"/>
  <c r="O49" i="605"/>
  <c r="R49" i="605"/>
  <c r="T49" i="605" s="1"/>
  <c r="V49" i="605"/>
  <c r="W49" i="605"/>
  <c r="Z49" i="605"/>
  <c r="A50" i="605"/>
  <c r="B50" i="605"/>
  <c r="D50" i="605" s="1"/>
  <c r="F50" i="605"/>
  <c r="G50" i="605"/>
  <c r="H50" i="605" s="1"/>
  <c r="J50" i="605"/>
  <c r="L50" i="605" s="1"/>
  <c r="N50" i="605"/>
  <c r="O50" i="605"/>
  <c r="R50" i="605"/>
  <c r="T50" i="605" s="1"/>
  <c r="V50" i="605"/>
  <c r="W50" i="605"/>
  <c r="Z50" i="605"/>
  <c r="A51" i="605"/>
  <c r="B51" i="605"/>
  <c r="D51" i="605" s="1"/>
  <c r="F51" i="605"/>
  <c r="G51" i="605"/>
  <c r="H51" i="605" s="1"/>
  <c r="J51" i="605"/>
  <c r="L51" i="605" s="1"/>
  <c r="N51" i="605"/>
  <c r="O51" i="605"/>
  <c r="R51" i="605"/>
  <c r="T51" i="605" s="1"/>
  <c r="V51" i="605"/>
  <c r="W51" i="605"/>
  <c r="Z51" i="605"/>
  <c r="A52" i="605"/>
  <c r="B52" i="605"/>
  <c r="D52" i="605" s="1"/>
  <c r="F52" i="605"/>
  <c r="G52" i="605"/>
  <c r="H52" i="605" s="1"/>
  <c r="J52" i="605"/>
  <c r="L52" i="605" s="1"/>
  <c r="N52" i="605"/>
  <c r="O52" i="605"/>
  <c r="R52" i="605"/>
  <c r="T52" i="605" s="1"/>
  <c r="V52" i="605"/>
  <c r="W52" i="605"/>
  <c r="Z52" i="605"/>
  <c r="A53" i="605"/>
  <c r="B53" i="605"/>
  <c r="D53" i="605" s="1"/>
  <c r="F53" i="605"/>
  <c r="G53" i="605"/>
  <c r="H53" i="605" s="1"/>
  <c r="J53" i="605"/>
  <c r="L53" i="605" s="1"/>
  <c r="N53" i="605"/>
  <c r="O53" i="605"/>
  <c r="R53" i="605"/>
  <c r="T53" i="605" s="1"/>
  <c r="V53" i="605"/>
  <c r="W53" i="605"/>
  <c r="Z53" i="605"/>
  <c r="A54" i="605"/>
  <c r="B54" i="605"/>
  <c r="D54" i="605" s="1"/>
  <c r="F54" i="605"/>
  <c r="G54" i="605"/>
  <c r="H54" i="605" s="1"/>
  <c r="J54" i="605"/>
  <c r="L54" i="605" s="1"/>
  <c r="N54" i="605"/>
  <c r="O54" i="605"/>
  <c r="R54" i="605"/>
  <c r="T54" i="605" s="1"/>
  <c r="V54" i="605"/>
  <c r="W54" i="605"/>
  <c r="Z54" i="605"/>
  <c r="A55" i="605"/>
  <c r="B55" i="605"/>
  <c r="D55" i="605" s="1"/>
  <c r="F55" i="605"/>
  <c r="G55" i="605"/>
  <c r="H55" i="605" s="1"/>
  <c r="J55" i="605"/>
  <c r="L55" i="605" s="1"/>
  <c r="N55" i="605"/>
  <c r="O55" i="605"/>
  <c r="R55" i="605"/>
  <c r="T55" i="605" s="1"/>
  <c r="V55" i="605"/>
  <c r="W55" i="605"/>
  <c r="Z55" i="605"/>
  <c r="A56" i="605"/>
  <c r="B56" i="605"/>
  <c r="D56" i="605" s="1"/>
  <c r="F56" i="605"/>
  <c r="G56" i="605"/>
  <c r="H56" i="605" s="1"/>
  <c r="J56" i="605"/>
  <c r="L56" i="605" s="1"/>
  <c r="N56" i="605"/>
  <c r="O56" i="605"/>
  <c r="R56" i="605"/>
  <c r="T56" i="605" s="1"/>
  <c r="V56" i="605"/>
  <c r="W56" i="605"/>
  <c r="Z56" i="605"/>
  <c r="A57" i="605"/>
  <c r="B57" i="605"/>
  <c r="D57" i="605" s="1"/>
  <c r="F57" i="605"/>
  <c r="G57" i="605"/>
  <c r="H57" i="605" s="1"/>
  <c r="J57" i="605"/>
  <c r="L57" i="605" s="1"/>
  <c r="N57" i="605"/>
  <c r="O57" i="605"/>
  <c r="R57" i="605"/>
  <c r="T57" i="605" s="1"/>
  <c r="V57" i="605"/>
  <c r="W57" i="605"/>
  <c r="Z57" i="605"/>
  <c r="A58" i="605"/>
  <c r="B58" i="605"/>
  <c r="D58" i="605" s="1"/>
  <c r="F58" i="605"/>
  <c r="G58" i="605"/>
  <c r="H58" i="605" s="1"/>
  <c r="J58" i="605"/>
  <c r="L58" i="605" s="1"/>
  <c r="N58" i="605"/>
  <c r="O58" i="605"/>
  <c r="R58" i="605"/>
  <c r="T58" i="605" s="1"/>
  <c r="V58" i="605"/>
  <c r="W58" i="605"/>
  <c r="Z58" i="605"/>
  <c r="A59" i="605"/>
  <c r="B59" i="605"/>
  <c r="D59" i="605" s="1"/>
  <c r="F59" i="605"/>
  <c r="G59" i="605"/>
  <c r="H59" i="605" s="1"/>
  <c r="J59" i="605"/>
  <c r="L59" i="605" s="1"/>
  <c r="N59" i="605"/>
  <c r="O59" i="605"/>
  <c r="R59" i="605"/>
  <c r="T59" i="605" s="1"/>
  <c r="V59" i="605"/>
  <c r="W59" i="605"/>
  <c r="Z59" i="605"/>
  <c r="A60" i="605"/>
  <c r="B60" i="605"/>
  <c r="D60" i="605" s="1"/>
  <c r="F60" i="605"/>
  <c r="G60" i="605"/>
  <c r="H60" i="605" s="1"/>
  <c r="J60" i="605"/>
  <c r="L60" i="605" s="1"/>
  <c r="N60" i="605"/>
  <c r="O60" i="605"/>
  <c r="R60" i="605"/>
  <c r="T60" i="605" s="1"/>
  <c r="V60" i="605"/>
  <c r="W60" i="605"/>
  <c r="Z60" i="605"/>
  <c r="A61" i="605"/>
  <c r="B61" i="605"/>
  <c r="D61" i="605" s="1"/>
  <c r="F61" i="605"/>
  <c r="G61" i="605"/>
  <c r="H61" i="605" s="1"/>
  <c r="J61" i="605"/>
  <c r="L61" i="605" s="1"/>
  <c r="N61" i="605"/>
  <c r="O61" i="605"/>
  <c r="R61" i="605"/>
  <c r="T61" i="605" s="1"/>
  <c r="V61" i="605"/>
  <c r="W61" i="605"/>
  <c r="Z61" i="605"/>
  <c r="A62" i="605"/>
  <c r="B62" i="605"/>
  <c r="D62" i="605" s="1"/>
  <c r="F62" i="605"/>
  <c r="G62" i="605"/>
  <c r="H62" i="605" s="1"/>
  <c r="J62" i="605"/>
  <c r="L62" i="605" s="1"/>
  <c r="N62" i="605"/>
  <c r="O62" i="605"/>
  <c r="R62" i="605"/>
  <c r="T62" i="605" s="1"/>
  <c r="V62" i="605"/>
  <c r="W62" i="605"/>
  <c r="Z62" i="605"/>
  <c r="A63" i="605"/>
  <c r="B63" i="605"/>
  <c r="D63" i="605" s="1"/>
  <c r="F63" i="605"/>
  <c r="G63" i="605"/>
  <c r="H63" i="605"/>
  <c r="J63" i="605"/>
  <c r="L63" i="605" s="1"/>
  <c r="N63" i="605"/>
  <c r="O63" i="605"/>
  <c r="R63" i="605"/>
  <c r="T63" i="605" s="1"/>
  <c r="V63" i="605"/>
  <c r="W63" i="605"/>
  <c r="Z63" i="605"/>
  <c r="A64" i="605"/>
  <c r="B64" i="605"/>
  <c r="D64" i="605" s="1"/>
  <c r="F64" i="605"/>
  <c r="G64" i="605"/>
  <c r="H64" i="605" s="1"/>
  <c r="J64" i="605"/>
  <c r="L64" i="605" s="1"/>
  <c r="N64" i="605"/>
  <c r="O64" i="605"/>
  <c r="R64" i="605"/>
  <c r="T64" i="605" s="1"/>
  <c r="V64" i="605"/>
  <c r="W64" i="605"/>
  <c r="Z64" i="605"/>
  <c r="A65" i="605"/>
  <c r="B65" i="605"/>
  <c r="D65" i="605" s="1"/>
  <c r="F65" i="605"/>
  <c r="G65" i="605"/>
  <c r="H65" i="605" s="1"/>
  <c r="J65" i="605"/>
  <c r="L65" i="605" s="1"/>
  <c r="N65" i="605"/>
  <c r="O65" i="605"/>
  <c r="R65" i="605"/>
  <c r="T65" i="605" s="1"/>
  <c r="V65" i="605"/>
  <c r="W65" i="605"/>
  <c r="Z65" i="605"/>
  <c r="A66" i="605"/>
  <c r="B66" i="605"/>
  <c r="D66" i="605" s="1"/>
  <c r="F66" i="605"/>
  <c r="G66" i="605"/>
  <c r="H66" i="605" s="1"/>
  <c r="J66" i="605"/>
  <c r="L66" i="605" s="1"/>
  <c r="N66" i="605"/>
  <c r="O66" i="605"/>
  <c r="R66" i="605"/>
  <c r="T66" i="605" s="1"/>
  <c r="V66" i="605"/>
  <c r="W66" i="605"/>
  <c r="Z66" i="605"/>
  <c r="A67" i="605"/>
  <c r="B67" i="605"/>
  <c r="D67" i="605" s="1"/>
  <c r="F67" i="605"/>
  <c r="G67" i="605"/>
  <c r="H67" i="605" s="1"/>
  <c r="J67" i="605"/>
  <c r="L67" i="605" s="1"/>
  <c r="N67" i="605"/>
  <c r="O67" i="605"/>
  <c r="R67" i="605"/>
  <c r="T67" i="605" s="1"/>
  <c r="V67" i="605"/>
  <c r="W67" i="605"/>
  <c r="Z67" i="605"/>
  <c r="A68" i="605"/>
  <c r="B68" i="605"/>
  <c r="D68" i="605" s="1"/>
  <c r="F68" i="605"/>
  <c r="G68" i="605"/>
  <c r="H68" i="605" s="1"/>
  <c r="J68" i="605"/>
  <c r="L68" i="605" s="1"/>
  <c r="N68" i="605"/>
  <c r="O68" i="605"/>
  <c r="R68" i="605"/>
  <c r="T68" i="605" s="1"/>
  <c r="V68" i="605"/>
  <c r="W68" i="605"/>
  <c r="Z68" i="605"/>
  <c r="A69" i="605"/>
  <c r="B69" i="605"/>
  <c r="D69" i="605" s="1"/>
  <c r="F69" i="605"/>
  <c r="G69" i="605"/>
  <c r="H69" i="605" s="1"/>
  <c r="J69" i="605"/>
  <c r="L69" i="605" s="1"/>
  <c r="N69" i="605"/>
  <c r="O69" i="605"/>
  <c r="R69" i="605"/>
  <c r="T69" i="605" s="1"/>
  <c r="V69" i="605"/>
  <c r="W69" i="605"/>
  <c r="Z69" i="605"/>
  <c r="A70" i="605"/>
  <c r="B70" i="605"/>
  <c r="D70" i="605" s="1"/>
  <c r="F70" i="605"/>
  <c r="G70" i="605"/>
  <c r="H70" i="605" s="1"/>
  <c r="J70" i="605"/>
  <c r="L70" i="605" s="1"/>
  <c r="N70" i="605"/>
  <c r="O70" i="605"/>
  <c r="R70" i="605"/>
  <c r="T70" i="605" s="1"/>
  <c r="V70" i="605"/>
  <c r="W70" i="605"/>
  <c r="Z70" i="605"/>
  <c r="A71" i="605"/>
  <c r="B71" i="605"/>
  <c r="D71" i="605" s="1"/>
  <c r="F71" i="605"/>
  <c r="G71" i="605"/>
  <c r="H71" i="605" s="1"/>
  <c r="J71" i="605"/>
  <c r="L71" i="605" s="1"/>
  <c r="N71" i="605"/>
  <c r="O71" i="605"/>
  <c r="R71" i="605"/>
  <c r="T71" i="605" s="1"/>
  <c r="V71" i="605"/>
  <c r="W71" i="605"/>
  <c r="Z71" i="605"/>
  <c r="A72" i="605"/>
  <c r="B72" i="605"/>
  <c r="D72" i="605" s="1"/>
  <c r="F72" i="605"/>
  <c r="G72" i="605"/>
  <c r="H72" i="605" s="1"/>
  <c r="J72" i="605"/>
  <c r="L72" i="605" s="1"/>
  <c r="N72" i="605"/>
  <c r="O72" i="605"/>
  <c r="R72" i="605"/>
  <c r="T72" i="605" s="1"/>
  <c r="V72" i="605"/>
  <c r="W72" i="605"/>
  <c r="Z72" i="605"/>
  <c r="A73" i="605"/>
  <c r="B73" i="605"/>
  <c r="D73" i="605" s="1"/>
  <c r="F73" i="605"/>
  <c r="G73" i="605"/>
  <c r="H73" i="605" s="1"/>
  <c r="J73" i="605"/>
  <c r="L73" i="605" s="1"/>
  <c r="N73" i="605"/>
  <c r="O73" i="605"/>
  <c r="R73" i="605"/>
  <c r="T73" i="605" s="1"/>
  <c r="V73" i="605"/>
  <c r="W73" i="605"/>
  <c r="Z73" i="605"/>
  <c r="A74" i="605"/>
  <c r="B74" i="605"/>
  <c r="D74" i="605" s="1"/>
  <c r="F74" i="605"/>
  <c r="G74" i="605"/>
  <c r="H74" i="605" s="1"/>
  <c r="J74" i="605"/>
  <c r="L74" i="605" s="1"/>
  <c r="N74" i="605"/>
  <c r="O74" i="605"/>
  <c r="R74" i="605"/>
  <c r="T74" i="605" s="1"/>
  <c r="V74" i="605"/>
  <c r="W74" i="605"/>
  <c r="Z74" i="605"/>
  <c r="A75" i="605"/>
  <c r="B75" i="605"/>
  <c r="D75" i="605" s="1"/>
  <c r="F75" i="605"/>
  <c r="G75" i="605"/>
  <c r="H75" i="605" s="1"/>
  <c r="J75" i="605"/>
  <c r="L75" i="605" s="1"/>
  <c r="N75" i="605"/>
  <c r="O75" i="605"/>
  <c r="R75" i="605"/>
  <c r="T75" i="605" s="1"/>
  <c r="V75" i="605"/>
  <c r="W75" i="605"/>
  <c r="Z75" i="605"/>
  <c r="A76" i="605"/>
  <c r="B76" i="605"/>
  <c r="D76" i="605" s="1"/>
  <c r="F76" i="605"/>
  <c r="G76" i="605"/>
  <c r="H76" i="605" s="1"/>
  <c r="J76" i="605"/>
  <c r="L76" i="605" s="1"/>
  <c r="N76" i="605"/>
  <c r="O76" i="605"/>
  <c r="R76" i="605"/>
  <c r="T76" i="605" s="1"/>
  <c r="V76" i="605"/>
  <c r="W76" i="605"/>
  <c r="Z76" i="605"/>
  <c r="A77" i="605"/>
  <c r="B77" i="605"/>
  <c r="D77" i="605" s="1"/>
  <c r="F77" i="605"/>
  <c r="G77" i="605"/>
  <c r="H77" i="605" s="1"/>
  <c r="J77" i="605"/>
  <c r="L77" i="605" s="1"/>
  <c r="N77" i="605"/>
  <c r="O77" i="605"/>
  <c r="R77" i="605"/>
  <c r="T77" i="605" s="1"/>
  <c r="V77" i="605"/>
  <c r="W77" i="605"/>
  <c r="Z77" i="605"/>
  <c r="A78" i="605"/>
  <c r="B78" i="605"/>
  <c r="D78" i="605" s="1"/>
  <c r="F78" i="605"/>
  <c r="G78" i="605"/>
  <c r="H78" i="605"/>
  <c r="J78" i="605"/>
  <c r="L78" i="605" s="1"/>
  <c r="N78" i="605"/>
  <c r="O78" i="605"/>
  <c r="R78" i="605"/>
  <c r="T78" i="605" s="1"/>
  <c r="V78" i="605"/>
  <c r="W78" i="605"/>
  <c r="Z78" i="605"/>
  <c r="A79" i="605"/>
  <c r="B79" i="605"/>
  <c r="D79" i="605" s="1"/>
  <c r="F79" i="605"/>
  <c r="G79" i="605"/>
  <c r="H79" i="605" s="1"/>
  <c r="J79" i="605"/>
  <c r="L79" i="605" s="1"/>
  <c r="N79" i="605"/>
  <c r="O79" i="605"/>
  <c r="R79" i="605"/>
  <c r="T79" i="605" s="1"/>
  <c r="V79" i="605"/>
  <c r="W79" i="605"/>
  <c r="Z79" i="605"/>
  <c r="A80" i="605"/>
  <c r="B80" i="605"/>
  <c r="D80" i="605" s="1"/>
  <c r="F80" i="605"/>
  <c r="G80" i="605"/>
  <c r="H80" i="605" s="1"/>
  <c r="J80" i="605"/>
  <c r="L80" i="605" s="1"/>
  <c r="N80" i="605"/>
  <c r="O80" i="605"/>
  <c r="R80" i="605"/>
  <c r="T80" i="605" s="1"/>
  <c r="V80" i="605"/>
  <c r="W80" i="605"/>
  <c r="Z80" i="605"/>
  <c r="A81" i="605"/>
  <c r="B81" i="605"/>
  <c r="D81" i="605" s="1"/>
  <c r="F81" i="605"/>
  <c r="G81" i="605"/>
  <c r="H81" i="605" s="1"/>
  <c r="J81" i="605"/>
  <c r="L81" i="605" s="1"/>
  <c r="N81" i="605"/>
  <c r="O81" i="605"/>
  <c r="R81" i="605"/>
  <c r="T81" i="605" s="1"/>
  <c r="V81" i="605"/>
  <c r="W81" i="605"/>
  <c r="Z81" i="605"/>
  <c r="A83" i="605"/>
  <c r="B83" i="605"/>
  <c r="D83" i="605" s="1"/>
  <c r="F83" i="605"/>
  <c r="G83" i="605"/>
  <c r="H83" i="605" s="1"/>
  <c r="J83" i="605"/>
  <c r="L83" i="605" s="1"/>
  <c r="N83" i="605"/>
  <c r="O83" i="605"/>
  <c r="R83" i="605"/>
  <c r="T83" i="605" s="1"/>
  <c r="V83" i="605"/>
  <c r="W83" i="605"/>
  <c r="Z83" i="605"/>
  <c r="A84" i="605"/>
  <c r="B84" i="605"/>
  <c r="D84" i="605" s="1"/>
  <c r="F84" i="605"/>
  <c r="G84" i="605"/>
  <c r="H84" i="605" s="1"/>
  <c r="J84" i="605"/>
  <c r="L84" i="605" s="1"/>
  <c r="N84" i="605"/>
  <c r="O84" i="605"/>
  <c r="R84" i="605"/>
  <c r="T84" i="605" s="1"/>
  <c r="V84" i="605"/>
  <c r="W84" i="605"/>
  <c r="Z84" i="605"/>
  <c r="A85" i="605"/>
  <c r="B85" i="605"/>
  <c r="D85" i="605" s="1"/>
  <c r="F85" i="605"/>
  <c r="G85" i="605"/>
  <c r="H85" i="605" s="1"/>
  <c r="J85" i="605"/>
  <c r="L85" i="605" s="1"/>
  <c r="N85" i="605"/>
  <c r="O85" i="605"/>
  <c r="R85" i="605"/>
  <c r="T85" i="605" s="1"/>
  <c r="V85" i="605"/>
  <c r="W85" i="605"/>
  <c r="Z85" i="605"/>
  <c r="A86" i="605"/>
  <c r="B86" i="605"/>
  <c r="D86" i="605" s="1"/>
  <c r="F86" i="605"/>
  <c r="G86" i="605"/>
  <c r="H86" i="605" s="1"/>
  <c r="J86" i="605"/>
  <c r="L86" i="605" s="1"/>
  <c r="N86" i="605"/>
  <c r="O86" i="605"/>
  <c r="R86" i="605"/>
  <c r="T86" i="605" s="1"/>
  <c r="V86" i="605"/>
  <c r="W86" i="605"/>
  <c r="Z86" i="605"/>
  <c r="A87" i="605"/>
  <c r="B87" i="605"/>
  <c r="D87" i="605" s="1"/>
  <c r="F87" i="605"/>
  <c r="G87" i="605"/>
  <c r="H87" i="605"/>
  <c r="J87" i="605"/>
  <c r="L87" i="605" s="1"/>
  <c r="N87" i="605"/>
  <c r="O87" i="605"/>
  <c r="R87" i="605"/>
  <c r="T87" i="605" s="1"/>
  <c r="V87" i="605"/>
  <c r="W87" i="605"/>
  <c r="Z87" i="605"/>
  <c r="A89" i="605"/>
  <c r="B89" i="605"/>
  <c r="D89" i="605" s="1"/>
  <c r="F89" i="605"/>
  <c r="G89" i="605"/>
  <c r="H89" i="605" s="1"/>
  <c r="J89" i="605"/>
  <c r="L89" i="605" s="1"/>
  <c r="N89" i="605"/>
  <c r="O89" i="605"/>
  <c r="R89" i="605"/>
  <c r="T89" i="605" s="1"/>
  <c r="V89" i="605"/>
  <c r="W89" i="605"/>
  <c r="Z89" i="605"/>
  <c r="A90" i="605"/>
  <c r="B90" i="605"/>
  <c r="D90" i="605" s="1"/>
  <c r="F90" i="605"/>
  <c r="G90" i="605"/>
  <c r="H90" i="605" s="1"/>
  <c r="J90" i="605"/>
  <c r="L90" i="605" s="1"/>
  <c r="N90" i="605"/>
  <c r="O90" i="605"/>
  <c r="R90" i="605"/>
  <c r="T90" i="605" s="1"/>
  <c r="V90" i="605"/>
  <c r="W90" i="605"/>
  <c r="Z90" i="605"/>
  <c r="A91" i="605"/>
  <c r="B91" i="605"/>
  <c r="D91" i="605" s="1"/>
  <c r="F91" i="605"/>
  <c r="G91" i="605"/>
  <c r="H91" i="605" s="1"/>
  <c r="J91" i="605"/>
  <c r="L91" i="605" s="1"/>
  <c r="N91" i="605"/>
  <c r="O91" i="605"/>
  <c r="R91" i="605"/>
  <c r="T91" i="605" s="1"/>
  <c r="V91" i="605"/>
  <c r="W91" i="605"/>
  <c r="Z91" i="605"/>
  <c r="A92" i="605"/>
  <c r="B92" i="605"/>
  <c r="D92" i="605" s="1"/>
  <c r="F92" i="605"/>
  <c r="G92" i="605"/>
  <c r="H92" i="605" s="1"/>
  <c r="J92" i="605"/>
  <c r="L92" i="605" s="1"/>
  <c r="N92" i="605"/>
  <c r="O92" i="605"/>
  <c r="R92" i="605"/>
  <c r="T92" i="605" s="1"/>
  <c r="V92" i="605"/>
  <c r="W92" i="605"/>
  <c r="Z92" i="605"/>
  <c r="A34" i="605"/>
  <c r="B34" i="605"/>
  <c r="D34" i="605" s="1"/>
  <c r="F34" i="605"/>
  <c r="G34" i="605"/>
  <c r="H34" i="605" s="1"/>
  <c r="J34" i="605"/>
  <c r="L34" i="605" s="1"/>
  <c r="N34" i="605"/>
  <c r="O34" i="605"/>
  <c r="R34" i="605"/>
  <c r="T34" i="605" s="1"/>
  <c r="V34" i="605"/>
  <c r="W34" i="605"/>
  <c r="Z34" i="605"/>
  <c r="A35" i="605"/>
  <c r="B35" i="605"/>
  <c r="D35" i="605" s="1"/>
  <c r="F35" i="605"/>
  <c r="G35" i="605"/>
  <c r="H35" i="605" s="1"/>
  <c r="J35" i="605"/>
  <c r="L35" i="605" s="1"/>
  <c r="N35" i="605"/>
  <c r="O35" i="605"/>
  <c r="R35" i="605"/>
  <c r="T35" i="605" s="1"/>
  <c r="V35" i="605"/>
  <c r="W35" i="605"/>
  <c r="Z35" i="605"/>
  <c r="A36" i="605"/>
  <c r="B36" i="605"/>
  <c r="D36" i="605" s="1"/>
  <c r="F36" i="605"/>
  <c r="G36" i="605"/>
  <c r="H36" i="605"/>
  <c r="J36" i="605"/>
  <c r="L36" i="605" s="1"/>
  <c r="N36" i="605"/>
  <c r="O36" i="605"/>
  <c r="R36" i="605"/>
  <c r="T36" i="605" s="1"/>
  <c r="V36" i="605"/>
  <c r="W36" i="605"/>
  <c r="Z36" i="605"/>
  <c r="A37" i="605"/>
  <c r="B37" i="605"/>
  <c r="D37" i="605" s="1"/>
  <c r="F37" i="605"/>
  <c r="G37" i="605"/>
  <c r="H37" i="605"/>
  <c r="J37" i="605"/>
  <c r="L37" i="605" s="1"/>
  <c r="N37" i="605"/>
  <c r="O37" i="605"/>
  <c r="R37" i="605"/>
  <c r="T37" i="605" s="1"/>
  <c r="V37" i="605"/>
  <c r="W37" i="605"/>
  <c r="Z37" i="605"/>
  <c r="A38" i="605"/>
  <c r="B38" i="605"/>
  <c r="D38" i="605" s="1"/>
  <c r="F38" i="605"/>
  <c r="G38" i="605"/>
  <c r="H38" i="605"/>
  <c r="J38" i="605"/>
  <c r="L38" i="605" s="1"/>
  <c r="N38" i="605"/>
  <c r="O38" i="605"/>
  <c r="R38" i="605"/>
  <c r="T38" i="605" s="1"/>
  <c r="V38" i="605"/>
  <c r="W38" i="605"/>
  <c r="Z38" i="605"/>
  <c r="A39" i="605"/>
  <c r="B39" i="605"/>
  <c r="D39" i="605" s="1"/>
  <c r="F39" i="605"/>
  <c r="G39" i="605"/>
  <c r="H39" i="605" s="1"/>
  <c r="J39" i="605"/>
  <c r="L39" i="605" s="1"/>
  <c r="N39" i="605"/>
  <c r="O39" i="605"/>
  <c r="R39" i="605"/>
  <c r="T39" i="605" s="1"/>
  <c r="V39" i="605"/>
  <c r="W39" i="605"/>
  <c r="Z39" i="605"/>
  <c r="A40" i="605"/>
  <c r="B40" i="605"/>
  <c r="D40" i="605" s="1"/>
  <c r="F40" i="605"/>
  <c r="G40" i="605"/>
  <c r="H40" i="605" s="1"/>
  <c r="J40" i="605"/>
  <c r="L40" i="605" s="1"/>
  <c r="N40" i="605"/>
  <c r="O40" i="605"/>
  <c r="R40" i="605"/>
  <c r="T40" i="605" s="1"/>
  <c r="V40" i="605"/>
  <c r="W40" i="605"/>
  <c r="Z40" i="605"/>
  <c r="O35" i="619"/>
  <c r="O36" i="619"/>
  <c r="O37" i="619"/>
  <c r="O38" i="619"/>
  <c r="O39" i="619"/>
  <c r="O40" i="619"/>
  <c r="O41" i="619"/>
  <c r="O42" i="619"/>
  <c r="O43" i="619"/>
  <c r="O44" i="619"/>
  <c r="O45" i="619"/>
  <c r="O46" i="619"/>
  <c r="O47" i="619"/>
  <c r="O48" i="619"/>
  <c r="O49" i="619"/>
  <c r="O50" i="619"/>
  <c r="O51" i="619"/>
  <c r="O52" i="619"/>
  <c r="O53" i="619"/>
  <c r="O54" i="619"/>
  <c r="O55" i="619"/>
  <c r="O56" i="619"/>
  <c r="O57" i="619"/>
  <c r="O58" i="619"/>
  <c r="O59" i="619"/>
  <c r="O60" i="619"/>
  <c r="O61" i="619"/>
  <c r="O62" i="619"/>
  <c r="O63" i="619"/>
  <c r="O64" i="619"/>
  <c r="O65" i="619"/>
  <c r="O66" i="619"/>
  <c r="O67" i="619"/>
  <c r="O68" i="619"/>
  <c r="O69" i="619"/>
  <c r="O70" i="619"/>
  <c r="O71" i="619"/>
  <c r="O72" i="619"/>
  <c r="O73" i="619"/>
  <c r="O74" i="619"/>
  <c r="O75" i="619"/>
  <c r="O76" i="619"/>
  <c r="O77" i="619"/>
  <c r="O78" i="619"/>
  <c r="O79" i="619"/>
  <c r="O80" i="619"/>
  <c r="O81" i="619"/>
  <c r="O82" i="619"/>
  <c r="O84" i="619"/>
  <c r="O85" i="619"/>
  <c r="O86" i="619"/>
  <c r="O87" i="619"/>
  <c r="O88" i="619"/>
  <c r="O90" i="619"/>
  <c r="O91" i="619"/>
  <c r="O92" i="619"/>
  <c r="O93" i="619"/>
  <c r="C89" i="618"/>
  <c r="I89" i="618" s="1"/>
  <c r="D89" i="618"/>
  <c r="C44" i="618"/>
  <c r="D44" i="618"/>
  <c r="C45" i="618"/>
  <c r="D45" i="618"/>
  <c r="C46" i="618"/>
  <c r="D46" i="618"/>
  <c r="C47" i="618"/>
  <c r="I47" i="618" s="1"/>
  <c r="D47" i="618"/>
  <c r="C48" i="618"/>
  <c r="D48" i="618"/>
  <c r="C49" i="618"/>
  <c r="D49" i="618"/>
  <c r="C50" i="618"/>
  <c r="D50" i="618"/>
  <c r="C51" i="618"/>
  <c r="I51" i="618" s="1"/>
  <c r="D51" i="618"/>
  <c r="C52" i="618"/>
  <c r="D52" i="618"/>
  <c r="C53" i="618"/>
  <c r="D53" i="618"/>
  <c r="C54" i="618"/>
  <c r="D54" i="618"/>
  <c r="C55" i="618"/>
  <c r="D55" i="618"/>
  <c r="C56" i="618"/>
  <c r="I56" i="618" s="1"/>
  <c r="D56" i="618"/>
  <c r="C57" i="618"/>
  <c r="D57" i="618"/>
  <c r="C58" i="618"/>
  <c r="D58" i="618"/>
  <c r="C59" i="618"/>
  <c r="D59" i="618"/>
  <c r="C60" i="618"/>
  <c r="D60" i="618"/>
  <c r="C61" i="618"/>
  <c r="D61" i="618"/>
  <c r="C62" i="618"/>
  <c r="D62" i="618"/>
  <c r="C63" i="618"/>
  <c r="D63" i="618"/>
  <c r="C64" i="618"/>
  <c r="D64" i="618"/>
  <c r="C65" i="618"/>
  <c r="D65" i="618"/>
  <c r="C66" i="618"/>
  <c r="D66" i="618"/>
  <c r="C67" i="618"/>
  <c r="D67" i="618"/>
  <c r="C68" i="618"/>
  <c r="D68" i="618"/>
  <c r="C69" i="618"/>
  <c r="D69" i="618"/>
  <c r="C70" i="618"/>
  <c r="D70" i="618"/>
  <c r="C71" i="618"/>
  <c r="D71" i="618"/>
  <c r="C72" i="618"/>
  <c r="D72" i="618"/>
  <c r="C73" i="618"/>
  <c r="D73" i="618"/>
  <c r="C74" i="618"/>
  <c r="D74" i="618"/>
  <c r="C75" i="618"/>
  <c r="I75" i="618" s="1"/>
  <c r="D75" i="618"/>
  <c r="C76" i="618"/>
  <c r="D76" i="618"/>
  <c r="C77" i="618"/>
  <c r="D77" i="618"/>
  <c r="C78" i="618"/>
  <c r="D78" i="618"/>
  <c r="C80" i="618"/>
  <c r="I80" i="618" s="1"/>
  <c r="D80" i="618"/>
  <c r="C81" i="618"/>
  <c r="D81" i="618"/>
  <c r="C82" i="618"/>
  <c r="D82" i="618"/>
  <c r="C83" i="618"/>
  <c r="D83" i="618"/>
  <c r="C84" i="618"/>
  <c r="D84" i="618"/>
  <c r="C86" i="618"/>
  <c r="D86" i="618"/>
  <c r="C87" i="618"/>
  <c r="I87" i="618" s="1"/>
  <c r="D87" i="618"/>
  <c r="C88" i="618"/>
  <c r="I88" i="618" s="1"/>
  <c r="D88" i="618"/>
  <c r="C32" i="618"/>
  <c r="D32" i="618"/>
  <c r="C33" i="618"/>
  <c r="D33" i="618"/>
  <c r="C34" i="618"/>
  <c r="D34" i="618"/>
  <c r="C35" i="618"/>
  <c r="I35" i="618" s="1"/>
  <c r="D35" i="618"/>
  <c r="H35" i="618"/>
  <c r="O35" i="618" s="1"/>
  <c r="C36" i="618"/>
  <c r="D36" i="618"/>
  <c r="C37" i="618"/>
  <c r="I37" i="618" s="1"/>
  <c r="D37" i="618"/>
  <c r="H37" i="618"/>
  <c r="O37" i="618" s="1"/>
  <c r="C38" i="618"/>
  <c r="D38" i="618"/>
  <c r="C39" i="618"/>
  <c r="I39" i="618" s="1"/>
  <c r="D39" i="618"/>
  <c r="C40" i="618"/>
  <c r="D40" i="618"/>
  <c r="C41" i="618"/>
  <c r="D41" i="618"/>
  <c r="C42" i="618"/>
  <c r="D42" i="618"/>
  <c r="C43" i="618"/>
  <c r="D43" i="618"/>
  <c r="C49" i="616"/>
  <c r="G49" i="616"/>
  <c r="K49" i="616"/>
  <c r="C50" i="616"/>
  <c r="G50" i="616"/>
  <c r="K50" i="616"/>
  <c r="C51" i="616"/>
  <c r="G51" i="616"/>
  <c r="K51" i="616"/>
  <c r="C52" i="616"/>
  <c r="G52" i="616"/>
  <c r="K52" i="616"/>
  <c r="C53" i="616"/>
  <c r="G53" i="616"/>
  <c r="K53" i="616"/>
  <c r="C54" i="616"/>
  <c r="G54" i="616"/>
  <c r="K54" i="616"/>
  <c r="C55" i="616"/>
  <c r="G55" i="616"/>
  <c r="K55" i="616"/>
  <c r="C56" i="616"/>
  <c r="G56" i="616"/>
  <c r="K56" i="616"/>
  <c r="C57" i="616"/>
  <c r="G57" i="616"/>
  <c r="K57" i="616"/>
  <c r="C58" i="616"/>
  <c r="G58" i="616"/>
  <c r="K58" i="616"/>
  <c r="C59" i="616"/>
  <c r="G59" i="616"/>
  <c r="K59" i="616"/>
  <c r="C60" i="616"/>
  <c r="G60" i="616"/>
  <c r="K60" i="616"/>
  <c r="C61" i="616"/>
  <c r="G61" i="616"/>
  <c r="K61" i="616"/>
  <c r="C62" i="616"/>
  <c r="G62" i="616"/>
  <c r="K62" i="616"/>
  <c r="C63" i="616"/>
  <c r="G63" i="616"/>
  <c r="K63" i="616"/>
  <c r="C64" i="616"/>
  <c r="G64" i="616"/>
  <c r="K64" i="616"/>
  <c r="C65" i="616"/>
  <c r="G65" i="616"/>
  <c r="K65" i="616"/>
  <c r="C66" i="616"/>
  <c r="G66" i="616"/>
  <c r="K66" i="616"/>
  <c r="C67" i="616"/>
  <c r="G67" i="616"/>
  <c r="K67" i="616"/>
  <c r="C68" i="616"/>
  <c r="G68" i="616"/>
  <c r="K68" i="616"/>
  <c r="C69" i="616"/>
  <c r="G69" i="616"/>
  <c r="K69" i="616"/>
  <c r="C70" i="616"/>
  <c r="G70" i="616"/>
  <c r="K70" i="616"/>
  <c r="C71" i="616"/>
  <c r="G71" i="616"/>
  <c r="K71" i="616"/>
  <c r="C72" i="616"/>
  <c r="G72" i="616"/>
  <c r="K72" i="616"/>
  <c r="C73" i="616"/>
  <c r="G73" i="616"/>
  <c r="K73" i="616"/>
  <c r="C74" i="616"/>
  <c r="G74" i="616"/>
  <c r="K74" i="616"/>
  <c r="C75" i="616"/>
  <c r="G75" i="616"/>
  <c r="K75" i="616"/>
  <c r="C76" i="616"/>
  <c r="G76" i="616"/>
  <c r="K76" i="616"/>
  <c r="C77" i="616"/>
  <c r="G77" i="616"/>
  <c r="K77" i="616"/>
  <c r="C78" i="616"/>
  <c r="G78" i="616"/>
  <c r="K78" i="616"/>
  <c r="C79" i="616"/>
  <c r="G79" i="616"/>
  <c r="K79" i="616"/>
  <c r="C80" i="616"/>
  <c r="G80" i="616"/>
  <c r="K80" i="616"/>
  <c r="C81" i="616"/>
  <c r="G81" i="616"/>
  <c r="K81" i="616"/>
  <c r="C82" i="616"/>
  <c r="G82" i="616"/>
  <c r="K82" i="616"/>
  <c r="C83" i="616"/>
  <c r="G83" i="616"/>
  <c r="K83" i="616"/>
  <c r="C84" i="616"/>
  <c r="G84" i="616"/>
  <c r="K84" i="616"/>
  <c r="C85" i="616"/>
  <c r="G85" i="616"/>
  <c r="K85" i="616"/>
  <c r="C86" i="616"/>
  <c r="G86" i="616"/>
  <c r="K86" i="616"/>
  <c r="C87" i="616"/>
  <c r="G87" i="616"/>
  <c r="K87" i="616"/>
  <c r="C88" i="616"/>
  <c r="G88" i="616"/>
  <c r="K88" i="616"/>
  <c r="C90" i="616"/>
  <c r="G90" i="616"/>
  <c r="K90" i="616"/>
  <c r="C91" i="616"/>
  <c r="G91" i="616"/>
  <c r="K91" i="616"/>
  <c r="C92" i="616"/>
  <c r="G92" i="616"/>
  <c r="K92" i="616"/>
  <c r="C93" i="616"/>
  <c r="G93" i="616"/>
  <c r="K93" i="616"/>
  <c r="C94" i="616"/>
  <c r="G94" i="616"/>
  <c r="K94" i="616"/>
  <c r="C96" i="616"/>
  <c r="G96" i="616"/>
  <c r="K96" i="616"/>
  <c r="C97" i="616"/>
  <c r="G97" i="616"/>
  <c r="K97" i="616"/>
  <c r="C98" i="616"/>
  <c r="G98" i="616"/>
  <c r="K98" i="616"/>
  <c r="C46" i="616"/>
  <c r="G46" i="616"/>
  <c r="K46" i="616"/>
  <c r="C47" i="616"/>
  <c r="G47" i="616"/>
  <c r="K47" i="616"/>
  <c r="C48" i="616"/>
  <c r="G48" i="616"/>
  <c r="K48" i="616"/>
  <c r="C42" i="616"/>
  <c r="G42" i="616"/>
  <c r="K42" i="616"/>
  <c r="C43" i="616"/>
  <c r="G43" i="616"/>
  <c r="K43" i="616"/>
  <c r="C44" i="616"/>
  <c r="G44" i="616"/>
  <c r="K44" i="616"/>
  <c r="C45" i="616"/>
  <c r="G45" i="616"/>
  <c r="K45" i="616"/>
  <c r="C63" i="615"/>
  <c r="C64" i="615"/>
  <c r="C65" i="615"/>
  <c r="C66" i="615"/>
  <c r="C67" i="615"/>
  <c r="C68" i="615"/>
  <c r="C69" i="615"/>
  <c r="C70" i="615"/>
  <c r="C71" i="615"/>
  <c r="C72" i="615"/>
  <c r="C73" i="615"/>
  <c r="C74" i="615"/>
  <c r="C75" i="615"/>
  <c r="C76" i="615"/>
  <c r="C77" i="615"/>
  <c r="C78" i="615"/>
  <c r="C79" i="615"/>
  <c r="C80" i="615"/>
  <c r="C81" i="615"/>
  <c r="C82" i="615"/>
  <c r="C83" i="615"/>
  <c r="C84" i="615"/>
  <c r="C85" i="615"/>
  <c r="C87" i="615"/>
  <c r="C88" i="615"/>
  <c r="C89" i="615"/>
  <c r="C90" i="615"/>
  <c r="C91" i="615"/>
  <c r="C93" i="615"/>
  <c r="C94" i="615"/>
  <c r="C95" i="615"/>
  <c r="C45" i="615"/>
  <c r="C46" i="615"/>
  <c r="C47" i="615"/>
  <c r="C48" i="615"/>
  <c r="C49" i="615"/>
  <c r="C50" i="615"/>
  <c r="C51" i="615"/>
  <c r="C52" i="615"/>
  <c r="C53" i="615"/>
  <c r="C54" i="615"/>
  <c r="C55" i="615"/>
  <c r="C56" i="615"/>
  <c r="C57" i="615"/>
  <c r="C58" i="615"/>
  <c r="C59" i="615"/>
  <c r="C60" i="615"/>
  <c r="C61" i="615"/>
  <c r="C62" i="615"/>
  <c r="C39" i="615"/>
  <c r="C40" i="615"/>
  <c r="C41" i="615"/>
  <c r="C42" i="615"/>
  <c r="C43" i="615"/>
  <c r="C44" i="615"/>
  <c r="D95" i="612"/>
  <c r="D44" i="612"/>
  <c r="D45" i="612"/>
  <c r="D46" i="612"/>
  <c r="D47" i="612"/>
  <c r="D48" i="612"/>
  <c r="D49" i="612"/>
  <c r="D50" i="612"/>
  <c r="D51" i="612"/>
  <c r="D52" i="612"/>
  <c r="D53" i="612"/>
  <c r="D54" i="612"/>
  <c r="D55" i="612"/>
  <c r="D56" i="612"/>
  <c r="D57" i="612"/>
  <c r="D58" i="612"/>
  <c r="D59" i="612"/>
  <c r="D60" i="612"/>
  <c r="D61" i="612"/>
  <c r="D62" i="612"/>
  <c r="D63" i="612"/>
  <c r="D64" i="612"/>
  <c r="D65" i="612"/>
  <c r="D66" i="612"/>
  <c r="D67" i="612"/>
  <c r="D68" i="612"/>
  <c r="D69" i="612"/>
  <c r="D70" i="612"/>
  <c r="D71" i="612"/>
  <c r="D72" i="612"/>
  <c r="D73" i="612"/>
  <c r="D74" i="612"/>
  <c r="D75" i="612"/>
  <c r="D76" i="612"/>
  <c r="D77" i="612"/>
  <c r="D78" i="612"/>
  <c r="D79" i="612"/>
  <c r="D80" i="612"/>
  <c r="D81" i="612"/>
  <c r="D82" i="612"/>
  <c r="D83" i="612"/>
  <c r="D84" i="612"/>
  <c r="D86" i="612"/>
  <c r="D87" i="612"/>
  <c r="D88" i="612"/>
  <c r="D89" i="612"/>
  <c r="D90" i="612"/>
  <c r="D92" i="612"/>
  <c r="D93" i="612"/>
  <c r="D94" i="612"/>
  <c r="D37" i="612"/>
  <c r="D38" i="612"/>
  <c r="D39" i="612"/>
  <c r="D40" i="612"/>
  <c r="D41" i="612"/>
  <c r="D42" i="612"/>
  <c r="D43" i="612"/>
  <c r="I31" i="611"/>
  <c r="I32" i="611"/>
  <c r="I33" i="611"/>
  <c r="I34" i="611"/>
  <c r="I35" i="611"/>
  <c r="I36" i="611"/>
  <c r="I37" i="611"/>
  <c r="I38" i="611"/>
  <c r="I39" i="611"/>
  <c r="I40" i="611"/>
  <c r="I41" i="611"/>
  <c r="I42" i="611"/>
  <c r="I43" i="611"/>
  <c r="I44" i="611"/>
  <c r="I45" i="611"/>
  <c r="I46" i="611"/>
  <c r="I47" i="611"/>
  <c r="I48" i="611"/>
  <c r="I49" i="611"/>
  <c r="I50" i="611"/>
  <c r="I51" i="611"/>
  <c r="I52" i="611"/>
  <c r="I53" i="611"/>
  <c r="I54" i="611"/>
  <c r="I55" i="611"/>
  <c r="I56" i="611"/>
  <c r="I57" i="611"/>
  <c r="I58" i="611"/>
  <c r="I59" i="611"/>
  <c r="I60" i="611"/>
  <c r="I61" i="611"/>
  <c r="I62" i="611"/>
  <c r="I63" i="611"/>
  <c r="I64" i="611"/>
  <c r="I65" i="611"/>
  <c r="I66" i="611"/>
  <c r="I67" i="611"/>
  <c r="I68" i="611"/>
  <c r="I69" i="611"/>
  <c r="I70" i="611"/>
  <c r="I71" i="611"/>
  <c r="I72" i="611"/>
  <c r="I73" i="611"/>
  <c r="I74" i="611"/>
  <c r="I75" i="611"/>
  <c r="I76" i="611"/>
  <c r="I77" i="611"/>
  <c r="I78" i="611"/>
  <c r="I80" i="611"/>
  <c r="I81" i="611"/>
  <c r="I82" i="611"/>
  <c r="I83" i="611"/>
  <c r="I84" i="611"/>
  <c r="I86" i="611"/>
  <c r="I87" i="611"/>
  <c r="I88" i="611"/>
  <c r="A51" i="607"/>
  <c r="C49" i="614" s="1"/>
  <c r="B51" i="607"/>
  <c r="C51" i="607"/>
  <c r="D51" i="607"/>
  <c r="C148" i="613" s="1"/>
  <c r="E148" i="613" s="1"/>
  <c r="E51" i="607"/>
  <c r="A52" i="607"/>
  <c r="C50" i="614" s="1"/>
  <c r="B52" i="607"/>
  <c r="C52" i="607"/>
  <c r="D52" i="607"/>
  <c r="C149" i="613" s="1"/>
  <c r="E149" i="613" s="1"/>
  <c r="E52" i="607"/>
  <c r="A53" i="607"/>
  <c r="C51" i="614" s="1"/>
  <c r="B53" i="607"/>
  <c r="C53" i="607"/>
  <c r="D53" i="607"/>
  <c r="C150" i="613" s="1"/>
  <c r="E150" i="613" s="1"/>
  <c r="E53" i="607"/>
  <c r="A54" i="607"/>
  <c r="C52" i="614" s="1"/>
  <c r="B54" i="607"/>
  <c r="C54" i="607"/>
  <c r="D54" i="607"/>
  <c r="C151" i="613" s="1"/>
  <c r="E54" i="607"/>
  <c r="A55" i="607"/>
  <c r="C53" i="614" s="1"/>
  <c r="B55" i="607"/>
  <c r="C55" i="607"/>
  <c r="D55" i="607"/>
  <c r="C152" i="613" s="1"/>
  <c r="E152" i="613" s="1"/>
  <c r="E55" i="607"/>
  <c r="A56" i="607"/>
  <c r="C54" i="614" s="1"/>
  <c r="B56" i="607"/>
  <c r="C56" i="607"/>
  <c r="D56" i="607"/>
  <c r="C153" i="613" s="1"/>
  <c r="E153" i="613" s="1"/>
  <c r="E56" i="607"/>
  <c r="A57" i="607"/>
  <c r="C55" i="614" s="1"/>
  <c r="B57" i="607"/>
  <c r="C57" i="607"/>
  <c r="D57" i="607"/>
  <c r="C154" i="613" s="1"/>
  <c r="E154" i="613" s="1"/>
  <c r="E57" i="607"/>
  <c r="A58" i="607"/>
  <c r="C56" i="614" s="1"/>
  <c r="B58" i="607"/>
  <c r="C58" i="607"/>
  <c r="D58" i="607"/>
  <c r="C155" i="613" s="1"/>
  <c r="E155" i="613" s="1"/>
  <c r="E58" i="607"/>
  <c r="A59" i="607"/>
  <c r="C57" i="614" s="1"/>
  <c r="B59" i="607"/>
  <c r="C59" i="607"/>
  <c r="D59" i="607"/>
  <c r="C156" i="613" s="1"/>
  <c r="E156" i="613" s="1"/>
  <c r="E59" i="607"/>
  <c r="A60" i="607"/>
  <c r="C58" i="614" s="1"/>
  <c r="B60" i="607"/>
  <c r="C60" i="607"/>
  <c r="D60" i="607"/>
  <c r="C157" i="613" s="1"/>
  <c r="E157" i="613" s="1"/>
  <c r="E60" i="607"/>
  <c r="A61" i="607"/>
  <c r="C59" i="614" s="1"/>
  <c r="B61" i="607"/>
  <c r="C61" i="607"/>
  <c r="D61" i="607"/>
  <c r="C158" i="613" s="1"/>
  <c r="E158" i="613" s="1"/>
  <c r="E61" i="607"/>
  <c r="A62" i="607"/>
  <c r="C60" i="614" s="1"/>
  <c r="B62" i="607"/>
  <c r="C62" i="607"/>
  <c r="D62" i="607"/>
  <c r="C159" i="613" s="1"/>
  <c r="E62" i="607"/>
  <c r="A63" i="607"/>
  <c r="C61" i="614" s="1"/>
  <c r="B63" i="607"/>
  <c r="C63" i="607"/>
  <c r="D63" i="607"/>
  <c r="C160" i="613" s="1"/>
  <c r="E160" i="613" s="1"/>
  <c r="E63" i="607"/>
  <c r="A64" i="607"/>
  <c r="C62" i="614" s="1"/>
  <c r="B64" i="607"/>
  <c r="C64" i="607"/>
  <c r="D64" i="607"/>
  <c r="C161" i="613" s="1"/>
  <c r="E64" i="607"/>
  <c r="A65" i="607"/>
  <c r="C63" i="614" s="1"/>
  <c r="B65" i="607"/>
  <c r="C65" i="607"/>
  <c r="D65" i="607"/>
  <c r="C162" i="613" s="1"/>
  <c r="E162" i="613" s="1"/>
  <c r="E65" i="607"/>
  <c r="A66" i="607"/>
  <c r="C64" i="614" s="1"/>
  <c r="B66" i="607"/>
  <c r="C66" i="607"/>
  <c r="D66" i="607"/>
  <c r="C163" i="613" s="1"/>
  <c r="E163" i="613" s="1"/>
  <c r="E66" i="607"/>
  <c r="A67" i="607"/>
  <c r="C65" i="614" s="1"/>
  <c r="B67" i="607"/>
  <c r="C67" i="607"/>
  <c r="D67" i="607"/>
  <c r="C164" i="613" s="1"/>
  <c r="E164" i="613" s="1"/>
  <c r="E67" i="607"/>
  <c r="A68" i="607"/>
  <c r="C66" i="614" s="1"/>
  <c r="B68" i="607"/>
  <c r="C68" i="607"/>
  <c r="D68" i="607"/>
  <c r="C165" i="613" s="1"/>
  <c r="E165" i="613" s="1"/>
  <c r="E68" i="607"/>
  <c r="A69" i="607"/>
  <c r="C67" i="614" s="1"/>
  <c r="B69" i="607"/>
  <c r="C69" i="607"/>
  <c r="D69" i="607"/>
  <c r="C166" i="613" s="1"/>
  <c r="E166" i="613" s="1"/>
  <c r="E69" i="607"/>
  <c r="A70" i="607"/>
  <c r="C68" i="614" s="1"/>
  <c r="B70" i="607"/>
  <c r="C70" i="607"/>
  <c r="D70" i="607"/>
  <c r="C167" i="613" s="1"/>
  <c r="E70" i="607"/>
  <c r="A71" i="607"/>
  <c r="C69" i="614" s="1"/>
  <c r="B71" i="607"/>
  <c r="C71" i="607"/>
  <c r="D71" i="607"/>
  <c r="C168" i="613" s="1"/>
  <c r="E168" i="613" s="1"/>
  <c r="E71" i="607"/>
  <c r="A72" i="607"/>
  <c r="C70" i="614" s="1"/>
  <c r="B72" i="607"/>
  <c r="C72" i="607"/>
  <c r="D72" i="607"/>
  <c r="C169" i="613" s="1"/>
  <c r="E169" i="613" s="1"/>
  <c r="E72" i="607"/>
  <c r="A73" i="607"/>
  <c r="C71" i="614" s="1"/>
  <c r="B73" i="607"/>
  <c r="C73" i="607"/>
  <c r="D73" i="607"/>
  <c r="C170" i="613" s="1"/>
  <c r="E170" i="613" s="1"/>
  <c r="E73" i="607"/>
  <c r="A74" i="607"/>
  <c r="C72" i="614" s="1"/>
  <c r="B74" i="607"/>
  <c r="C74" i="607"/>
  <c r="D74" i="607"/>
  <c r="C171" i="613" s="1"/>
  <c r="E171" i="613" s="1"/>
  <c r="E74" i="607"/>
  <c r="A171" i="613" s="1"/>
  <c r="A75" i="607"/>
  <c r="C73" i="614" s="1"/>
  <c r="B75" i="607"/>
  <c r="C75" i="607"/>
  <c r="D75" i="607"/>
  <c r="C172" i="613" s="1"/>
  <c r="E75" i="607"/>
  <c r="A76" i="607"/>
  <c r="C74" i="614" s="1"/>
  <c r="B76" i="607"/>
  <c r="C76" i="607"/>
  <c r="D76" i="607"/>
  <c r="C173" i="613" s="1"/>
  <c r="E173" i="613" s="1"/>
  <c r="E76" i="607"/>
  <c r="A77" i="607"/>
  <c r="C75" i="614" s="1"/>
  <c r="B77" i="607"/>
  <c r="C77" i="607"/>
  <c r="D77" i="607"/>
  <c r="C174" i="613" s="1"/>
  <c r="E77" i="607"/>
  <c r="A78" i="607"/>
  <c r="C76" i="614" s="1"/>
  <c r="B78" i="607"/>
  <c r="C78" i="607"/>
  <c r="D78" i="607"/>
  <c r="C175" i="613" s="1"/>
  <c r="E175" i="613" s="1"/>
  <c r="E78" i="607"/>
  <c r="A79" i="607"/>
  <c r="C77" i="614" s="1"/>
  <c r="B79" i="607"/>
  <c r="C79" i="607"/>
  <c r="D79" i="607"/>
  <c r="C176" i="613" s="1"/>
  <c r="E176" i="613" s="1"/>
  <c r="E79" i="607"/>
  <c r="A80" i="607"/>
  <c r="C78" i="614" s="1"/>
  <c r="B80" i="607"/>
  <c r="C80" i="607"/>
  <c r="D80" i="607"/>
  <c r="C177" i="613" s="1"/>
  <c r="E177" i="613" s="1"/>
  <c r="E80" i="607"/>
  <c r="A82" i="607"/>
  <c r="C80" i="614" s="1"/>
  <c r="B82" i="607"/>
  <c r="C82" i="607"/>
  <c r="D82" i="607"/>
  <c r="C179" i="613" s="1"/>
  <c r="E179" i="613" s="1"/>
  <c r="E82" i="607"/>
  <c r="A83" i="607"/>
  <c r="C81" i="614" s="1"/>
  <c r="B83" i="607"/>
  <c r="C83" i="607"/>
  <c r="D83" i="607"/>
  <c r="C180" i="613" s="1"/>
  <c r="E83" i="607"/>
  <c r="A84" i="607"/>
  <c r="C82" i="614" s="1"/>
  <c r="B84" i="607"/>
  <c r="C84" i="607"/>
  <c r="D84" i="607"/>
  <c r="C181" i="613" s="1"/>
  <c r="E181" i="613" s="1"/>
  <c r="E84" i="607"/>
  <c r="A85" i="607"/>
  <c r="C83" i="614" s="1"/>
  <c r="B85" i="607"/>
  <c r="C85" i="607"/>
  <c r="D85" i="607"/>
  <c r="C182" i="613" s="1"/>
  <c r="E182" i="613" s="1"/>
  <c r="E85" i="607"/>
  <c r="A86" i="607"/>
  <c r="C84" i="614" s="1"/>
  <c r="B86" i="607"/>
  <c r="C86" i="607"/>
  <c r="D86" i="607"/>
  <c r="C183" i="613" s="1"/>
  <c r="E86" i="607"/>
  <c r="A88" i="607"/>
  <c r="C86" i="614" s="1"/>
  <c r="B88" i="607"/>
  <c r="C88" i="607"/>
  <c r="D88" i="607"/>
  <c r="C185" i="613" s="1"/>
  <c r="E185" i="613" s="1"/>
  <c r="E88" i="607"/>
  <c r="A89" i="607"/>
  <c r="C87" i="614" s="1"/>
  <c r="B89" i="607"/>
  <c r="C89" i="607"/>
  <c r="D89" i="607"/>
  <c r="C186" i="613" s="1"/>
  <c r="E186" i="613" s="1"/>
  <c r="E89" i="607"/>
  <c r="A90" i="607"/>
  <c r="C88" i="614" s="1"/>
  <c r="B90" i="607"/>
  <c r="C90" i="607"/>
  <c r="D90" i="607"/>
  <c r="C187" i="613" s="1"/>
  <c r="E187" i="613" s="1"/>
  <c r="E90" i="607"/>
  <c r="A91" i="607"/>
  <c r="B91" i="607"/>
  <c r="C91" i="607"/>
  <c r="D91" i="607"/>
  <c r="E91" i="607"/>
  <c r="A43" i="607"/>
  <c r="C41" i="614" s="1"/>
  <c r="B43" i="607"/>
  <c r="C43" i="607"/>
  <c r="D43" i="607"/>
  <c r="C140" i="613" s="1"/>
  <c r="E140" i="613" s="1"/>
  <c r="E43" i="607"/>
  <c r="A44" i="607"/>
  <c r="C42" i="614" s="1"/>
  <c r="B44" i="607"/>
  <c r="C44" i="607"/>
  <c r="D44" i="607"/>
  <c r="C141" i="613" s="1"/>
  <c r="E141" i="613" s="1"/>
  <c r="E44" i="607"/>
  <c r="A45" i="607"/>
  <c r="C43" i="614" s="1"/>
  <c r="B45" i="607"/>
  <c r="C45" i="607"/>
  <c r="D45" i="607"/>
  <c r="C142" i="613" s="1"/>
  <c r="E142" i="613" s="1"/>
  <c r="E45" i="607"/>
  <c r="A46" i="607"/>
  <c r="C44" i="614" s="1"/>
  <c r="B46" i="607"/>
  <c r="C46" i="607"/>
  <c r="D46" i="607"/>
  <c r="C143" i="613" s="1"/>
  <c r="E46" i="607"/>
  <c r="A47" i="607"/>
  <c r="C45" i="614" s="1"/>
  <c r="B47" i="607"/>
  <c r="C47" i="607"/>
  <c r="D47" i="607"/>
  <c r="C144" i="613" s="1"/>
  <c r="E144" i="613" s="1"/>
  <c r="E47" i="607"/>
  <c r="A48" i="607"/>
  <c r="C46" i="614" s="1"/>
  <c r="B48" i="607"/>
  <c r="C48" i="607"/>
  <c r="D48" i="607"/>
  <c r="C145" i="613" s="1"/>
  <c r="E145" i="613" s="1"/>
  <c r="E48" i="607"/>
  <c r="A49" i="607"/>
  <c r="C47" i="614" s="1"/>
  <c r="B49" i="607"/>
  <c r="C49" i="607"/>
  <c r="D49" i="607"/>
  <c r="C146" i="613" s="1"/>
  <c r="E146" i="613" s="1"/>
  <c r="E49" i="607"/>
  <c r="A50" i="607"/>
  <c r="C48" i="614" s="1"/>
  <c r="B50" i="607"/>
  <c r="C50" i="607"/>
  <c r="D50" i="607"/>
  <c r="C147" i="613" s="1"/>
  <c r="E50" i="607"/>
  <c r="A36" i="607"/>
  <c r="C34" i="614" s="1"/>
  <c r="B36" i="607"/>
  <c r="C36" i="607"/>
  <c r="D36" i="607"/>
  <c r="C133" i="613" s="1"/>
  <c r="E133" i="613" s="1"/>
  <c r="E36" i="607"/>
  <c r="A37" i="607"/>
  <c r="C35" i="614" s="1"/>
  <c r="B37" i="607"/>
  <c r="C37" i="607"/>
  <c r="D37" i="607"/>
  <c r="C134" i="613" s="1"/>
  <c r="E134" i="613" s="1"/>
  <c r="E37" i="607"/>
  <c r="A38" i="607"/>
  <c r="C36" i="614" s="1"/>
  <c r="B38" i="607"/>
  <c r="C38" i="607"/>
  <c r="D38" i="607"/>
  <c r="C135" i="613" s="1"/>
  <c r="E135" i="613" s="1"/>
  <c r="E38" i="607"/>
  <c r="A39" i="607"/>
  <c r="C37" i="614" s="1"/>
  <c r="B39" i="607"/>
  <c r="C39" i="607"/>
  <c r="D39" i="607"/>
  <c r="C136" i="613" s="1"/>
  <c r="E136" i="613" s="1"/>
  <c r="E39" i="607"/>
  <c r="A40" i="607"/>
  <c r="C38" i="614" s="1"/>
  <c r="B40" i="607"/>
  <c r="C40" i="607"/>
  <c r="D40" i="607"/>
  <c r="C137" i="613" s="1"/>
  <c r="E40" i="607"/>
  <c r="A41" i="607"/>
  <c r="C39" i="614" s="1"/>
  <c r="B41" i="607"/>
  <c r="C41" i="607"/>
  <c r="D41" i="607"/>
  <c r="C138" i="613" s="1"/>
  <c r="E138" i="613" s="1"/>
  <c r="E41" i="607"/>
  <c r="A42" i="607"/>
  <c r="C40" i="614" s="1"/>
  <c r="B42" i="607"/>
  <c r="C42" i="607"/>
  <c r="D42" i="607"/>
  <c r="C139" i="613" s="1"/>
  <c r="E139" i="613" s="1"/>
  <c r="E42" i="607"/>
  <c r="A35" i="607"/>
  <c r="C33" i="614" s="1"/>
  <c r="B35" i="607"/>
  <c r="C35" i="607"/>
  <c r="D35" i="607"/>
  <c r="C132" i="613" s="1"/>
  <c r="E132" i="613" s="1"/>
  <c r="E35" i="607"/>
  <c r="A34" i="607"/>
  <c r="C32" i="614" s="1"/>
  <c r="B34" i="607"/>
  <c r="C34" i="607"/>
  <c r="D34" i="607"/>
  <c r="C131" i="613" s="1"/>
  <c r="E131" i="613" s="1"/>
  <c r="E34" i="607"/>
  <c r="A33" i="607"/>
  <c r="B33" i="607"/>
  <c r="C33" i="607"/>
  <c r="D33" i="607"/>
  <c r="C130" i="613" s="1"/>
  <c r="E130" i="613" s="1"/>
  <c r="E33" i="607"/>
  <c r="B32" i="607"/>
  <c r="C32" i="607"/>
  <c r="D32" i="607"/>
  <c r="E32" i="607"/>
  <c r="A32" i="607"/>
  <c r="Q35" i="604"/>
  <c r="Q36" i="604"/>
  <c r="Q37" i="604"/>
  <c r="Q38" i="604"/>
  <c r="Q39" i="604"/>
  <c r="Q40" i="604"/>
  <c r="Q41" i="604"/>
  <c r="Q42" i="604"/>
  <c r="Q43" i="604"/>
  <c r="Q44" i="604"/>
  <c r="Q45" i="604"/>
  <c r="Q46" i="604"/>
  <c r="Q47" i="604"/>
  <c r="Q48" i="604"/>
  <c r="Q49" i="604"/>
  <c r="Q50" i="604"/>
  <c r="Q51" i="604"/>
  <c r="Q52" i="604"/>
  <c r="Q53" i="604"/>
  <c r="Q54" i="604"/>
  <c r="Q55" i="604"/>
  <c r="Q56" i="604"/>
  <c r="Q57" i="604"/>
  <c r="Q58" i="604"/>
  <c r="Q59" i="604"/>
  <c r="Q60" i="604"/>
  <c r="Q61" i="604"/>
  <c r="Q62" i="604"/>
  <c r="Q63" i="604"/>
  <c r="Q64" i="604"/>
  <c r="Q65" i="604"/>
  <c r="Q66" i="604"/>
  <c r="Q67" i="604"/>
  <c r="Q68" i="604"/>
  <c r="Q69" i="604"/>
  <c r="Q70" i="604"/>
  <c r="Q71" i="604"/>
  <c r="Q72" i="604"/>
  <c r="Q73" i="604"/>
  <c r="Q74" i="604"/>
  <c r="Q75" i="604"/>
  <c r="Q76" i="604"/>
  <c r="Q77" i="604"/>
  <c r="Q78" i="604"/>
  <c r="Q79" i="604"/>
  <c r="Q80" i="604"/>
  <c r="Q81" i="604"/>
  <c r="Q82" i="604"/>
  <c r="Q84" i="604"/>
  <c r="Q85" i="604"/>
  <c r="Q86" i="604"/>
  <c r="Q87" i="604"/>
  <c r="Q88" i="604"/>
  <c r="Q90" i="604"/>
  <c r="Q91" i="604"/>
  <c r="Q92" i="604"/>
  <c r="B93" i="604"/>
  <c r="B35" i="604"/>
  <c r="B36" i="604"/>
  <c r="B37" i="604"/>
  <c r="B38" i="604"/>
  <c r="B39" i="604"/>
  <c r="B40" i="604"/>
  <c r="B41" i="604"/>
  <c r="B42" i="604"/>
  <c r="B43" i="604"/>
  <c r="B44" i="604"/>
  <c r="B45" i="604"/>
  <c r="B46" i="604"/>
  <c r="B47" i="604"/>
  <c r="B48" i="604"/>
  <c r="B49" i="604"/>
  <c r="B50" i="604"/>
  <c r="B51" i="604"/>
  <c r="B52" i="604"/>
  <c r="B53" i="604"/>
  <c r="B54" i="604"/>
  <c r="B55" i="604"/>
  <c r="B56" i="604"/>
  <c r="B57" i="604"/>
  <c r="B58" i="604"/>
  <c r="B59" i="604"/>
  <c r="B60" i="604"/>
  <c r="B61" i="604"/>
  <c r="B62" i="604"/>
  <c r="B63" i="604"/>
  <c r="B64" i="604"/>
  <c r="B65" i="604"/>
  <c r="B66" i="604"/>
  <c r="B67" i="604"/>
  <c r="B68" i="604"/>
  <c r="B69" i="604"/>
  <c r="B70" i="604"/>
  <c r="B71" i="604"/>
  <c r="B72" i="604"/>
  <c r="B73" i="604"/>
  <c r="B74" i="604"/>
  <c r="B75" i="604"/>
  <c r="B76" i="604"/>
  <c r="B77" i="604"/>
  <c r="B78" i="604"/>
  <c r="B79" i="604"/>
  <c r="B80" i="604"/>
  <c r="B81" i="604"/>
  <c r="B82" i="604"/>
  <c r="B84" i="604"/>
  <c r="B85" i="604"/>
  <c r="B86" i="604"/>
  <c r="B87" i="604"/>
  <c r="B88" i="604"/>
  <c r="B90" i="604"/>
  <c r="B91" i="604"/>
  <c r="B92" i="604"/>
  <c r="B43" i="603"/>
  <c r="O43" i="603"/>
  <c r="B44" i="603"/>
  <c r="O44" i="603"/>
  <c r="B45" i="603"/>
  <c r="O45" i="603"/>
  <c r="B46" i="603"/>
  <c r="O46" i="603"/>
  <c r="B47" i="603"/>
  <c r="O47" i="603"/>
  <c r="B48" i="603"/>
  <c r="O48" i="603"/>
  <c r="B49" i="603"/>
  <c r="O49" i="603"/>
  <c r="B50" i="603"/>
  <c r="O50" i="603"/>
  <c r="B51" i="603"/>
  <c r="O51" i="603"/>
  <c r="B52" i="603"/>
  <c r="O52" i="603"/>
  <c r="B53" i="603"/>
  <c r="O53" i="603"/>
  <c r="B54" i="603"/>
  <c r="O54" i="603"/>
  <c r="B55" i="603"/>
  <c r="O55" i="603"/>
  <c r="B56" i="603"/>
  <c r="O56" i="603"/>
  <c r="B57" i="603"/>
  <c r="O57" i="603"/>
  <c r="B58" i="603"/>
  <c r="O58" i="603"/>
  <c r="B59" i="603"/>
  <c r="O59" i="603"/>
  <c r="B60" i="603"/>
  <c r="O60" i="603"/>
  <c r="B61" i="603"/>
  <c r="O61" i="603"/>
  <c r="B62" i="603"/>
  <c r="O62" i="603"/>
  <c r="B63" i="603"/>
  <c r="O63" i="603"/>
  <c r="B64" i="603"/>
  <c r="O64" i="603"/>
  <c r="B65" i="603"/>
  <c r="O65" i="603"/>
  <c r="B66" i="603"/>
  <c r="O66" i="603"/>
  <c r="B67" i="603"/>
  <c r="O67" i="603"/>
  <c r="B68" i="603"/>
  <c r="O68" i="603"/>
  <c r="B69" i="603"/>
  <c r="O69" i="603"/>
  <c r="B70" i="603"/>
  <c r="O70" i="603"/>
  <c r="B71" i="603"/>
  <c r="O71" i="603"/>
  <c r="B72" i="603"/>
  <c r="O72" i="603"/>
  <c r="B73" i="603"/>
  <c r="O73" i="603"/>
  <c r="B74" i="603"/>
  <c r="O74" i="603"/>
  <c r="B75" i="603"/>
  <c r="O75" i="603"/>
  <c r="B76" i="603"/>
  <c r="O76" i="603"/>
  <c r="B77" i="603"/>
  <c r="O77" i="603"/>
  <c r="B78" i="603"/>
  <c r="O78" i="603"/>
  <c r="B79" i="603"/>
  <c r="O79" i="603"/>
  <c r="B80" i="603"/>
  <c r="O80" i="603"/>
  <c r="B81" i="603"/>
  <c r="O81" i="603"/>
  <c r="B82" i="603"/>
  <c r="O82" i="603"/>
  <c r="B83" i="603"/>
  <c r="O83" i="603"/>
  <c r="B85" i="603"/>
  <c r="O85" i="603"/>
  <c r="B86" i="603"/>
  <c r="O86" i="603"/>
  <c r="B87" i="603"/>
  <c r="O87" i="603"/>
  <c r="B88" i="603"/>
  <c r="O88" i="603"/>
  <c r="B89" i="603"/>
  <c r="O89" i="603"/>
  <c r="B91" i="603"/>
  <c r="O91" i="603"/>
  <c r="B92" i="603"/>
  <c r="O92" i="603"/>
  <c r="B93" i="603"/>
  <c r="O93" i="603"/>
  <c r="B36" i="603"/>
  <c r="O36" i="603"/>
  <c r="B37" i="603"/>
  <c r="O37" i="603"/>
  <c r="B38" i="603"/>
  <c r="O38" i="603"/>
  <c r="B39" i="603"/>
  <c r="O39" i="603"/>
  <c r="B40" i="603"/>
  <c r="O40" i="603"/>
  <c r="B41" i="603"/>
  <c r="O41" i="603"/>
  <c r="B42" i="603"/>
  <c r="O42" i="603"/>
  <c r="C43" i="602"/>
  <c r="D43" i="602"/>
  <c r="C44" i="602"/>
  <c r="D44" i="602"/>
  <c r="C45" i="602"/>
  <c r="D45" i="602"/>
  <c r="C46" i="602"/>
  <c r="D46" i="602"/>
  <c r="C47" i="602"/>
  <c r="I47" i="602" s="1"/>
  <c r="D47" i="602"/>
  <c r="C48" i="602"/>
  <c r="D48" i="602"/>
  <c r="C49" i="602"/>
  <c r="D49" i="602"/>
  <c r="C50" i="602"/>
  <c r="D50" i="602"/>
  <c r="C51" i="602"/>
  <c r="I51" i="602" s="1"/>
  <c r="D51" i="602"/>
  <c r="C52" i="602"/>
  <c r="D52" i="602"/>
  <c r="C53" i="602"/>
  <c r="D53" i="602"/>
  <c r="C54" i="602"/>
  <c r="D54" i="602"/>
  <c r="C55" i="602"/>
  <c r="D55" i="602"/>
  <c r="C56" i="602"/>
  <c r="I56" i="602" s="1"/>
  <c r="D56" i="602"/>
  <c r="C57" i="602"/>
  <c r="D57" i="602"/>
  <c r="C58" i="602"/>
  <c r="D58" i="602"/>
  <c r="C59" i="602"/>
  <c r="D59" i="602"/>
  <c r="C60" i="602"/>
  <c r="D60" i="602"/>
  <c r="C61" i="602"/>
  <c r="D61" i="602"/>
  <c r="C62" i="602"/>
  <c r="D62" i="602"/>
  <c r="C63" i="602"/>
  <c r="D63" i="602"/>
  <c r="C64" i="602"/>
  <c r="D64" i="602"/>
  <c r="C65" i="602"/>
  <c r="D65" i="602"/>
  <c r="C66" i="602"/>
  <c r="D66" i="602"/>
  <c r="C67" i="602"/>
  <c r="D67" i="602"/>
  <c r="C68" i="602"/>
  <c r="D68" i="602"/>
  <c r="C69" i="602"/>
  <c r="D69" i="602"/>
  <c r="C70" i="602"/>
  <c r="D70" i="602"/>
  <c r="C71" i="602"/>
  <c r="D71" i="602"/>
  <c r="C72" i="602"/>
  <c r="D72" i="602"/>
  <c r="C73" i="602"/>
  <c r="D73" i="602"/>
  <c r="C74" i="602"/>
  <c r="D74" i="602"/>
  <c r="C75" i="602"/>
  <c r="I75" i="602" s="1"/>
  <c r="D75" i="602"/>
  <c r="C76" i="602"/>
  <c r="D76" i="602"/>
  <c r="C77" i="602"/>
  <c r="D77" i="602"/>
  <c r="C78" i="602"/>
  <c r="D78" i="602"/>
  <c r="C80" i="602"/>
  <c r="I80" i="602" s="1"/>
  <c r="D80" i="602"/>
  <c r="C81" i="602"/>
  <c r="D81" i="602"/>
  <c r="C82" i="602"/>
  <c r="D82" i="602"/>
  <c r="C83" i="602"/>
  <c r="D83" i="602"/>
  <c r="C84" i="602"/>
  <c r="D84" i="602"/>
  <c r="C86" i="602"/>
  <c r="D86" i="602"/>
  <c r="C87" i="602"/>
  <c r="I87" i="602" s="1"/>
  <c r="D87" i="602"/>
  <c r="C88" i="602"/>
  <c r="I88" i="602" s="1"/>
  <c r="D88" i="602"/>
  <c r="C31" i="602"/>
  <c r="D31" i="602"/>
  <c r="C32" i="602"/>
  <c r="D32" i="602"/>
  <c r="C33" i="602"/>
  <c r="D33" i="602"/>
  <c r="C34" i="602"/>
  <c r="D34" i="602"/>
  <c r="C35" i="602"/>
  <c r="I35" i="602" s="1"/>
  <c r="D35" i="602"/>
  <c r="H35" i="602"/>
  <c r="O35" i="602" s="1"/>
  <c r="C36" i="602"/>
  <c r="D36" i="602"/>
  <c r="C37" i="602"/>
  <c r="I37" i="602" s="1"/>
  <c r="D37" i="602"/>
  <c r="H37" i="602"/>
  <c r="O37" i="602" s="1"/>
  <c r="C38" i="602"/>
  <c r="D38" i="602"/>
  <c r="C39" i="602"/>
  <c r="I39" i="602" s="1"/>
  <c r="D39" i="602"/>
  <c r="C40" i="602"/>
  <c r="D40" i="602"/>
  <c r="C41" i="602"/>
  <c r="D41" i="602"/>
  <c r="C42" i="602"/>
  <c r="D42" i="602"/>
  <c r="A43" i="602"/>
  <c r="A44" i="602"/>
  <c r="A45" i="602"/>
  <c r="A46" i="602"/>
  <c r="A47" i="602"/>
  <c r="A48" i="602"/>
  <c r="A49" i="602"/>
  <c r="A50" i="602"/>
  <c r="A51" i="602"/>
  <c r="A52" i="602"/>
  <c r="A53" i="602"/>
  <c r="A54" i="602"/>
  <c r="A55" i="602"/>
  <c r="A56" i="602"/>
  <c r="A57" i="602"/>
  <c r="A58" i="602"/>
  <c r="A59" i="602"/>
  <c r="A60" i="602"/>
  <c r="A61" i="602"/>
  <c r="A62" i="602"/>
  <c r="A63" i="602"/>
  <c r="A64" i="602"/>
  <c r="A65" i="602"/>
  <c r="A66" i="602"/>
  <c r="A67" i="602"/>
  <c r="A68" i="602"/>
  <c r="A69" i="602"/>
  <c r="A70" i="602"/>
  <c r="A71" i="602"/>
  <c r="A72" i="602"/>
  <c r="A73" i="602"/>
  <c r="A74" i="602"/>
  <c r="A75" i="602"/>
  <c r="A76" i="602"/>
  <c r="A77" i="602"/>
  <c r="A78" i="602"/>
  <c r="A80" i="602"/>
  <c r="A81" i="602"/>
  <c r="A82" i="602"/>
  <c r="A83" i="602"/>
  <c r="A84" i="602"/>
  <c r="A86" i="602"/>
  <c r="A87" i="602"/>
  <c r="A88" i="602"/>
  <c r="A34" i="602"/>
  <c r="A35" i="602"/>
  <c r="A36" i="602"/>
  <c r="A37" i="602"/>
  <c r="A38" i="602"/>
  <c r="A39" i="602"/>
  <c r="A40" i="602"/>
  <c r="A41" i="602"/>
  <c r="A42" i="602"/>
  <c r="B38" i="343"/>
  <c r="B39" i="343"/>
  <c r="B40" i="343"/>
  <c r="B41" i="343"/>
  <c r="B42" i="343"/>
  <c r="B43" i="343"/>
  <c r="B44" i="343"/>
  <c r="B45" i="343"/>
  <c r="B46" i="343"/>
  <c r="B47" i="343"/>
  <c r="B48" i="343"/>
  <c r="B49" i="343"/>
  <c r="B50" i="343"/>
  <c r="B51" i="343"/>
  <c r="B52" i="343"/>
  <c r="B53" i="343"/>
  <c r="B54" i="343"/>
  <c r="B55" i="343"/>
  <c r="B56" i="343"/>
  <c r="B57" i="343"/>
  <c r="B58" i="343"/>
  <c r="B59" i="343"/>
  <c r="B60" i="343"/>
  <c r="B61" i="343"/>
  <c r="B62" i="343"/>
  <c r="B63" i="343"/>
  <c r="B64" i="343"/>
  <c r="B65" i="343"/>
  <c r="B66" i="343"/>
  <c r="B67" i="343"/>
  <c r="B68" i="343"/>
  <c r="B69" i="343"/>
  <c r="B70" i="343"/>
  <c r="B71" i="343"/>
  <c r="B72" i="343"/>
  <c r="B73" i="343"/>
  <c r="B74" i="343"/>
  <c r="B75" i="343"/>
  <c r="B76" i="343"/>
  <c r="B77" i="343"/>
  <c r="B78" i="343"/>
  <c r="B79" i="343"/>
  <c r="B80" i="343"/>
  <c r="B81" i="343"/>
  <c r="B82" i="343"/>
  <c r="B83" i="343"/>
  <c r="B84" i="343"/>
  <c r="B86" i="343"/>
  <c r="B87" i="343"/>
  <c r="B88" i="343"/>
  <c r="B89" i="343"/>
  <c r="B90" i="343"/>
  <c r="B92" i="343"/>
  <c r="B93" i="343"/>
  <c r="B94" i="343"/>
  <c r="B42" i="340"/>
  <c r="C42" i="340"/>
  <c r="G42" i="340"/>
  <c r="K42" i="340"/>
  <c r="B43" i="340"/>
  <c r="C43" i="340"/>
  <c r="G43" i="340"/>
  <c r="K43" i="340"/>
  <c r="B44" i="340"/>
  <c r="C44" i="340"/>
  <c r="G44" i="340"/>
  <c r="K44" i="340"/>
  <c r="B45" i="340"/>
  <c r="C45" i="340"/>
  <c r="G45" i="340"/>
  <c r="K45" i="340"/>
  <c r="B46" i="340"/>
  <c r="C46" i="340"/>
  <c r="G46" i="340"/>
  <c r="K46" i="340"/>
  <c r="B47" i="340"/>
  <c r="C47" i="340"/>
  <c r="G47" i="340"/>
  <c r="K47" i="340"/>
  <c r="B48" i="340"/>
  <c r="C48" i="340"/>
  <c r="G48" i="340"/>
  <c r="K48" i="340"/>
  <c r="B49" i="340"/>
  <c r="C49" i="340"/>
  <c r="G49" i="340"/>
  <c r="K49" i="340"/>
  <c r="B50" i="340"/>
  <c r="C50" i="340"/>
  <c r="G50" i="340"/>
  <c r="K50" i="340"/>
  <c r="B51" i="340"/>
  <c r="C51" i="340"/>
  <c r="G51" i="340"/>
  <c r="K51" i="340"/>
  <c r="B52" i="340"/>
  <c r="C52" i="340"/>
  <c r="G52" i="340"/>
  <c r="K52" i="340"/>
  <c r="B53" i="340"/>
  <c r="C53" i="340"/>
  <c r="G53" i="340"/>
  <c r="K53" i="340"/>
  <c r="B54" i="340"/>
  <c r="C54" i="340"/>
  <c r="G54" i="340"/>
  <c r="K54" i="340"/>
  <c r="B55" i="340"/>
  <c r="C55" i="340"/>
  <c r="G55" i="340"/>
  <c r="K55" i="340"/>
  <c r="B56" i="340"/>
  <c r="C56" i="340"/>
  <c r="G56" i="340"/>
  <c r="K56" i="340"/>
  <c r="B57" i="340"/>
  <c r="C57" i="340"/>
  <c r="G57" i="340"/>
  <c r="K57" i="340"/>
  <c r="B58" i="340"/>
  <c r="C58" i="340"/>
  <c r="G58" i="340"/>
  <c r="K58" i="340"/>
  <c r="B59" i="340"/>
  <c r="C59" i="340"/>
  <c r="G59" i="340"/>
  <c r="K59" i="340"/>
  <c r="B60" i="340"/>
  <c r="C60" i="340"/>
  <c r="G60" i="340"/>
  <c r="K60" i="340"/>
  <c r="B61" i="340"/>
  <c r="C61" i="340"/>
  <c r="G61" i="340"/>
  <c r="K61" i="340"/>
  <c r="B62" i="340"/>
  <c r="C62" i="340"/>
  <c r="G62" i="340"/>
  <c r="K62" i="340"/>
  <c r="B63" i="340"/>
  <c r="C63" i="340"/>
  <c r="G63" i="340"/>
  <c r="K63" i="340"/>
  <c r="B64" i="340"/>
  <c r="C64" i="340"/>
  <c r="G64" i="340"/>
  <c r="K64" i="340"/>
  <c r="B65" i="340"/>
  <c r="C65" i="340"/>
  <c r="G65" i="340"/>
  <c r="K65" i="340"/>
  <c r="B66" i="340"/>
  <c r="C66" i="340"/>
  <c r="G66" i="340"/>
  <c r="K66" i="340"/>
  <c r="B67" i="340"/>
  <c r="C67" i="340"/>
  <c r="G67" i="340"/>
  <c r="K67" i="340"/>
  <c r="B68" i="340"/>
  <c r="C68" i="340"/>
  <c r="G68" i="340"/>
  <c r="K68" i="340"/>
  <c r="B69" i="340"/>
  <c r="C69" i="340"/>
  <c r="G69" i="340"/>
  <c r="K69" i="340"/>
  <c r="B70" i="340"/>
  <c r="C70" i="340"/>
  <c r="G70" i="340"/>
  <c r="K70" i="340"/>
  <c r="B71" i="340"/>
  <c r="C71" i="340"/>
  <c r="G71" i="340"/>
  <c r="K71" i="340"/>
  <c r="B72" i="340"/>
  <c r="C72" i="340"/>
  <c r="G72" i="340"/>
  <c r="K72" i="340"/>
  <c r="B73" i="340"/>
  <c r="C73" i="340"/>
  <c r="G73" i="340"/>
  <c r="K73" i="340"/>
  <c r="B74" i="340"/>
  <c r="C74" i="340"/>
  <c r="G74" i="340"/>
  <c r="K74" i="340"/>
  <c r="B75" i="340"/>
  <c r="C75" i="340"/>
  <c r="G75" i="340"/>
  <c r="K75" i="340"/>
  <c r="B76" i="340"/>
  <c r="C76" i="340"/>
  <c r="G76" i="340"/>
  <c r="K76" i="340"/>
  <c r="B77" i="340"/>
  <c r="C77" i="340"/>
  <c r="G77" i="340"/>
  <c r="K77" i="340"/>
  <c r="B78" i="340"/>
  <c r="C78" i="340"/>
  <c r="G78" i="340"/>
  <c r="K78" i="340"/>
  <c r="B79" i="340"/>
  <c r="C79" i="340"/>
  <c r="G79" i="340"/>
  <c r="K79" i="340"/>
  <c r="B80" i="340"/>
  <c r="C80" i="340"/>
  <c r="G80" i="340"/>
  <c r="K80" i="340"/>
  <c r="B81" i="340"/>
  <c r="C81" i="340"/>
  <c r="G81" i="340"/>
  <c r="K81" i="340"/>
  <c r="B82" i="340"/>
  <c r="C82" i="340"/>
  <c r="G82" i="340"/>
  <c r="K82" i="340"/>
  <c r="B83" i="340"/>
  <c r="C83" i="340"/>
  <c r="G83" i="340"/>
  <c r="K83" i="340"/>
  <c r="B84" i="340"/>
  <c r="C84" i="340"/>
  <c r="G84" i="340"/>
  <c r="K84" i="340"/>
  <c r="B85" i="340"/>
  <c r="C85" i="340"/>
  <c r="G85" i="340"/>
  <c r="K85" i="340"/>
  <c r="B86" i="340"/>
  <c r="C86" i="340"/>
  <c r="G86" i="340"/>
  <c r="K86" i="340"/>
  <c r="B87" i="340"/>
  <c r="C87" i="340"/>
  <c r="G87" i="340"/>
  <c r="K87" i="340"/>
  <c r="B88" i="340"/>
  <c r="C88" i="340"/>
  <c r="G88" i="340"/>
  <c r="K88" i="340"/>
  <c r="B90" i="340"/>
  <c r="C90" i="340"/>
  <c r="G90" i="340"/>
  <c r="K90" i="340"/>
  <c r="B91" i="340"/>
  <c r="C91" i="340"/>
  <c r="G91" i="340"/>
  <c r="K91" i="340"/>
  <c r="B92" i="340"/>
  <c r="C92" i="340"/>
  <c r="G92" i="340"/>
  <c r="K92" i="340"/>
  <c r="B93" i="340"/>
  <c r="C93" i="340"/>
  <c r="G93" i="340"/>
  <c r="K93" i="340"/>
  <c r="B94" i="340"/>
  <c r="C94" i="340"/>
  <c r="G94" i="340"/>
  <c r="K94" i="340"/>
  <c r="B96" i="340"/>
  <c r="C96" i="340"/>
  <c r="G96" i="340"/>
  <c r="K96" i="340"/>
  <c r="B97" i="340"/>
  <c r="C97" i="340"/>
  <c r="G97" i="340"/>
  <c r="K97" i="340"/>
  <c r="B98" i="340"/>
  <c r="C98" i="340"/>
  <c r="G98" i="340"/>
  <c r="K98" i="340"/>
  <c r="B46" i="338"/>
  <c r="C46" i="338"/>
  <c r="B47" i="338"/>
  <c r="C47" i="338"/>
  <c r="B48" i="338"/>
  <c r="C48" i="338"/>
  <c r="B49" i="338"/>
  <c r="C49" i="338"/>
  <c r="B50" i="338"/>
  <c r="C50" i="338"/>
  <c r="B51" i="338"/>
  <c r="C51" i="338"/>
  <c r="B52" i="338"/>
  <c r="C52" i="338"/>
  <c r="B53" i="338"/>
  <c r="C53" i="338"/>
  <c r="B54" i="338"/>
  <c r="C54" i="338"/>
  <c r="B55" i="338"/>
  <c r="C55" i="338"/>
  <c r="B56" i="338"/>
  <c r="C56" i="338"/>
  <c r="B57" i="338"/>
  <c r="C57" i="338"/>
  <c r="B58" i="338"/>
  <c r="C58" i="338"/>
  <c r="B59" i="338"/>
  <c r="C59" i="338"/>
  <c r="B60" i="338"/>
  <c r="C60" i="338"/>
  <c r="B61" i="338"/>
  <c r="C61" i="338"/>
  <c r="B62" i="338"/>
  <c r="C62" i="338"/>
  <c r="B63" i="338"/>
  <c r="C63" i="338"/>
  <c r="B64" i="338"/>
  <c r="C64" i="338"/>
  <c r="B65" i="338"/>
  <c r="C65" i="338"/>
  <c r="B66" i="338"/>
  <c r="C66" i="338"/>
  <c r="B67" i="338"/>
  <c r="C67" i="338"/>
  <c r="B68" i="338"/>
  <c r="C68" i="338"/>
  <c r="B69" i="338"/>
  <c r="C69" i="338"/>
  <c r="B70" i="338"/>
  <c r="C70" i="338"/>
  <c r="B71" i="338"/>
  <c r="C71" i="338"/>
  <c r="B72" i="338"/>
  <c r="C72" i="338"/>
  <c r="B73" i="338"/>
  <c r="C73" i="338"/>
  <c r="B74" i="338"/>
  <c r="C74" i="338"/>
  <c r="B75" i="338"/>
  <c r="C75" i="338"/>
  <c r="B76" i="338"/>
  <c r="C76" i="338"/>
  <c r="B77" i="338"/>
  <c r="C77" i="338"/>
  <c r="B78" i="338"/>
  <c r="C78" i="338"/>
  <c r="B79" i="338"/>
  <c r="C79" i="338"/>
  <c r="B80" i="338"/>
  <c r="C80" i="338"/>
  <c r="B81" i="338"/>
  <c r="C81" i="338"/>
  <c r="B82" i="338"/>
  <c r="C82" i="338"/>
  <c r="B83" i="338"/>
  <c r="C83" i="338"/>
  <c r="B84" i="338"/>
  <c r="C84" i="338"/>
  <c r="B85" i="338"/>
  <c r="C85" i="338"/>
  <c r="B87" i="338"/>
  <c r="C87" i="338"/>
  <c r="B88" i="338"/>
  <c r="C88" i="338"/>
  <c r="B89" i="338"/>
  <c r="C89" i="338"/>
  <c r="B90" i="338"/>
  <c r="C90" i="338"/>
  <c r="B91" i="338"/>
  <c r="C91" i="338"/>
  <c r="B93" i="338"/>
  <c r="C93" i="338"/>
  <c r="B94" i="338"/>
  <c r="C94" i="338"/>
  <c r="B95" i="338"/>
  <c r="C95" i="338"/>
  <c r="B39" i="338"/>
  <c r="C39" i="338"/>
  <c r="B40" i="338"/>
  <c r="C40" i="338"/>
  <c r="B41" i="338"/>
  <c r="C41" i="338"/>
  <c r="B42" i="338"/>
  <c r="C42" i="338"/>
  <c r="B43" i="338"/>
  <c r="C43" i="338"/>
  <c r="B44" i="338"/>
  <c r="C44" i="338"/>
  <c r="B45" i="338"/>
  <c r="C45" i="338"/>
  <c r="B38" i="504"/>
  <c r="C38" i="504"/>
  <c r="B39" i="504"/>
  <c r="C39" i="504"/>
  <c r="B40" i="504"/>
  <c r="C40" i="504"/>
  <c r="B41" i="504"/>
  <c r="C41" i="504"/>
  <c r="B42" i="504"/>
  <c r="C42" i="504"/>
  <c r="B43" i="504"/>
  <c r="C43" i="504"/>
  <c r="B44" i="504"/>
  <c r="C44" i="504"/>
  <c r="B45" i="504"/>
  <c r="C45" i="504"/>
  <c r="B46" i="504"/>
  <c r="C46" i="504"/>
  <c r="B47" i="504"/>
  <c r="C47" i="504"/>
  <c r="B48" i="504"/>
  <c r="C48" i="504"/>
  <c r="B49" i="504"/>
  <c r="C49" i="504"/>
  <c r="B50" i="504"/>
  <c r="C50" i="504"/>
  <c r="B51" i="504"/>
  <c r="C51" i="504"/>
  <c r="B52" i="504"/>
  <c r="C52" i="504"/>
  <c r="B53" i="504"/>
  <c r="C53" i="504"/>
  <c r="B54" i="504"/>
  <c r="C54" i="504"/>
  <c r="B55" i="504"/>
  <c r="C55" i="504"/>
  <c r="B56" i="504"/>
  <c r="C56" i="504"/>
  <c r="B57" i="504"/>
  <c r="C57" i="504"/>
  <c r="B58" i="504"/>
  <c r="C58" i="504"/>
  <c r="B59" i="504"/>
  <c r="C59" i="504"/>
  <c r="B60" i="504"/>
  <c r="C60" i="504"/>
  <c r="B61" i="504"/>
  <c r="C61" i="504"/>
  <c r="B62" i="504"/>
  <c r="C62" i="504"/>
  <c r="B63" i="504"/>
  <c r="C63" i="504"/>
  <c r="B64" i="504"/>
  <c r="C64" i="504"/>
  <c r="B65" i="504"/>
  <c r="C65" i="504"/>
  <c r="B66" i="504"/>
  <c r="C66" i="504"/>
  <c r="B67" i="504"/>
  <c r="C67" i="504"/>
  <c r="B68" i="504"/>
  <c r="C68" i="504"/>
  <c r="B69" i="504"/>
  <c r="C69" i="504"/>
  <c r="B70" i="504"/>
  <c r="C70" i="504"/>
  <c r="B71" i="504"/>
  <c r="C71" i="504"/>
  <c r="B72" i="504"/>
  <c r="C72" i="504"/>
  <c r="B73" i="504"/>
  <c r="C73" i="504"/>
  <c r="B74" i="504"/>
  <c r="C74" i="504"/>
  <c r="B75" i="504"/>
  <c r="C75" i="504"/>
  <c r="B76" i="504"/>
  <c r="C76" i="504"/>
  <c r="B77" i="504"/>
  <c r="C77" i="504"/>
  <c r="B78" i="504"/>
  <c r="C78" i="504"/>
  <c r="B80" i="504"/>
  <c r="C80" i="504"/>
  <c r="B81" i="504"/>
  <c r="C81" i="504"/>
  <c r="B82" i="504"/>
  <c r="C82" i="504"/>
  <c r="B83" i="504"/>
  <c r="C83" i="504"/>
  <c r="B84" i="504"/>
  <c r="C84" i="504"/>
  <c r="B86" i="504"/>
  <c r="C86" i="504"/>
  <c r="B87" i="504"/>
  <c r="C87" i="504"/>
  <c r="B88" i="504"/>
  <c r="C88" i="504"/>
  <c r="B31" i="504"/>
  <c r="C31" i="504"/>
  <c r="B32" i="504"/>
  <c r="C32" i="504"/>
  <c r="B33" i="504"/>
  <c r="C33" i="504"/>
  <c r="B34" i="504"/>
  <c r="C34" i="504"/>
  <c r="B35" i="504"/>
  <c r="C35" i="504"/>
  <c r="B36" i="504"/>
  <c r="C36" i="504"/>
  <c r="B37" i="504"/>
  <c r="C37" i="504"/>
  <c r="A137" i="588"/>
  <c r="C137" i="588"/>
  <c r="E137" i="588" s="1"/>
  <c r="A138" i="588"/>
  <c r="C138" i="588"/>
  <c r="E138" i="588" s="1"/>
  <c r="A139" i="588"/>
  <c r="C139" i="588"/>
  <c r="E139" i="588" s="1"/>
  <c r="A140" i="588"/>
  <c r="C140" i="588"/>
  <c r="E140" i="588" s="1"/>
  <c r="A141" i="588"/>
  <c r="C141" i="588"/>
  <c r="E141" i="588" s="1"/>
  <c r="A142" i="588"/>
  <c r="C142" i="588"/>
  <c r="E142" i="588" s="1"/>
  <c r="A143" i="588"/>
  <c r="C143" i="588"/>
  <c r="E143" i="588" s="1"/>
  <c r="A144" i="588"/>
  <c r="C144" i="588"/>
  <c r="E144" i="588" s="1"/>
  <c r="A145" i="588"/>
  <c r="C145" i="588"/>
  <c r="E145" i="588" s="1"/>
  <c r="A146" i="588"/>
  <c r="C146" i="588"/>
  <c r="A147" i="588"/>
  <c r="C147" i="588"/>
  <c r="E147" i="588" s="1"/>
  <c r="A148" i="588"/>
  <c r="C148" i="588"/>
  <c r="E148" i="588" s="1"/>
  <c r="A149" i="588"/>
  <c r="C149" i="588"/>
  <c r="E149" i="588" s="1"/>
  <c r="A150" i="588"/>
  <c r="C150" i="588"/>
  <c r="E150" i="588" s="1"/>
  <c r="A151" i="588"/>
  <c r="C151" i="588"/>
  <c r="E151" i="588" s="1"/>
  <c r="A152" i="588"/>
  <c r="C152" i="588"/>
  <c r="E152" i="588" s="1"/>
  <c r="A153" i="588"/>
  <c r="C153" i="588"/>
  <c r="E153" i="588" s="1"/>
  <c r="A154" i="588"/>
  <c r="C154" i="588"/>
  <c r="E154" i="588" s="1"/>
  <c r="A155" i="588"/>
  <c r="C155" i="588"/>
  <c r="E155" i="588" s="1"/>
  <c r="A156" i="588"/>
  <c r="C156" i="588"/>
  <c r="E156" i="588" s="1"/>
  <c r="A157" i="588"/>
  <c r="C157" i="588"/>
  <c r="E157" i="588" s="1"/>
  <c r="A158" i="588"/>
  <c r="C158" i="588"/>
  <c r="E158" i="588" s="1"/>
  <c r="A159" i="588"/>
  <c r="C159" i="588"/>
  <c r="E159" i="588" s="1"/>
  <c r="A160" i="588"/>
  <c r="C160" i="588"/>
  <c r="A161" i="588"/>
  <c r="C161" i="588"/>
  <c r="E161" i="588" s="1"/>
  <c r="A162" i="588"/>
  <c r="C162" i="588"/>
  <c r="E162" i="588" s="1"/>
  <c r="A163" i="588"/>
  <c r="C163" i="588"/>
  <c r="E163" i="588" s="1"/>
  <c r="A164" i="588"/>
  <c r="C164" i="588"/>
  <c r="E164" i="588" s="1"/>
  <c r="A165" i="588"/>
  <c r="C165" i="588"/>
  <c r="E165" i="588" s="1"/>
  <c r="A166" i="588"/>
  <c r="C166" i="588"/>
  <c r="E166" i="588" s="1"/>
  <c r="A167" i="588"/>
  <c r="C167" i="588"/>
  <c r="E167" i="588" s="1"/>
  <c r="A168" i="588"/>
  <c r="C168" i="588"/>
  <c r="E168" i="588" s="1"/>
  <c r="A169" i="588"/>
  <c r="C169" i="588"/>
  <c r="E169" i="588" s="1"/>
  <c r="A170" i="588"/>
  <c r="C170" i="588"/>
  <c r="E170" i="588" s="1"/>
  <c r="A171" i="588"/>
  <c r="C171" i="588"/>
  <c r="A172" i="588"/>
  <c r="C172" i="588"/>
  <c r="E172" i="588" s="1"/>
  <c r="A173" i="588"/>
  <c r="C173" i="588"/>
  <c r="E173" i="588" s="1"/>
  <c r="A174" i="588"/>
  <c r="C174" i="588"/>
  <c r="E174" i="588" s="1"/>
  <c r="A175" i="588"/>
  <c r="C175" i="588"/>
  <c r="E175" i="588" s="1"/>
  <c r="A176" i="588"/>
  <c r="C176" i="588"/>
  <c r="E176" i="588" s="1"/>
  <c r="A178" i="588"/>
  <c r="C178" i="588"/>
  <c r="E178" i="588" s="1"/>
  <c r="A179" i="588"/>
  <c r="C179" i="588"/>
  <c r="A180" i="588"/>
  <c r="C180" i="588"/>
  <c r="E180" i="588" s="1"/>
  <c r="A181" i="588"/>
  <c r="C181" i="588"/>
  <c r="E181" i="588" s="1"/>
  <c r="A182" i="588"/>
  <c r="C182" i="588"/>
  <c r="E182" i="588" s="1"/>
  <c r="A184" i="588"/>
  <c r="C184" i="588"/>
  <c r="E184" i="588" s="1"/>
  <c r="A185" i="588"/>
  <c r="C185" i="588"/>
  <c r="E185" i="588" s="1"/>
  <c r="A186" i="588"/>
  <c r="C186" i="588"/>
  <c r="E186" i="588" s="1"/>
  <c r="A129" i="588"/>
  <c r="C129" i="588"/>
  <c r="E129" i="588" s="1"/>
  <c r="A130" i="588"/>
  <c r="C130" i="588"/>
  <c r="E130" i="588" s="1"/>
  <c r="A131" i="588"/>
  <c r="C131" i="588"/>
  <c r="E131" i="588" s="1"/>
  <c r="A132" i="588"/>
  <c r="C132" i="588"/>
  <c r="E132" i="588" s="1"/>
  <c r="A133" i="588"/>
  <c r="C133" i="588"/>
  <c r="E133" i="588" s="1"/>
  <c r="A134" i="588"/>
  <c r="C134" i="588"/>
  <c r="E134" i="588" s="1"/>
  <c r="A135" i="588"/>
  <c r="C135" i="588"/>
  <c r="E135" i="588" s="1"/>
  <c r="A136" i="588"/>
  <c r="C136" i="588"/>
  <c r="B80" i="337"/>
  <c r="D80" i="337"/>
  <c r="B81" i="337"/>
  <c r="D81" i="337"/>
  <c r="B82" i="337"/>
  <c r="D82" i="337"/>
  <c r="B83" i="337"/>
  <c r="D83" i="337"/>
  <c r="B84" i="337"/>
  <c r="D84" i="337"/>
  <c r="B86" i="337"/>
  <c r="D86" i="337"/>
  <c r="B87" i="337"/>
  <c r="D87" i="337"/>
  <c r="B88" i="337"/>
  <c r="D88" i="337"/>
  <c r="B89" i="337"/>
  <c r="D89" i="337"/>
  <c r="B90" i="337"/>
  <c r="D90" i="337"/>
  <c r="B92" i="337"/>
  <c r="D92" i="337"/>
  <c r="B93" i="337"/>
  <c r="D93" i="337"/>
  <c r="B94" i="337"/>
  <c r="D94" i="337"/>
  <c r="B60" i="337"/>
  <c r="D60" i="337"/>
  <c r="B61" i="337"/>
  <c r="D61" i="337"/>
  <c r="B62" i="337"/>
  <c r="D62" i="337"/>
  <c r="B63" i="337"/>
  <c r="D63" i="337"/>
  <c r="B64" i="337"/>
  <c r="D64" i="337"/>
  <c r="B65" i="337"/>
  <c r="D65" i="337"/>
  <c r="B66" i="337"/>
  <c r="D66" i="337"/>
  <c r="B67" i="337"/>
  <c r="D67" i="337"/>
  <c r="B68" i="337"/>
  <c r="D68" i="337"/>
  <c r="B69" i="337"/>
  <c r="D69" i="337"/>
  <c r="B70" i="337"/>
  <c r="D70" i="337"/>
  <c r="B71" i="337"/>
  <c r="D71" i="337"/>
  <c r="B72" i="337"/>
  <c r="D72" i="337"/>
  <c r="B73" i="337"/>
  <c r="D73" i="337"/>
  <c r="B74" i="337"/>
  <c r="D74" i="337"/>
  <c r="B75" i="337"/>
  <c r="D75" i="337"/>
  <c r="B76" i="337"/>
  <c r="D76" i="337"/>
  <c r="B77" i="337"/>
  <c r="D77" i="337"/>
  <c r="B78" i="337"/>
  <c r="D78" i="337"/>
  <c r="B79" i="337"/>
  <c r="D79" i="337"/>
  <c r="B44" i="337"/>
  <c r="D44" i="337"/>
  <c r="B45" i="337"/>
  <c r="D45" i="337"/>
  <c r="B46" i="337"/>
  <c r="D46" i="337"/>
  <c r="B47" i="337"/>
  <c r="D47" i="337"/>
  <c r="B48" i="337"/>
  <c r="D48" i="337"/>
  <c r="B49" i="337"/>
  <c r="D49" i="337"/>
  <c r="B50" i="337"/>
  <c r="D50" i="337"/>
  <c r="B51" i="337"/>
  <c r="D51" i="337"/>
  <c r="B52" i="337"/>
  <c r="D52" i="337"/>
  <c r="B53" i="337"/>
  <c r="D53" i="337"/>
  <c r="B54" i="337"/>
  <c r="D54" i="337"/>
  <c r="B55" i="337"/>
  <c r="D55" i="337"/>
  <c r="B56" i="337"/>
  <c r="D56" i="337"/>
  <c r="B57" i="337"/>
  <c r="D57" i="337"/>
  <c r="B58" i="337"/>
  <c r="D58" i="337"/>
  <c r="B59" i="337"/>
  <c r="D59" i="337"/>
  <c r="B37" i="337"/>
  <c r="D37" i="337"/>
  <c r="B38" i="337"/>
  <c r="D38" i="337"/>
  <c r="B39" i="337"/>
  <c r="D39" i="337"/>
  <c r="B40" i="337"/>
  <c r="D40" i="337"/>
  <c r="B41" i="337"/>
  <c r="D41" i="337"/>
  <c r="B42" i="337"/>
  <c r="D42" i="337"/>
  <c r="B43" i="337"/>
  <c r="D43" i="337"/>
  <c r="I32" i="601"/>
  <c r="I33" i="601"/>
  <c r="I34" i="601"/>
  <c r="I35" i="601"/>
  <c r="I36" i="601"/>
  <c r="I37" i="601"/>
  <c r="I38" i="601"/>
  <c r="I39" i="601"/>
  <c r="I40" i="601"/>
  <c r="I41" i="601"/>
  <c r="I42" i="601"/>
  <c r="I43" i="601"/>
  <c r="I44" i="601"/>
  <c r="I45" i="601"/>
  <c r="I46" i="601"/>
  <c r="I47" i="601"/>
  <c r="I48" i="601"/>
  <c r="I49" i="601"/>
  <c r="I50" i="601"/>
  <c r="I51" i="601"/>
  <c r="I52" i="601"/>
  <c r="I53" i="601"/>
  <c r="I54" i="601"/>
  <c r="I55" i="601"/>
  <c r="I56" i="601"/>
  <c r="I57" i="601"/>
  <c r="I58" i="601"/>
  <c r="I59" i="601"/>
  <c r="I60" i="601"/>
  <c r="I61" i="601"/>
  <c r="I62" i="601"/>
  <c r="I63" i="601"/>
  <c r="I64" i="601"/>
  <c r="I65" i="601"/>
  <c r="I66" i="601"/>
  <c r="I67" i="601"/>
  <c r="I68" i="601"/>
  <c r="I69" i="601"/>
  <c r="I70" i="601"/>
  <c r="I71" i="601"/>
  <c r="I72" i="601"/>
  <c r="I73" i="601"/>
  <c r="I74" i="601"/>
  <c r="I75" i="601"/>
  <c r="I76" i="601"/>
  <c r="I77" i="601"/>
  <c r="I78" i="601"/>
  <c r="I80" i="601"/>
  <c r="I81" i="601"/>
  <c r="I82" i="601"/>
  <c r="I83" i="601"/>
  <c r="I84" i="601"/>
  <c r="I86" i="601"/>
  <c r="I87" i="601"/>
  <c r="I88" i="601"/>
  <c r="I89" i="601"/>
  <c r="B42" i="601"/>
  <c r="B43" i="601"/>
  <c r="B44" i="601"/>
  <c r="B45" i="601"/>
  <c r="B46" i="601"/>
  <c r="B47" i="601"/>
  <c r="B48" i="601"/>
  <c r="B49" i="601"/>
  <c r="B50" i="601"/>
  <c r="B51" i="601"/>
  <c r="B52" i="601"/>
  <c r="B53" i="601"/>
  <c r="B54" i="601"/>
  <c r="B55" i="601"/>
  <c r="B56" i="601"/>
  <c r="B57" i="601"/>
  <c r="B58" i="601"/>
  <c r="B59" i="601"/>
  <c r="B60" i="601"/>
  <c r="B61" i="601"/>
  <c r="B62" i="601"/>
  <c r="B63" i="601"/>
  <c r="B64" i="601"/>
  <c r="B65" i="601"/>
  <c r="B66" i="601"/>
  <c r="B67" i="601"/>
  <c r="B68" i="601"/>
  <c r="B69" i="601"/>
  <c r="B70" i="601"/>
  <c r="B71" i="601"/>
  <c r="B72" i="601"/>
  <c r="B73" i="601"/>
  <c r="B74" i="601"/>
  <c r="B75" i="601"/>
  <c r="B76" i="601"/>
  <c r="B77" i="601"/>
  <c r="B78" i="601"/>
  <c r="B80" i="601"/>
  <c r="B81" i="601"/>
  <c r="B82" i="601"/>
  <c r="B83" i="601"/>
  <c r="B84" i="601"/>
  <c r="B86" i="601"/>
  <c r="B87" i="601"/>
  <c r="B88" i="601"/>
  <c r="B89" i="601"/>
  <c r="B32" i="601"/>
  <c r="B33" i="601"/>
  <c r="B34" i="601"/>
  <c r="B35" i="601"/>
  <c r="B36" i="601"/>
  <c r="B37" i="601"/>
  <c r="B38" i="601"/>
  <c r="B39" i="601"/>
  <c r="B40" i="601"/>
  <c r="B41" i="601"/>
  <c r="I31" i="601"/>
  <c r="B31" i="601"/>
  <c r="B31" i="526"/>
  <c r="B32" i="526"/>
  <c r="B33" i="526"/>
  <c r="B34" i="526"/>
  <c r="B35" i="526"/>
  <c r="B36" i="526"/>
  <c r="B37" i="526"/>
  <c r="B38" i="526"/>
  <c r="B39" i="526"/>
  <c r="B40" i="526"/>
  <c r="B41" i="526"/>
  <c r="B42" i="526"/>
  <c r="B43" i="526"/>
  <c r="B44" i="526"/>
  <c r="B45" i="526"/>
  <c r="B46" i="526"/>
  <c r="B47" i="526"/>
  <c r="B48" i="526"/>
  <c r="B49" i="526"/>
  <c r="B50" i="526"/>
  <c r="F87" i="526"/>
  <c r="H87" i="526" s="1"/>
  <c r="Z87" i="526" s="1"/>
  <c r="B87" i="526"/>
  <c r="F88" i="526"/>
  <c r="H88" i="526" s="1"/>
  <c r="Z88" i="526" s="1"/>
  <c r="B88" i="526"/>
  <c r="B51" i="526"/>
  <c r="B52" i="526"/>
  <c r="B53" i="526"/>
  <c r="B54" i="526"/>
  <c r="B55" i="526"/>
  <c r="B56" i="526"/>
  <c r="B57" i="526"/>
  <c r="B58" i="526"/>
  <c r="B59" i="526"/>
  <c r="B60" i="526"/>
  <c r="B61" i="526"/>
  <c r="B62" i="526"/>
  <c r="B63" i="526"/>
  <c r="B64" i="526"/>
  <c r="B65" i="526"/>
  <c r="B66" i="526"/>
  <c r="B67" i="526"/>
  <c r="B68" i="526"/>
  <c r="B69" i="526"/>
  <c r="B70" i="526"/>
  <c r="B71" i="526"/>
  <c r="B72" i="526"/>
  <c r="B73" i="526"/>
  <c r="B74" i="526"/>
  <c r="B75" i="526"/>
  <c r="B76" i="526"/>
  <c r="B77" i="526"/>
  <c r="B78" i="526"/>
  <c r="B80" i="526"/>
  <c r="B81" i="526"/>
  <c r="B82" i="526"/>
  <c r="B83" i="526"/>
  <c r="B84" i="526"/>
  <c r="B86" i="526"/>
  <c r="B89" i="526"/>
  <c r="H87" i="602" l="1"/>
  <c r="O87" i="602" s="1"/>
  <c r="H88" i="618"/>
  <c r="O88" i="618" s="1"/>
  <c r="E143" i="613"/>
  <c r="G143" i="613" s="1"/>
  <c r="E51" i="615" s="1"/>
  <c r="E183" i="613"/>
  <c r="G183" i="613" s="1"/>
  <c r="E91" i="615" s="1"/>
  <c r="E174" i="613"/>
  <c r="G174" i="613" s="1"/>
  <c r="E82" i="615" s="1"/>
  <c r="E167" i="613"/>
  <c r="G167" i="613" s="1"/>
  <c r="E75" i="615" s="1"/>
  <c r="E159" i="613"/>
  <c r="G159" i="613" s="1"/>
  <c r="E67" i="615" s="1"/>
  <c r="E151" i="613"/>
  <c r="G151" i="613" s="1"/>
  <c r="E59" i="615" s="1"/>
  <c r="H87" i="618"/>
  <c r="O87" i="618" s="1"/>
  <c r="H88" i="602"/>
  <c r="O88" i="602" s="1"/>
  <c r="H346" i="622"/>
  <c r="H347" i="622" s="1"/>
  <c r="L10" i="622"/>
  <c r="M10" i="622" s="1"/>
  <c r="G141" i="613"/>
  <c r="E49" i="615" s="1"/>
  <c r="G181" i="613"/>
  <c r="E89" i="615" s="1"/>
  <c r="G165" i="613"/>
  <c r="E73" i="615" s="1"/>
  <c r="G135" i="613"/>
  <c r="E43" i="615" s="1"/>
  <c r="G134" i="613"/>
  <c r="E42" i="615" s="1"/>
  <c r="G132" i="613"/>
  <c r="E40" i="615" s="1"/>
  <c r="G145" i="613"/>
  <c r="E53" i="615" s="1"/>
  <c r="G186" i="613"/>
  <c r="E94" i="615" s="1"/>
  <c r="G176" i="613"/>
  <c r="E84" i="615" s="1"/>
  <c r="G169" i="613"/>
  <c r="E77" i="615" s="1"/>
  <c r="G153" i="613"/>
  <c r="E61" i="615" s="1"/>
  <c r="B37" i="619"/>
  <c r="B86" i="612"/>
  <c r="B71" i="615"/>
  <c r="B53" i="611"/>
  <c r="B40" i="620"/>
  <c r="B89" i="612"/>
  <c r="B65" i="612"/>
  <c r="B45" i="617"/>
  <c r="B50" i="620"/>
  <c r="B93" i="617"/>
  <c r="A77" i="618"/>
  <c r="B74" i="620"/>
  <c r="B68" i="617"/>
  <c r="A54" i="618"/>
  <c r="A86" i="618"/>
  <c r="B80" i="620"/>
  <c r="B43" i="612"/>
  <c r="A68" i="618"/>
  <c r="B45" i="611"/>
  <c r="B69" i="611"/>
  <c r="B61" i="611"/>
  <c r="B49" i="612"/>
  <c r="A139" i="613"/>
  <c r="B47" i="611"/>
  <c r="B88" i="611"/>
  <c r="B82" i="620"/>
  <c r="B75" i="619"/>
  <c r="B63" i="614"/>
  <c r="B55" i="611"/>
  <c r="B80" i="612"/>
  <c r="B73" i="612"/>
  <c r="B57" i="612"/>
  <c r="B35" i="620"/>
  <c r="B35" i="614"/>
  <c r="A181" i="613"/>
  <c r="G146" i="613"/>
  <c r="E54" i="615" s="1"/>
  <c r="G177" i="613"/>
  <c r="E85" i="615" s="1"/>
  <c r="G170" i="613"/>
  <c r="E78" i="615" s="1"/>
  <c r="G162" i="613"/>
  <c r="E70" i="615" s="1"/>
  <c r="G144" i="613"/>
  <c r="E52" i="615" s="1"/>
  <c r="G175" i="613"/>
  <c r="E83" i="615" s="1"/>
  <c r="G168" i="613"/>
  <c r="E76" i="615" s="1"/>
  <c r="G152" i="613"/>
  <c r="E60" i="615" s="1"/>
  <c r="G160" i="613"/>
  <c r="E68" i="615" s="1"/>
  <c r="G133" i="613"/>
  <c r="E41" i="615" s="1"/>
  <c r="G131" i="588"/>
  <c r="E40" i="338" s="1"/>
  <c r="B38" i="611"/>
  <c r="A134" i="613"/>
  <c r="G149" i="588"/>
  <c r="E58" i="338" s="1"/>
  <c r="B63" i="619"/>
  <c r="A38" i="618"/>
  <c r="B66" i="620"/>
  <c r="B77" i="611"/>
  <c r="B49" i="616"/>
  <c r="B43" i="620"/>
  <c r="B62" i="611"/>
  <c r="B46" i="611"/>
  <c r="A52" i="618"/>
  <c r="G141" i="588"/>
  <c r="E50" i="338" s="1"/>
  <c r="G132" i="588"/>
  <c r="E41" i="338" s="1"/>
  <c r="B83" i="614"/>
  <c r="A45" i="618"/>
  <c r="B53" i="615"/>
  <c r="G169" i="588"/>
  <c r="E78" i="338" s="1"/>
  <c r="G172" i="588"/>
  <c r="E81" i="338" s="1"/>
  <c r="B74" i="614"/>
  <c r="G165" i="588"/>
  <c r="E74" i="338" s="1"/>
  <c r="G152" i="588"/>
  <c r="E61" i="338" s="1"/>
  <c r="B70" i="611"/>
  <c r="B52" i="615"/>
  <c r="B77" i="616"/>
  <c r="B76" i="617"/>
  <c r="G155" i="588"/>
  <c r="E64" i="338" s="1"/>
  <c r="B93" i="616"/>
  <c r="B55" i="619"/>
  <c r="B64" i="611"/>
  <c r="B57" i="615"/>
  <c r="B87" i="615"/>
  <c r="B61" i="616"/>
  <c r="B60" i="617"/>
  <c r="G181" i="588"/>
  <c r="E90" i="338" s="1"/>
  <c r="G175" i="588"/>
  <c r="E84" i="338" s="1"/>
  <c r="B31" i="611"/>
  <c r="B56" i="611"/>
  <c r="A87" i="618"/>
  <c r="G161" i="588"/>
  <c r="E70" i="338" s="1"/>
  <c r="B87" i="611"/>
  <c r="B54" i="611"/>
  <c r="B42" i="612"/>
  <c r="B51" i="614"/>
  <c r="A70" i="618"/>
  <c r="B90" i="620"/>
  <c r="G186" i="588"/>
  <c r="E95" i="338" s="1"/>
  <c r="B80" i="611"/>
  <c r="B48" i="611"/>
  <c r="A169" i="613"/>
  <c r="B87" i="619"/>
  <c r="B81" i="620"/>
  <c r="G185" i="588"/>
  <c r="E94" i="338" s="1"/>
  <c r="G148" i="588"/>
  <c r="E57" i="338" s="1"/>
  <c r="B38" i="617"/>
  <c r="B36" i="619"/>
  <c r="A32" i="618"/>
  <c r="B36" i="620"/>
  <c r="B32" i="614"/>
  <c r="B39" i="615"/>
  <c r="A131" i="613"/>
  <c r="B40" i="617"/>
  <c r="A34" i="618"/>
  <c r="B38" i="620"/>
  <c r="B38" i="619"/>
  <c r="B47" i="617"/>
  <c r="A140" i="613"/>
  <c r="B45" i="620"/>
  <c r="B45" i="619"/>
  <c r="A41" i="618"/>
  <c r="B87" i="617"/>
  <c r="B88" i="615"/>
  <c r="B85" i="620"/>
  <c r="B85" i="619"/>
  <c r="A81" i="618"/>
  <c r="B81" i="614"/>
  <c r="A180" i="613"/>
  <c r="B78" i="617"/>
  <c r="B79" i="615"/>
  <c r="B76" i="620"/>
  <c r="B76" i="619"/>
  <c r="A72" i="618"/>
  <c r="B72" i="614"/>
  <c r="B71" i="617"/>
  <c r="B72" i="615"/>
  <c r="B69" i="620"/>
  <c r="B69" i="619"/>
  <c r="A65" i="618"/>
  <c r="B65" i="614"/>
  <c r="A164" i="613"/>
  <c r="B63" i="617"/>
  <c r="B64" i="615"/>
  <c r="A156" i="613"/>
  <c r="B61" i="620"/>
  <c r="B61" i="619"/>
  <c r="A57" i="618"/>
  <c r="B57" i="614"/>
  <c r="B55" i="617"/>
  <c r="B53" i="620"/>
  <c r="B53" i="619"/>
  <c r="A49" i="618"/>
  <c r="A148" i="613"/>
  <c r="B40" i="611"/>
  <c r="A177" i="613"/>
  <c r="B48" i="615"/>
  <c r="G164" i="588"/>
  <c r="E73" i="338" s="1"/>
  <c r="B41" i="619"/>
  <c r="B37" i="614"/>
  <c r="B43" i="617"/>
  <c r="B44" i="615"/>
  <c r="B48" i="619"/>
  <c r="B50" i="617"/>
  <c r="B54" i="616"/>
  <c r="B51" i="615"/>
  <c r="B48" i="620"/>
  <c r="B44" i="614"/>
  <c r="A143" i="613"/>
  <c r="B88" i="619"/>
  <c r="B84" i="614"/>
  <c r="B90" i="617"/>
  <c r="B94" i="616"/>
  <c r="B88" i="620"/>
  <c r="B79" i="619"/>
  <c r="B75" i="614"/>
  <c r="B81" i="617"/>
  <c r="B85" i="616"/>
  <c r="A174" i="613"/>
  <c r="B79" i="620"/>
  <c r="B72" i="619"/>
  <c r="B68" i="614"/>
  <c r="A167" i="613"/>
  <c r="B74" i="617"/>
  <c r="B78" i="616"/>
  <c r="B72" i="620"/>
  <c r="B64" i="619"/>
  <c r="B60" i="614"/>
  <c r="B66" i="617"/>
  <c r="B70" i="616"/>
  <c r="B64" i="620"/>
  <c r="A159" i="613"/>
  <c r="B56" i="619"/>
  <c r="B52" i="614"/>
  <c r="A151" i="613"/>
  <c r="B58" i="617"/>
  <c r="B62" i="616"/>
  <c r="B59" i="615"/>
  <c r="B56" i="620"/>
  <c r="B39" i="611"/>
  <c r="B78" i="611"/>
  <c r="B71" i="611"/>
  <c r="B63" i="611"/>
  <c r="B38" i="612"/>
  <c r="B92" i="612"/>
  <c r="B87" i="612"/>
  <c r="B82" i="612"/>
  <c r="B78" i="612"/>
  <c r="B75" i="612"/>
  <c r="B71" i="612"/>
  <c r="B67" i="612"/>
  <c r="B63" i="612"/>
  <c r="B59" i="612"/>
  <c r="B55" i="612"/>
  <c r="B51" i="612"/>
  <c r="B47" i="612"/>
  <c r="A138" i="613"/>
  <c r="B45" i="614"/>
  <c r="B67" i="615"/>
  <c r="B96" i="616"/>
  <c r="B79" i="616"/>
  <c r="B63" i="616"/>
  <c r="B77" i="617"/>
  <c r="B54" i="617"/>
  <c r="A37" i="618"/>
  <c r="A69" i="618"/>
  <c r="A46" i="618"/>
  <c r="B43" i="619"/>
  <c r="B65" i="620"/>
  <c r="B42" i="620"/>
  <c r="B44" i="620"/>
  <c r="B44" i="619"/>
  <c r="A40" i="618"/>
  <c r="B50" i="616"/>
  <c r="B47" i="615"/>
  <c r="B40" i="614"/>
  <c r="A47" i="618"/>
  <c r="B54" i="615"/>
  <c r="B47" i="614"/>
  <c r="A88" i="618"/>
  <c r="A187" i="613"/>
  <c r="A78" i="618"/>
  <c r="B85" i="615"/>
  <c r="A71" i="618"/>
  <c r="A170" i="613"/>
  <c r="B78" i="615"/>
  <c r="A63" i="618"/>
  <c r="B70" i="615"/>
  <c r="A55" i="618"/>
  <c r="B62" i="615"/>
  <c r="A154" i="613"/>
  <c r="B98" i="616"/>
  <c r="B81" i="616"/>
  <c r="B65" i="616"/>
  <c r="B53" i="617"/>
  <c r="B59" i="620"/>
  <c r="G163" i="588"/>
  <c r="E72" i="338" s="1"/>
  <c r="G147" i="588"/>
  <c r="E56" i="338" s="1"/>
  <c r="B42" i="615"/>
  <c r="B41" i="617"/>
  <c r="B45" i="616"/>
  <c r="A35" i="618"/>
  <c r="B39" i="620"/>
  <c r="B42" i="614"/>
  <c r="B48" i="617"/>
  <c r="B46" i="620"/>
  <c r="A42" i="618"/>
  <c r="B52" i="616"/>
  <c r="B46" i="619"/>
  <c r="A141" i="613"/>
  <c r="B88" i="617"/>
  <c r="B86" i="620"/>
  <c r="B89" i="615"/>
  <c r="A82" i="618"/>
  <c r="B92" i="616"/>
  <c r="B86" i="619"/>
  <c r="B82" i="614"/>
  <c r="B79" i="617"/>
  <c r="B77" i="620"/>
  <c r="B80" i="615"/>
  <c r="A73" i="618"/>
  <c r="B83" i="616"/>
  <c r="B77" i="619"/>
  <c r="B73" i="614"/>
  <c r="A172" i="613"/>
  <c r="A165" i="613"/>
  <c r="B72" i="617"/>
  <c r="B70" i="620"/>
  <c r="B73" i="615"/>
  <c r="A66" i="618"/>
  <c r="B76" i="616"/>
  <c r="B70" i="619"/>
  <c r="B66" i="614"/>
  <c r="B64" i="617"/>
  <c r="B62" i="620"/>
  <c r="B65" i="615"/>
  <c r="A58" i="618"/>
  <c r="B68" i="616"/>
  <c r="B62" i="619"/>
  <c r="B58" i="614"/>
  <c r="A157" i="613"/>
  <c r="B50" i="614"/>
  <c r="A149" i="613"/>
  <c r="B56" i="617"/>
  <c r="B54" i="620"/>
  <c r="A50" i="618"/>
  <c r="B60" i="616"/>
  <c r="B54" i="619"/>
  <c r="B37" i="611"/>
  <c r="B86" i="611"/>
  <c r="B76" i="611"/>
  <c r="B37" i="612"/>
  <c r="B90" i="612"/>
  <c r="B81" i="612"/>
  <c r="B74" i="612"/>
  <c r="B70" i="612"/>
  <c r="B66" i="612"/>
  <c r="B62" i="612"/>
  <c r="B58" i="612"/>
  <c r="B54" i="612"/>
  <c r="B50" i="612"/>
  <c r="B46" i="612"/>
  <c r="A186" i="613"/>
  <c r="A175" i="613"/>
  <c r="A155" i="613"/>
  <c r="B71" i="614"/>
  <c r="B91" i="615"/>
  <c r="B47" i="616"/>
  <c r="B82" i="616"/>
  <c r="B67" i="616"/>
  <c r="B51" i="616"/>
  <c r="B94" i="617"/>
  <c r="B70" i="617"/>
  <c r="B52" i="617"/>
  <c r="A62" i="618"/>
  <c r="A44" i="618"/>
  <c r="B67" i="619"/>
  <c r="B35" i="619"/>
  <c r="B58" i="620"/>
  <c r="G144" i="588"/>
  <c r="E53" i="338" s="1"/>
  <c r="B38" i="614"/>
  <c r="A137" i="613"/>
  <c r="B48" i="616"/>
  <c r="B42" i="619"/>
  <c r="A144" i="613"/>
  <c r="B49" i="619"/>
  <c r="B51" i="617"/>
  <c r="B93" i="615"/>
  <c r="B90" i="619"/>
  <c r="B86" i="614"/>
  <c r="A185" i="613"/>
  <c r="B92" i="617"/>
  <c r="B83" i="615"/>
  <c r="B80" i="619"/>
  <c r="B76" i="614"/>
  <c r="B82" i="617"/>
  <c r="B76" i="615"/>
  <c r="B73" i="619"/>
  <c r="B69" i="614"/>
  <c r="B75" i="617"/>
  <c r="A168" i="613"/>
  <c r="B68" i="615"/>
  <c r="A160" i="613"/>
  <c r="B65" i="619"/>
  <c r="B61" i="614"/>
  <c r="B67" i="617"/>
  <c r="B57" i="619"/>
  <c r="B53" i="614"/>
  <c r="B59" i="617"/>
  <c r="A152" i="613"/>
  <c r="B36" i="611"/>
  <c r="B84" i="611"/>
  <c r="B75" i="611"/>
  <c r="B68" i="611"/>
  <c r="B60" i="611"/>
  <c r="B52" i="611"/>
  <c r="B44" i="611"/>
  <c r="B41" i="612"/>
  <c r="A146" i="613"/>
  <c r="B34" i="614"/>
  <c r="B41" i="614"/>
  <c r="B59" i="614"/>
  <c r="B61" i="615"/>
  <c r="B56" i="615"/>
  <c r="B45" i="615"/>
  <c r="B42" i="616"/>
  <c r="B84" i="616"/>
  <c r="B69" i="616"/>
  <c r="B53" i="616"/>
  <c r="B69" i="617"/>
  <c r="B46" i="617"/>
  <c r="A84" i="618"/>
  <c r="A61" i="618"/>
  <c r="B78" i="619"/>
  <c r="B47" i="619"/>
  <c r="B41" i="620"/>
  <c r="B75" i="620"/>
  <c r="B57" i="620"/>
  <c r="B52" i="620"/>
  <c r="B52" i="619"/>
  <c r="A48" i="618"/>
  <c r="A147" i="613"/>
  <c r="B58" i="616"/>
  <c r="B55" i="615"/>
  <c r="B48" i="614"/>
  <c r="B93" i="620"/>
  <c r="B93" i="619"/>
  <c r="B84" i="620"/>
  <c r="B84" i="619"/>
  <c r="B80" i="614"/>
  <c r="A179" i="613"/>
  <c r="A80" i="618"/>
  <c r="B90" i="616"/>
  <c r="B68" i="620"/>
  <c r="B68" i="619"/>
  <c r="B64" i="614"/>
  <c r="A64" i="618"/>
  <c r="A163" i="613"/>
  <c r="B74" i="616"/>
  <c r="B60" i="620"/>
  <c r="B60" i="619"/>
  <c r="B56" i="614"/>
  <c r="A56" i="618"/>
  <c r="B66" i="616"/>
  <c r="B43" i="611"/>
  <c r="B35" i="611"/>
  <c r="B83" i="611"/>
  <c r="B74" i="611"/>
  <c r="B67" i="611"/>
  <c r="B59" i="611"/>
  <c r="B51" i="611"/>
  <c r="B94" i="612"/>
  <c r="B84" i="612"/>
  <c r="B77" i="612"/>
  <c r="B69" i="612"/>
  <c r="B61" i="612"/>
  <c r="B53" i="612"/>
  <c r="B45" i="612"/>
  <c r="A133" i="613"/>
  <c r="A136" i="613"/>
  <c r="B78" i="614"/>
  <c r="B82" i="615"/>
  <c r="B44" i="616"/>
  <c r="B86" i="616"/>
  <c r="B71" i="616"/>
  <c r="B55" i="616"/>
  <c r="B86" i="617"/>
  <c r="A60" i="618"/>
  <c r="B92" i="619"/>
  <c r="B59" i="619"/>
  <c r="B51" i="620"/>
  <c r="G180" i="588"/>
  <c r="E89" i="338" s="1"/>
  <c r="G170" i="588"/>
  <c r="E79" i="338" s="1"/>
  <c r="G139" i="588"/>
  <c r="E48" i="338" s="1"/>
  <c r="B40" i="619"/>
  <c r="B36" i="614"/>
  <c r="B43" i="615"/>
  <c r="B42" i="617"/>
  <c r="B46" i="616"/>
  <c r="A36" i="618"/>
  <c r="A135" i="613"/>
  <c r="A142" i="613"/>
  <c r="B50" i="615"/>
  <c r="B49" i="617"/>
  <c r="B43" i="614"/>
  <c r="B47" i="620"/>
  <c r="A43" i="618"/>
  <c r="B89" i="617"/>
  <c r="B87" i="620"/>
  <c r="A182" i="613"/>
  <c r="A83" i="618"/>
  <c r="B90" i="615"/>
  <c r="B80" i="617"/>
  <c r="B78" i="620"/>
  <c r="A74" i="618"/>
  <c r="B81" i="615"/>
  <c r="B73" i="617"/>
  <c r="B71" i="620"/>
  <c r="A67" i="618"/>
  <c r="B74" i="615"/>
  <c r="A166" i="613"/>
  <c r="A158" i="613"/>
  <c r="B65" i="617"/>
  <c r="B63" i="620"/>
  <c r="A59" i="618"/>
  <c r="B66" i="615"/>
  <c r="B58" i="615"/>
  <c r="B57" i="617"/>
  <c r="B55" i="620"/>
  <c r="A51" i="618"/>
  <c r="A150" i="613"/>
  <c r="B42" i="611"/>
  <c r="B34" i="611"/>
  <c r="B82" i="611"/>
  <c r="B73" i="611"/>
  <c r="B66" i="611"/>
  <c r="B58" i="611"/>
  <c r="B50" i="611"/>
  <c r="B40" i="612"/>
  <c r="A130" i="613"/>
  <c r="A183" i="613"/>
  <c r="A162" i="613"/>
  <c r="A153" i="613"/>
  <c r="B49" i="614"/>
  <c r="B67" i="614"/>
  <c r="B60" i="615"/>
  <c r="B49" i="615"/>
  <c r="B95" i="615"/>
  <c r="B63" i="615"/>
  <c r="B88" i="616"/>
  <c r="B73" i="616"/>
  <c r="B57" i="616"/>
  <c r="B84" i="617"/>
  <c r="B62" i="617"/>
  <c r="B44" i="617"/>
  <c r="A76" i="618"/>
  <c r="B71" i="619"/>
  <c r="B39" i="619"/>
  <c r="B92" i="620"/>
  <c r="B73" i="620"/>
  <c r="B46" i="615"/>
  <c r="B39" i="614"/>
  <c r="B46" i="614"/>
  <c r="B56" i="616"/>
  <c r="A145" i="613"/>
  <c r="B50" i="619"/>
  <c r="B94" i="615"/>
  <c r="B97" i="616"/>
  <c r="B91" i="619"/>
  <c r="B87" i="614"/>
  <c r="B84" i="615"/>
  <c r="A176" i="613"/>
  <c r="B87" i="616"/>
  <c r="B81" i="619"/>
  <c r="B77" i="614"/>
  <c r="B77" i="615"/>
  <c r="B80" i="616"/>
  <c r="B74" i="619"/>
  <c r="B70" i="614"/>
  <c r="B69" i="615"/>
  <c r="B72" i="616"/>
  <c r="A161" i="613"/>
  <c r="B66" i="619"/>
  <c r="B62" i="614"/>
  <c r="B64" i="616"/>
  <c r="B58" i="619"/>
  <c r="B54" i="614"/>
  <c r="B41" i="611"/>
  <c r="B32" i="611"/>
  <c r="B81" i="611"/>
  <c r="B72" i="611"/>
  <c r="B65" i="611"/>
  <c r="B57" i="611"/>
  <c r="B49" i="611"/>
  <c r="B93" i="612"/>
  <c r="B88" i="612"/>
  <c r="B83" i="612"/>
  <c r="B79" i="612"/>
  <c r="B76" i="612"/>
  <c r="B72" i="612"/>
  <c r="B68" i="612"/>
  <c r="B64" i="612"/>
  <c r="B60" i="612"/>
  <c r="B56" i="612"/>
  <c r="B52" i="612"/>
  <c r="B48" i="612"/>
  <c r="B44" i="612"/>
  <c r="A173" i="613"/>
  <c r="B88" i="614"/>
  <c r="B55" i="614"/>
  <c r="B41" i="615"/>
  <c r="B75" i="615"/>
  <c r="B91" i="616"/>
  <c r="B75" i="616"/>
  <c r="B59" i="616"/>
  <c r="B83" i="617"/>
  <c r="B61" i="617"/>
  <c r="A39" i="618"/>
  <c r="A75" i="618"/>
  <c r="A53" i="618"/>
  <c r="B82" i="619"/>
  <c r="B51" i="619"/>
  <c r="B91" i="620"/>
  <c r="B67" i="620"/>
  <c r="B49" i="620"/>
  <c r="B39" i="612"/>
  <c r="B37" i="620"/>
  <c r="B33" i="614"/>
  <c r="B40" i="615"/>
  <c r="A132" i="613"/>
  <c r="B43" i="616"/>
  <c r="B33" i="611"/>
  <c r="B39" i="617"/>
  <c r="A33" i="618"/>
  <c r="G138" i="613"/>
  <c r="E46" i="615" s="1"/>
  <c r="G185" i="613"/>
  <c r="E93" i="615" s="1"/>
  <c r="G187" i="613"/>
  <c r="E95" i="615" s="1"/>
  <c r="G154" i="613"/>
  <c r="E62" i="615" s="1"/>
  <c r="G168" i="588"/>
  <c r="E77" i="338" s="1"/>
  <c r="G176" i="588"/>
  <c r="E85" i="338" s="1"/>
  <c r="G156" i="588"/>
  <c r="E65" i="338" s="1"/>
  <c r="G157" i="588"/>
  <c r="E66" i="338" s="1"/>
  <c r="G140" i="588"/>
  <c r="E49" i="338" s="1"/>
  <c r="G174" i="588"/>
  <c r="E83" i="338" s="1"/>
  <c r="G173" i="613"/>
  <c r="E81" i="615" s="1"/>
  <c r="G171" i="613"/>
  <c r="E79" i="615" s="1"/>
  <c r="G158" i="613"/>
  <c r="E66" i="615" s="1"/>
  <c r="G156" i="613"/>
  <c r="E64" i="615" s="1"/>
  <c r="G149" i="613"/>
  <c r="E57" i="615" s="1"/>
  <c r="G142" i="613"/>
  <c r="E50" i="615" s="1"/>
  <c r="G140" i="613"/>
  <c r="E48" i="615" s="1"/>
  <c r="G131" i="613"/>
  <c r="E39" i="615" s="1"/>
  <c r="G130" i="613"/>
  <c r="G136" i="613"/>
  <c r="E44" i="615" s="1"/>
  <c r="G182" i="613"/>
  <c r="E90" i="615" s="1"/>
  <c r="G166" i="613"/>
  <c r="E74" i="615" s="1"/>
  <c r="G164" i="613"/>
  <c r="E72" i="615" s="1"/>
  <c r="G157" i="613"/>
  <c r="E65" i="615" s="1"/>
  <c r="G150" i="613"/>
  <c r="E58" i="615" s="1"/>
  <c r="G148" i="613"/>
  <c r="E56" i="615" s="1"/>
  <c r="G179" i="613"/>
  <c r="E87" i="615" s="1"/>
  <c r="G163" i="613"/>
  <c r="E71" i="615" s="1"/>
  <c r="G155" i="613"/>
  <c r="E63" i="615" s="1"/>
  <c r="G139" i="613"/>
  <c r="E47" i="615" s="1"/>
  <c r="G143" i="588"/>
  <c r="E52" i="338" s="1"/>
  <c r="G162" i="588"/>
  <c r="E71" i="338" s="1"/>
  <c r="G153" i="588"/>
  <c r="E62" i="338" s="1"/>
  <c r="G134" i="588"/>
  <c r="E43" i="338" s="1"/>
  <c r="G166" i="588"/>
  <c r="E75" i="338" s="1"/>
  <c r="G178" i="588"/>
  <c r="E87" i="338" s="1"/>
  <c r="G173" i="588"/>
  <c r="E82" i="338" s="1"/>
  <c r="G137" i="588"/>
  <c r="E46" i="338" s="1"/>
  <c r="G129" i="588"/>
  <c r="G182" i="588"/>
  <c r="E91" i="338" s="1"/>
  <c r="G154" i="588"/>
  <c r="E63" i="338" s="1"/>
  <c r="G145" i="588"/>
  <c r="E54" i="338" s="1"/>
  <c r="G158" i="588"/>
  <c r="E67" i="338" s="1"/>
  <c r="G138" i="588"/>
  <c r="E47" i="338" s="1"/>
  <c r="G133" i="588"/>
  <c r="E42" i="338" s="1"/>
  <c r="G135" i="588"/>
  <c r="E44" i="338" s="1"/>
  <c r="G130" i="588"/>
  <c r="E39" i="338" s="1"/>
  <c r="G184" i="588"/>
  <c r="E93" i="338" s="1"/>
  <c r="G151" i="588"/>
  <c r="E60" i="338" s="1"/>
  <c r="G142" i="588"/>
  <c r="E51" i="338" s="1"/>
  <c r="G159" i="588"/>
  <c r="E68" i="338" s="1"/>
  <c r="G150" i="588"/>
  <c r="E59" i="338" s="1"/>
  <c r="G167" i="588"/>
  <c r="E76" i="338" s="1"/>
  <c r="I346" i="622" l="1"/>
  <c r="I347" i="622" s="1"/>
  <c r="H101" i="617"/>
  <c r="L34" i="333"/>
  <c r="M346" i="622" l="1"/>
  <c r="M347" i="622" s="1"/>
  <c r="R33" i="605"/>
  <c r="R13" i="605"/>
  <c r="R14" i="605"/>
  <c r="R15" i="605"/>
  <c r="R16" i="605"/>
  <c r="R17" i="605"/>
  <c r="R18" i="605"/>
  <c r="R19" i="605"/>
  <c r="R20" i="605"/>
  <c r="R21" i="605"/>
  <c r="R22" i="605"/>
  <c r="R23" i="605"/>
  <c r="R24" i="605"/>
  <c r="R25" i="605"/>
  <c r="R26" i="605"/>
  <c r="R27" i="605"/>
  <c r="R28" i="605"/>
  <c r="R12" i="605"/>
  <c r="J33" i="605"/>
  <c r="J13" i="605"/>
  <c r="J14" i="605"/>
  <c r="J15" i="605"/>
  <c r="J16" i="605"/>
  <c r="J17" i="605"/>
  <c r="J18" i="605"/>
  <c r="J19" i="605"/>
  <c r="J20" i="605"/>
  <c r="J21" i="605"/>
  <c r="J22" i="605"/>
  <c r="J23" i="605"/>
  <c r="J24" i="605"/>
  <c r="J25" i="605"/>
  <c r="J26" i="605"/>
  <c r="J27" i="605"/>
  <c r="J28" i="605"/>
  <c r="J12" i="605"/>
  <c r="A33" i="605"/>
  <c r="B33" i="605"/>
  <c r="B13" i="605"/>
  <c r="B14" i="605"/>
  <c r="B15" i="605"/>
  <c r="B16" i="605"/>
  <c r="B17" i="605"/>
  <c r="B18" i="605"/>
  <c r="B19" i="605"/>
  <c r="B20" i="605"/>
  <c r="B21" i="605"/>
  <c r="B22" i="605"/>
  <c r="B23" i="605"/>
  <c r="B24" i="605"/>
  <c r="B25" i="605"/>
  <c r="B26" i="605"/>
  <c r="B27" i="605"/>
  <c r="B28" i="605"/>
  <c r="B12" i="605"/>
  <c r="D12" i="605" s="1"/>
  <c r="D39" i="401"/>
  <c r="D38" i="401"/>
  <c r="D37" i="401"/>
  <c r="D14" i="401"/>
  <c r="D15" i="401"/>
  <c r="D16" i="401"/>
  <c r="A9" i="606" l="1"/>
  <c r="C13" i="336" l="1"/>
  <c r="C14" i="336"/>
  <c r="C15" i="336"/>
  <c r="C16" i="336"/>
  <c r="C17" i="336"/>
  <c r="C18" i="336"/>
  <c r="C19" i="336"/>
  <c r="C20" i="336"/>
  <c r="C21" i="336"/>
  <c r="C22" i="336"/>
  <c r="C23" i="336"/>
  <c r="C24" i="336"/>
  <c r="C25" i="336"/>
  <c r="C26" i="336"/>
  <c r="C27" i="336"/>
  <c r="C28" i="336"/>
  <c r="B98" i="620" l="1"/>
  <c r="B97" i="620"/>
  <c r="B34" i="620"/>
  <c r="B12" i="620"/>
  <c r="B13" i="620"/>
  <c r="B14" i="620"/>
  <c r="B15" i="620"/>
  <c r="B16" i="620"/>
  <c r="B17" i="620"/>
  <c r="B18" i="620"/>
  <c r="B19" i="620"/>
  <c r="B20" i="620"/>
  <c r="B21" i="620"/>
  <c r="B22" i="620"/>
  <c r="B23" i="620"/>
  <c r="B24" i="620"/>
  <c r="B25" i="620"/>
  <c r="B26" i="620"/>
  <c r="B27" i="620"/>
  <c r="B28" i="620"/>
  <c r="B29" i="620"/>
  <c r="B11" i="620"/>
  <c r="B12" i="604"/>
  <c r="K36" i="551" s="1"/>
  <c r="B13" i="604"/>
  <c r="K37" i="551" s="1"/>
  <c r="B14" i="604"/>
  <c r="K38" i="551" s="1"/>
  <c r="B15" i="604"/>
  <c r="K39" i="551" s="1"/>
  <c r="B16" i="604"/>
  <c r="K40" i="551" s="1"/>
  <c r="B17" i="604"/>
  <c r="K41" i="551" s="1"/>
  <c r="B18" i="604"/>
  <c r="K42" i="551" s="1"/>
  <c r="B19" i="604"/>
  <c r="K43" i="551" s="1"/>
  <c r="B20" i="604"/>
  <c r="K44" i="551" s="1"/>
  <c r="B21" i="604"/>
  <c r="K45" i="551" s="1"/>
  <c r="B22" i="604"/>
  <c r="K46" i="551" s="1"/>
  <c r="B23" i="604"/>
  <c r="K47" i="551" s="1"/>
  <c r="B24" i="604"/>
  <c r="K48" i="551" s="1"/>
  <c r="B25" i="604"/>
  <c r="K49" i="551" s="1"/>
  <c r="B26" i="604"/>
  <c r="K50" i="551" s="1"/>
  <c r="B27" i="604"/>
  <c r="K51" i="551" s="1"/>
  <c r="B28" i="604"/>
  <c r="K52" i="551" s="1"/>
  <c r="B29" i="604"/>
  <c r="K53" i="551" s="1"/>
  <c r="B11" i="604"/>
  <c r="A2" i="620"/>
  <c r="P99" i="620"/>
  <c r="P29" i="620" s="1"/>
  <c r="O99" i="620"/>
  <c r="O29" i="620" s="1"/>
  <c r="N99" i="620"/>
  <c r="N29" i="620" s="1"/>
  <c r="B99" i="620"/>
  <c r="Q98" i="620"/>
  <c r="Q97" i="620"/>
  <c r="P94" i="620"/>
  <c r="P28" i="620" s="1"/>
  <c r="O94" i="620"/>
  <c r="O28" i="620" s="1"/>
  <c r="N94" i="620"/>
  <c r="N28" i="620" s="1"/>
  <c r="B94" i="620"/>
  <c r="Q34" i="620"/>
  <c r="E6" i="620"/>
  <c r="G6" i="620" s="1"/>
  <c r="P99" i="604"/>
  <c r="O99" i="604"/>
  <c r="N99" i="604"/>
  <c r="B99" i="604"/>
  <c r="B98" i="604"/>
  <c r="B97" i="604"/>
  <c r="B94" i="604"/>
  <c r="B34" i="604"/>
  <c r="Q98" i="604"/>
  <c r="Q97" i="604"/>
  <c r="M12" i="619"/>
  <c r="M13" i="619"/>
  <c r="M14" i="619"/>
  <c r="M15" i="619"/>
  <c r="M16" i="619"/>
  <c r="M17" i="619"/>
  <c r="M18" i="619"/>
  <c r="M19" i="619"/>
  <c r="M20" i="619"/>
  <c r="M21" i="619"/>
  <c r="M22" i="619"/>
  <c r="M23" i="619"/>
  <c r="M24" i="619"/>
  <c r="M25" i="619"/>
  <c r="M26" i="619"/>
  <c r="M27" i="619"/>
  <c r="J29" i="609"/>
  <c r="J30" i="609"/>
  <c r="E29" i="609"/>
  <c r="H29" i="609"/>
  <c r="B28" i="609"/>
  <c r="C28" i="609"/>
  <c r="E28" i="609"/>
  <c r="H28" i="609"/>
  <c r="B29" i="609"/>
  <c r="B30" i="609"/>
  <c r="E30" i="609"/>
  <c r="H30" i="609"/>
  <c r="M11" i="619"/>
  <c r="B98" i="619"/>
  <c r="B97" i="619"/>
  <c r="B34" i="619"/>
  <c r="B12" i="619"/>
  <c r="B13" i="619"/>
  <c r="B14" i="619"/>
  <c r="B15" i="619"/>
  <c r="B16" i="619"/>
  <c r="B17" i="619"/>
  <c r="B18" i="619"/>
  <c r="B19" i="619"/>
  <c r="B20" i="619"/>
  <c r="B21" i="619"/>
  <c r="B22" i="619"/>
  <c r="B23" i="619"/>
  <c r="B24" i="619"/>
  <c r="B25" i="619"/>
  <c r="B26" i="619"/>
  <c r="B27" i="619"/>
  <c r="B28" i="619"/>
  <c r="B29" i="619"/>
  <c r="B11" i="619"/>
  <c r="A2" i="619"/>
  <c r="N99" i="619"/>
  <c r="M99" i="619"/>
  <c r="L99" i="619"/>
  <c r="B99" i="619"/>
  <c r="O98" i="619"/>
  <c r="O97" i="619"/>
  <c r="N94" i="619"/>
  <c r="M94" i="619"/>
  <c r="L94" i="619"/>
  <c r="B94" i="619"/>
  <c r="O34" i="619"/>
  <c r="J29" i="336"/>
  <c r="J30" i="336"/>
  <c r="B13" i="336"/>
  <c r="B14" i="336"/>
  <c r="B15" i="336"/>
  <c r="B16" i="336"/>
  <c r="B17" i="336"/>
  <c r="B18" i="336"/>
  <c r="B19" i="336"/>
  <c r="B20" i="336"/>
  <c r="B21" i="336"/>
  <c r="B22" i="336"/>
  <c r="B23" i="336"/>
  <c r="B24" i="336"/>
  <c r="B25" i="336"/>
  <c r="B26" i="336"/>
  <c r="B27" i="336"/>
  <c r="B28" i="336"/>
  <c r="B29" i="336"/>
  <c r="B30" i="336"/>
  <c r="H29" i="336"/>
  <c r="E29" i="336"/>
  <c r="H28" i="336"/>
  <c r="E28" i="336"/>
  <c r="N100" i="603"/>
  <c r="M100" i="603"/>
  <c r="L100" i="603"/>
  <c r="B99" i="603"/>
  <c r="B98" i="603"/>
  <c r="B100" i="603"/>
  <c r="O99" i="603"/>
  <c r="O98" i="603"/>
  <c r="B94" i="603"/>
  <c r="B35" i="603"/>
  <c r="B29" i="603"/>
  <c r="B30" i="603"/>
  <c r="D31" i="618"/>
  <c r="D30" i="618"/>
  <c r="A31" i="618"/>
  <c r="A89" i="618"/>
  <c r="A30" i="618"/>
  <c r="D9" i="618"/>
  <c r="D10" i="618"/>
  <c r="D11" i="618"/>
  <c r="D12" i="618"/>
  <c r="D13" i="618"/>
  <c r="D14" i="618"/>
  <c r="D15" i="618"/>
  <c r="D16" i="618"/>
  <c r="D17" i="618"/>
  <c r="D18" i="618"/>
  <c r="D19" i="618"/>
  <c r="D20" i="618"/>
  <c r="D21" i="618"/>
  <c r="D22" i="618"/>
  <c r="D23" i="618"/>
  <c r="D24" i="618"/>
  <c r="D8" i="618"/>
  <c r="A9" i="618"/>
  <c r="F16" i="608" s="1"/>
  <c r="A10" i="618"/>
  <c r="F17" i="608" s="1"/>
  <c r="A11" i="618"/>
  <c r="F18" i="608" s="1"/>
  <c r="A12" i="618"/>
  <c r="F19" i="608" s="1"/>
  <c r="A13" i="618"/>
  <c r="F20" i="608" s="1"/>
  <c r="A14" i="618"/>
  <c r="F21" i="608" s="1"/>
  <c r="A15" i="618"/>
  <c r="F22" i="608" s="1"/>
  <c r="A16" i="618"/>
  <c r="F23" i="608" s="1"/>
  <c r="A17" i="618"/>
  <c r="F24" i="608" s="1"/>
  <c r="A18" i="618"/>
  <c r="F25" i="608" s="1"/>
  <c r="A19" i="618"/>
  <c r="F26" i="608" s="1"/>
  <c r="A20" i="618"/>
  <c r="F27" i="608" s="1"/>
  <c r="A21" i="618"/>
  <c r="F28" i="608" s="1"/>
  <c r="A22" i="618"/>
  <c r="F29" i="608" s="1"/>
  <c r="A23" i="618"/>
  <c r="F30" i="608" s="1"/>
  <c r="A24" i="618"/>
  <c r="F31" i="608" s="1"/>
  <c r="A25" i="618"/>
  <c r="A26" i="618"/>
  <c r="A8" i="618"/>
  <c r="F15" i="608" s="1"/>
  <c r="A2" i="618"/>
  <c r="H96" i="618"/>
  <c r="O96" i="618" s="1"/>
  <c r="D96" i="618"/>
  <c r="C96" i="618"/>
  <c r="B96" i="618" s="1"/>
  <c r="A96" i="618"/>
  <c r="V95" i="618"/>
  <c r="V96" i="618" s="1"/>
  <c r="C95" i="618"/>
  <c r="B95" i="618" s="1"/>
  <c r="A95" i="618"/>
  <c r="B89" i="618"/>
  <c r="B86" i="618"/>
  <c r="B84" i="618"/>
  <c r="B83" i="618"/>
  <c r="B82" i="618"/>
  <c r="B81" i="618"/>
  <c r="B80" i="618"/>
  <c r="B78" i="618"/>
  <c r="B77" i="618"/>
  <c r="B76" i="618"/>
  <c r="B75" i="618"/>
  <c r="B74" i="618"/>
  <c r="B73" i="618"/>
  <c r="B72" i="618"/>
  <c r="B71" i="618"/>
  <c r="B70" i="618"/>
  <c r="B69" i="618"/>
  <c r="B68" i="618"/>
  <c r="B67" i="618"/>
  <c r="B66" i="618"/>
  <c r="B65" i="618"/>
  <c r="B64" i="618"/>
  <c r="B63" i="618"/>
  <c r="B62" i="618"/>
  <c r="B61" i="618"/>
  <c r="B60" i="618"/>
  <c r="B59" i="618"/>
  <c r="B58" i="618"/>
  <c r="B57" i="618"/>
  <c r="B56" i="618"/>
  <c r="B55" i="618"/>
  <c r="B54" i="618"/>
  <c r="B53" i="618"/>
  <c r="B52" i="618"/>
  <c r="B51" i="618"/>
  <c r="B50" i="618"/>
  <c r="B49" i="618"/>
  <c r="B48" i="618"/>
  <c r="B47" i="618"/>
  <c r="B46" i="618"/>
  <c r="B45" i="618"/>
  <c r="B44" i="618"/>
  <c r="B43" i="618"/>
  <c r="B42" i="618"/>
  <c r="B41" i="618"/>
  <c r="B40" i="618"/>
  <c r="B39" i="618"/>
  <c r="B38" i="618"/>
  <c r="B36" i="618"/>
  <c r="B34" i="618"/>
  <c r="B33" i="618"/>
  <c r="B32" i="618"/>
  <c r="C31" i="618"/>
  <c r="C30" i="618"/>
  <c r="C24" i="618"/>
  <c r="C23" i="618"/>
  <c r="C22" i="618"/>
  <c r="C21" i="618"/>
  <c r="C20" i="618"/>
  <c r="C19" i="618"/>
  <c r="C18" i="618"/>
  <c r="C17" i="618"/>
  <c r="C16" i="618"/>
  <c r="C15" i="618"/>
  <c r="C14" i="618"/>
  <c r="C13" i="618"/>
  <c r="I13" i="618" s="1"/>
  <c r="J13" i="618" s="1"/>
  <c r="C12" i="618"/>
  <c r="C11" i="618"/>
  <c r="C10" i="618"/>
  <c r="C9" i="618"/>
  <c r="C8" i="618"/>
  <c r="V25" i="602"/>
  <c r="Y28" i="604" s="1"/>
  <c r="V26" i="602"/>
  <c r="Y29" i="604" s="1"/>
  <c r="V95" i="602"/>
  <c r="V96" i="602" s="1"/>
  <c r="H96" i="602"/>
  <c r="O96" i="602" s="1"/>
  <c r="C96" i="602"/>
  <c r="B96" i="602" s="1"/>
  <c r="D96" i="602"/>
  <c r="I96" i="602" s="1"/>
  <c r="D95" i="602"/>
  <c r="C95" i="602"/>
  <c r="A96" i="602"/>
  <c r="A95" i="602"/>
  <c r="D89" i="602"/>
  <c r="D30" i="602"/>
  <c r="C89" i="602"/>
  <c r="A31" i="602"/>
  <c r="A32" i="602"/>
  <c r="A33" i="602"/>
  <c r="A89" i="602"/>
  <c r="A30" i="602"/>
  <c r="A9" i="602"/>
  <c r="A10" i="602"/>
  <c r="A11" i="602"/>
  <c r="A12" i="602"/>
  <c r="A13" i="602"/>
  <c r="A14" i="602"/>
  <c r="A15" i="602"/>
  <c r="A16" i="602"/>
  <c r="A17" i="602"/>
  <c r="A18" i="602"/>
  <c r="A19" i="602"/>
  <c r="A20" i="602"/>
  <c r="A21" i="602"/>
  <c r="A22" i="602"/>
  <c r="A23" i="602"/>
  <c r="A24" i="602"/>
  <c r="A25" i="602"/>
  <c r="A26" i="602"/>
  <c r="C100" i="617"/>
  <c r="B99" i="617"/>
  <c r="B37" i="617"/>
  <c r="B95" i="617"/>
  <c r="B36" i="617"/>
  <c r="B15" i="617"/>
  <c r="B16" i="617"/>
  <c r="B17" i="617"/>
  <c r="B18" i="617"/>
  <c r="B19" i="617"/>
  <c r="B20" i="617"/>
  <c r="B21" i="617"/>
  <c r="B22" i="617"/>
  <c r="B23" i="617"/>
  <c r="B24" i="617"/>
  <c r="B25" i="617"/>
  <c r="B26" i="617"/>
  <c r="B27" i="617"/>
  <c r="B28" i="617"/>
  <c r="B29" i="617"/>
  <c r="B30" i="617"/>
  <c r="B31" i="617"/>
  <c r="B32" i="617"/>
  <c r="B14" i="617"/>
  <c r="A2" i="617"/>
  <c r="H96" i="617"/>
  <c r="H31" i="617" s="1"/>
  <c r="B100" i="343"/>
  <c r="B99" i="343"/>
  <c r="C100" i="343"/>
  <c r="B37" i="343"/>
  <c r="B95" i="343"/>
  <c r="B36" i="343"/>
  <c r="B31" i="343"/>
  <c r="B32" i="343"/>
  <c r="K104" i="616"/>
  <c r="K103" i="616"/>
  <c r="G104" i="616"/>
  <c r="G103" i="616"/>
  <c r="C104" i="616"/>
  <c r="C103" i="616"/>
  <c r="B104" i="616"/>
  <c r="B103" i="616"/>
  <c r="B41" i="616"/>
  <c r="B99" i="616"/>
  <c r="G41" i="616"/>
  <c r="G99" i="616"/>
  <c r="K41" i="616"/>
  <c r="K99" i="616"/>
  <c r="K40" i="616"/>
  <c r="G40" i="616"/>
  <c r="C40" i="616"/>
  <c r="B40" i="616"/>
  <c r="K19" i="616"/>
  <c r="K20" i="616"/>
  <c r="K21" i="616"/>
  <c r="K22" i="616"/>
  <c r="K23" i="616"/>
  <c r="K24" i="616"/>
  <c r="K25" i="616"/>
  <c r="K26" i="616"/>
  <c r="K27" i="616"/>
  <c r="K28" i="616"/>
  <c r="K29" i="616"/>
  <c r="K30" i="616"/>
  <c r="K31" i="616"/>
  <c r="K32" i="616"/>
  <c r="K33" i="616"/>
  <c r="K34" i="616"/>
  <c r="K18" i="616"/>
  <c r="G18" i="616"/>
  <c r="C19" i="616"/>
  <c r="C20" i="616"/>
  <c r="C21" i="616"/>
  <c r="C22" i="616"/>
  <c r="C23" i="616"/>
  <c r="C24" i="616"/>
  <c r="C25" i="616"/>
  <c r="C26" i="616"/>
  <c r="C27" i="616"/>
  <c r="C28" i="616"/>
  <c r="C29" i="616"/>
  <c r="C30" i="616"/>
  <c r="C31" i="616"/>
  <c r="C32" i="616"/>
  <c r="C33" i="616"/>
  <c r="C34" i="616"/>
  <c r="C18" i="616"/>
  <c r="B19" i="616"/>
  <c r="B20" i="616"/>
  <c r="B21" i="616"/>
  <c r="B22" i="616"/>
  <c r="B23" i="616"/>
  <c r="B24" i="616"/>
  <c r="B25" i="616"/>
  <c r="B26" i="616"/>
  <c r="B27" i="616"/>
  <c r="B28" i="616"/>
  <c r="B29" i="616"/>
  <c r="B30" i="616"/>
  <c r="B31" i="616"/>
  <c r="B32" i="616"/>
  <c r="B33" i="616"/>
  <c r="B34" i="616"/>
  <c r="B35" i="616"/>
  <c r="B36" i="616"/>
  <c r="B18" i="616"/>
  <c r="L11" i="616"/>
  <c r="H11" i="616"/>
  <c r="D11" i="616"/>
  <c r="I4" i="616" s="1"/>
  <c r="A2" i="616"/>
  <c r="C99" i="616"/>
  <c r="C41" i="616"/>
  <c r="K104" i="340"/>
  <c r="K103" i="340"/>
  <c r="G104" i="340"/>
  <c r="G103" i="340"/>
  <c r="C104" i="340"/>
  <c r="C103" i="340"/>
  <c r="B104" i="340"/>
  <c r="B103" i="340"/>
  <c r="K41" i="340"/>
  <c r="K99" i="340"/>
  <c r="K40" i="340"/>
  <c r="G41" i="340"/>
  <c r="G99" i="340"/>
  <c r="G40" i="340"/>
  <c r="C41" i="340"/>
  <c r="C99" i="340"/>
  <c r="C40" i="340"/>
  <c r="B41" i="340"/>
  <c r="B99" i="340"/>
  <c r="B40" i="340"/>
  <c r="B36" i="340"/>
  <c r="B35" i="340"/>
  <c r="C100" i="615"/>
  <c r="C102" i="615" s="1"/>
  <c r="C33" i="615" s="1"/>
  <c r="B100" i="615"/>
  <c r="B38" i="615"/>
  <c r="C38" i="615"/>
  <c r="B96" i="615"/>
  <c r="C96" i="615"/>
  <c r="C37" i="615"/>
  <c r="B37" i="615"/>
  <c r="B16" i="615"/>
  <c r="B17" i="615"/>
  <c r="B18" i="615"/>
  <c r="B19" i="615"/>
  <c r="B20" i="615"/>
  <c r="B21" i="615"/>
  <c r="B22" i="615"/>
  <c r="B23" i="615"/>
  <c r="B24" i="615"/>
  <c r="B25" i="615"/>
  <c r="B26" i="615"/>
  <c r="B27" i="615"/>
  <c r="B28" i="615"/>
  <c r="B29" i="615"/>
  <c r="B30" i="615"/>
  <c r="B31" i="615"/>
  <c r="B32" i="615"/>
  <c r="B33" i="615"/>
  <c r="C16" i="615"/>
  <c r="C17" i="615"/>
  <c r="C18" i="615"/>
  <c r="C19" i="615"/>
  <c r="C20" i="615"/>
  <c r="C21" i="615"/>
  <c r="C22" i="615"/>
  <c r="C23" i="615"/>
  <c r="C24" i="615"/>
  <c r="C25" i="615"/>
  <c r="C26" i="615"/>
  <c r="C27" i="615"/>
  <c r="C28" i="615"/>
  <c r="C29" i="615"/>
  <c r="C30" i="615"/>
  <c r="C31" i="615"/>
  <c r="C15" i="615"/>
  <c r="B15" i="615"/>
  <c r="A2" i="615"/>
  <c r="C100" i="338"/>
  <c r="B100" i="338"/>
  <c r="C38" i="338"/>
  <c r="C96" i="338"/>
  <c r="C37" i="338"/>
  <c r="B38" i="338"/>
  <c r="B96" i="338"/>
  <c r="B37" i="338"/>
  <c r="B32" i="338"/>
  <c r="B33" i="338"/>
  <c r="C93" i="614"/>
  <c r="B93" i="614"/>
  <c r="B90" i="614"/>
  <c r="B31" i="614"/>
  <c r="C31" i="614"/>
  <c r="B89" i="614"/>
  <c r="C89" i="614"/>
  <c r="C30" i="614"/>
  <c r="B30" i="614"/>
  <c r="C8" i="614"/>
  <c r="C9" i="614"/>
  <c r="C10" i="614"/>
  <c r="C11" i="614"/>
  <c r="C12" i="614"/>
  <c r="C13" i="614"/>
  <c r="C14" i="614"/>
  <c r="C15" i="614"/>
  <c r="C16" i="614"/>
  <c r="C17" i="614"/>
  <c r="C18" i="614"/>
  <c r="C19" i="614"/>
  <c r="C20" i="614"/>
  <c r="C21" i="614"/>
  <c r="C22" i="614"/>
  <c r="C23" i="614"/>
  <c r="C24" i="614"/>
  <c r="C25" i="614"/>
  <c r="C7" i="614"/>
  <c r="B8" i="614"/>
  <c r="B9" i="614"/>
  <c r="B10" i="614"/>
  <c r="B11" i="614"/>
  <c r="B12" i="614"/>
  <c r="B13" i="614"/>
  <c r="B14" i="614"/>
  <c r="B15" i="614"/>
  <c r="B16" i="614"/>
  <c r="B17" i="614"/>
  <c r="B18" i="614"/>
  <c r="B19" i="614"/>
  <c r="B20" i="614"/>
  <c r="B21" i="614"/>
  <c r="B22" i="614"/>
  <c r="B23" i="614"/>
  <c r="B24" i="614"/>
  <c r="B25" i="614"/>
  <c r="B7" i="614"/>
  <c r="B2" i="614"/>
  <c r="A28" i="614"/>
  <c r="A5" i="614"/>
  <c r="B24" i="504"/>
  <c r="C24" i="504"/>
  <c r="B25" i="504"/>
  <c r="C25" i="504"/>
  <c r="C93" i="504"/>
  <c r="B93" i="504"/>
  <c r="E93" i="504" s="1"/>
  <c r="C89" i="504"/>
  <c r="C30" i="504"/>
  <c r="B89" i="504"/>
  <c r="B30" i="504"/>
  <c r="A194" i="613"/>
  <c r="A193" i="613"/>
  <c r="C194" i="613"/>
  <c r="C193" i="613"/>
  <c r="E193" i="613" s="1"/>
  <c r="D194" i="613"/>
  <c r="G194" i="613" s="1"/>
  <c r="D193" i="613"/>
  <c r="A188" i="613"/>
  <c r="C188" i="613"/>
  <c r="C129" i="613"/>
  <c r="E129" i="613" s="1"/>
  <c r="A129" i="613"/>
  <c r="A2" i="613"/>
  <c r="D127" i="613"/>
  <c r="C127" i="613"/>
  <c r="D9" i="613"/>
  <c r="C9" i="613"/>
  <c r="D8" i="613"/>
  <c r="C7" i="613"/>
  <c r="D193" i="588"/>
  <c r="G193" i="588" s="1"/>
  <c r="C193" i="588"/>
  <c r="C192" i="588"/>
  <c r="E192" i="588" s="1"/>
  <c r="D192" i="588"/>
  <c r="A193" i="588"/>
  <c r="A192" i="588"/>
  <c r="C187" i="588"/>
  <c r="E187" i="588" s="1"/>
  <c r="C128" i="588"/>
  <c r="E128" i="588" s="1"/>
  <c r="A187" i="588"/>
  <c r="A128" i="588"/>
  <c r="B8" i="612"/>
  <c r="B100" i="612"/>
  <c r="D100" i="612"/>
  <c r="D99" i="612"/>
  <c r="B99" i="612"/>
  <c r="B95" i="612"/>
  <c r="D36" i="612"/>
  <c r="B36" i="612"/>
  <c r="B15" i="612"/>
  <c r="D15" i="612"/>
  <c r="B16" i="612"/>
  <c r="D16" i="612"/>
  <c r="B17" i="612"/>
  <c r="D17" i="612"/>
  <c r="B18" i="612"/>
  <c r="D18" i="612"/>
  <c r="B19" i="612"/>
  <c r="D19" i="612"/>
  <c r="B20" i="612"/>
  <c r="D20" i="612"/>
  <c r="B21" i="612"/>
  <c r="D21" i="612"/>
  <c r="B22" i="612"/>
  <c r="D22" i="612"/>
  <c r="B23" i="612"/>
  <c r="D23" i="612"/>
  <c r="B24" i="612"/>
  <c r="D24" i="612"/>
  <c r="B25" i="612"/>
  <c r="D25" i="612"/>
  <c r="B26" i="612"/>
  <c r="D26" i="612"/>
  <c r="B27" i="612"/>
  <c r="D27" i="612"/>
  <c r="B28" i="612"/>
  <c r="D28" i="612"/>
  <c r="B29" i="612"/>
  <c r="D29" i="612"/>
  <c r="B30" i="612"/>
  <c r="D30" i="612"/>
  <c r="B31" i="612"/>
  <c r="B32" i="612"/>
  <c r="D14" i="612"/>
  <c r="B14" i="612"/>
  <c r="A2" i="612"/>
  <c r="D100" i="337"/>
  <c r="D99" i="337"/>
  <c r="B99" i="337"/>
  <c r="B100" i="337"/>
  <c r="D95" i="337"/>
  <c r="D36" i="337"/>
  <c r="B95" i="337"/>
  <c r="B36" i="337"/>
  <c r="B31" i="337"/>
  <c r="B32" i="337"/>
  <c r="A2" i="611"/>
  <c r="B93" i="611"/>
  <c r="B89" i="611"/>
  <c r="B30" i="611"/>
  <c r="I9" i="611"/>
  <c r="B10" i="611"/>
  <c r="B11" i="611"/>
  <c r="B12" i="611"/>
  <c r="B13" i="611"/>
  <c r="B14" i="611"/>
  <c r="B15" i="611"/>
  <c r="B16" i="611"/>
  <c r="B17" i="611"/>
  <c r="B18" i="611"/>
  <c r="B19" i="611"/>
  <c r="B20" i="611"/>
  <c r="B21" i="611"/>
  <c r="B22" i="611"/>
  <c r="B23" i="611"/>
  <c r="B24" i="611"/>
  <c r="B25" i="611"/>
  <c r="B26" i="611"/>
  <c r="B27" i="611"/>
  <c r="B9" i="611"/>
  <c r="H95" i="611"/>
  <c r="H27" i="611" s="1"/>
  <c r="G95" i="611"/>
  <c r="G27" i="611" s="1"/>
  <c r="G28" i="611" s="1"/>
  <c r="E95" i="611"/>
  <c r="D95" i="611"/>
  <c r="D27" i="611" s="1"/>
  <c r="C95" i="611"/>
  <c r="C27" i="611" s="1"/>
  <c r="B95" i="611"/>
  <c r="I100" i="617"/>
  <c r="I94" i="611"/>
  <c r="I93" i="611"/>
  <c r="H90" i="611"/>
  <c r="H26" i="611" s="1"/>
  <c r="G90" i="611"/>
  <c r="G26" i="611" s="1"/>
  <c r="E90" i="611"/>
  <c r="E26" i="611" s="1"/>
  <c r="D90" i="611"/>
  <c r="D26" i="611" s="1"/>
  <c r="C90" i="611"/>
  <c r="C26" i="611" s="1"/>
  <c r="B90" i="611"/>
  <c r="I89" i="611"/>
  <c r="I30" i="611"/>
  <c r="M28" i="611"/>
  <c r="E27" i="611"/>
  <c r="E28" i="611" s="1"/>
  <c r="I25" i="611"/>
  <c r="I24" i="611"/>
  <c r="I23" i="611"/>
  <c r="I22" i="611"/>
  <c r="I21" i="611"/>
  <c r="I20" i="611"/>
  <c r="I19" i="611"/>
  <c r="I18" i="611"/>
  <c r="I17" i="611"/>
  <c r="I16" i="611"/>
  <c r="I15" i="611"/>
  <c r="I14" i="611"/>
  <c r="I13" i="611"/>
  <c r="I12" i="611"/>
  <c r="I11" i="611"/>
  <c r="I10" i="611"/>
  <c r="D90" i="601"/>
  <c r="D26" i="601" s="1"/>
  <c r="D28" i="601" s="1"/>
  <c r="E90" i="601"/>
  <c r="E26" i="601" s="1"/>
  <c r="G90" i="601"/>
  <c r="G26" i="601" s="1"/>
  <c r="H90" i="601"/>
  <c r="H26" i="601" s="1"/>
  <c r="C90" i="601"/>
  <c r="C26" i="601" s="1"/>
  <c r="D95" i="601"/>
  <c r="D27" i="601" s="1"/>
  <c r="E95" i="601"/>
  <c r="E27" i="601" s="1"/>
  <c r="G95" i="601"/>
  <c r="G27" i="601" s="1"/>
  <c r="H95" i="601"/>
  <c r="H27" i="601" s="1"/>
  <c r="C27" i="601"/>
  <c r="I94" i="601"/>
  <c r="I100" i="343"/>
  <c r="B93" i="601"/>
  <c r="B95" i="601"/>
  <c r="B90" i="601"/>
  <c r="B30" i="601"/>
  <c r="B27" i="601"/>
  <c r="B10" i="601"/>
  <c r="B11" i="601"/>
  <c r="B12" i="601"/>
  <c r="B13" i="601"/>
  <c r="B14" i="601"/>
  <c r="B15" i="601"/>
  <c r="B16" i="601"/>
  <c r="B17" i="601"/>
  <c r="B18" i="601"/>
  <c r="B19" i="601"/>
  <c r="B20" i="601"/>
  <c r="B21" i="601"/>
  <c r="B22" i="601"/>
  <c r="B23" i="601"/>
  <c r="B24" i="601"/>
  <c r="B25" i="601"/>
  <c r="B26" i="601"/>
  <c r="F31" i="336"/>
  <c r="C13" i="609"/>
  <c r="C14" i="609"/>
  <c r="C15" i="609"/>
  <c r="C16" i="609"/>
  <c r="C17" i="609"/>
  <c r="C18" i="609"/>
  <c r="C19" i="609"/>
  <c r="C20" i="609"/>
  <c r="C21" i="609"/>
  <c r="C22" i="609"/>
  <c r="C23" i="609"/>
  <c r="C24" i="609"/>
  <c r="C25" i="609"/>
  <c r="C26" i="609"/>
  <c r="C27" i="609"/>
  <c r="C12" i="609"/>
  <c r="F31" i="609"/>
  <c r="B93" i="526"/>
  <c r="B90" i="526"/>
  <c r="B30" i="526"/>
  <c r="J733" i="577"/>
  <c r="I733" i="577"/>
  <c r="H733" i="577"/>
  <c r="K733" i="577"/>
  <c r="D101" i="577"/>
  <c r="C101" i="577"/>
  <c r="B101" i="577"/>
  <c r="A101" i="577"/>
  <c r="K98" i="577"/>
  <c r="K27" i="577" s="1"/>
  <c r="J98" i="577"/>
  <c r="J27" i="577" s="1"/>
  <c r="I98" i="577"/>
  <c r="I27" i="577" s="1"/>
  <c r="H98" i="577"/>
  <c r="H27" i="577" s="1"/>
  <c r="G98" i="577"/>
  <c r="J26" i="577"/>
  <c r="O26" i="577" s="1"/>
  <c r="I26" i="577"/>
  <c r="N26" i="577" s="1"/>
  <c r="H26" i="577"/>
  <c r="M26" i="577" s="1"/>
  <c r="O30" i="577"/>
  <c r="D31" i="577"/>
  <c r="C31" i="577"/>
  <c r="B31" i="577"/>
  <c r="A31" i="577"/>
  <c r="N25" i="577"/>
  <c r="M25" i="577"/>
  <c r="N24" i="577"/>
  <c r="M24" i="577"/>
  <c r="N23" i="577"/>
  <c r="M23" i="577"/>
  <c r="N22" i="577"/>
  <c r="M22" i="577"/>
  <c r="O21" i="577"/>
  <c r="N21" i="577"/>
  <c r="M21" i="577"/>
  <c r="O20" i="577"/>
  <c r="N20" i="577"/>
  <c r="M20" i="577"/>
  <c r="O19" i="577"/>
  <c r="N19" i="577"/>
  <c r="M19" i="577"/>
  <c r="O18" i="577"/>
  <c r="N18" i="577"/>
  <c r="M18" i="577"/>
  <c r="O17" i="577"/>
  <c r="N17" i="577"/>
  <c r="M17" i="577"/>
  <c r="O16" i="577"/>
  <c r="N16" i="577"/>
  <c r="M16" i="577"/>
  <c r="O15" i="577"/>
  <c r="N15" i="577"/>
  <c r="M15" i="577"/>
  <c r="O14" i="577"/>
  <c r="N14" i="577"/>
  <c r="M14" i="577"/>
  <c r="O13" i="577"/>
  <c r="N13" i="577"/>
  <c r="M13" i="577"/>
  <c r="O12" i="577"/>
  <c r="N12" i="577"/>
  <c r="M12" i="577"/>
  <c r="O11" i="577"/>
  <c r="N11" i="577"/>
  <c r="M11" i="577"/>
  <c r="O10" i="577"/>
  <c r="N10" i="577"/>
  <c r="M10" i="577"/>
  <c r="O9" i="577"/>
  <c r="N9" i="577"/>
  <c r="M9" i="577"/>
  <c r="J7" i="577"/>
  <c r="I7" i="577"/>
  <c r="H7" i="577"/>
  <c r="J6" i="577"/>
  <c r="I6" i="577"/>
  <c r="H6" i="577"/>
  <c r="A2" i="577"/>
  <c r="J733" i="607"/>
  <c r="I733" i="607"/>
  <c r="H733" i="607"/>
  <c r="D101" i="607"/>
  <c r="C101" i="607"/>
  <c r="B101" i="607"/>
  <c r="A101" i="607"/>
  <c r="J92" i="607"/>
  <c r="I92" i="607"/>
  <c r="H92" i="607"/>
  <c r="H26" i="607" s="1"/>
  <c r="D190" i="613"/>
  <c r="D31" i="607"/>
  <c r="C31" i="607"/>
  <c r="B31" i="607"/>
  <c r="A31" i="607"/>
  <c r="K98" i="607"/>
  <c r="K27" i="607" s="1"/>
  <c r="J98" i="607"/>
  <c r="J27" i="607" s="1"/>
  <c r="I98" i="607"/>
  <c r="I27" i="607" s="1"/>
  <c r="H98" i="607"/>
  <c r="H27" i="607" s="1"/>
  <c r="G98" i="607"/>
  <c r="O25" i="607"/>
  <c r="N25" i="607"/>
  <c r="M25" i="607"/>
  <c r="O24" i="607"/>
  <c r="N24" i="607"/>
  <c r="M24" i="607"/>
  <c r="O23" i="607"/>
  <c r="N23" i="607"/>
  <c r="M23" i="607"/>
  <c r="O22" i="607"/>
  <c r="N22" i="607"/>
  <c r="M22" i="607"/>
  <c r="O21" i="607"/>
  <c r="N21" i="607"/>
  <c r="M21" i="607"/>
  <c r="O20" i="607"/>
  <c r="N20" i="607"/>
  <c r="M20" i="607"/>
  <c r="O19" i="607"/>
  <c r="N19" i="607"/>
  <c r="M19" i="607"/>
  <c r="O18" i="607"/>
  <c r="N18" i="607"/>
  <c r="M18" i="607"/>
  <c r="O17" i="607"/>
  <c r="N17" i="607"/>
  <c r="M17" i="607"/>
  <c r="O16" i="607"/>
  <c r="N16" i="607"/>
  <c r="M16" i="607"/>
  <c r="O15" i="607"/>
  <c r="N15" i="607"/>
  <c r="M15" i="607"/>
  <c r="O14" i="607"/>
  <c r="N14" i="607"/>
  <c r="M14" i="607"/>
  <c r="O13" i="607"/>
  <c r="N13" i="607"/>
  <c r="M13" i="607"/>
  <c r="O12" i="607"/>
  <c r="N12" i="607"/>
  <c r="M12" i="607"/>
  <c r="O11" i="607"/>
  <c r="N11" i="607"/>
  <c r="M11" i="607"/>
  <c r="O10" i="607"/>
  <c r="N10" i="607"/>
  <c r="M10" i="607"/>
  <c r="O9" i="607"/>
  <c r="N9" i="607"/>
  <c r="M9" i="607"/>
  <c r="J7" i="607"/>
  <c r="I7" i="607"/>
  <c r="H7" i="607"/>
  <c r="J6" i="607"/>
  <c r="I6" i="607"/>
  <c r="H6" i="607"/>
  <c r="T95" i="526"/>
  <c r="T26" i="526" s="1"/>
  <c r="U95" i="526"/>
  <c r="U26" i="526" s="1"/>
  <c r="V95" i="526"/>
  <c r="V26" i="526" s="1"/>
  <c r="W95" i="526"/>
  <c r="W26" i="526" s="1"/>
  <c r="W27" i="526" s="1"/>
  <c r="X95" i="526"/>
  <c r="X26" i="526" s="1"/>
  <c r="X27" i="526" s="1"/>
  <c r="Y95" i="526"/>
  <c r="Y26" i="526" s="1"/>
  <c r="Y27" i="526" s="1"/>
  <c r="S26" i="526"/>
  <c r="J95" i="526"/>
  <c r="J26" i="526" s="1"/>
  <c r="C26" i="618" s="1"/>
  <c r="Z94" i="526"/>
  <c r="M94" i="526"/>
  <c r="C95" i="526"/>
  <c r="C26" i="526" s="1"/>
  <c r="D95" i="526"/>
  <c r="D26" i="526" s="1"/>
  <c r="E95" i="526"/>
  <c r="E26" i="526" s="1"/>
  <c r="B26" i="526"/>
  <c r="B25" i="526"/>
  <c r="Q26" i="526"/>
  <c r="P26" i="526"/>
  <c r="O26" i="526"/>
  <c r="N26" i="526"/>
  <c r="B9" i="526"/>
  <c r="B10" i="526"/>
  <c r="B11" i="526"/>
  <c r="B12" i="526"/>
  <c r="B13" i="526"/>
  <c r="B14" i="526"/>
  <c r="B15" i="526"/>
  <c r="B16" i="526"/>
  <c r="B17" i="526"/>
  <c r="B18" i="526"/>
  <c r="B19" i="526"/>
  <c r="B20" i="526"/>
  <c r="B21" i="526"/>
  <c r="B22" i="526"/>
  <c r="B23" i="526"/>
  <c r="B24" i="526"/>
  <c r="B8" i="526"/>
  <c r="M36" i="606"/>
  <c r="I8" i="614" s="1"/>
  <c r="M37" i="606"/>
  <c r="I9" i="614" s="1"/>
  <c r="M38" i="606"/>
  <c r="I10" i="614" s="1"/>
  <c r="M39" i="606"/>
  <c r="I11" i="614" s="1"/>
  <c r="M40" i="606"/>
  <c r="I12" i="614" s="1"/>
  <c r="M41" i="606"/>
  <c r="I13" i="614" s="1"/>
  <c r="M42" i="606"/>
  <c r="I14" i="614" s="1"/>
  <c r="M43" i="606"/>
  <c r="I15" i="614" s="1"/>
  <c r="M44" i="606"/>
  <c r="I16" i="614" s="1"/>
  <c r="M45" i="606"/>
  <c r="I17" i="614" s="1"/>
  <c r="M46" i="606"/>
  <c r="I18" i="614" s="1"/>
  <c r="M47" i="606"/>
  <c r="I19" i="614" s="1"/>
  <c r="M48" i="606"/>
  <c r="I20" i="614" s="1"/>
  <c r="M49" i="606"/>
  <c r="I21" i="614" s="1"/>
  <c r="M50" i="606"/>
  <c r="I22" i="614" s="1"/>
  <c r="M51" i="606"/>
  <c r="I23" i="614" s="1"/>
  <c r="M35" i="606"/>
  <c r="I7" i="614" s="1"/>
  <c r="L32" i="333"/>
  <c r="K2" i="333"/>
  <c r="K28" i="333"/>
  <c r="G27" i="607" l="1"/>
  <c r="G25" i="614" s="1"/>
  <c r="J26" i="611"/>
  <c r="D28" i="611"/>
  <c r="J26" i="601"/>
  <c r="C28" i="601"/>
  <c r="H28" i="601"/>
  <c r="G28" i="601"/>
  <c r="H28" i="611"/>
  <c r="J27" i="601"/>
  <c r="E28" i="601"/>
  <c r="I13" i="602"/>
  <c r="J13" i="602" s="1"/>
  <c r="C102" i="338"/>
  <c r="C33" i="338" s="1"/>
  <c r="J95" i="611"/>
  <c r="C28" i="611"/>
  <c r="J27" i="611"/>
  <c r="J28" i="611" s="1"/>
  <c r="I85" i="614"/>
  <c r="I79" i="614"/>
  <c r="D42" i="613"/>
  <c r="G193" i="613"/>
  <c r="F26" i="526"/>
  <c r="H26" i="526" s="1"/>
  <c r="E188" i="613"/>
  <c r="G188" i="613" s="1"/>
  <c r="E96" i="615" s="1"/>
  <c r="G100" i="340"/>
  <c r="G27" i="577"/>
  <c r="M27" i="577" s="1"/>
  <c r="D194" i="588"/>
  <c r="AA26" i="526"/>
  <c r="I26" i="601"/>
  <c r="K100" i="340"/>
  <c r="I26" i="611"/>
  <c r="I89" i="602"/>
  <c r="G93" i="504"/>
  <c r="G95" i="504" s="1"/>
  <c r="G25" i="504" s="1"/>
  <c r="E95" i="504"/>
  <c r="I93" i="614"/>
  <c r="I30" i="614"/>
  <c r="I89" i="614"/>
  <c r="I84" i="614"/>
  <c r="I65" i="614"/>
  <c r="I40" i="614"/>
  <c r="I35" i="614"/>
  <c r="I38" i="614"/>
  <c r="I33" i="614"/>
  <c r="I43" i="614"/>
  <c r="I46" i="614"/>
  <c r="I34" i="614"/>
  <c r="I69" i="614"/>
  <c r="I47" i="614"/>
  <c r="I42" i="614"/>
  <c r="I45" i="614"/>
  <c r="I48" i="614"/>
  <c r="I83" i="614"/>
  <c r="I87" i="614"/>
  <c r="I41" i="614"/>
  <c r="I73" i="614"/>
  <c r="I70" i="614"/>
  <c r="I64" i="614"/>
  <c r="I88" i="614"/>
  <c r="I82" i="614"/>
  <c r="I86" i="614"/>
  <c r="I80" i="614"/>
  <c r="I74" i="614"/>
  <c r="I77" i="614"/>
  <c r="I81" i="614"/>
  <c r="I78" i="614"/>
  <c r="I76" i="614"/>
  <c r="I67" i="614"/>
  <c r="I72" i="614"/>
  <c r="I59" i="614"/>
  <c r="I62" i="614"/>
  <c r="I63" i="614"/>
  <c r="I58" i="614"/>
  <c r="I61" i="614"/>
  <c r="I56" i="614"/>
  <c r="I51" i="614"/>
  <c r="I54" i="614"/>
  <c r="I57" i="614"/>
  <c r="I37" i="614"/>
  <c r="I39" i="614"/>
  <c r="I71" i="614"/>
  <c r="I55" i="614"/>
  <c r="I50" i="614"/>
  <c r="I53" i="614"/>
  <c r="I52" i="614"/>
  <c r="I75" i="614"/>
  <c r="I68" i="614"/>
  <c r="I49" i="614"/>
  <c r="I44" i="614"/>
  <c r="I60" i="614"/>
  <c r="I36" i="614"/>
  <c r="I32" i="614"/>
  <c r="I66" i="614"/>
  <c r="I31" i="614"/>
  <c r="G105" i="616"/>
  <c r="B30" i="618"/>
  <c r="B31" i="618"/>
  <c r="K99" i="607"/>
  <c r="D188" i="588"/>
  <c r="D189" i="588" s="1"/>
  <c r="I29" i="609"/>
  <c r="K105" i="340"/>
  <c r="K36" i="340" s="1"/>
  <c r="G187" i="588"/>
  <c r="E96" i="338" s="1"/>
  <c r="J28" i="577"/>
  <c r="N13" i="611"/>
  <c r="Q99" i="620"/>
  <c r="Q29" i="620" s="1"/>
  <c r="D35" i="613"/>
  <c r="D93" i="613"/>
  <c r="D16" i="613"/>
  <c r="D24" i="613"/>
  <c r="D110" i="613"/>
  <c r="D25" i="613"/>
  <c r="D41" i="613"/>
  <c r="D79" i="613"/>
  <c r="D40" i="613"/>
  <c r="D75" i="613"/>
  <c r="D111" i="613"/>
  <c r="D39" i="613"/>
  <c r="D99" i="613"/>
  <c r="D28" i="613"/>
  <c r="D33" i="613"/>
  <c r="D44" i="613"/>
  <c r="N21" i="611"/>
  <c r="N17" i="611"/>
  <c r="I90" i="611"/>
  <c r="N25" i="611"/>
  <c r="N20" i="611"/>
  <c r="N23" i="611"/>
  <c r="I99" i="617"/>
  <c r="I101" i="617" s="1"/>
  <c r="N14" i="611"/>
  <c r="N9" i="611"/>
  <c r="Q98" i="619"/>
  <c r="N11" i="611"/>
  <c r="N24" i="611"/>
  <c r="N18" i="611"/>
  <c r="I27" i="611"/>
  <c r="I28" i="611" s="1"/>
  <c r="N12" i="611"/>
  <c r="N15" i="611"/>
  <c r="I95" i="611"/>
  <c r="N22" i="611"/>
  <c r="J90" i="611"/>
  <c r="J91" i="611" s="1"/>
  <c r="N16" i="611"/>
  <c r="N19" i="611"/>
  <c r="I96" i="617"/>
  <c r="I31" i="617" s="1"/>
  <c r="N10" i="611"/>
  <c r="G100" i="616"/>
  <c r="G99" i="607"/>
  <c r="K26" i="607"/>
  <c r="K28" i="607" s="1"/>
  <c r="H28" i="607"/>
  <c r="H99" i="607"/>
  <c r="I26" i="607"/>
  <c r="I28" i="607" s="1"/>
  <c r="I99" i="607"/>
  <c r="J26" i="607"/>
  <c r="K35" i="616" s="1"/>
  <c r="J99" i="607"/>
  <c r="D195" i="613"/>
  <c r="Q99" i="604"/>
  <c r="O100" i="603"/>
  <c r="D97" i="602"/>
  <c r="G105" i="340"/>
  <c r="G36" i="340" s="1"/>
  <c r="G192" i="588"/>
  <c r="E100" i="338" s="1"/>
  <c r="E102" i="338" s="1"/>
  <c r="E33" i="338" s="1"/>
  <c r="I27" i="601"/>
  <c r="D101" i="337"/>
  <c r="K92" i="577"/>
  <c r="K26" i="577" s="1"/>
  <c r="O31" i="577" s="1"/>
  <c r="G35" i="340"/>
  <c r="C105" i="340"/>
  <c r="C36" i="340" s="1"/>
  <c r="C100" i="616"/>
  <c r="C92" i="618"/>
  <c r="B92" i="618" s="1"/>
  <c r="C97" i="602"/>
  <c r="K35" i="340"/>
  <c r="F96" i="602"/>
  <c r="K96" i="602" s="1"/>
  <c r="Q96" i="602" s="1"/>
  <c r="C35" i="340"/>
  <c r="D31" i="337"/>
  <c r="D97" i="618"/>
  <c r="H28" i="577"/>
  <c r="G19" i="333" s="1"/>
  <c r="I28" i="577"/>
  <c r="G20" i="333" s="1"/>
  <c r="D96" i="337"/>
  <c r="I29" i="336"/>
  <c r="I5" i="616"/>
  <c r="D22" i="613"/>
  <c r="C114" i="613"/>
  <c r="K100" i="616"/>
  <c r="C97" i="615"/>
  <c r="C32" i="615" s="1"/>
  <c r="C34" i="615" s="1"/>
  <c r="D32" i="612"/>
  <c r="C105" i="616"/>
  <c r="C36" i="616" s="1"/>
  <c r="O94" i="619"/>
  <c r="O99" i="619"/>
  <c r="Q94" i="620"/>
  <c r="Q28" i="620" s="1"/>
  <c r="C31" i="609"/>
  <c r="M30" i="619"/>
  <c r="M95" i="619"/>
  <c r="D92" i="618"/>
  <c r="M27" i="618"/>
  <c r="M28" i="618" s="1"/>
  <c r="F96" i="618"/>
  <c r="C97" i="618"/>
  <c r="I96" i="618"/>
  <c r="B95" i="602"/>
  <c r="K105" i="616"/>
  <c r="K36" i="616" s="1"/>
  <c r="G95" i="614"/>
  <c r="G129" i="613"/>
  <c r="C104" i="613"/>
  <c r="C100" i="613"/>
  <c r="C96" i="613"/>
  <c r="C87" i="613"/>
  <c r="C83" i="613"/>
  <c r="C70" i="613"/>
  <c r="C58" i="613"/>
  <c r="C54" i="613"/>
  <c r="E38" i="615"/>
  <c r="C31" i="613"/>
  <c r="D26" i="613"/>
  <c r="D29" i="613"/>
  <c r="D60" i="613"/>
  <c r="C66" i="613"/>
  <c r="D64" i="613"/>
  <c r="D69" i="613"/>
  <c r="D90" i="613"/>
  <c r="D20" i="613"/>
  <c r="D23" i="613"/>
  <c r="D61" i="613"/>
  <c r="D91" i="613"/>
  <c r="D113" i="613"/>
  <c r="C76" i="613"/>
  <c r="D72" i="613"/>
  <c r="D80" i="613"/>
  <c r="D92" i="613"/>
  <c r="D116" i="613"/>
  <c r="D34" i="613"/>
  <c r="D45" i="613"/>
  <c r="D21" i="613"/>
  <c r="D27" i="613"/>
  <c r="D62" i="613"/>
  <c r="D73" i="613"/>
  <c r="D117" i="613"/>
  <c r="D43" i="613"/>
  <c r="D46" i="613"/>
  <c r="D68" i="613"/>
  <c r="D74" i="613"/>
  <c r="D109" i="613"/>
  <c r="D119" i="613"/>
  <c r="C49" i="613"/>
  <c r="D38" i="613"/>
  <c r="D81" i="613"/>
  <c r="D48" i="613"/>
  <c r="D18" i="613"/>
  <c r="D107" i="613"/>
  <c r="D52" i="613"/>
  <c r="D57" i="613"/>
  <c r="D63" i="613"/>
  <c r="D86" i="613"/>
  <c r="D82" i="613"/>
  <c r="D94" i="613"/>
  <c r="D112" i="613"/>
  <c r="D118" i="613"/>
  <c r="D85" i="613"/>
  <c r="D103" i="613"/>
  <c r="C120" i="613"/>
  <c r="C124" i="613" s="1"/>
  <c r="D106" i="613"/>
  <c r="C36" i="613"/>
  <c r="D78" i="613"/>
  <c r="D102" i="613"/>
  <c r="D108" i="613"/>
  <c r="D47" i="613"/>
  <c r="D53" i="613"/>
  <c r="D65" i="613"/>
  <c r="D95" i="613"/>
  <c r="D30" i="613"/>
  <c r="D56" i="613"/>
  <c r="D98" i="613"/>
  <c r="D89" i="613"/>
  <c r="D101" i="612"/>
  <c r="D96" i="612"/>
  <c r="O26" i="607"/>
  <c r="M26" i="607"/>
  <c r="M26" i="526"/>
  <c r="D26" i="618" l="1"/>
  <c r="N26" i="607"/>
  <c r="D90" i="618"/>
  <c r="C91" i="618"/>
  <c r="I91" i="618" s="1"/>
  <c r="J28" i="601"/>
  <c r="J29" i="601"/>
  <c r="J29" i="611"/>
  <c r="D91" i="618"/>
  <c r="C90" i="618"/>
  <c r="H26" i="618"/>
  <c r="I26" i="618" s="1"/>
  <c r="H26" i="602"/>
  <c r="I26" i="602" s="1"/>
  <c r="K26" i="526"/>
  <c r="D124" i="613"/>
  <c r="O27" i="577"/>
  <c r="N27" i="577"/>
  <c r="I29" i="607"/>
  <c r="H29" i="607"/>
  <c r="E26" i="614"/>
  <c r="G26" i="614"/>
  <c r="O30" i="607"/>
  <c r="G28" i="607"/>
  <c r="Q17" i="333" s="1"/>
  <c r="Q15" i="333" s="1"/>
  <c r="Q11" i="333" s="1"/>
  <c r="D32" i="337"/>
  <c r="N27" i="607"/>
  <c r="D31" i="612"/>
  <c r="D33" i="612" s="1"/>
  <c r="D25" i="618"/>
  <c r="O27" i="607"/>
  <c r="I33" i="617"/>
  <c r="J28" i="607"/>
  <c r="C35" i="616"/>
  <c r="M27" i="607"/>
  <c r="O31" i="607"/>
  <c r="M25" i="606"/>
  <c r="Q19" i="333"/>
  <c r="M27" i="606"/>
  <c r="Q20" i="333"/>
  <c r="G194" i="588"/>
  <c r="K28" i="577"/>
  <c r="G21" i="333"/>
  <c r="K96" i="618"/>
  <c r="S96" i="618" s="1"/>
  <c r="E37" i="615"/>
  <c r="D54" i="613"/>
  <c r="D9" i="616"/>
  <c r="G195" i="613"/>
  <c r="E100" i="615"/>
  <c r="E102" i="615" s="1"/>
  <c r="E33" i="615" s="1"/>
  <c r="H9" i="616"/>
  <c r="S96" i="602"/>
  <c r="D120" i="613"/>
  <c r="D36" i="613"/>
  <c r="D114" i="613"/>
  <c r="D76" i="613"/>
  <c r="D104" i="613"/>
  <c r="D31" i="613"/>
  <c r="D100" i="613"/>
  <c r="D70" i="613"/>
  <c r="D96" i="613"/>
  <c r="D87" i="613"/>
  <c r="D58" i="613"/>
  <c r="D83" i="613"/>
  <c r="D49" i="613"/>
  <c r="D66" i="613"/>
  <c r="N26" i="611"/>
  <c r="K34" i="608"/>
  <c r="L31" i="608" s="1"/>
  <c r="J32" i="332"/>
  <c r="A2" i="602"/>
  <c r="B13" i="609"/>
  <c r="B14" i="609"/>
  <c r="B15" i="609"/>
  <c r="B16" i="609"/>
  <c r="B17" i="609"/>
  <c r="B18" i="609"/>
  <c r="B19" i="609"/>
  <c r="B20" i="609"/>
  <c r="B21" i="609"/>
  <c r="B22" i="609"/>
  <c r="B23" i="609"/>
  <c r="B24" i="609"/>
  <c r="B25" i="609"/>
  <c r="B26" i="609"/>
  <c r="B27" i="609"/>
  <c r="B12" i="609"/>
  <c r="A2" i="609"/>
  <c r="F77" i="609"/>
  <c r="E77" i="609"/>
  <c r="D77" i="609"/>
  <c r="C77" i="609"/>
  <c r="G28" i="609"/>
  <c r="G26" i="609"/>
  <c r="G25" i="609"/>
  <c r="G24" i="609"/>
  <c r="G23" i="609"/>
  <c r="G22" i="609"/>
  <c r="G21" i="609"/>
  <c r="G20" i="609"/>
  <c r="G19" i="609"/>
  <c r="G18" i="609"/>
  <c r="G17" i="609"/>
  <c r="G16" i="609"/>
  <c r="G15" i="609"/>
  <c r="G14" i="609"/>
  <c r="G12" i="609"/>
  <c r="F56" i="609"/>
  <c r="E56" i="609"/>
  <c r="D56" i="609"/>
  <c r="C56" i="609"/>
  <c r="D28" i="609"/>
  <c r="D27" i="609"/>
  <c r="D26" i="609"/>
  <c r="D25" i="609"/>
  <c r="D24" i="609"/>
  <c r="D23" i="609"/>
  <c r="D22" i="609"/>
  <c r="D21" i="609"/>
  <c r="D20" i="609"/>
  <c r="D19" i="609"/>
  <c r="D18" i="609"/>
  <c r="D17" i="609"/>
  <c r="D16" i="609"/>
  <c r="D15" i="609"/>
  <c r="D14" i="609"/>
  <c r="D13" i="609"/>
  <c r="H27" i="609"/>
  <c r="E27" i="609"/>
  <c r="H26" i="609"/>
  <c r="E26" i="609"/>
  <c r="H25" i="609"/>
  <c r="E25" i="609"/>
  <c r="H24" i="609"/>
  <c r="E24" i="609"/>
  <c r="H23" i="609"/>
  <c r="E23" i="609"/>
  <c r="H22" i="609"/>
  <c r="E22" i="609"/>
  <c r="H21" i="609"/>
  <c r="E21" i="609"/>
  <c r="H20" i="609"/>
  <c r="E20" i="609"/>
  <c r="H19" i="609"/>
  <c r="E19" i="609"/>
  <c r="H18" i="609"/>
  <c r="E18" i="609"/>
  <c r="H17" i="609"/>
  <c r="E17" i="609"/>
  <c r="H16" i="609"/>
  <c r="E16" i="609"/>
  <c r="H15" i="609"/>
  <c r="E15" i="609"/>
  <c r="H14" i="609"/>
  <c r="E14" i="609"/>
  <c r="H13" i="609"/>
  <c r="E13" i="609"/>
  <c r="H12" i="609"/>
  <c r="E12" i="609"/>
  <c r="A2" i="608"/>
  <c r="D27" i="618" l="1"/>
  <c r="J26" i="618"/>
  <c r="D28" i="618"/>
  <c r="J26" i="602"/>
  <c r="O29" i="577"/>
  <c r="C125" i="588"/>
  <c r="L32" i="608"/>
  <c r="L30" i="608"/>
  <c r="N28" i="577"/>
  <c r="M28" i="577"/>
  <c r="O28" i="577"/>
  <c r="G17" i="333"/>
  <c r="G15" i="333" s="1"/>
  <c r="G11" i="333" s="1"/>
  <c r="I28" i="609"/>
  <c r="M31" i="606"/>
  <c r="Q21" i="333"/>
  <c r="J29" i="607"/>
  <c r="O29" i="607"/>
  <c r="L29" i="608"/>
  <c r="M23" i="606"/>
  <c r="O26" i="332"/>
  <c r="Q26" i="332" s="1"/>
  <c r="N28" i="607"/>
  <c r="M28" i="607"/>
  <c r="L21" i="608"/>
  <c r="L17" i="608"/>
  <c r="L19" i="608"/>
  <c r="L25" i="608"/>
  <c r="L23" i="608"/>
  <c r="L9" i="616"/>
  <c r="O28" i="607"/>
  <c r="M29" i="606"/>
  <c r="Q96" i="618"/>
  <c r="H31" i="609"/>
  <c r="G27" i="609"/>
  <c r="I27" i="609" s="1"/>
  <c r="E31" i="609"/>
  <c r="N28" i="611"/>
  <c r="G77" i="609"/>
  <c r="I21" i="609"/>
  <c r="G56" i="609"/>
  <c r="I20" i="609"/>
  <c r="L27" i="608"/>
  <c r="L28" i="608"/>
  <c r="I14" i="609"/>
  <c r="I22" i="609"/>
  <c r="I24" i="609"/>
  <c r="I16" i="609"/>
  <c r="I18" i="609"/>
  <c r="I26" i="609"/>
  <c r="I19" i="609"/>
  <c r="I15" i="609"/>
  <c r="I23" i="609"/>
  <c r="I17" i="609"/>
  <c r="I25" i="609"/>
  <c r="D12" i="609"/>
  <c r="G13" i="609"/>
  <c r="I13" i="609" s="1"/>
  <c r="L16" i="608"/>
  <c r="L20" i="608"/>
  <c r="L24" i="608"/>
  <c r="L15" i="608"/>
  <c r="L33" i="608"/>
  <c r="L18" i="608"/>
  <c r="L22" i="608"/>
  <c r="L26" i="608"/>
  <c r="K55" i="606"/>
  <c r="G55" i="606"/>
  <c r="K53" i="606"/>
  <c r="K51" i="606"/>
  <c r="K50" i="606"/>
  <c r="K49" i="606"/>
  <c r="K48" i="606"/>
  <c r="K47" i="606"/>
  <c r="K46" i="606"/>
  <c r="K45" i="606"/>
  <c r="K44" i="606"/>
  <c r="K43" i="606"/>
  <c r="K42" i="606"/>
  <c r="K41" i="606"/>
  <c r="K40" i="606"/>
  <c r="K39" i="606"/>
  <c r="K38" i="606"/>
  <c r="K37" i="606"/>
  <c r="K36" i="606"/>
  <c r="K35" i="606"/>
  <c r="K34" i="606"/>
  <c r="A33" i="606"/>
  <c r="D11" i="613"/>
  <c r="D17" i="606"/>
  <c r="A17" i="606"/>
  <c r="A16" i="606"/>
  <c r="A15" i="606"/>
  <c r="K5" i="606"/>
  <c r="G5" i="606"/>
  <c r="A2" i="606"/>
  <c r="E9" i="551"/>
  <c r="C34" i="401"/>
  <c r="D32" i="401"/>
  <c r="D31" i="401"/>
  <c r="D28" i="401"/>
  <c r="D27" i="401"/>
  <c r="D26" i="401"/>
  <c r="D25" i="401"/>
  <c r="D24" i="401"/>
  <c r="D23" i="401"/>
  <c r="D22" i="401"/>
  <c r="D21" i="401"/>
  <c r="D20" i="401"/>
  <c r="D17" i="401"/>
  <c r="D30" i="333"/>
  <c r="B13" i="603"/>
  <c r="B14" i="603"/>
  <c r="B15" i="603"/>
  <c r="B16" i="603"/>
  <c r="B17" i="603"/>
  <c r="B18" i="603"/>
  <c r="B19" i="603"/>
  <c r="B20" i="603"/>
  <c r="B21" i="603"/>
  <c r="B22" i="603"/>
  <c r="B23" i="603"/>
  <c r="B24" i="603"/>
  <c r="B25" i="603"/>
  <c r="B26" i="603"/>
  <c r="B27" i="603"/>
  <c r="B28" i="603"/>
  <c r="B12" i="603"/>
  <c r="A8" i="602"/>
  <c r="B15" i="343"/>
  <c r="B16" i="343"/>
  <c r="B17" i="343"/>
  <c r="B18" i="343"/>
  <c r="B19" i="343"/>
  <c r="B20" i="343"/>
  <c r="B21" i="343"/>
  <c r="B22" i="343"/>
  <c r="B23" i="343"/>
  <c r="B24" i="343"/>
  <c r="B25" i="343"/>
  <c r="B26" i="343"/>
  <c r="B27" i="343"/>
  <c r="B28" i="343"/>
  <c r="B29" i="343"/>
  <c r="B30" i="343"/>
  <c r="B14" i="343"/>
  <c r="B19" i="340"/>
  <c r="B20" i="340"/>
  <c r="B21" i="340"/>
  <c r="B22" i="340"/>
  <c r="B23" i="340"/>
  <c r="B24" i="340"/>
  <c r="B25" i="340"/>
  <c r="B26" i="340"/>
  <c r="B27" i="340"/>
  <c r="B28" i="340"/>
  <c r="B29" i="340"/>
  <c r="B30" i="340"/>
  <c r="B31" i="340"/>
  <c r="B32" i="340"/>
  <c r="B33" i="340"/>
  <c r="B34" i="340"/>
  <c r="B18" i="340"/>
  <c r="B16" i="338"/>
  <c r="B17" i="338"/>
  <c r="B18" i="338"/>
  <c r="B19" i="338"/>
  <c r="B20" i="338"/>
  <c r="B21" i="338"/>
  <c r="B22" i="338"/>
  <c r="B23" i="338"/>
  <c r="B24" i="338"/>
  <c r="B25" i="338"/>
  <c r="B26" i="338"/>
  <c r="B27" i="338"/>
  <c r="B28" i="338"/>
  <c r="B29" i="338"/>
  <c r="B30" i="338"/>
  <c r="B31" i="338"/>
  <c r="B15" i="338"/>
  <c r="C8" i="504"/>
  <c r="C9" i="504"/>
  <c r="C10" i="504"/>
  <c r="C11" i="504"/>
  <c r="C12" i="504"/>
  <c r="C13" i="504"/>
  <c r="C14" i="504"/>
  <c r="C15" i="504"/>
  <c r="C16" i="504"/>
  <c r="C17" i="504"/>
  <c r="C18" i="504"/>
  <c r="C19" i="504"/>
  <c r="C20" i="504"/>
  <c r="C21" i="504"/>
  <c r="C22" i="504"/>
  <c r="C23" i="504"/>
  <c r="C7" i="504"/>
  <c r="B8" i="504"/>
  <c r="G36" i="606" s="1"/>
  <c r="B9" i="504"/>
  <c r="G37" i="606" s="1"/>
  <c r="B10" i="504"/>
  <c r="G38" i="606" s="1"/>
  <c r="B11" i="504"/>
  <c r="G39" i="606" s="1"/>
  <c r="B12" i="504"/>
  <c r="G40" i="606" s="1"/>
  <c r="B13" i="504"/>
  <c r="G41" i="606" s="1"/>
  <c r="B14" i="504"/>
  <c r="G42" i="606" s="1"/>
  <c r="B15" i="504"/>
  <c r="B16" i="504"/>
  <c r="G44" i="606" s="1"/>
  <c r="B17" i="504"/>
  <c r="G45" i="606" s="1"/>
  <c r="B18" i="504"/>
  <c r="G46" i="606" s="1"/>
  <c r="B19" i="504"/>
  <c r="G47" i="606" s="1"/>
  <c r="B20" i="504"/>
  <c r="G48" i="606" s="1"/>
  <c r="B21" i="504"/>
  <c r="G49" i="606" s="1"/>
  <c r="B22" i="504"/>
  <c r="G50" i="606" s="1"/>
  <c r="B23" i="504"/>
  <c r="G51" i="606" s="1"/>
  <c r="B7" i="504"/>
  <c r="G35" i="606" s="1"/>
  <c r="B15" i="337"/>
  <c r="B16" i="337"/>
  <c r="B17" i="337"/>
  <c r="B18" i="337"/>
  <c r="B19" i="337"/>
  <c r="B20" i="337"/>
  <c r="B21" i="337"/>
  <c r="B22" i="337"/>
  <c r="B23" i="337"/>
  <c r="B24" i="337"/>
  <c r="B25" i="337"/>
  <c r="B26" i="337"/>
  <c r="B27" i="337"/>
  <c r="B28" i="337"/>
  <c r="B29" i="337"/>
  <c r="B30" i="337"/>
  <c r="B14" i="337"/>
  <c r="H12" i="336"/>
  <c r="I20" i="601"/>
  <c r="B9" i="601"/>
  <c r="B12" i="336"/>
  <c r="J28" i="609" l="1"/>
  <c r="G43" i="606"/>
  <c r="I38" i="504"/>
  <c r="J18" i="609"/>
  <c r="J25" i="609"/>
  <c r="J16" i="609"/>
  <c r="J21" i="609"/>
  <c r="J17" i="609"/>
  <c r="J15" i="609"/>
  <c r="J14" i="609"/>
  <c r="J24" i="609"/>
  <c r="J22" i="609"/>
  <c r="J13" i="609"/>
  <c r="J19" i="609"/>
  <c r="J27" i="609"/>
  <c r="J23" i="609"/>
  <c r="J26" i="609"/>
  <c r="J20" i="609"/>
  <c r="L34" i="608"/>
  <c r="I12" i="609"/>
  <c r="J12" i="609" l="1"/>
  <c r="A28" i="504"/>
  <c r="A5" i="504"/>
  <c r="G34" i="551" l="1"/>
  <c r="A29" i="605"/>
  <c r="A13" i="605"/>
  <c r="A14" i="605"/>
  <c r="A15" i="605"/>
  <c r="A16" i="605"/>
  <c r="A17" i="605"/>
  <c r="A18" i="605"/>
  <c r="A19" i="605"/>
  <c r="A20" i="605"/>
  <c r="A21" i="605"/>
  <c r="A22" i="605"/>
  <c r="A23" i="605"/>
  <c r="A24" i="605"/>
  <c r="A25" i="605"/>
  <c r="A26" i="605"/>
  <c r="A27" i="605"/>
  <c r="A28" i="605"/>
  <c r="A12" i="605"/>
  <c r="M9" i="526"/>
  <c r="M10" i="526"/>
  <c r="M11" i="526"/>
  <c r="M12" i="526"/>
  <c r="M13" i="526"/>
  <c r="M14" i="526"/>
  <c r="M15" i="526"/>
  <c r="M16" i="526"/>
  <c r="M17" i="526"/>
  <c r="M18" i="526"/>
  <c r="M19" i="526"/>
  <c r="M20" i="526"/>
  <c r="M21" i="526"/>
  <c r="M22" i="526"/>
  <c r="M23" i="526"/>
  <c r="M24" i="526"/>
  <c r="M30" i="526"/>
  <c r="M31" i="526"/>
  <c r="M32" i="526"/>
  <c r="M33" i="526"/>
  <c r="M34" i="526"/>
  <c r="M36" i="526"/>
  <c r="M38" i="526"/>
  <c r="M39" i="526"/>
  <c r="M40" i="526"/>
  <c r="M41" i="526"/>
  <c r="M93" i="526"/>
  <c r="M95" i="526" s="1"/>
  <c r="M42" i="526"/>
  <c r="M43" i="526"/>
  <c r="M44" i="526"/>
  <c r="M45" i="526"/>
  <c r="M46" i="526"/>
  <c r="M47" i="526"/>
  <c r="M48" i="526"/>
  <c r="M49" i="526"/>
  <c r="M50" i="526"/>
  <c r="M51" i="526"/>
  <c r="M52" i="526"/>
  <c r="M53" i="526"/>
  <c r="M54" i="526"/>
  <c r="M55" i="526"/>
  <c r="M56" i="526"/>
  <c r="M57" i="526"/>
  <c r="M58" i="526"/>
  <c r="M59" i="526"/>
  <c r="M60" i="526"/>
  <c r="M61" i="526"/>
  <c r="M62" i="526"/>
  <c r="M63" i="526"/>
  <c r="M64" i="526"/>
  <c r="M65" i="526"/>
  <c r="M66" i="526"/>
  <c r="M67" i="526"/>
  <c r="M68" i="526"/>
  <c r="M69" i="526"/>
  <c r="M70" i="526"/>
  <c r="M71" i="526"/>
  <c r="M72" i="526"/>
  <c r="M73" i="526"/>
  <c r="M74" i="526"/>
  <c r="M75" i="526"/>
  <c r="M76" i="526"/>
  <c r="M77" i="526"/>
  <c r="M78" i="526"/>
  <c r="M80" i="526"/>
  <c r="M81" i="526"/>
  <c r="M82" i="526"/>
  <c r="M83" i="526"/>
  <c r="M84" i="526"/>
  <c r="M86" i="526"/>
  <c r="N90" i="526"/>
  <c r="N25" i="526" s="1"/>
  <c r="O90" i="526"/>
  <c r="O25" i="526" s="1"/>
  <c r="O27" i="526" s="1"/>
  <c r="P90" i="526"/>
  <c r="P25" i="526" s="1"/>
  <c r="P27" i="526" s="1"/>
  <c r="Q90" i="526"/>
  <c r="Q25" i="526" s="1"/>
  <c r="Q27" i="526" s="1"/>
  <c r="K55" i="551"/>
  <c r="G55" i="551"/>
  <c r="I56" i="551"/>
  <c r="I57" i="551"/>
  <c r="K5" i="551"/>
  <c r="G5" i="551"/>
  <c r="K34" i="551"/>
  <c r="M90" i="526" l="1"/>
  <c r="N27" i="526"/>
  <c r="M25" i="526"/>
  <c r="M27" i="526" s="1"/>
  <c r="A16" i="551"/>
  <c r="A15" i="551"/>
  <c r="A17" i="551"/>
  <c r="A34" i="551" l="1"/>
  <c r="A25" i="551"/>
  <c r="A9" i="551"/>
  <c r="V9" i="602" l="1"/>
  <c r="Y12" i="604" s="1"/>
  <c r="V10" i="602"/>
  <c r="Y13" i="604" s="1"/>
  <c r="V11" i="602"/>
  <c r="Y14" i="604" s="1"/>
  <c r="V12" i="602"/>
  <c r="Y15" i="604" s="1"/>
  <c r="V13" i="602"/>
  <c r="Y16" i="604" s="1"/>
  <c r="V14" i="602"/>
  <c r="Y17" i="604" s="1"/>
  <c r="V15" i="602"/>
  <c r="Y18" i="604" s="1"/>
  <c r="V16" i="602"/>
  <c r="Y19" i="604" s="1"/>
  <c r="V17" i="602"/>
  <c r="Y20" i="604" s="1"/>
  <c r="V18" i="602"/>
  <c r="Y21" i="604" s="1"/>
  <c r="V19" i="602"/>
  <c r="Y22" i="604" s="1"/>
  <c r="V20" i="602"/>
  <c r="Y23" i="604" s="1"/>
  <c r="V21" i="602"/>
  <c r="Y24" i="604" s="1"/>
  <c r="V22" i="602"/>
  <c r="Y25" i="604" s="1"/>
  <c r="V23" i="602"/>
  <c r="Y26" i="604" s="1"/>
  <c r="V24" i="602"/>
  <c r="Y27" i="604" s="1"/>
  <c r="V8" i="602"/>
  <c r="Y11" i="604" s="1"/>
  <c r="E6" i="604"/>
  <c r="G6" i="604" s="1"/>
  <c r="K35" i="551"/>
  <c r="E38" i="338" l="1"/>
  <c r="N12" i="605"/>
  <c r="L33" i="605"/>
  <c r="L12" i="605"/>
  <c r="L13" i="605"/>
  <c r="L14" i="605"/>
  <c r="L15" i="605"/>
  <c r="L16" i="605"/>
  <c r="L17" i="605"/>
  <c r="L18" i="605"/>
  <c r="L19" i="605"/>
  <c r="L20" i="605"/>
  <c r="L21" i="605"/>
  <c r="L22" i="605"/>
  <c r="L23" i="605"/>
  <c r="L24" i="605"/>
  <c r="L25" i="605"/>
  <c r="L26" i="605"/>
  <c r="L27" i="605"/>
  <c r="L28" i="605"/>
  <c r="Z33" i="605"/>
  <c r="Z13" i="605"/>
  <c r="Z14" i="605"/>
  <c r="Z15" i="605"/>
  <c r="Z16" i="605"/>
  <c r="Z17" i="605"/>
  <c r="Z18" i="605"/>
  <c r="Z19" i="605"/>
  <c r="Z20" i="605"/>
  <c r="Z21" i="605"/>
  <c r="Z22" i="605"/>
  <c r="Z23" i="605"/>
  <c r="Z24" i="605"/>
  <c r="Z25" i="605"/>
  <c r="Z26" i="605"/>
  <c r="Z27" i="605"/>
  <c r="Z28" i="605"/>
  <c r="Z29" i="605"/>
  <c r="Z12" i="605"/>
  <c r="W12" i="605"/>
  <c r="T33" i="605"/>
  <c r="T13" i="605"/>
  <c r="T14" i="605"/>
  <c r="T15" i="605"/>
  <c r="T16" i="605"/>
  <c r="T17" i="605"/>
  <c r="T18" i="605"/>
  <c r="T19" i="605"/>
  <c r="T20" i="605"/>
  <c r="T21" i="605"/>
  <c r="T22" i="605"/>
  <c r="T23" i="605"/>
  <c r="T24" i="605"/>
  <c r="T25" i="605"/>
  <c r="T26" i="605"/>
  <c r="T27" i="605"/>
  <c r="T28" i="605"/>
  <c r="T12" i="605"/>
  <c r="O12" i="605"/>
  <c r="F12" i="605"/>
  <c r="D33" i="605"/>
  <c r="D28" i="605"/>
  <c r="D13" i="605"/>
  <c r="D14" i="605"/>
  <c r="D15" i="605"/>
  <c r="D16" i="605"/>
  <c r="D17" i="605"/>
  <c r="D18" i="605"/>
  <c r="D19" i="605"/>
  <c r="D20" i="605"/>
  <c r="D21" i="605"/>
  <c r="D22" i="605"/>
  <c r="D23" i="605"/>
  <c r="D24" i="605"/>
  <c r="D25" i="605"/>
  <c r="D26" i="605"/>
  <c r="D27" i="605"/>
  <c r="Q93" i="604"/>
  <c r="K52" i="606" l="1"/>
  <c r="C8" i="602"/>
  <c r="H96" i="343"/>
  <c r="H97" i="343" s="1"/>
  <c r="D78" i="336"/>
  <c r="E78" i="336"/>
  <c r="F78" i="336"/>
  <c r="C78" i="336"/>
  <c r="D57" i="336"/>
  <c r="E57" i="336"/>
  <c r="F57" i="336"/>
  <c r="C57" i="336"/>
  <c r="F30" i="526"/>
  <c r="H30" i="526" s="1"/>
  <c r="H30" i="618" l="1"/>
  <c r="I30" i="618" s="1"/>
  <c r="B30" i="602"/>
  <c r="C92" i="602"/>
  <c r="B92" i="602" s="1"/>
  <c r="H30" i="602"/>
  <c r="I30" i="602" s="1"/>
  <c r="Z30" i="526"/>
  <c r="A2" i="605"/>
  <c r="S93" i="605"/>
  <c r="S29" i="605" s="1"/>
  <c r="S30" i="605" s="1"/>
  <c r="V33" i="605"/>
  <c r="V28" i="605"/>
  <c r="V27" i="605"/>
  <c r="V26" i="605"/>
  <c r="V25" i="605"/>
  <c r="V24" i="605"/>
  <c r="V23" i="605"/>
  <c r="V22" i="605"/>
  <c r="V21" i="605"/>
  <c r="V20" i="605"/>
  <c r="V19" i="605"/>
  <c r="V18" i="605"/>
  <c r="V17" i="605"/>
  <c r="V16" i="605"/>
  <c r="V15" i="605"/>
  <c r="V14" i="605"/>
  <c r="V13" i="605"/>
  <c r="V12" i="605"/>
  <c r="K93" i="605"/>
  <c r="K29" i="605" s="1"/>
  <c r="K30" i="605" s="1"/>
  <c r="N33" i="605"/>
  <c r="N28" i="605"/>
  <c r="N27" i="605"/>
  <c r="N26" i="605"/>
  <c r="N25" i="605"/>
  <c r="N24" i="605"/>
  <c r="N23" i="605"/>
  <c r="N22" i="605"/>
  <c r="N21" i="605"/>
  <c r="N20" i="605"/>
  <c r="N19" i="605"/>
  <c r="N18" i="605"/>
  <c r="N17" i="605"/>
  <c r="N16" i="605"/>
  <c r="N15" i="605"/>
  <c r="N14" i="605"/>
  <c r="N13" i="605"/>
  <c r="F33" i="605"/>
  <c r="F13" i="605"/>
  <c r="F14" i="605"/>
  <c r="F15" i="605"/>
  <c r="F16" i="605"/>
  <c r="F17" i="605"/>
  <c r="F18" i="605"/>
  <c r="F19" i="605"/>
  <c r="F20" i="605"/>
  <c r="F21" i="605"/>
  <c r="F22" i="605"/>
  <c r="F23" i="605"/>
  <c r="F24" i="605"/>
  <c r="F25" i="605"/>
  <c r="F26" i="605"/>
  <c r="F27" i="605"/>
  <c r="F28" i="605"/>
  <c r="C93" i="605"/>
  <c r="C29" i="605" s="1"/>
  <c r="C30" i="605" s="1"/>
  <c r="E23" i="526"/>
  <c r="E18" i="526"/>
  <c r="E17" i="526"/>
  <c r="E14" i="526"/>
  <c r="E12" i="526"/>
  <c r="E11" i="526"/>
  <c r="E10" i="526"/>
  <c r="E9" i="526"/>
  <c r="E8" i="526"/>
  <c r="F8" i="526" s="1"/>
  <c r="H8" i="526" s="1"/>
  <c r="O30" i="618" l="1"/>
  <c r="H8" i="602"/>
  <c r="H8" i="618"/>
  <c r="K8" i="526"/>
  <c r="Z8" i="526"/>
  <c r="C90" i="602"/>
  <c r="C91" i="602"/>
  <c r="D91" i="602"/>
  <c r="D90" i="602"/>
  <c r="V93" i="605"/>
  <c r="V29" i="605" s="1"/>
  <c r="V30" i="605" s="1"/>
  <c r="T93" i="605"/>
  <c r="N93" i="605"/>
  <c r="N29" i="605" s="1"/>
  <c r="N30" i="605" s="1"/>
  <c r="J93" i="605"/>
  <c r="J94" i="605" s="1"/>
  <c r="R93" i="605"/>
  <c r="R94" i="605" s="1"/>
  <c r="L93" i="605"/>
  <c r="B93" i="605"/>
  <c r="B94" i="605" s="1"/>
  <c r="F93" i="605"/>
  <c r="D93" i="605"/>
  <c r="I8" i="618" l="1"/>
  <c r="J8" i="618" s="1"/>
  <c r="I8" i="602"/>
  <c r="J8" i="602" s="1"/>
  <c r="K91" i="602"/>
  <c r="I91" i="602"/>
  <c r="R29" i="605"/>
  <c r="T29" i="605" s="1"/>
  <c r="T30" i="605" s="1"/>
  <c r="J29" i="605"/>
  <c r="L29" i="605" s="1"/>
  <c r="L30" i="605" s="1"/>
  <c r="B29" i="605"/>
  <c r="B30" i="605" s="1"/>
  <c r="B31" i="605" s="1"/>
  <c r="F29" i="605"/>
  <c r="F30" i="605" s="1"/>
  <c r="R30" i="605" l="1"/>
  <c r="R31" i="605" s="1"/>
  <c r="J30" i="605"/>
  <c r="J31" i="605" s="1"/>
  <c r="D29" i="605"/>
  <c r="D30" i="605" s="1"/>
  <c r="I99" i="343" l="1"/>
  <c r="I101" i="343" s="1"/>
  <c r="I102" i="343" s="1"/>
  <c r="I96" i="343"/>
  <c r="I31" i="343" l="1"/>
  <c r="I97" i="343" s="1"/>
  <c r="J95" i="601"/>
  <c r="Q99" i="603"/>
  <c r="I93" i="601"/>
  <c r="I95" i="601" s="1"/>
  <c r="I30" i="601"/>
  <c r="I90" i="601" l="1"/>
  <c r="I33" i="343" l="1"/>
  <c r="I25" i="601"/>
  <c r="I24" i="601"/>
  <c r="I23" i="601"/>
  <c r="I22" i="601"/>
  <c r="I21" i="601"/>
  <c r="I19" i="601"/>
  <c r="I18" i="601"/>
  <c r="I17" i="601"/>
  <c r="I16" i="601"/>
  <c r="I15" i="601"/>
  <c r="I14" i="601"/>
  <c r="I13" i="601"/>
  <c r="I12" i="601"/>
  <c r="I11" i="601"/>
  <c r="I10" i="601"/>
  <c r="I28" i="601" s="1"/>
  <c r="P94" i="604" l="1"/>
  <c r="P28" i="604" s="1"/>
  <c r="O94" i="604"/>
  <c r="O28" i="604" s="1"/>
  <c r="N94" i="604"/>
  <c r="N28" i="604" s="1"/>
  <c r="Q34" i="604"/>
  <c r="A2" i="604"/>
  <c r="Q94" i="604" l="1"/>
  <c r="Q28" i="604" s="1"/>
  <c r="N95" i="603" l="1"/>
  <c r="M95" i="603"/>
  <c r="L95" i="603"/>
  <c r="B95" i="603"/>
  <c r="O94" i="603"/>
  <c r="O35" i="603"/>
  <c r="A2" i="603"/>
  <c r="T90" i="526"/>
  <c r="T25" i="526" s="1"/>
  <c r="T27" i="526" s="1"/>
  <c r="U90" i="526"/>
  <c r="U25" i="526" s="1"/>
  <c r="U27" i="526" s="1"/>
  <c r="V90" i="526"/>
  <c r="V25" i="526" s="1"/>
  <c r="V27" i="526" s="1"/>
  <c r="S90" i="526"/>
  <c r="S25" i="526" s="1"/>
  <c r="S27" i="526" l="1"/>
  <c r="AA25" i="526"/>
  <c r="M31" i="603"/>
  <c r="O95" i="603"/>
  <c r="D92" i="602"/>
  <c r="M96" i="603" l="1"/>
  <c r="M28" i="601"/>
  <c r="A2" i="601" l="1"/>
  <c r="N24" i="601" l="1"/>
  <c r="N9" i="601"/>
  <c r="N17" i="601"/>
  <c r="N25" i="601"/>
  <c r="N10" i="601"/>
  <c r="N15" i="601"/>
  <c r="N11" i="601"/>
  <c r="N19" i="601"/>
  <c r="N18" i="601"/>
  <c r="N20" i="601"/>
  <c r="N13" i="601"/>
  <c r="N12" i="601"/>
  <c r="N21" i="601"/>
  <c r="N14" i="601"/>
  <c r="N22" i="601"/>
  <c r="N23" i="601"/>
  <c r="N16" i="601"/>
  <c r="I34" i="343" l="1"/>
  <c r="D6" i="601"/>
  <c r="N26" i="601"/>
  <c r="N28" i="601" l="1"/>
  <c r="J90" i="526" l="1"/>
  <c r="J25" i="526" s="1"/>
  <c r="J27" i="526" s="1"/>
  <c r="C25" i="618" l="1"/>
  <c r="K19" i="332"/>
  <c r="M12" i="602" s="1"/>
  <c r="K16" i="332"/>
  <c r="K17" i="332"/>
  <c r="K18" i="332"/>
  <c r="M11" i="602" s="1"/>
  <c r="K25" i="332"/>
  <c r="M18" i="602" s="1"/>
  <c r="K24" i="332"/>
  <c r="M17" i="602" s="1"/>
  <c r="K29" i="332"/>
  <c r="M22" i="602" s="1"/>
  <c r="K22" i="332"/>
  <c r="M15" i="602" s="1"/>
  <c r="K26" i="332"/>
  <c r="M19" i="602" s="1"/>
  <c r="K30" i="332"/>
  <c r="M23" i="602" s="1"/>
  <c r="K23" i="332"/>
  <c r="M16" i="602" s="1"/>
  <c r="K21" i="332"/>
  <c r="M14" i="602" s="1"/>
  <c r="K15" i="332"/>
  <c r="K20" i="332"/>
  <c r="M13" i="602" s="1"/>
  <c r="M10" i="602"/>
  <c r="K31" i="332"/>
  <c r="M24" i="602" s="1"/>
  <c r="K28" i="332"/>
  <c r="M21" i="602" s="1"/>
  <c r="K27" i="332"/>
  <c r="M20" i="602" s="1"/>
  <c r="C28" i="602" l="1"/>
  <c r="C27" i="618"/>
  <c r="C28" i="618" s="1"/>
  <c r="M8" i="602"/>
  <c r="K32" i="332"/>
  <c r="M9" i="602"/>
  <c r="M27" i="602" l="1"/>
  <c r="M28" i="602" s="1"/>
  <c r="F11" i="526"/>
  <c r="H11" i="526" s="1"/>
  <c r="F12" i="526"/>
  <c r="H12" i="526" s="1"/>
  <c r="F14" i="526"/>
  <c r="H14" i="526" s="1"/>
  <c r="F16" i="526"/>
  <c r="H16" i="526" s="1"/>
  <c r="F17" i="526"/>
  <c r="H17" i="526" s="1"/>
  <c r="F19" i="526"/>
  <c r="H19" i="526" s="1"/>
  <c r="F20" i="526"/>
  <c r="H20" i="526" s="1"/>
  <c r="F21" i="526"/>
  <c r="H21" i="526" s="1"/>
  <c r="F22" i="526"/>
  <c r="H22" i="526" s="1"/>
  <c r="F31" i="526"/>
  <c r="H31" i="526" s="1"/>
  <c r="F32" i="526"/>
  <c r="H32" i="526" s="1"/>
  <c r="F33" i="526"/>
  <c r="H33" i="526" s="1"/>
  <c r="F34" i="526"/>
  <c r="H34" i="526" s="1"/>
  <c r="F36" i="526"/>
  <c r="H36" i="526" s="1"/>
  <c r="F38" i="526"/>
  <c r="H38" i="526" s="1"/>
  <c r="F39" i="526"/>
  <c r="H39" i="526" s="1"/>
  <c r="F40" i="526"/>
  <c r="H40" i="526" s="1"/>
  <c r="F41" i="526"/>
  <c r="H41" i="526" s="1"/>
  <c r="F93" i="526"/>
  <c r="F95" i="526" s="1"/>
  <c r="F42" i="526"/>
  <c r="H42" i="526" s="1"/>
  <c r="F43" i="526"/>
  <c r="H43" i="526" s="1"/>
  <c r="F44" i="526"/>
  <c r="H44" i="526" s="1"/>
  <c r="F45" i="526"/>
  <c r="H45" i="526" s="1"/>
  <c r="F46" i="526"/>
  <c r="H46" i="526" s="1"/>
  <c r="F47" i="526"/>
  <c r="H47" i="526" s="1"/>
  <c r="F48" i="526"/>
  <c r="H48" i="526" s="1"/>
  <c r="F49" i="526"/>
  <c r="H49" i="526" s="1"/>
  <c r="F50" i="526"/>
  <c r="H50" i="526" s="1"/>
  <c r="F51" i="526"/>
  <c r="H51" i="526" s="1"/>
  <c r="F52" i="526"/>
  <c r="H52" i="526" s="1"/>
  <c r="F53" i="526"/>
  <c r="H53" i="526" s="1"/>
  <c r="F54" i="526"/>
  <c r="H54" i="526" s="1"/>
  <c r="F55" i="526"/>
  <c r="H55" i="526" s="1"/>
  <c r="F56" i="526"/>
  <c r="H56" i="526" s="1"/>
  <c r="F57" i="526"/>
  <c r="H57" i="526" s="1"/>
  <c r="F58" i="526"/>
  <c r="H58" i="526" s="1"/>
  <c r="F59" i="526"/>
  <c r="H59" i="526" s="1"/>
  <c r="F60" i="526"/>
  <c r="H60" i="526" s="1"/>
  <c r="F61" i="526"/>
  <c r="H61" i="526" s="1"/>
  <c r="F62" i="526"/>
  <c r="H62" i="526" s="1"/>
  <c r="F63" i="526"/>
  <c r="H63" i="526" s="1"/>
  <c r="F64" i="526"/>
  <c r="H64" i="526" s="1"/>
  <c r="F65" i="526"/>
  <c r="H65" i="526" s="1"/>
  <c r="F66" i="526"/>
  <c r="H66" i="526" s="1"/>
  <c r="F67" i="526"/>
  <c r="H67" i="526" s="1"/>
  <c r="F68" i="526"/>
  <c r="H68" i="526" s="1"/>
  <c r="F69" i="526"/>
  <c r="H69" i="526" s="1"/>
  <c r="F70" i="526"/>
  <c r="H70" i="526" s="1"/>
  <c r="F71" i="526"/>
  <c r="H71" i="526" s="1"/>
  <c r="F72" i="526"/>
  <c r="H72" i="526" s="1"/>
  <c r="F73" i="526"/>
  <c r="H73" i="526" s="1"/>
  <c r="F74" i="526"/>
  <c r="H74" i="526" s="1"/>
  <c r="F75" i="526"/>
  <c r="H75" i="526" s="1"/>
  <c r="F76" i="526"/>
  <c r="H76" i="526" s="1"/>
  <c r="F77" i="526"/>
  <c r="H77" i="526" s="1"/>
  <c r="F78" i="526"/>
  <c r="H78" i="526" s="1"/>
  <c r="F80" i="526"/>
  <c r="H80" i="526" s="1"/>
  <c r="F81" i="526"/>
  <c r="H81" i="526" s="1"/>
  <c r="F82" i="526"/>
  <c r="H82" i="526" s="1"/>
  <c r="F83" i="526"/>
  <c r="H83" i="526" s="1"/>
  <c r="F84" i="526"/>
  <c r="H84" i="526" s="1"/>
  <c r="F86" i="526"/>
  <c r="H86" i="526" s="1"/>
  <c r="F89" i="526"/>
  <c r="H89" i="526" s="1"/>
  <c r="H89" i="618" s="1"/>
  <c r="H19" i="602" l="1"/>
  <c r="I19" i="602" s="1"/>
  <c r="H19" i="618"/>
  <c r="I19" i="618" s="1"/>
  <c r="H20" i="602"/>
  <c r="I20" i="602" s="1"/>
  <c r="H20" i="618"/>
  <c r="I20" i="618" s="1"/>
  <c r="H17" i="618"/>
  <c r="I17" i="618" s="1"/>
  <c r="H17" i="602"/>
  <c r="I17" i="602" s="1"/>
  <c r="H16" i="602"/>
  <c r="I16" i="602" s="1"/>
  <c r="H16" i="618"/>
  <c r="I16" i="618" s="1"/>
  <c r="H14" i="618"/>
  <c r="I14" i="618" s="1"/>
  <c r="H14" i="602"/>
  <c r="I14" i="602" s="1"/>
  <c r="H12" i="618"/>
  <c r="I12" i="618" s="1"/>
  <c r="H12" i="602"/>
  <c r="I12" i="602" s="1"/>
  <c r="H22" i="618"/>
  <c r="I22" i="618" s="1"/>
  <c r="H22" i="602"/>
  <c r="I22" i="602" s="1"/>
  <c r="H11" i="618"/>
  <c r="I11" i="618" s="1"/>
  <c r="H11" i="602"/>
  <c r="I11" i="602" s="1"/>
  <c r="H21" i="602"/>
  <c r="I21" i="602" s="1"/>
  <c r="H21" i="618"/>
  <c r="I21" i="618" s="1"/>
  <c r="H53" i="618"/>
  <c r="H53" i="602"/>
  <c r="H84" i="602"/>
  <c r="H84" i="618"/>
  <c r="H44" i="602"/>
  <c r="H44" i="618"/>
  <c r="H67" i="618"/>
  <c r="H67" i="602"/>
  <c r="H59" i="618"/>
  <c r="H59" i="602"/>
  <c r="H51" i="618"/>
  <c r="O51" i="618" s="1"/>
  <c r="H51" i="602"/>
  <c r="O51" i="602" s="1"/>
  <c r="H43" i="618"/>
  <c r="H43" i="602"/>
  <c r="H34" i="618"/>
  <c r="H34" i="602"/>
  <c r="K17" i="526"/>
  <c r="H61" i="618"/>
  <c r="H61" i="602"/>
  <c r="H75" i="602"/>
  <c r="O75" i="602" s="1"/>
  <c r="H75" i="618"/>
  <c r="O75" i="618" s="1"/>
  <c r="K19" i="526"/>
  <c r="H66" i="618"/>
  <c r="H66" i="602"/>
  <c r="H50" i="602"/>
  <c r="H50" i="618"/>
  <c r="H33" i="602"/>
  <c r="H33" i="618"/>
  <c r="K16" i="526"/>
  <c r="H69" i="618"/>
  <c r="H69" i="602"/>
  <c r="H38" i="602"/>
  <c r="H38" i="618"/>
  <c r="H52" i="602"/>
  <c r="H52" i="618"/>
  <c r="H83" i="618"/>
  <c r="H83" i="602"/>
  <c r="H82" i="618"/>
  <c r="H82" i="602"/>
  <c r="H73" i="602"/>
  <c r="H73" i="618"/>
  <c r="H58" i="618"/>
  <c r="H58" i="602"/>
  <c r="H42" i="618"/>
  <c r="H42" i="602"/>
  <c r="H81" i="618"/>
  <c r="H81" i="602"/>
  <c r="H72" i="618"/>
  <c r="H72" i="602"/>
  <c r="H65" i="602"/>
  <c r="H65" i="618"/>
  <c r="H57" i="602"/>
  <c r="H57" i="618"/>
  <c r="H49" i="602"/>
  <c r="H49" i="618"/>
  <c r="H32" i="602"/>
  <c r="H32" i="618"/>
  <c r="K14" i="526"/>
  <c r="H76" i="618"/>
  <c r="H76" i="602"/>
  <c r="H45" i="618"/>
  <c r="H45" i="602"/>
  <c r="H68" i="602"/>
  <c r="H68" i="618"/>
  <c r="H64" i="618"/>
  <c r="H64" i="602"/>
  <c r="H48" i="618"/>
  <c r="H48" i="602"/>
  <c r="H41" i="602"/>
  <c r="H41" i="618"/>
  <c r="H31" i="618"/>
  <c r="I31" i="618" s="1"/>
  <c r="H31" i="602"/>
  <c r="K12" i="526"/>
  <c r="H36" i="602"/>
  <c r="H36" i="618"/>
  <c r="H80" i="618"/>
  <c r="O80" i="618" s="1"/>
  <c r="H80" i="602"/>
  <c r="O80" i="602" s="1"/>
  <c r="H78" i="602"/>
  <c r="H78" i="618"/>
  <c r="H63" i="618"/>
  <c r="H63" i="602"/>
  <c r="H47" i="602"/>
  <c r="O47" i="602" s="1"/>
  <c r="H47" i="618"/>
  <c r="O47" i="618" s="1"/>
  <c r="H40" i="618"/>
  <c r="H40" i="602"/>
  <c r="K22" i="526"/>
  <c r="K11" i="526"/>
  <c r="H86" i="618"/>
  <c r="H86" i="602"/>
  <c r="K20" i="526"/>
  <c r="H60" i="602"/>
  <c r="H60" i="618"/>
  <c r="H74" i="618"/>
  <c r="H74" i="602"/>
  <c r="H56" i="618"/>
  <c r="O56" i="618" s="1"/>
  <c r="H56" i="602"/>
  <c r="O56" i="602" s="1"/>
  <c r="H71" i="602"/>
  <c r="H71" i="618"/>
  <c r="H55" i="602"/>
  <c r="H55" i="618"/>
  <c r="H77" i="602"/>
  <c r="H77" i="618"/>
  <c r="H70" i="618"/>
  <c r="H70" i="602"/>
  <c r="H62" i="618"/>
  <c r="H62" i="602"/>
  <c r="H54" i="618"/>
  <c r="H54" i="602"/>
  <c r="H46" i="618"/>
  <c r="H46" i="602"/>
  <c r="H39" i="602"/>
  <c r="O39" i="602" s="1"/>
  <c r="H39" i="618"/>
  <c r="O39" i="618" s="1"/>
  <c r="K21" i="526"/>
  <c r="H89" i="602"/>
  <c r="O31" i="618"/>
  <c r="H91" i="618"/>
  <c r="H93" i="526"/>
  <c r="H95" i="602" s="1"/>
  <c r="Z66" i="526"/>
  <c r="Z34" i="526"/>
  <c r="Z58" i="526"/>
  <c r="Z64" i="526"/>
  <c r="Z57" i="526"/>
  <c r="Z49" i="526"/>
  <c r="Z32" i="526"/>
  <c r="Z16" i="526"/>
  <c r="Z81" i="526"/>
  <c r="Z42" i="526"/>
  <c r="Z63" i="526"/>
  <c r="Z56" i="526"/>
  <c r="Z48" i="526"/>
  <c r="Z41" i="526"/>
  <c r="Z31" i="526"/>
  <c r="Z14" i="526"/>
  <c r="Z51" i="526"/>
  <c r="Z17" i="526"/>
  <c r="Z62" i="526"/>
  <c r="Z55" i="526"/>
  <c r="Z47" i="526"/>
  <c r="Z40" i="526"/>
  <c r="Z59" i="526"/>
  <c r="Z72" i="526"/>
  <c r="Z50" i="526"/>
  <c r="Z78" i="526"/>
  <c r="Z89" i="526"/>
  <c r="Z86" i="526"/>
  <c r="Z76" i="526"/>
  <c r="Z69" i="526"/>
  <c r="Z61" i="526"/>
  <c r="Z54" i="526"/>
  <c r="Z46" i="526"/>
  <c r="Z39" i="526"/>
  <c r="Z22" i="526"/>
  <c r="Z12" i="526"/>
  <c r="Z73" i="526"/>
  <c r="Z19" i="526"/>
  <c r="Z65" i="526"/>
  <c r="Z80" i="526"/>
  <c r="Z70" i="526"/>
  <c r="Z84" i="526"/>
  <c r="Z75" i="526"/>
  <c r="Z68" i="526"/>
  <c r="Z53" i="526"/>
  <c r="Z45" i="526"/>
  <c r="Z38" i="526"/>
  <c r="Z21" i="526"/>
  <c r="Z11" i="526"/>
  <c r="Z82" i="526"/>
  <c r="Z43" i="526"/>
  <c r="Z33" i="526"/>
  <c r="Z71" i="526"/>
  <c r="Z77" i="526"/>
  <c r="Z83" i="526"/>
  <c r="Z74" i="526"/>
  <c r="Z67" i="526"/>
  <c r="Z60" i="526"/>
  <c r="Z52" i="526"/>
  <c r="Z44" i="526"/>
  <c r="Z36" i="526"/>
  <c r="Z20" i="526"/>
  <c r="H13" i="336"/>
  <c r="J11" i="602" l="1"/>
  <c r="J16" i="618"/>
  <c r="J11" i="618"/>
  <c r="J16" i="602"/>
  <c r="J22" i="602"/>
  <c r="J17" i="602"/>
  <c r="J22" i="618"/>
  <c r="J17" i="618"/>
  <c r="J12" i="602"/>
  <c r="J20" i="618"/>
  <c r="J12" i="618"/>
  <c r="J20" i="602"/>
  <c r="J21" i="618"/>
  <c r="J14" i="602"/>
  <c r="J19" i="618"/>
  <c r="J21" i="602"/>
  <c r="J14" i="618"/>
  <c r="J19" i="602"/>
  <c r="O34" i="618"/>
  <c r="I34" i="618"/>
  <c r="O65" i="602"/>
  <c r="I65" i="602"/>
  <c r="O86" i="602"/>
  <c r="I86" i="602"/>
  <c r="O40" i="602"/>
  <c r="I40" i="602"/>
  <c r="O38" i="618"/>
  <c r="I38" i="618"/>
  <c r="O54" i="602"/>
  <c r="I54" i="602"/>
  <c r="O55" i="618"/>
  <c r="I55" i="618"/>
  <c r="O86" i="618"/>
  <c r="I86" i="618"/>
  <c r="O41" i="618"/>
  <c r="I41" i="618"/>
  <c r="O45" i="602"/>
  <c r="I45" i="602"/>
  <c r="O32" i="602"/>
  <c r="I32" i="602"/>
  <c r="O72" i="618"/>
  <c r="I72" i="618"/>
  <c r="O73" i="602"/>
  <c r="I73" i="602"/>
  <c r="O38" i="602"/>
  <c r="I38" i="602"/>
  <c r="O50" i="618"/>
  <c r="I50" i="618"/>
  <c r="O43" i="602"/>
  <c r="I43" i="602"/>
  <c r="O44" i="618"/>
  <c r="I44" i="618"/>
  <c r="O68" i="618"/>
  <c r="I68" i="618"/>
  <c r="O52" i="602"/>
  <c r="I52" i="602"/>
  <c r="O77" i="602"/>
  <c r="I77" i="602"/>
  <c r="O33" i="602"/>
  <c r="I33" i="602"/>
  <c r="O67" i="618"/>
  <c r="I67" i="618"/>
  <c r="O74" i="602"/>
  <c r="I74" i="602"/>
  <c r="O54" i="618"/>
  <c r="I54" i="618"/>
  <c r="O55" i="602"/>
  <c r="I55" i="602"/>
  <c r="O74" i="618"/>
  <c r="I74" i="618"/>
  <c r="O36" i="618"/>
  <c r="I36" i="618"/>
  <c r="O41" i="602"/>
  <c r="I41" i="602"/>
  <c r="O45" i="618"/>
  <c r="I45" i="618"/>
  <c r="O49" i="618"/>
  <c r="I49" i="618"/>
  <c r="O81" i="602"/>
  <c r="I81" i="602"/>
  <c r="O82" i="602"/>
  <c r="I82" i="602"/>
  <c r="O69" i="602"/>
  <c r="I69" i="602"/>
  <c r="O50" i="602"/>
  <c r="I50" i="602"/>
  <c r="O61" i="602"/>
  <c r="I61" i="602"/>
  <c r="O43" i="618"/>
  <c r="I43" i="618"/>
  <c r="O44" i="602"/>
  <c r="I44" i="602"/>
  <c r="O46" i="602"/>
  <c r="I46" i="602"/>
  <c r="O33" i="618"/>
  <c r="I33" i="618"/>
  <c r="O68" i="602"/>
  <c r="I68" i="602"/>
  <c r="O40" i="618"/>
  <c r="I40" i="618"/>
  <c r="O62" i="602"/>
  <c r="I62" i="602"/>
  <c r="O71" i="618"/>
  <c r="I71" i="618"/>
  <c r="O60" i="618"/>
  <c r="I60" i="618"/>
  <c r="O36" i="602"/>
  <c r="I36" i="602"/>
  <c r="O48" i="602"/>
  <c r="I48" i="602"/>
  <c r="O76" i="602"/>
  <c r="I76" i="602"/>
  <c r="O49" i="602"/>
  <c r="I49" i="602"/>
  <c r="O81" i="618"/>
  <c r="I81" i="618"/>
  <c r="O82" i="618"/>
  <c r="I82" i="618"/>
  <c r="O69" i="618"/>
  <c r="I69" i="618"/>
  <c r="O66" i="602"/>
  <c r="I66" i="602"/>
  <c r="O61" i="618"/>
  <c r="I61" i="618"/>
  <c r="O84" i="618"/>
  <c r="I84" i="618"/>
  <c r="O77" i="618"/>
  <c r="I77" i="618"/>
  <c r="O31" i="602"/>
  <c r="I31" i="602"/>
  <c r="O67" i="602"/>
  <c r="I67" i="602"/>
  <c r="O72" i="602"/>
  <c r="I72" i="602"/>
  <c r="O73" i="618"/>
  <c r="I73" i="618"/>
  <c r="O62" i="618"/>
  <c r="I62" i="618"/>
  <c r="O71" i="602"/>
  <c r="I71" i="602"/>
  <c r="O60" i="602"/>
  <c r="I60" i="602"/>
  <c r="O63" i="602"/>
  <c r="I63" i="602"/>
  <c r="O48" i="618"/>
  <c r="I48" i="618"/>
  <c r="O76" i="618"/>
  <c r="I76" i="618"/>
  <c r="O57" i="618"/>
  <c r="I57" i="618"/>
  <c r="O42" i="602"/>
  <c r="I42" i="602"/>
  <c r="O83" i="602"/>
  <c r="I83" i="602"/>
  <c r="O66" i="618"/>
  <c r="I66" i="618"/>
  <c r="O84" i="602"/>
  <c r="I84" i="602"/>
  <c r="O70" i="602"/>
  <c r="I70" i="602"/>
  <c r="O63" i="618"/>
  <c r="I63" i="618"/>
  <c r="O64" i="602"/>
  <c r="I64" i="602"/>
  <c r="O57" i="602"/>
  <c r="I57" i="602"/>
  <c r="O42" i="618"/>
  <c r="I42" i="618"/>
  <c r="O83" i="618"/>
  <c r="I83" i="618"/>
  <c r="O59" i="602"/>
  <c r="I59" i="602"/>
  <c r="O53" i="602"/>
  <c r="I53" i="602"/>
  <c r="O78" i="602"/>
  <c r="I78" i="602"/>
  <c r="O58" i="618"/>
  <c r="I58" i="618"/>
  <c r="O34" i="602"/>
  <c r="I34" i="602"/>
  <c r="O46" i="618"/>
  <c r="I46" i="618"/>
  <c r="O32" i="618"/>
  <c r="I32" i="618"/>
  <c r="O70" i="618"/>
  <c r="I70" i="618"/>
  <c r="O78" i="618"/>
  <c r="I78" i="618"/>
  <c r="O64" i="618"/>
  <c r="I64" i="618"/>
  <c r="O65" i="618"/>
  <c r="I65" i="618"/>
  <c r="O58" i="602"/>
  <c r="I58" i="602"/>
  <c r="O52" i="618"/>
  <c r="I52" i="618"/>
  <c r="O59" i="618"/>
  <c r="I59" i="618"/>
  <c r="O53" i="618"/>
  <c r="I53" i="618"/>
  <c r="H91" i="602"/>
  <c r="Z93" i="526"/>
  <c r="Z95" i="526" s="1"/>
  <c r="H95" i="618"/>
  <c r="O89" i="618"/>
  <c r="H90" i="602"/>
  <c r="I90" i="602" s="1"/>
  <c r="O22" i="618"/>
  <c r="O20" i="618"/>
  <c r="O16" i="618"/>
  <c r="O11" i="618"/>
  <c r="O13" i="618"/>
  <c r="O17" i="618"/>
  <c r="O12" i="618"/>
  <c r="O21" i="618"/>
  <c r="O14" i="618"/>
  <c r="O19" i="618"/>
  <c r="H95" i="526"/>
  <c r="Z90" i="526"/>
  <c r="H27" i="336"/>
  <c r="H20" i="336"/>
  <c r="H22" i="336"/>
  <c r="H26" i="336"/>
  <c r="H19" i="336"/>
  <c r="H18" i="336"/>
  <c r="H17" i="336"/>
  <c r="H14" i="336"/>
  <c r="H25" i="336"/>
  <c r="H24" i="336"/>
  <c r="H16" i="336"/>
  <c r="H30" i="336"/>
  <c r="H21" i="336"/>
  <c r="H23" i="336"/>
  <c r="O8" i="618" l="1"/>
  <c r="Z26" i="526"/>
  <c r="H92" i="618"/>
  <c r="H90" i="618"/>
  <c r="I90" i="618" s="1"/>
  <c r="H97" i="618"/>
  <c r="H98" i="618" s="1"/>
  <c r="O95" i="618"/>
  <c r="I95" i="618"/>
  <c r="O95" i="602"/>
  <c r="I95" i="602"/>
  <c r="H97" i="602"/>
  <c r="D13" i="336"/>
  <c r="O26" i="602" l="1"/>
  <c r="O26" i="618"/>
  <c r="F23" i="526"/>
  <c r="H23" i="526" s="1"/>
  <c r="F10" i="526"/>
  <c r="H10" i="526" s="1"/>
  <c r="H10" i="618" l="1"/>
  <c r="I10" i="618" s="1"/>
  <c r="H10" i="602"/>
  <c r="I10" i="602" s="1"/>
  <c r="H23" i="602"/>
  <c r="I23" i="602" s="1"/>
  <c r="H23" i="618"/>
  <c r="I23" i="618" s="1"/>
  <c r="K10" i="526"/>
  <c r="K23" i="526"/>
  <c r="Z10" i="526"/>
  <c r="Z23" i="526"/>
  <c r="F24" i="526"/>
  <c r="H24" i="526" s="1"/>
  <c r="F18" i="526"/>
  <c r="H18" i="526" s="1"/>
  <c r="F15" i="526"/>
  <c r="H15" i="526" s="1"/>
  <c r="F9" i="526"/>
  <c r="H9" i="526" s="1"/>
  <c r="J23" i="618" l="1"/>
  <c r="J23" i="602"/>
  <c r="H15" i="602"/>
  <c r="I15" i="602" s="1"/>
  <c r="H15" i="618"/>
  <c r="I15" i="618" s="1"/>
  <c r="H18" i="602"/>
  <c r="I18" i="602" s="1"/>
  <c r="H18" i="618"/>
  <c r="I18" i="618" s="1"/>
  <c r="J10" i="602"/>
  <c r="H9" i="618"/>
  <c r="H9" i="602"/>
  <c r="H24" i="602"/>
  <c r="I24" i="602" s="1"/>
  <c r="H24" i="618"/>
  <c r="I24" i="618" s="1"/>
  <c r="J10" i="618"/>
  <c r="K15" i="526"/>
  <c r="K18" i="526"/>
  <c r="K24" i="526"/>
  <c r="O23" i="618"/>
  <c r="O10" i="618"/>
  <c r="Z15" i="526"/>
  <c r="Z18" i="526"/>
  <c r="Z24" i="526"/>
  <c r="G14" i="336"/>
  <c r="G13" i="336"/>
  <c r="I9" i="602" l="1"/>
  <c r="I9" i="618"/>
  <c r="J18" i="618"/>
  <c r="J18" i="602"/>
  <c r="J24" i="618"/>
  <c r="J15" i="618"/>
  <c r="J24" i="602"/>
  <c r="J15" i="602"/>
  <c r="Z9" i="526"/>
  <c r="K9" i="526"/>
  <c r="O18" i="618"/>
  <c r="O15" i="618"/>
  <c r="O24" i="618"/>
  <c r="D28" i="336"/>
  <c r="D27" i="336"/>
  <c r="D26" i="336"/>
  <c r="D25" i="336"/>
  <c r="D24" i="336"/>
  <c r="D23" i="336"/>
  <c r="D22" i="336"/>
  <c r="D21" i="336"/>
  <c r="D20" i="336"/>
  <c r="D19" i="336"/>
  <c r="D18" i="336"/>
  <c r="D17" i="336"/>
  <c r="D16" i="336"/>
  <c r="D15" i="336"/>
  <c r="D14" i="336"/>
  <c r="G15" i="336"/>
  <c r="G16" i="336"/>
  <c r="G17" i="336"/>
  <c r="G18" i="336"/>
  <c r="G19" i="336"/>
  <c r="G20" i="336"/>
  <c r="G21" i="336"/>
  <c r="G22" i="336"/>
  <c r="G23" i="336"/>
  <c r="G24" i="336"/>
  <c r="G12" i="336"/>
  <c r="G25" i="336"/>
  <c r="G26" i="336"/>
  <c r="G27" i="336"/>
  <c r="G28" i="336"/>
  <c r="J9" i="618" l="1"/>
  <c r="J9" i="602"/>
  <c r="I12" i="336"/>
  <c r="J12" i="336" s="1"/>
  <c r="O9" i="618"/>
  <c r="G57" i="336"/>
  <c r="H57" i="336" s="1"/>
  <c r="I28" i="336"/>
  <c r="G78" i="336"/>
  <c r="H78" i="336" s="1"/>
  <c r="J28" i="336" l="1"/>
  <c r="D31" i="336"/>
  <c r="G12" i="504" l="1"/>
  <c r="G58" i="336"/>
  <c r="D32" i="336"/>
  <c r="A2" i="338"/>
  <c r="D34" i="606" l="1"/>
  <c r="C90" i="526"/>
  <c r="C25" i="526" s="1"/>
  <c r="C27" i="526" s="1"/>
  <c r="G9" i="504"/>
  <c r="E26" i="504" l="1"/>
  <c r="G10" i="504"/>
  <c r="G14" i="504"/>
  <c r="G19" i="504"/>
  <c r="G13" i="504"/>
  <c r="G20" i="504"/>
  <c r="G21" i="504"/>
  <c r="G15" i="504"/>
  <c r="G22" i="504"/>
  <c r="G16" i="504"/>
  <c r="G23" i="504"/>
  <c r="G17" i="504"/>
  <c r="G8" i="504"/>
  <c r="G18" i="504"/>
  <c r="E90" i="526"/>
  <c r="D90" i="526"/>
  <c r="D25" i="526" s="1"/>
  <c r="D27" i="526" s="1"/>
  <c r="G26" i="504" l="1"/>
  <c r="E25" i="526"/>
  <c r="E27" i="526" s="1"/>
  <c r="F90" i="526"/>
  <c r="A2" i="343" l="1"/>
  <c r="A2" i="340" l="1"/>
  <c r="B2" i="504"/>
  <c r="A2" i="588"/>
  <c r="A2" i="337"/>
  <c r="A2" i="336"/>
  <c r="A2" i="333"/>
  <c r="A2" i="526"/>
  <c r="A2" i="332"/>
  <c r="A21" i="551"/>
  <c r="A2" i="401"/>
  <c r="A10" i="556"/>
  <c r="A2" i="551"/>
  <c r="I8" i="504" l="1"/>
  <c r="I73" i="504" s="1"/>
  <c r="I9" i="504" l="1"/>
  <c r="I10" i="504"/>
  <c r="I11" i="504"/>
  <c r="I48" i="504" s="1"/>
  <c r="I12" i="504"/>
  <c r="I13" i="504"/>
  <c r="I14" i="504"/>
  <c r="I15" i="504"/>
  <c r="I16" i="504"/>
  <c r="I17" i="504"/>
  <c r="I18" i="504"/>
  <c r="I19" i="504"/>
  <c r="I20" i="504"/>
  <c r="I21" i="504"/>
  <c r="I22" i="504"/>
  <c r="I23" i="504"/>
  <c r="I62" i="504" s="1"/>
  <c r="I30" i="504" l="1"/>
  <c r="I85" i="504"/>
  <c r="I79" i="504"/>
  <c r="I34" i="504"/>
  <c r="I58" i="504"/>
  <c r="I66" i="504"/>
  <c r="I67" i="504"/>
  <c r="I75" i="504"/>
  <c r="I49" i="504"/>
  <c r="I93" i="504"/>
  <c r="I46" i="504"/>
  <c r="I31" i="504"/>
  <c r="I71" i="504"/>
  <c r="I57" i="504"/>
  <c r="I32" i="504"/>
  <c r="I64" i="504"/>
  <c r="I41" i="504"/>
  <c r="I81" i="504"/>
  <c r="I42" i="504"/>
  <c r="I50" i="504"/>
  <c r="I82" i="504"/>
  <c r="I51" i="504"/>
  <c r="I59" i="504"/>
  <c r="I74" i="504"/>
  <c r="I83" i="504"/>
  <c r="I35" i="504"/>
  <c r="I43" i="504"/>
  <c r="I36" i="504"/>
  <c r="I44" i="504"/>
  <c r="I52" i="504"/>
  <c r="I60" i="504"/>
  <c r="I68" i="504"/>
  <c r="I84" i="504"/>
  <c r="I65" i="504"/>
  <c r="I37" i="504"/>
  <c r="I45" i="504"/>
  <c r="I53" i="504"/>
  <c r="I61" i="504"/>
  <c r="I69" i="504"/>
  <c r="I76" i="504"/>
  <c r="I86" i="504"/>
  <c r="I54" i="504"/>
  <c r="I70" i="504"/>
  <c r="I77" i="504"/>
  <c r="I87" i="504"/>
  <c r="I33" i="504"/>
  <c r="I72" i="504"/>
  <c r="I39" i="504"/>
  <c r="I47" i="504"/>
  <c r="I55" i="504"/>
  <c r="I63" i="504"/>
  <c r="I78" i="504"/>
  <c r="I88" i="504"/>
  <c r="I40" i="504"/>
  <c r="I56" i="504"/>
  <c r="I80" i="504"/>
  <c r="I89" i="504"/>
  <c r="A28" i="333"/>
  <c r="B30" i="333" l="1"/>
  <c r="B32" i="333"/>
  <c r="L30" i="333" s="1"/>
  <c r="B34" i="333"/>
  <c r="C16" i="338" l="1"/>
  <c r="F25" i="526" l="1"/>
  <c r="H25" i="526" s="1"/>
  <c r="H25" i="618" l="1"/>
  <c r="H25" i="602"/>
  <c r="H27" i="526"/>
  <c r="F27" i="526"/>
  <c r="I25" i="602" l="1"/>
  <c r="H27" i="602"/>
  <c r="H28" i="602" s="1"/>
  <c r="I25" i="618"/>
  <c r="H93" i="618"/>
  <c r="H27" i="618"/>
  <c r="H28" i="618" s="1"/>
  <c r="K25" i="526"/>
  <c r="C31" i="336"/>
  <c r="Z25" i="526"/>
  <c r="B90" i="504"/>
  <c r="D11" i="588"/>
  <c r="G37" i="551"/>
  <c r="G38" i="551"/>
  <c r="G39" i="551"/>
  <c r="G40" i="551"/>
  <c r="G41" i="551"/>
  <c r="G42" i="551"/>
  <c r="G43" i="551"/>
  <c r="G44" i="551"/>
  <c r="G45" i="551"/>
  <c r="G46" i="551"/>
  <c r="G47" i="551"/>
  <c r="G48" i="551"/>
  <c r="G49" i="551"/>
  <c r="G50" i="551"/>
  <c r="G51" i="551"/>
  <c r="C97" i="338"/>
  <c r="C17" i="338"/>
  <c r="C18" i="338"/>
  <c r="C19" i="338"/>
  <c r="C20" i="338"/>
  <c r="C21" i="338"/>
  <c r="C22" i="338"/>
  <c r="C23" i="338"/>
  <c r="C24" i="338"/>
  <c r="C25" i="338"/>
  <c r="C26" i="338"/>
  <c r="C27" i="338"/>
  <c r="C15" i="338"/>
  <c r="C28" i="338"/>
  <c r="C29" i="338"/>
  <c r="C30" i="338"/>
  <c r="C31" i="338"/>
  <c r="J25" i="618" l="1"/>
  <c r="J25" i="602"/>
  <c r="Z27" i="526"/>
  <c r="O25" i="618"/>
  <c r="C32" i="338"/>
  <c r="G35" i="551"/>
  <c r="G36" i="551"/>
  <c r="C34" i="338" l="1"/>
  <c r="H90" i="526"/>
  <c r="D9" i="588" l="1"/>
  <c r="C58" i="588" l="1"/>
  <c r="C120" i="588" l="1"/>
  <c r="C104" i="588"/>
  <c r="C87" i="588"/>
  <c r="C76" i="588"/>
  <c r="C66" i="588"/>
  <c r="C100" i="588"/>
  <c r="C36" i="588"/>
  <c r="C49" i="588"/>
  <c r="C54" i="588"/>
  <c r="C70" i="588"/>
  <c r="C114" i="588"/>
  <c r="C96" i="588"/>
  <c r="C83" i="588"/>
  <c r="C124" i="588" l="1"/>
  <c r="D124" i="588" s="1"/>
  <c r="C7" i="588"/>
  <c r="D8" i="588"/>
  <c r="C9" i="588"/>
  <c r="D42" i="588" l="1"/>
  <c r="D16" i="588"/>
  <c r="D110" i="588"/>
  <c r="D95" i="588"/>
  <c r="D111" i="588"/>
  <c r="D93" i="588"/>
  <c r="D98" i="588"/>
  <c r="D73" i="588"/>
  <c r="D78" i="588"/>
  <c r="D86" i="588"/>
  <c r="D89" i="588"/>
  <c r="D109" i="588"/>
  <c r="D108" i="588"/>
  <c r="D92" i="588"/>
  <c r="D69" i="588"/>
  <c r="D72" i="588"/>
  <c r="D106" i="588"/>
  <c r="D102" i="588"/>
  <c r="D117" i="588"/>
  <c r="D18" i="588"/>
  <c r="D118" i="588"/>
  <c r="D79" i="588"/>
  <c r="D103" i="588"/>
  <c r="D113" i="588"/>
  <c r="D116" i="588"/>
  <c r="D85" i="588"/>
  <c r="D75" i="588"/>
  <c r="D20" i="588"/>
  <c r="D90" i="588"/>
  <c r="D112" i="588"/>
  <c r="D68" i="588"/>
  <c r="D91" i="588"/>
  <c r="D74" i="588"/>
  <c r="D82" i="588"/>
  <c r="D81" i="588"/>
  <c r="D80" i="588"/>
  <c r="D99" i="588"/>
  <c r="D94" i="588"/>
  <c r="D107" i="588"/>
  <c r="D119" i="588"/>
  <c r="D52" i="588"/>
  <c r="D57" i="588"/>
  <c r="D53" i="588"/>
  <c r="D51" i="588"/>
  <c r="D30" i="588"/>
  <c r="D46" i="588"/>
  <c r="D33" i="588"/>
  <c r="D65" i="588"/>
  <c r="D56" i="588"/>
  <c r="D40" i="588"/>
  <c r="D21" i="588"/>
  <c r="D41" i="588"/>
  <c r="D60" i="588"/>
  <c r="D44" i="588"/>
  <c r="D62" i="588"/>
  <c r="D48" i="588"/>
  <c r="D43" i="588"/>
  <c r="D25" i="588"/>
  <c r="D64" i="588"/>
  <c r="D34" i="588"/>
  <c r="D23" i="588"/>
  <c r="D63" i="588"/>
  <c r="D27" i="588"/>
  <c r="D28" i="588"/>
  <c r="D39" i="588"/>
  <c r="D35" i="588"/>
  <c r="D61" i="588"/>
  <c r="D22" i="588"/>
  <c r="D29" i="588"/>
  <c r="D24" i="588"/>
  <c r="D47" i="588"/>
  <c r="D38" i="588"/>
  <c r="D45" i="588"/>
  <c r="D26" i="588"/>
  <c r="D70" i="588" l="1"/>
  <c r="D120" i="588"/>
  <c r="D87" i="588"/>
  <c r="D104" i="588"/>
  <c r="D114" i="588"/>
  <c r="D83" i="588"/>
  <c r="D100" i="588"/>
  <c r="D76" i="588"/>
  <c r="D96" i="588"/>
  <c r="D36" i="588"/>
  <c r="D54" i="588"/>
  <c r="D66" i="588"/>
  <c r="D31" i="588"/>
  <c r="D49" i="588"/>
  <c r="D58" i="588"/>
  <c r="B8" i="337" l="1"/>
  <c r="E13" i="336" l="1"/>
  <c r="I13" i="336" s="1"/>
  <c r="E14" i="336"/>
  <c r="E22" i="336"/>
  <c r="E23" i="336"/>
  <c r="E30" i="336"/>
  <c r="E15" i="336"/>
  <c r="E16" i="336"/>
  <c r="E24" i="336"/>
  <c r="E17" i="336"/>
  <c r="E18" i="336"/>
  <c r="E25" i="336"/>
  <c r="E19" i="336"/>
  <c r="E26" i="336"/>
  <c r="E20" i="336"/>
  <c r="E27" i="336"/>
  <c r="E21" i="336"/>
  <c r="E31" i="336" l="1"/>
  <c r="I20" i="336"/>
  <c r="I16" i="336"/>
  <c r="I26" i="336"/>
  <c r="I19" i="336"/>
  <c r="I25" i="336"/>
  <c r="I23" i="336"/>
  <c r="I18" i="336"/>
  <c r="I22" i="336"/>
  <c r="I17" i="336"/>
  <c r="I14" i="336"/>
  <c r="I21" i="336"/>
  <c r="I27" i="336"/>
  <c r="I24" i="336"/>
  <c r="J13" i="336" l="1"/>
  <c r="J25" i="336"/>
  <c r="J27" i="336"/>
  <c r="J21" i="336"/>
  <c r="J19" i="336"/>
  <c r="J23" i="336"/>
  <c r="J14" i="336"/>
  <c r="J24" i="336"/>
  <c r="J17" i="336"/>
  <c r="J26" i="336"/>
  <c r="J16" i="336"/>
  <c r="J22" i="336"/>
  <c r="J18" i="336"/>
  <c r="J20" i="336"/>
  <c r="E91" i="504"/>
  <c r="M31" i="551" l="1"/>
  <c r="I31" i="606" l="1"/>
  <c r="N31" i="606" s="1"/>
  <c r="O31" i="551"/>
  <c r="N31" i="551"/>
  <c r="D9" i="340"/>
  <c r="M25" i="551"/>
  <c r="I25" i="606" s="1"/>
  <c r="M23" i="551"/>
  <c r="M29" i="551"/>
  <c r="I29" i="606" s="1"/>
  <c r="L9" i="340"/>
  <c r="D34" i="551" l="1"/>
  <c r="O31" i="606"/>
  <c r="I23" i="606"/>
  <c r="N29" i="606"/>
  <c r="O29" i="606"/>
  <c r="N25" i="606"/>
  <c r="O25" i="606"/>
  <c r="N23" i="551"/>
  <c r="N25" i="551"/>
  <c r="M27" i="551"/>
  <c r="I27" i="606" s="1"/>
  <c r="O25" i="551"/>
  <c r="N29" i="551"/>
  <c r="O23" i="551"/>
  <c r="O29" i="551"/>
  <c r="H9" i="340"/>
  <c r="E34" i="551" l="1"/>
  <c r="E35" i="551" s="1"/>
  <c r="D33" i="606"/>
  <c r="O27" i="606"/>
  <c r="N27" i="606"/>
  <c r="N23" i="606"/>
  <c r="O23" i="606"/>
  <c r="O27" i="551"/>
  <c r="N27" i="551"/>
  <c r="E37" i="551" l="1"/>
  <c r="C8" i="337"/>
  <c r="C91" i="337" s="1"/>
  <c r="G13" i="605"/>
  <c r="E91" i="337" l="1"/>
  <c r="D92" i="338" s="1"/>
  <c r="D85" i="504"/>
  <c r="E55" i="551"/>
  <c r="C85" i="337"/>
  <c r="H13" i="605"/>
  <c r="G14" i="605"/>
  <c r="H14" i="605" s="1"/>
  <c r="L11" i="340"/>
  <c r="E85" i="337" l="1"/>
  <c r="D86" i="338" s="1"/>
  <c r="D79" i="504"/>
  <c r="F85" i="504"/>
  <c r="H85" i="504"/>
  <c r="J85" i="504" s="1"/>
  <c r="F92" i="338" s="1"/>
  <c r="G92" i="338" s="1"/>
  <c r="I11" i="606"/>
  <c r="G128" i="588"/>
  <c r="G15" i="605"/>
  <c r="H15" i="605" s="1"/>
  <c r="C91" i="343" l="1"/>
  <c r="H92" i="338"/>
  <c r="H79" i="504"/>
  <c r="J79" i="504" s="1"/>
  <c r="F86" i="338" s="1"/>
  <c r="G86" i="338" s="1"/>
  <c r="F79" i="504"/>
  <c r="E37" i="338"/>
  <c r="N11" i="551"/>
  <c r="O11" i="551"/>
  <c r="N11" i="606"/>
  <c r="O11" i="606"/>
  <c r="W13" i="605"/>
  <c r="G16" i="605"/>
  <c r="H16" i="605" s="1"/>
  <c r="C85" i="343" l="1"/>
  <c r="H86" i="338"/>
  <c r="O15" i="605"/>
  <c r="G17" i="605"/>
  <c r="H17" i="605" s="1"/>
  <c r="G18" i="605" l="1"/>
  <c r="H18" i="605" s="1"/>
  <c r="G19" i="605" l="1"/>
  <c r="H19" i="605" s="1"/>
  <c r="G20" i="605" l="1"/>
  <c r="H20" i="605" s="1"/>
  <c r="G21" i="605" l="1"/>
  <c r="H21" i="605" s="1"/>
  <c r="G22" i="605" l="1"/>
  <c r="H22" i="605" s="1"/>
  <c r="D25" i="337"/>
  <c r="D26" i="337"/>
  <c r="D14" i="337"/>
  <c r="D28" i="337"/>
  <c r="D17" i="337"/>
  <c r="D29" i="337"/>
  <c r="D20" i="337"/>
  <c r="D30" i="337"/>
  <c r="D22" i="337"/>
  <c r="D23" i="337"/>
  <c r="G23" i="605" l="1"/>
  <c r="H23" i="605" s="1"/>
  <c r="D15" i="337"/>
  <c r="D21" i="337"/>
  <c r="D18" i="337"/>
  <c r="D16" i="337"/>
  <c r="D27" i="337"/>
  <c r="D24" i="337"/>
  <c r="D19" i="337"/>
  <c r="D33" i="337" l="1"/>
  <c r="G24" i="605"/>
  <c r="H24" i="605" s="1"/>
  <c r="G25" i="605" l="1"/>
  <c r="H25" i="605" s="1"/>
  <c r="G26" i="605" l="1"/>
  <c r="H26" i="605" s="1"/>
  <c r="G27" i="605" l="1"/>
  <c r="H27" i="605" s="1"/>
  <c r="O28" i="605" l="1"/>
  <c r="G28" i="605"/>
  <c r="H28" i="605" s="1"/>
  <c r="G29" i="605" l="1"/>
  <c r="W28" i="605"/>
  <c r="H29" i="605" l="1"/>
  <c r="G30" i="605"/>
  <c r="G33" i="605"/>
  <c r="H33" i="605" s="1"/>
  <c r="O33" i="605" l="1"/>
  <c r="W33" i="605" l="1"/>
  <c r="D11" i="340" l="1"/>
  <c r="I7" i="606" l="1"/>
  <c r="I4" i="340"/>
  <c r="H11" i="340"/>
  <c r="N7" i="551" l="1"/>
  <c r="O7" i="551"/>
  <c r="O7" i="606"/>
  <c r="N7" i="606"/>
  <c r="I9" i="606"/>
  <c r="I5" i="340"/>
  <c r="N9" i="551" l="1"/>
  <c r="O9" i="551"/>
  <c r="N9" i="606"/>
  <c r="O9" i="606"/>
  <c r="K30" i="340"/>
  <c r="G30" i="340" l="1"/>
  <c r="C100" i="340"/>
  <c r="C25" i="340"/>
  <c r="C20" i="340"/>
  <c r="K31" i="340"/>
  <c r="G25" i="340"/>
  <c r="C28" i="340"/>
  <c r="G31" i="340"/>
  <c r="G22" i="340"/>
  <c r="K28" i="340"/>
  <c r="K26" i="340"/>
  <c r="K32" i="340"/>
  <c r="K29" i="340"/>
  <c r="K21" i="340"/>
  <c r="K23" i="340"/>
  <c r="G32" i="340"/>
  <c r="G27" i="340"/>
  <c r="K25" i="340"/>
  <c r="K34" i="340"/>
  <c r="K24" i="340"/>
  <c r="C33" i="340"/>
  <c r="G18" i="340"/>
  <c r="C26" i="340"/>
  <c r="K19" i="340"/>
  <c r="C31" i="340"/>
  <c r="G33" i="340"/>
  <c r="K18" i="340"/>
  <c r="G23" i="340"/>
  <c r="C22" i="340"/>
  <c r="C29" i="340"/>
  <c r="C30" i="340"/>
  <c r="G28" i="340"/>
  <c r="G21" i="340"/>
  <c r="G29" i="340"/>
  <c r="C27" i="340"/>
  <c r="G34" i="340"/>
  <c r="C32" i="340"/>
  <c r="G26" i="340"/>
  <c r="K33" i="340"/>
  <c r="C23" i="340"/>
  <c r="C21" i="340"/>
  <c r="G19" i="340"/>
  <c r="K20" i="340"/>
  <c r="G20" i="340"/>
  <c r="C18" i="340"/>
  <c r="K22" i="340"/>
  <c r="K27" i="340"/>
  <c r="C24" i="340"/>
  <c r="C34" i="340"/>
  <c r="C19" i="340"/>
  <c r="G24" i="340"/>
  <c r="C37" i="340" l="1"/>
  <c r="K37" i="340"/>
  <c r="G37" i="340"/>
  <c r="O89" i="602"/>
  <c r="O11" i="602"/>
  <c r="O20" i="602"/>
  <c r="O16" i="602"/>
  <c r="O21" i="602"/>
  <c r="O14" i="602"/>
  <c r="O30" i="602"/>
  <c r="O8" i="602"/>
  <c r="H92" i="602" l="1"/>
  <c r="O15" i="602"/>
  <c r="O23" i="602"/>
  <c r="O12" i="602"/>
  <c r="O9" i="602"/>
  <c r="O19" i="602"/>
  <c r="O17" i="602"/>
  <c r="O24" i="602"/>
  <c r="O22" i="602"/>
  <c r="O10" i="602"/>
  <c r="O13" i="602"/>
  <c r="O18" i="602"/>
  <c r="O25" i="602" l="1"/>
  <c r="O93" i="605" l="1"/>
  <c r="G93" i="605"/>
  <c r="W93" i="605" l="1"/>
  <c r="Z30" i="605" l="1"/>
  <c r="H93" i="605" l="1"/>
  <c r="Z93" i="605"/>
  <c r="D31" i="609" l="1"/>
  <c r="G57" i="609" s="1"/>
  <c r="G31" i="609"/>
  <c r="G78" i="609" s="1"/>
  <c r="I30" i="609"/>
  <c r="I31" i="609" l="1"/>
  <c r="D6" i="609" s="1"/>
  <c r="J31" i="609" l="1"/>
  <c r="H33" i="617"/>
  <c r="G31" i="336"/>
  <c r="I30" i="336"/>
  <c r="H102" i="343" s="1"/>
  <c r="G79" i="336" l="1"/>
  <c r="G32" i="336"/>
  <c r="H15" i="336"/>
  <c r="H31" i="336" s="1"/>
  <c r="I15" i="336" l="1"/>
  <c r="H33" i="343" l="1"/>
  <c r="I31" i="336"/>
  <c r="J15" i="336"/>
  <c r="D6" i="336" l="1"/>
  <c r="J31" i="336"/>
  <c r="H34" i="343"/>
  <c r="E42" i="588"/>
  <c r="F42" i="588" s="1"/>
  <c r="G42" i="588" s="1"/>
  <c r="M15" i="551"/>
  <c r="C80" i="337" l="1"/>
  <c r="C88" i="337"/>
  <c r="C61" i="337"/>
  <c r="C70" i="337"/>
  <c r="C77" i="337"/>
  <c r="C47" i="337"/>
  <c r="C56" i="337"/>
  <c r="C49" i="337"/>
  <c r="C86" i="337"/>
  <c r="C68" i="337"/>
  <c r="C75" i="337"/>
  <c r="C45" i="337"/>
  <c r="C54" i="337"/>
  <c r="C38" i="337"/>
  <c r="C43" i="337"/>
  <c r="C90" i="337"/>
  <c r="C78" i="337"/>
  <c r="C83" i="337"/>
  <c r="C94" i="337"/>
  <c r="C66" i="337"/>
  <c r="C73" i="337"/>
  <c r="C52" i="337"/>
  <c r="C59" i="337"/>
  <c r="C41" i="337"/>
  <c r="C72" i="337"/>
  <c r="C81" i="337"/>
  <c r="C92" i="337"/>
  <c r="C64" i="337"/>
  <c r="C71" i="337"/>
  <c r="C79" i="337"/>
  <c r="C50" i="337"/>
  <c r="C57" i="337"/>
  <c r="C63" i="337"/>
  <c r="C89" i="337"/>
  <c r="C62" i="337"/>
  <c r="C69" i="337"/>
  <c r="C48" i="337"/>
  <c r="C55" i="337"/>
  <c r="C39" i="337"/>
  <c r="C82" i="337"/>
  <c r="C58" i="337"/>
  <c r="C87" i="337"/>
  <c r="C60" i="337"/>
  <c r="C67" i="337"/>
  <c r="C76" i="337"/>
  <c r="C46" i="337"/>
  <c r="C53" i="337"/>
  <c r="C42" i="337"/>
  <c r="C84" i="337"/>
  <c r="C93" i="337"/>
  <c r="C65" i="337"/>
  <c r="C74" i="337"/>
  <c r="C44" i="337"/>
  <c r="C51" i="337"/>
  <c r="C37" i="337"/>
  <c r="C40" i="337"/>
  <c r="H10" i="340"/>
  <c r="H36" i="340" s="1"/>
  <c r="D10" i="340"/>
  <c r="C96" i="337"/>
  <c r="C21" i="337"/>
  <c r="C25" i="337"/>
  <c r="C19" i="337"/>
  <c r="C22" i="337"/>
  <c r="C28" i="337"/>
  <c r="C15" i="337"/>
  <c r="C100" i="337"/>
  <c r="E100" i="337" s="1"/>
  <c r="C95" i="337"/>
  <c r="C23" i="337"/>
  <c r="C24" i="337"/>
  <c r="C30" i="337"/>
  <c r="C17" i="337"/>
  <c r="C99" i="337"/>
  <c r="C27" i="337"/>
  <c r="C14" i="337"/>
  <c r="C29" i="337"/>
  <c r="C31" i="337"/>
  <c r="C26" i="337"/>
  <c r="C20" i="337"/>
  <c r="C18" i="337"/>
  <c r="C36" i="337"/>
  <c r="C16" i="337"/>
  <c r="C32" i="337"/>
  <c r="C101" i="337"/>
  <c r="E48" i="588"/>
  <c r="F48" i="588" s="1"/>
  <c r="G48" i="588" s="1"/>
  <c r="E86" i="588"/>
  <c r="F86" i="588" s="1"/>
  <c r="G86" i="588" s="1"/>
  <c r="E62" i="588"/>
  <c r="F62" i="588" s="1"/>
  <c r="G62" i="588" s="1"/>
  <c r="E118" i="588"/>
  <c r="F118" i="588" s="1"/>
  <c r="G118" i="588" s="1"/>
  <c r="E43" i="588"/>
  <c r="F43" i="588" s="1"/>
  <c r="G43" i="588" s="1"/>
  <c r="E110" i="588"/>
  <c r="F110" i="588" s="1"/>
  <c r="G110" i="588" s="1"/>
  <c r="E69" i="588"/>
  <c r="F69" i="588" s="1"/>
  <c r="G69" i="588" s="1"/>
  <c r="E41" i="588"/>
  <c r="F41" i="588" s="1"/>
  <c r="G41" i="588" s="1"/>
  <c r="E16" i="588"/>
  <c r="F16" i="588" s="1"/>
  <c r="E93" i="588"/>
  <c r="F93" i="588" s="1"/>
  <c r="G93" i="588" s="1"/>
  <c r="E103" i="588"/>
  <c r="F103" i="588" s="1"/>
  <c r="G103" i="588" s="1"/>
  <c r="E35" i="588"/>
  <c r="F35" i="588" s="1"/>
  <c r="G35" i="588" s="1"/>
  <c r="E89" i="588"/>
  <c r="F89" i="588" s="1"/>
  <c r="E92" i="588"/>
  <c r="F92" i="588" s="1"/>
  <c r="G92" i="588" s="1"/>
  <c r="E44" i="588"/>
  <c r="F44" i="588" s="1"/>
  <c r="G44" i="588" s="1"/>
  <c r="E52" i="588"/>
  <c r="F52" i="588" s="1"/>
  <c r="G52" i="588" s="1"/>
  <c r="E30" i="588"/>
  <c r="F30" i="588" s="1"/>
  <c r="G30" i="588" s="1"/>
  <c r="E81" i="588"/>
  <c r="F81" i="588" s="1"/>
  <c r="G81" i="588" s="1"/>
  <c r="E45" i="588"/>
  <c r="F45" i="588" s="1"/>
  <c r="G45" i="588" s="1"/>
  <c r="E78" i="588"/>
  <c r="F78" i="588" s="1"/>
  <c r="E106" i="588"/>
  <c r="F106" i="588" s="1"/>
  <c r="E33" i="588"/>
  <c r="F33" i="588" s="1"/>
  <c r="E27" i="588"/>
  <c r="F27" i="588" s="1"/>
  <c r="G27" i="588" s="1"/>
  <c r="E102" i="588"/>
  <c r="F102" i="588" s="1"/>
  <c r="E99" i="588"/>
  <c r="F99" i="588" s="1"/>
  <c r="G99" i="588" s="1"/>
  <c r="E117" i="588"/>
  <c r="F117" i="588" s="1"/>
  <c r="G117" i="588" s="1"/>
  <c r="E94" i="588"/>
  <c r="F94" i="588" s="1"/>
  <c r="G94" i="588" s="1"/>
  <c r="E75" i="588"/>
  <c r="F75" i="588" s="1"/>
  <c r="G75" i="588" s="1"/>
  <c r="E21" i="588"/>
  <c r="F21" i="588" s="1"/>
  <c r="G21" i="588" s="1"/>
  <c r="E46" i="588"/>
  <c r="F46" i="588" s="1"/>
  <c r="G46" i="588" s="1"/>
  <c r="E34" i="588"/>
  <c r="F34" i="588" s="1"/>
  <c r="G34" i="588" s="1"/>
  <c r="E40" i="588"/>
  <c r="F40" i="588" s="1"/>
  <c r="G40" i="588" s="1"/>
  <c r="E116" i="588"/>
  <c r="F116" i="588" s="1"/>
  <c r="E38" i="588"/>
  <c r="F38" i="588" s="1"/>
  <c r="E68" i="588"/>
  <c r="F68" i="588" s="1"/>
  <c r="E82" i="588"/>
  <c r="F82" i="588" s="1"/>
  <c r="G82" i="588" s="1"/>
  <c r="E80" i="588"/>
  <c r="F80" i="588" s="1"/>
  <c r="G80" i="588" s="1"/>
  <c r="E90" i="588"/>
  <c r="F90" i="588" s="1"/>
  <c r="G90" i="588" s="1"/>
  <c r="E65" i="588"/>
  <c r="F65" i="588" s="1"/>
  <c r="G65" i="588" s="1"/>
  <c r="E73" i="588"/>
  <c r="F73" i="588" s="1"/>
  <c r="G73" i="588" s="1"/>
  <c r="E108" i="588"/>
  <c r="F108" i="588" s="1"/>
  <c r="G108" i="588" s="1"/>
  <c r="E91" i="588"/>
  <c r="F91" i="588" s="1"/>
  <c r="G91" i="588" s="1"/>
  <c r="E119" i="588"/>
  <c r="F119" i="588" s="1"/>
  <c r="G119" i="588" s="1"/>
  <c r="E112" i="588"/>
  <c r="F112" i="588" s="1"/>
  <c r="G112" i="588" s="1"/>
  <c r="E51" i="588"/>
  <c r="F51" i="588" s="1"/>
  <c r="E61" i="588"/>
  <c r="F61" i="588" s="1"/>
  <c r="G61" i="588" s="1"/>
  <c r="E20" i="588"/>
  <c r="F20" i="588" s="1"/>
  <c r="E85" i="588"/>
  <c r="F85" i="588" s="1"/>
  <c r="E22" i="588"/>
  <c r="F22" i="588" s="1"/>
  <c r="G22" i="588" s="1"/>
  <c r="E98" i="588"/>
  <c r="F98" i="588" s="1"/>
  <c r="E24" i="588"/>
  <c r="F24" i="588" s="1"/>
  <c r="G24" i="588" s="1"/>
  <c r="E28" i="588"/>
  <c r="F28" i="588" s="1"/>
  <c r="G28" i="588" s="1"/>
  <c r="E113" i="588"/>
  <c r="F113" i="588" s="1"/>
  <c r="G113" i="588" s="1"/>
  <c r="E26" i="588"/>
  <c r="F26" i="588" s="1"/>
  <c r="G26" i="588" s="1"/>
  <c r="E64" i="588"/>
  <c r="F64" i="588" s="1"/>
  <c r="G64" i="588" s="1"/>
  <c r="E111" i="588"/>
  <c r="F111" i="588" s="1"/>
  <c r="G111" i="588" s="1"/>
  <c r="E56" i="588"/>
  <c r="F56" i="588" s="1"/>
  <c r="E53" i="588"/>
  <c r="F53" i="588" s="1"/>
  <c r="G53" i="588" s="1"/>
  <c r="E29" i="588"/>
  <c r="F29" i="588" s="1"/>
  <c r="G29" i="588" s="1"/>
  <c r="E109" i="588"/>
  <c r="F109" i="588" s="1"/>
  <c r="G109" i="588" s="1"/>
  <c r="E74" i="588"/>
  <c r="F74" i="588" s="1"/>
  <c r="G74" i="588" s="1"/>
  <c r="E79" i="588"/>
  <c r="F79" i="588" s="1"/>
  <c r="G79" i="588" s="1"/>
  <c r="E57" i="588"/>
  <c r="F57" i="588" s="1"/>
  <c r="G57" i="588" s="1"/>
  <c r="E95" i="588"/>
  <c r="F95" i="588" s="1"/>
  <c r="G95" i="588" s="1"/>
  <c r="E47" i="588"/>
  <c r="F47" i="588" s="1"/>
  <c r="G47" i="588" s="1"/>
  <c r="E23" i="588"/>
  <c r="F23" i="588" s="1"/>
  <c r="G23" i="588" s="1"/>
  <c r="E107" i="588"/>
  <c r="F107" i="588" s="1"/>
  <c r="G107" i="588" s="1"/>
  <c r="E72" i="588"/>
  <c r="F72" i="588" s="1"/>
  <c r="E25" i="588"/>
  <c r="F25" i="588" s="1"/>
  <c r="G25" i="588" s="1"/>
  <c r="E63" i="588"/>
  <c r="F63" i="588" s="1"/>
  <c r="G63" i="588" s="1"/>
  <c r="E39" i="588"/>
  <c r="F39" i="588" s="1"/>
  <c r="G39" i="588" s="1"/>
  <c r="E60" i="588"/>
  <c r="F60" i="588" s="1"/>
  <c r="E18" i="588"/>
  <c r="F18" i="588" s="1"/>
  <c r="F7" i="336"/>
  <c r="H7" i="336" s="1"/>
  <c r="L10" i="340"/>
  <c r="E32" i="337" l="1"/>
  <c r="D25" i="504"/>
  <c r="E31" i="337"/>
  <c r="D24" i="504"/>
  <c r="L89" i="340"/>
  <c r="M89" i="340" s="1"/>
  <c r="L85" i="343" s="1"/>
  <c r="L95" i="340"/>
  <c r="M95" i="340" s="1"/>
  <c r="L91" i="343" s="1"/>
  <c r="H89" i="340"/>
  <c r="I89" i="340" s="1"/>
  <c r="K85" i="343" s="1"/>
  <c r="H95" i="340"/>
  <c r="I95" i="340" s="1"/>
  <c r="K91" i="343" s="1"/>
  <c r="D89" i="340"/>
  <c r="E89" i="340" s="1"/>
  <c r="J85" i="343" s="1"/>
  <c r="D95" i="340"/>
  <c r="E95" i="340" s="1"/>
  <c r="J91" i="343" s="1"/>
  <c r="E179" i="588"/>
  <c r="G179" i="588" s="1"/>
  <c r="E88" i="338" s="1"/>
  <c r="E160" i="588"/>
  <c r="G160" i="588" s="1"/>
  <c r="E69" i="338" s="1"/>
  <c r="E146" i="588"/>
  <c r="G146" i="588" s="1"/>
  <c r="E55" i="338" s="1"/>
  <c r="F31" i="588"/>
  <c r="F36" i="588"/>
  <c r="G20" i="588"/>
  <c r="E18" i="337"/>
  <c r="D19" i="338" s="1"/>
  <c r="D11" i="504"/>
  <c r="E17" i="337"/>
  <c r="D18" i="338" s="1"/>
  <c r="D10" i="504"/>
  <c r="E22" i="337"/>
  <c r="D23" i="338" s="1"/>
  <c r="D15" i="504"/>
  <c r="E37" i="337"/>
  <c r="D38" i="338" s="1"/>
  <c r="D31" i="504"/>
  <c r="E53" i="337"/>
  <c r="D54" i="338" s="1"/>
  <c r="D47" i="504"/>
  <c r="E39" i="337"/>
  <c r="D40" i="338" s="1"/>
  <c r="D33" i="504"/>
  <c r="E57" i="337"/>
  <c r="D58" i="338" s="1"/>
  <c r="D51" i="504"/>
  <c r="E41" i="337"/>
  <c r="D42" i="338" s="1"/>
  <c r="D35" i="504"/>
  <c r="E90" i="337"/>
  <c r="D91" i="338" s="1"/>
  <c r="D84" i="504"/>
  <c r="E49" i="337"/>
  <c r="D50" i="338" s="1"/>
  <c r="D43" i="504"/>
  <c r="E20" i="337"/>
  <c r="D21" i="338" s="1"/>
  <c r="D13" i="504"/>
  <c r="E30" i="337"/>
  <c r="D31" i="338" s="1"/>
  <c r="D23" i="504"/>
  <c r="E19" i="337"/>
  <c r="D20" i="338" s="1"/>
  <c r="D12" i="504"/>
  <c r="E51" i="337"/>
  <c r="D52" i="338" s="1"/>
  <c r="D45" i="504"/>
  <c r="E46" i="337"/>
  <c r="D47" i="338" s="1"/>
  <c r="D40" i="504"/>
  <c r="E55" i="337"/>
  <c r="D56" i="338" s="1"/>
  <c r="D49" i="504"/>
  <c r="E50" i="337"/>
  <c r="D51" i="338" s="1"/>
  <c r="D44" i="504"/>
  <c r="E59" i="337"/>
  <c r="D60" i="338" s="1"/>
  <c r="D53" i="504"/>
  <c r="E43" i="337"/>
  <c r="D44" i="338" s="1"/>
  <c r="D37" i="504"/>
  <c r="E56" i="337"/>
  <c r="D57" i="338" s="1"/>
  <c r="D50" i="504"/>
  <c r="E26" i="337"/>
  <c r="D27" i="338" s="1"/>
  <c r="D19" i="504"/>
  <c r="E24" i="337"/>
  <c r="D25" i="338" s="1"/>
  <c r="D17" i="504"/>
  <c r="E25" i="337"/>
  <c r="D26" i="338" s="1"/>
  <c r="D18" i="504"/>
  <c r="E44" i="337"/>
  <c r="D45" i="338" s="1"/>
  <c r="D38" i="504"/>
  <c r="E76" i="337"/>
  <c r="D77" i="338" s="1"/>
  <c r="D70" i="504"/>
  <c r="E48" i="337"/>
  <c r="D49" i="338" s="1"/>
  <c r="D42" i="504"/>
  <c r="E79" i="337"/>
  <c r="D80" i="338" s="1"/>
  <c r="D73" i="504"/>
  <c r="E52" i="337"/>
  <c r="D53" i="338" s="1"/>
  <c r="D46" i="504"/>
  <c r="E38" i="337"/>
  <c r="D39" i="338" s="1"/>
  <c r="D32" i="504"/>
  <c r="E47" i="337"/>
  <c r="D48" i="338" s="1"/>
  <c r="D41" i="504"/>
  <c r="E23" i="337"/>
  <c r="D24" i="338" s="1"/>
  <c r="D16" i="504"/>
  <c r="E21" i="337"/>
  <c r="D22" i="338" s="1"/>
  <c r="D14" i="504"/>
  <c r="E74" i="337"/>
  <c r="D75" i="338" s="1"/>
  <c r="D68" i="504"/>
  <c r="E67" i="337"/>
  <c r="D68" i="338" s="1"/>
  <c r="D61" i="504"/>
  <c r="E71" i="337"/>
  <c r="D72" i="338" s="1"/>
  <c r="D65" i="504"/>
  <c r="E73" i="337"/>
  <c r="D74" i="338" s="1"/>
  <c r="D67" i="504"/>
  <c r="E54" i="337"/>
  <c r="D55" i="338" s="1"/>
  <c r="D48" i="504"/>
  <c r="E77" i="337"/>
  <c r="D78" i="338" s="1"/>
  <c r="D71" i="504"/>
  <c r="E29" i="337"/>
  <c r="D30" i="338" s="1"/>
  <c r="D22" i="504"/>
  <c r="E95" i="337"/>
  <c r="D96" i="338" s="1"/>
  <c r="D89" i="504"/>
  <c r="E65" i="337"/>
  <c r="D66" i="338" s="1"/>
  <c r="D59" i="504"/>
  <c r="E60" i="337"/>
  <c r="D61" i="338" s="1"/>
  <c r="D54" i="504"/>
  <c r="E69" i="337"/>
  <c r="D70" i="338" s="1"/>
  <c r="D63" i="504"/>
  <c r="E64" i="337"/>
  <c r="D65" i="338" s="1"/>
  <c r="D58" i="504"/>
  <c r="E66" i="337"/>
  <c r="D67" i="338" s="1"/>
  <c r="D60" i="504"/>
  <c r="E45" i="337"/>
  <c r="D46" i="338" s="1"/>
  <c r="D39" i="504"/>
  <c r="E70" i="337"/>
  <c r="D71" i="338" s="1"/>
  <c r="D64" i="504"/>
  <c r="E93" i="337"/>
  <c r="D94" i="338" s="1"/>
  <c r="D87" i="504"/>
  <c r="E87" i="337"/>
  <c r="D88" i="338" s="1"/>
  <c r="D81" i="504"/>
  <c r="E62" i="337"/>
  <c r="D63" i="338" s="1"/>
  <c r="D56" i="504"/>
  <c r="E92" i="337"/>
  <c r="D93" i="338" s="1"/>
  <c r="D86" i="504"/>
  <c r="E94" i="337"/>
  <c r="D95" i="338" s="1"/>
  <c r="D88" i="504"/>
  <c r="E75" i="337"/>
  <c r="D76" i="338" s="1"/>
  <c r="D69" i="504"/>
  <c r="E61" i="337"/>
  <c r="D62" i="338" s="1"/>
  <c r="D55" i="504"/>
  <c r="E14" i="337"/>
  <c r="D15" i="338" s="1"/>
  <c r="D7" i="504"/>
  <c r="H7" i="504" s="1"/>
  <c r="E16" i="337"/>
  <c r="D17" i="338" s="1"/>
  <c r="D9" i="504"/>
  <c r="H9" i="504" s="1"/>
  <c r="E27" i="337"/>
  <c r="D28" i="338" s="1"/>
  <c r="D20" i="504"/>
  <c r="E15" i="337"/>
  <c r="D16" i="338" s="1"/>
  <c r="D8" i="504"/>
  <c r="E84" i="337"/>
  <c r="D85" i="338" s="1"/>
  <c r="D78" i="504"/>
  <c r="E58" i="337"/>
  <c r="D59" i="338" s="1"/>
  <c r="D52" i="504"/>
  <c r="E89" i="337"/>
  <c r="D90" i="338" s="1"/>
  <c r="D83" i="504"/>
  <c r="E81" i="337"/>
  <c r="D82" i="338" s="1"/>
  <c r="D75" i="504"/>
  <c r="E83" i="337"/>
  <c r="D84" i="338" s="1"/>
  <c r="D77" i="504"/>
  <c r="E68" i="337"/>
  <c r="D69" i="338" s="1"/>
  <c r="D62" i="504"/>
  <c r="E88" i="337"/>
  <c r="D89" i="338" s="1"/>
  <c r="D82" i="504"/>
  <c r="E36" i="337"/>
  <c r="D37" i="338" s="1"/>
  <c r="D30" i="504"/>
  <c r="F30" i="504" s="1"/>
  <c r="E99" i="337"/>
  <c r="H93" i="504" s="1"/>
  <c r="J93" i="504" s="1"/>
  <c r="J95" i="504" s="1"/>
  <c r="D93" i="504"/>
  <c r="E28" i="337"/>
  <c r="D29" i="338" s="1"/>
  <c r="D21" i="504"/>
  <c r="E40" i="337"/>
  <c r="D41" i="338" s="1"/>
  <c r="D34" i="504"/>
  <c r="E42" i="337"/>
  <c r="D43" i="338" s="1"/>
  <c r="D36" i="504"/>
  <c r="E82" i="337"/>
  <c r="D83" i="338" s="1"/>
  <c r="D76" i="504"/>
  <c r="E63" i="337"/>
  <c r="D64" i="338" s="1"/>
  <c r="D57" i="504"/>
  <c r="E72" i="337"/>
  <c r="D73" i="338" s="1"/>
  <c r="D66" i="504"/>
  <c r="E78" i="337"/>
  <c r="D79" i="338" s="1"/>
  <c r="D72" i="504"/>
  <c r="E86" i="337"/>
  <c r="D87" i="338" s="1"/>
  <c r="D80" i="504"/>
  <c r="E80" i="337"/>
  <c r="D81" i="338" s="1"/>
  <c r="D74" i="504"/>
  <c r="F49" i="588"/>
  <c r="G49" i="588" s="1"/>
  <c r="L45" i="340"/>
  <c r="M45" i="340" s="1"/>
  <c r="L41" i="343" s="1"/>
  <c r="L46" i="340"/>
  <c r="M46" i="340" s="1"/>
  <c r="L42" i="343" s="1"/>
  <c r="L47" i="340"/>
  <c r="M47" i="340" s="1"/>
  <c r="L43" i="343" s="1"/>
  <c r="L48" i="340"/>
  <c r="M48" i="340" s="1"/>
  <c r="L44" i="343" s="1"/>
  <c r="L77" i="340"/>
  <c r="M77" i="340" s="1"/>
  <c r="L73" i="343" s="1"/>
  <c r="L78" i="340"/>
  <c r="M78" i="340" s="1"/>
  <c r="L74" i="343" s="1"/>
  <c r="L49" i="340"/>
  <c r="M49" i="340" s="1"/>
  <c r="L45" i="343" s="1"/>
  <c r="L50" i="340"/>
  <c r="M50" i="340" s="1"/>
  <c r="L46" i="343" s="1"/>
  <c r="L51" i="340"/>
  <c r="M51" i="340" s="1"/>
  <c r="L47" i="343" s="1"/>
  <c r="L52" i="340"/>
  <c r="M52" i="340" s="1"/>
  <c r="L48" i="343" s="1"/>
  <c r="L53" i="340"/>
  <c r="M53" i="340" s="1"/>
  <c r="L49" i="343" s="1"/>
  <c r="L79" i="340"/>
  <c r="M79" i="340" s="1"/>
  <c r="L75" i="343" s="1"/>
  <c r="L80" i="340"/>
  <c r="M80" i="340" s="1"/>
  <c r="L76" i="343" s="1"/>
  <c r="L75" i="340"/>
  <c r="M75" i="340" s="1"/>
  <c r="L71" i="343" s="1"/>
  <c r="L76" i="340"/>
  <c r="M76" i="340" s="1"/>
  <c r="L72" i="343" s="1"/>
  <c r="L81" i="340"/>
  <c r="M81" i="340" s="1"/>
  <c r="L77" i="343" s="1"/>
  <c r="L82" i="340"/>
  <c r="M82" i="340" s="1"/>
  <c r="L78" i="343" s="1"/>
  <c r="L83" i="340"/>
  <c r="M83" i="340" s="1"/>
  <c r="L79" i="343" s="1"/>
  <c r="L43" i="340"/>
  <c r="M43" i="340" s="1"/>
  <c r="L39" i="343" s="1"/>
  <c r="L44" i="340"/>
  <c r="M44" i="340" s="1"/>
  <c r="L40" i="343" s="1"/>
  <c r="L68" i="340"/>
  <c r="M68" i="340" s="1"/>
  <c r="L64" i="343" s="1"/>
  <c r="L69" i="340"/>
  <c r="M69" i="340" s="1"/>
  <c r="L65" i="343" s="1"/>
  <c r="L70" i="340"/>
  <c r="M70" i="340" s="1"/>
  <c r="L66" i="343" s="1"/>
  <c r="L71" i="340"/>
  <c r="M71" i="340" s="1"/>
  <c r="L67" i="343" s="1"/>
  <c r="L42" i="340"/>
  <c r="M42" i="340" s="1"/>
  <c r="L38" i="343" s="1"/>
  <c r="L63" i="340"/>
  <c r="M63" i="340" s="1"/>
  <c r="L59" i="343" s="1"/>
  <c r="L56" i="340"/>
  <c r="M56" i="340" s="1"/>
  <c r="L52" i="343" s="1"/>
  <c r="L57" i="340"/>
  <c r="M57" i="340" s="1"/>
  <c r="L53" i="343" s="1"/>
  <c r="L58" i="340"/>
  <c r="M58" i="340" s="1"/>
  <c r="L54" i="343" s="1"/>
  <c r="L59" i="340"/>
  <c r="M59" i="340" s="1"/>
  <c r="L55" i="343" s="1"/>
  <c r="L60" i="340"/>
  <c r="M60" i="340" s="1"/>
  <c r="L56" i="343" s="1"/>
  <c r="L62" i="340"/>
  <c r="M62" i="340" s="1"/>
  <c r="L58" i="343" s="1"/>
  <c r="L61" i="340"/>
  <c r="M61" i="340" s="1"/>
  <c r="L57" i="343" s="1"/>
  <c r="L88" i="340"/>
  <c r="M88" i="340" s="1"/>
  <c r="L84" i="343" s="1"/>
  <c r="L55" i="340"/>
  <c r="M55" i="340" s="1"/>
  <c r="L51" i="343" s="1"/>
  <c r="L64" i="340"/>
  <c r="M64" i="340" s="1"/>
  <c r="L60" i="343" s="1"/>
  <c r="L73" i="340"/>
  <c r="M73" i="340" s="1"/>
  <c r="L69" i="343" s="1"/>
  <c r="L87" i="340"/>
  <c r="M87" i="340" s="1"/>
  <c r="L83" i="343" s="1"/>
  <c r="L72" i="340"/>
  <c r="M72" i="340" s="1"/>
  <c r="L68" i="343" s="1"/>
  <c r="L86" i="340"/>
  <c r="M86" i="340" s="1"/>
  <c r="L82" i="343" s="1"/>
  <c r="L85" i="340"/>
  <c r="M85" i="340" s="1"/>
  <c r="L81" i="343" s="1"/>
  <c r="L96" i="340"/>
  <c r="M96" i="340" s="1"/>
  <c r="L92" i="343" s="1"/>
  <c r="L97" i="340"/>
  <c r="M97" i="340" s="1"/>
  <c r="L93" i="343" s="1"/>
  <c r="L54" i="340"/>
  <c r="M54" i="340" s="1"/>
  <c r="L50" i="343" s="1"/>
  <c r="L84" i="340"/>
  <c r="M84" i="340" s="1"/>
  <c r="L80" i="343" s="1"/>
  <c r="L94" i="340"/>
  <c r="M94" i="340" s="1"/>
  <c r="L90" i="343" s="1"/>
  <c r="L98" i="340"/>
  <c r="M98" i="340" s="1"/>
  <c r="L94" i="343" s="1"/>
  <c r="L67" i="340"/>
  <c r="M67" i="340" s="1"/>
  <c r="L63" i="343" s="1"/>
  <c r="L92" i="340"/>
  <c r="M92" i="340" s="1"/>
  <c r="L88" i="343" s="1"/>
  <c r="L93" i="340"/>
  <c r="M93" i="340" s="1"/>
  <c r="L89" i="343" s="1"/>
  <c r="L65" i="340"/>
  <c r="M65" i="340" s="1"/>
  <c r="L61" i="343" s="1"/>
  <c r="L91" i="340"/>
  <c r="M91" i="340" s="1"/>
  <c r="L87" i="343" s="1"/>
  <c r="L74" i="340"/>
  <c r="M74" i="340" s="1"/>
  <c r="L70" i="343" s="1"/>
  <c r="L66" i="340"/>
  <c r="M66" i="340" s="1"/>
  <c r="L62" i="343" s="1"/>
  <c r="L90" i="340"/>
  <c r="M90" i="340" s="1"/>
  <c r="L86" i="343" s="1"/>
  <c r="D62" i="340"/>
  <c r="E62" i="340" s="1"/>
  <c r="J58" i="343" s="1"/>
  <c r="D63" i="340"/>
  <c r="E63" i="340" s="1"/>
  <c r="J59" i="343" s="1"/>
  <c r="D68" i="340"/>
  <c r="E68" i="340" s="1"/>
  <c r="J64" i="343" s="1"/>
  <c r="D69" i="340"/>
  <c r="E69" i="340" s="1"/>
  <c r="J65" i="343" s="1"/>
  <c r="D57" i="340"/>
  <c r="E57" i="340" s="1"/>
  <c r="J53" i="343" s="1"/>
  <c r="D60" i="340"/>
  <c r="E60" i="340" s="1"/>
  <c r="J56" i="343" s="1"/>
  <c r="D61" i="340"/>
  <c r="E61" i="340" s="1"/>
  <c r="J57" i="343" s="1"/>
  <c r="D94" i="340"/>
  <c r="E94" i="340" s="1"/>
  <c r="J90" i="343" s="1"/>
  <c r="D96" i="340"/>
  <c r="E96" i="340" s="1"/>
  <c r="J92" i="343" s="1"/>
  <c r="D56" i="340"/>
  <c r="E56" i="340" s="1"/>
  <c r="J52" i="343" s="1"/>
  <c r="D58" i="340"/>
  <c r="E58" i="340" s="1"/>
  <c r="J54" i="343" s="1"/>
  <c r="D59" i="340"/>
  <c r="E59" i="340" s="1"/>
  <c r="J55" i="343" s="1"/>
  <c r="D49" i="340"/>
  <c r="E49" i="340" s="1"/>
  <c r="J45" i="343" s="1"/>
  <c r="D48" i="340"/>
  <c r="E48" i="340" s="1"/>
  <c r="J44" i="343" s="1"/>
  <c r="D52" i="340"/>
  <c r="E52" i="340" s="1"/>
  <c r="J48" i="343" s="1"/>
  <c r="D53" i="340"/>
  <c r="E53" i="340" s="1"/>
  <c r="J49" i="343" s="1"/>
  <c r="D55" i="340"/>
  <c r="E55" i="340" s="1"/>
  <c r="J51" i="343" s="1"/>
  <c r="D50" i="340"/>
  <c r="E50" i="340" s="1"/>
  <c r="J46" i="343" s="1"/>
  <c r="D51" i="340"/>
  <c r="E51" i="340" s="1"/>
  <c r="J47" i="343" s="1"/>
  <c r="D54" i="340"/>
  <c r="E54" i="340" s="1"/>
  <c r="J50" i="343" s="1"/>
  <c r="D44" i="340"/>
  <c r="E44" i="340" s="1"/>
  <c r="J40" i="343" s="1"/>
  <c r="D45" i="340"/>
  <c r="E45" i="340" s="1"/>
  <c r="J41" i="343" s="1"/>
  <c r="D47" i="340"/>
  <c r="E47" i="340" s="1"/>
  <c r="J43" i="343" s="1"/>
  <c r="D76" i="340"/>
  <c r="E76" i="340" s="1"/>
  <c r="J72" i="343" s="1"/>
  <c r="D83" i="340"/>
  <c r="E83" i="340" s="1"/>
  <c r="J79" i="343" s="1"/>
  <c r="D85" i="340"/>
  <c r="E85" i="340" s="1"/>
  <c r="J81" i="343" s="1"/>
  <c r="D93" i="340"/>
  <c r="E93" i="340" s="1"/>
  <c r="J89" i="343" s="1"/>
  <c r="D71" i="340"/>
  <c r="E71" i="340" s="1"/>
  <c r="J67" i="343" s="1"/>
  <c r="D92" i="340"/>
  <c r="E92" i="340" s="1"/>
  <c r="J88" i="343" s="1"/>
  <c r="D46" i="340"/>
  <c r="E46" i="340" s="1"/>
  <c r="J42" i="343" s="1"/>
  <c r="D67" i="340"/>
  <c r="E67" i="340" s="1"/>
  <c r="J63" i="343" s="1"/>
  <c r="D75" i="340"/>
  <c r="E75" i="340" s="1"/>
  <c r="J71" i="343" s="1"/>
  <c r="D81" i="340"/>
  <c r="E81" i="340" s="1"/>
  <c r="J77" i="343" s="1"/>
  <c r="D82" i="340"/>
  <c r="E82" i="340" s="1"/>
  <c r="J78" i="343" s="1"/>
  <c r="D43" i="340"/>
  <c r="E43" i="340" s="1"/>
  <c r="J39" i="343" s="1"/>
  <c r="D66" i="340"/>
  <c r="E66" i="340" s="1"/>
  <c r="J62" i="343" s="1"/>
  <c r="D70" i="340"/>
  <c r="E70" i="340" s="1"/>
  <c r="J66" i="343" s="1"/>
  <c r="D80" i="340"/>
  <c r="E80" i="340" s="1"/>
  <c r="J76" i="343" s="1"/>
  <c r="D91" i="340"/>
  <c r="E91" i="340" s="1"/>
  <c r="J87" i="343" s="1"/>
  <c r="D65" i="340"/>
  <c r="E65" i="340" s="1"/>
  <c r="J61" i="343" s="1"/>
  <c r="D74" i="340"/>
  <c r="E74" i="340" s="1"/>
  <c r="J70" i="343" s="1"/>
  <c r="D88" i="340"/>
  <c r="E88" i="340" s="1"/>
  <c r="J84" i="343" s="1"/>
  <c r="D90" i="340"/>
  <c r="E90" i="340" s="1"/>
  <c r="J86" i="343" s="1"/>
  <c r="D73" i="340"/>
  <c r="E73" i="340" s="1"/>
  <c r="J69" i="343" s="1"/>
  <c r="D79" i="340"/>
  <c r="E79" i="340" s="1"/>
  <c r="J75" i="343" s="1"/>
  <c r="D87" i="340"/>
  <c r="E87" i="340" s="1"/>
  <c r="J83" i="343" s="1"/>
  <c r="D64" i="340"/>
  <c r="E64" i="340" s="1"/>
  <c r="J60" i="343" s="1"/>
  <c r="D42" i="340"/>
  <c r="E42" i="340" s="1"/>
  <c r="J38" i="343" s="1"/>
  <c r="D78" i="340"/>
  <c r="E78" i="340" s="1"/>
  <c r="J74" i="343" s="1"/>
  <c r="D84" i="340"/>
  <c r="E84" i="340" s="1"/>
  <c r="J80" i="343" s="1"/>
  <c r="D98" i="340"/>
  <c r="E98" i="340" s="1"/>
  <c r="J94" i="343" s="1"/>
  <c r="D86" i="340"/>
  <c r="E86" i="340" s="1"/>
  <c r="J82" i="343" s="1"/>
  <c r="D72" i="340"/>
  <c r="E72" i="340" s="1"/>
  <c r="J68" i="343" s="1"/>
  <c r="D77" i="340"/>
  <c r="E77" i="340" s="1"/>
  <c r="J73" i="343" s="1"/>
  <c r="D97" i="340"/>
  <c r="E97" i="340" s="1"/>
  <c r="J93" i="343" s="1"/>
  <c r="H54" i="340"/>
  <c r="I54" i="340" s="1"/>
  <c r="K50" i="343" s="1"/>
  <c r="H55" i="340"/>
  <c r="I55" i="340" s="1"/>
  <c r="K51" i="343" s="1"/>
  <c r="H56" i="340"/>
  <c r="I56" i="340" s="1"/>
  <c r="K52" i="343" s="1"/>
  <c r="H57" i="340"/>
  <c r="I57" i="340" s="1"/>
  <c r="K53" i="343" s="1"/>
  <c r="H43" i="340"/>
  <c r="I43" i="340" s="1"/>
  <c r="K39" i="343" s="1"/>
  <c r="H44" i="340"/>
  <c r="I44" i="340" s="1"/>
  <c r="K40" i="343" s="1"/>
  <c r="H45" i="340"/>
  <c r="I45" i="340" s="1"/>
  <c r="K41" i="343" s="1"/>
  <c r="H46" i="340"/>
  <c r="I46" i="340" s="1"/>
  <c r="K42" i="343" s="1"/>
  <c r="H65" i="340"/>
  <c r="I65" i="340" s="1"/>
  <c r="K61" i="343" s="1"/>
  <c r="H68" i="340"/>
  <c r="I68" i="340" s="1"/>
  <c r="K64" i="343" s="1"/>
  <c r="H70" i="340"/>
  <c r="I70" i="340" s="1"/>
  <c r="K66" i="343" s="1"/>
  <c r="H71" i="340"/>
  <c r="I71" i="340" s="1"/>
  <c r="K67" i="343" s="1"/>
  <c r="H72" i="340"/>
  <c r="I72" i="340" s="1"/>
  <c r="K68" i="343" s="1"/>
  <c r="H73" i="340"/>
  <c r="I73" i="340" s="1"/>
  <c r="K69" i="343" s="1"/>
  <c r="H74" i="340"/>
  <c r="I74" i="340" s="1"/>
  <c r="K70" i="343" s="1"/>
  <c r="H85" i="340"/>
  <c r="I85" i="340" s="1"/>
  <c r="K81" i="343" s="1"/>
  <c r="H86" i="340"/>
  <c r="I86" i="340" s="1"/>
  <c r="K82" i="343" s="1"/>
  <c r="H87" i="340"/>
  <c r="I87" i="340" s="1"/>
  <c r="K83" i="343" s="1"/>
  <c r="H88" i="340"/>
  <c r="I88" i="340" s="1"/>
  <c r="K84" i="343" s="1"/>
  <c r="H42" i="340"/>
  <c r="I42" i="340" s="1"/>
  <c r="K38" i="343" s="1"/>
  <c r="H64" i="340"/>
  <c r="I64" i="340" s="1"/>
  <c r="K60" i="343" s="1"/>
  <c r="H66" i="340"/>
  <c r="I66" i="340" s="1"/>
  <c r="K62" i="343" s="1"/>
  <c r="H67" i="340"/>
  <c r="I67" i="340" s="1"/>
  <c r="K63" i="343" s="1"/>
  <c r="H90" i="340"/>
  <c r="I90" i="340" s="1"/>
  <c r="K86" i="343" s="1"/>
  <c r="H91" i="340"/>
  <c r="I91" i="340" s="1"/>
  <c r="K87" i="343" s="1"/>
  <c r="H92" i="340"/>
  <c r="I92" i="340" s="1"/>
  <c r="K88" i="343" s="1"/>
  <c r="H93" i="340"/>
  <c r="I93" i="340" s="1"/>
  <c r="K89" i="343" s="1"/>
  <c r="H63" i="340"/>
  <c r="I63" i="340" s="1"/>
  <c r="K59" i="343" s="1"/>
  <c r="H49" i="340"/>
  <c r="I49" i="340" s="1"/>
  <c r="K45" i="343" s="1"/>
  <c r="H47" i="340"/>
  <c r="I47" i="340" s="1"/>
  <c r="K43" i="343" s="1"/>
  <c r="H52" i="340"/>
  <c r="I52" i="340" s="1"/>
  <c r="K48" i="343" s="1"/>
  <c r="H60" i="340"/>
  <c r="I60" i="340" s="1"/>
  <c r="K56" i="343" s="1"/>
  <c r="H78" i="340"/>
  <c r="I78" i="340" s="1"/>
  <c r="K74" i="343" s="1"/>
  <c r="H96" i="340"/>
  <c r="I96" i="340" s="1"/>
  <c r="K92" i="343" s="1"/>
  <c r="H97" i="340"/>
  <c r="I97" i="340" s="1"/>
  <c r="K93" i="343" s="1"/>
  <c r="H98" i="340"/>
  <c r="I98" i="340" s="1"/>
  <c r="K94" i="343" s="1"/>
  <c r="H77" i="340"/>
  <c r="I77" i="340" s="1"/>
  <c r="K73" i="343" s="1"/>
  <c r="H84" i="340"/>
  <c r="I84" i="340" s="1"/>
  <c r="K80" i="343" s="1"/>
  <c r="H94" i="340"/>
  <c r="I94" i="340" s="1"/>
  <c r="K90" i="343" s="1"/>
  <c r="H76" i="340"/>
  <c r="I76" i="340" s="1"/>
  <c r="K72" i="343" s="1"/>
  <c r="H83" i="340"/>
  <c r="I83" i="340" s="1"/>
  <c r="K79" i="343" s="1"/>
  <c r="H51" i="340"/>
  <c r="I51" i="340" s="1"/>
  <c r="K47" i="343" s="1"/>
  <c r="H59" i="340"/>
  <c r="I59" i="340" s="1"/>
  <c r="K55" i="343" s="1"/>
  <c r="H75" i="340"/>
  <c r="I75" i="340" s="1"/>
  <c r="K71" i="343" s="1"/>
  <c r="H82" i="340"/>
  <c r="I82" i="340" s="1"/>
  <c r="K78" i="343" s="1"/>
  <c r="H48" i="340"/>
  <c r="I48" i="340" s="1"/>
  <c r="K44" i="343" s="1"/>
  <c r="H62" i="340"/>
  <c r="I62" i="340" s="1"/>
  <c r="K58" i="343" s="1"/>
  <c r="H81" i="340"/>
  <c r="I81" i="340" s="1"/>
  <c r="K77" i="343" s="1"/>
  <c r="H53" i="340"/>
  <c r="I53" i="340" s="1"/>
  <c r="K49" i="343" s="1"/>
  <c r="H69" i="340"/>
  <c r="I69" i="340" s="1"/>
  <c r="K65" i="343" s="1"/>
  <c r="H79" i="340"/>
  <c r="I79" i="340" s="1"/>
  <c r="K75" i="343" s="1"/>
  <c r="H61" i="340"/>
  <c r="I61" i="340" s="1"/>
  <c r="K57" i="343" s="1"/>
  <c r="H50" i="340"/>
  <c r="I50" i="340" s="1"/>
  <c r="K46" i="343" s="1"/>
  <c r="H58" i="340"/>
  <c r="I58" i="340" s="1"/>
  <c r="K54" i="343" s="1"/>
  <c r="H80" i="340"/>
  <c r="I80" i="340" s="1"/>
  <c r="K76" i="343" s="1"/>
  <c r="F66" i="588"/>
  <c r="G60" i="588"/>
  <c r="F87" i="588"/>
  <c r="G85" i="588"/>
  <c r="F104" i="588"/>
  <c r="G102" i="588"/>
  <c r="G56" i="588"/>
  <c r="F58" i="588"/>
  <c r="G33" i="588"/>
  <c r="D36" i="340"/>
  <c r="D29" i="340"/>
  <c r="E29" i="340" s="1"/>
  <c r="J25" i="343" s="1"/>
  <c r="D33" i="340"/>
  <c r="E33" i="340" s="1"/>
  <c r="J29" i="343" s="1"/>
  <c r="D99" i="340"/>
  <c r="E99" i="340" s="1"/>
  <c r="J95" i="343" s="1"/>
  <c r="D32" i="340"/>
  <c r="E32" i="340" s="1"/>
  <c r="J28" i="343" s="1"/>
  <c r="D22" i="340"/>
  <c r="E22" i="340" s="1"/>
  <c r="J18" i="343" s="1"/>
  <c r="D27" i="340"/>
  <c r="E27" i="340" s="1"/>
  <c r="J23" i="343" s="1"/>
  <c r="D26" i="340"/>
  <c r="E26" i="340" s="1"/>
  <c r="J22" i="343" s="1"/>
  <c r="D104" i="340"/>
  <c r="E104" i="340" s="1"/>
  <c r="J100" i="343" s="1"/>
  <c r="D34" i="340"/>
  <c r="E34" i="340" s="1"/>
  <c r="J30" i="343" s="1"/>
  <c r="D35" i="340"/>
  <c r="E35" i="340" s="1"/>
  <c r="D23" i="340"/>
  <c r="E23" i="340" s="1"/>
  <c r="J19" i="343" s="1"/>
  <c r="D28" i="340"/>
  <c r="E28" i="340" s="1"/>
  <c r="J24" i="343" s="1"/>
  <c r="D30" i="340"/>
  <c r="E30" i="340" s="1"/>
  <c r="J26" i="343" s="1"/>
  <c r="D21" i="340"/>
  <c r="E21" i="340" s="1"/>
  <c r="J17" i="343" s="1"/>
  <c r="D40" i="340"/>
  <c r="E40" i="340" s="1"/>
  <c r="J36" i="343" s="1"/>
  <c r="D25" i="340"/>
  <c r="E25" i="340" s="1"/>
  <c r="J21" i="343" s="1"/>
  <c r="D20" i="340"/>
  <c r="E20" i="340" s="1"/>
  <c r="J16" i="343" s="1"/>
  <c r="D19" i="340"/>
  <c r="E19" i="340" s="1"/>
  <c r="J15" i="343" s="1"/>
  <c r="D18" i="340"/>
  <c r="E18" i="340" s="1"/>
  <c r="J14" i="343" s="1"/>
  <c r="D41" i="340"/>
  <c r="E41" i="340" s="1"/>
  <c r="J37" i="343" s="1"/>
  <c r="D24" i="340"/>
  <c r="E24" i="340" s="1"/>
  <c r="J20" i="343" s="1"/>
  <c r="D103" i="340"/>
  <c r="E103" i="340" s="1"/>
  <c r="J99" i="343" s="1"/>
  <c r="D31" i="340"/>
  <c r="E31" i="340" s="1"/>
  <c r="J27" i="343" s="1"/>
  <c r="F100" i="588"/>
  <c r="G98" i="588"/>
  <c r="L104" i="340"/>
  <c r="M104" i="340" s="1"/>
  <c r="L100" i="343" s="1"/>
  <c r="L41" i="340"/>
  <c r="M41" i="340" s="1"/>
  <c r="L37" i="343" s="1"/>
  <c r="L34" i="340"/>
  <c r="M34" i="340" s="1"/>
  <c r="L30" i="343" s="1"/>
  <c r="L21" i="340"/>
  <c r="M21" i="340" s="1"/>
  <c r="L17" i="343" s="1"/>
  <c r="L20" i="340"/>
  <c r="M20" i="340" s="1"/>
  <c r="L16" i="343" s="1"/>
  <c r="L24" i="340"/>
  <c r="M24" i="340" s="1"/>
  <c r="L20" i="343" s="1"/>
  <c r="L22" i="340"/>
  <c r="M22" i="340" s="1"/>
  <c r="L18" i="343" s="1"/>
  <c r="L28" i="340"/>
  <c r="M28" i="340" s="1"/>
  <c r="L24" i="343" s="1"/>
  <c r="L32" i="340"/>
  <c r="M32" i="340" s="1"/>
  <c r="L28" i="343" s="1"/>
  <c r="L31" i="340"/>
  <c r="M31" i="340" s="1"/>
  <c r="L27" i="343" s="1"/>
  <c r="L19" i="340"/>
  <c r="M19" i="340" s="1"/>
  <c r="L15" i="343" s="1"/>
  <c r="L26" i="340"/>
  <c r="M26" i="340" s="1"/>
  <c r="L22" i="343" s="1"/>
  <c r="L18" i="340"/>
  <c r="M18" i="340" s="1"/>
  <c r="L14" i="343" s="1"/>
  <c r="L103" i="340"/>
  <c r="M103" i="340" s="1"/>
  <c r="L99" i="343" s="1"/>
  <c r="L23" i="340"/>
  <c r="M23" i="340" s="1"/>
  <c r="L19" i="343" s="1"/>
  <c r="L40" i="340"/>
  <c r="M40" i="340" s="1"/>
  <c r="L36" i="343" s="1"/>
  <c r="L33" i="340"/>
  <c r="M33" i="340" s="1"/>
  <c r="L29" i="343" s="1"/>
  <c r="L27" i="340"/>
  <c r="M27" i="340" s="1"/>
  <c r="L23" i="343" s="1"/>
  <c r="L25" i="340"/>
  <c r="M25" i="340" s="1"/>
  <c r="L21" i="343" s="1"/>
  <c r="L36" i="340"/>
  <c r="M36" i="340" s="1"/>
  <c r="L30" i="340"/>
  <c r="M30" i="340" s="1"/>
  <c r="L26" i="343" s="1"/>
  <c r="L99" i="340"/>
  <c r="M99" i="340" s="1"/>
  <c r="L95" i="343" s="1"/>
  <c r="L29" i="340"/>
  <c r="M29" i="340" s="1"/>
  <c r="L25" i="343" s="1"/>
  <c r="L35" i="340"/>
  <c r="M35" i="340" s="1"/>
  <c r="G51" i="588"/>
  <c r="F54" i="588"/>
  <c r="G106" i="588"/>
  <c r="F114" i="588"/>
  <c r="F96" i="588"/>
  <c r="G89" i="588"/>
  <c r="E16" i="338"/>
  <c r="G18" i="588"/>
  <c r="E15" i="338"/>
  <c r="G16" i="588"/>
  <c r="E136" i="588" s="1"/>
  <c r="F76" i="588"/>
  <c r="G72" i="588"/>
  <c r="G78" i="588"/>
  <c r="F83" i="588"/>
  <c r="H35" i="340"/>
  <c r="I35" i="340" s="1"/>
  <c r="H41" i="340"/>
  <c r="I41" i="340" s="1"/>
  <c r="K37" i="343" s="1"/>
  <c r="H40" i="340"/>
  <c r="I40" i="340" s="1"/>
  <c r="K36" i="343" s="1"/>
  <c r="H104" i="340"/>
  <c r="I104" i="340" s="1"/>
  <c r="K100" i="343" s="1"/>
  <c r="H25" i="340"/>
  <c r="I25" i="340" s="1"/>
  <c r="K21" i="343" s="1"/>
  <c r="H103" i="340"/>
  <c r="I103" i="340" s="1"/>
  <c r="K99" i="343" s="1"/>
  <c r="H26" i="340"/>
  <c r="I26" i="340" s="1"/>
  <c r="K22" i="343" s="1"/>
  <c r="H20" i="340"/>
  <c r="I20" i="340" s="1"/>
  <c r="K16" i="343" s="1"/>
  <c r="H32" i="340"/>
  <c r="I32" i="340" s="1"/>
  <c r="K28" i="343" s="1"/>
  <c r="H24" i="340"/>
  <c r="I24" i="340" s="1"/>
  <c r="K20" i="343" s="1"/>
  <c r="H21" i="340"/>
  <c r="I21" i="340" s="1"/>
  <c r="K17" i="343" s="1"/>
  <c r="H27" i="340"/>
  <c r="I27" i="340" s="1"/>
  <c r="K23" i="343" s="1"/>
  <c r="H31" i="340"/>
  <c r="I31" i="340" s="1"/>
  <c r="K27" i="343" s="1"/>
  <c r="H18" i="340"/>
  <c r="I18" i="340" s="1"/>
  <c r="K14" i="343" s="1"/>
  <c r="H28" i="340"/>
  <c r="I28" i="340" s="1"/>
  <c r="K24" i="343" s="1"/>
  <c r="H30" i="340"/>
  <c r="I30" i="340" s="1"/>
  <c r="K26" i="343" s="1"/>
  <c r="H34" i="340"/>
  <c r="I34" i="340" s="1"/>
  <c r="K30" i="343" s="1"/>
  <c r="H33" i="340"/>
  <c r="I33" i="340" s="1"/>
  <c r="K29" i="343" s="1"/>
  <c r="H23" i="340"/>
  <c r="I23" i="340" s="1"/>
  <c r="K19" i="343" s="1"/>
  <c r="H99" i="340"/>
  <c r="I99" i="340" s="1"/>
  <c r="K95" i="343" s="1"/>
  <c r="H22" i="340"/>
  <c r="I22" i="340" s="1"/>
  <c r="K18" i="343" s="1"/>
  <c r="H19" i="340"/>
  <c r="I19" i="340" s="1"/>
  <c r="K15" i="343" s="1"/>
  <c r="H29" i="340"/>
  <c r="I29" i="340" s="1"/>
  <c r="K25" i="343" s="1"/>
  <c r="G38" i="588"/>
  <c r="G116" i="588"/>
  <c r="F120" i="588"/>
  <c r="G68" i="588"/>
  <c r="F70" i="588"/>
  <c r="F122" i="588" l="1"/>
  <c r="F7" i="504"/>
  <c r="J7" i="504"/>
  <c r="H10" i="504"/>
  <c r="F10" i="504"/>
  <c r="L96" i="343"/>
  <c r="M100" i="340"/>
  <c r="J96" i="343"/>
  <c r="E100" i="340"/>
  <c r="K96" i="343"/>
  <c r="I100" i="340"/>
  <c r="M37" i="340"/>
  <c r="M21" i="551" s="1"/>
  <c r="E171" i="588"/>
  <c r="G171" i="588" s="1"/>
  <c r="E80" i="338" s="1"/>
  <c r="G136" i="588"/>
  <c r="E33" i="337"/>
  <c r="D6" i="337" s="1"/>
  <c r="E101" i="337"/>
  <c r="D100" i="338"/>
  <c r="D102" i="338" s="1"/>
  <c r="D33" i="338" s="1"/>
  <c r="E96" i="337"/>
  <c r="F80" i="504"/>
  <c r="H80" i="504"/>
  <c r="J80" i="504" s="1"/>
  <c r="F87" i="338" s="1"/>
  <c r="G87" i="338" s="1"/>
  <c r="C86" i="343" s="1"/>
  <c r="H76" i="504"/>
  <c r="J76" i="504" s="1"/>
  <c r="F83" i="338" s="1"/>
  <c r="G83" i="338" s="1"/>
  <c r="C82" i="343" s="1"/>
  <c r="F76" i="504"/>
  <c r="D95" i="504"/>
  <c r="F93" i="504"/>
  <c r="F95" i="504" s="1"/>
  <c r="F25" i="504" s="1"/>
  <c r="H77" i="504"/>
  <c r="J77" i="504" s="1"/>
  <c r="F84" i="338" s="1"/>
  <c r="G84" i="338" s="1"/>
  <c r="C83" i="343" s="1"/>
  <c r="F77" i="504"/>
  <c r="H78" i="504"/>
  <c r="J78" i="504" s="1"/>
  <c r="F85" i="338" s="1"/>
  <c r="G85" i="338" s="1"/>
  <c r="C84" i="343" s="1"/>
  <c r="F78" i="504"/>
  <c r="H86" i="504"/>
  <c r="J86" i="504" s="1"/>
  <c r="F93" i="338" s="1"/>
  <c r="G93" i="338" s="1"/>
  <c r="C92" i="343" s="1"/>
  <c r="F86" i="504"/>
  <c r="H64" i="504"/>
  <c r="J64" i="504" s="1"/>
  <c r="F71" i="338" s="1"/>
  <c r="G71" i="338" s="1"/>
  <c r="C70" i="343" s="1"/>
  <c r="F64" i="504"/>
  <c r="H63" i="504"/>
  <c r="J63" i="504" s="1"/>
  <c r="F70" i="338" s="1"/>
  <c r="G70" i="338" s="1"/>
  <c r="C69" i="343" s="1"/>
  <c r="F63" i="504"/>
  <c r="H22" i="504"/>
  <c r="J22" i="504" s="1"/>
  <c r="F30" i="338" s="1"/>
  <c r="F22" i="504"/>
  <c r="F65" i="504"/>
  <c r="H65" i="504"/>
  <c r="J65" i="504" s="1"/>
  <c r="F72" i="338" s="1"/>
  <c r="G72" i="338" s="1"/>
  <c r="C71" i="343" s="1"/>
  <c r="H14" i="504"/>
  <c r="J14" i="504" s="1"/>
  <c r="F22" i="338" s="1"/>
  <c r="F14" i="504"/>
  <c r="H46" i="504"/>
  <c r="J46" i="504" s="1"/>
  <c r="F53" i="338" s="1"/>
  <c r="G53" i="338" s="1"/>
  <c r="C52" i="343" s="1"/>
  <c r="F46" i="504"/>
  <c r="H38" i="504"/>
  <c r="J38" i="504" s="1"/>
  <c r="F45" i="338" s="1"/>
  <c r="F38" i="504"/>
  <c r="H50" i="504"/>
  <c r="J50" i="504" s="1"/>
  <c r="F57" i="338" s="1"/>
  <c r="G57" i="338" s="1"/>
  <c r="C56" i="343" s="1"/>
  <c r="F50" i="504"/>
  <c r="F49" i="504"/>
  <c r="H49" i="504"/>
  <c r="J49" i="504" s="1"/>
  <c r="F56" i="338" s="1"/>
  <c r="G56" i="338" s="1"/>
  <c r="C55" i="343" s="1"/>
  <c r="H23" i="504"/>
  <c r="J23" i="504" s="1"/>
  <c r="F31" i="338" s="1"/>
  <c r="F23" i="504"/>
  <c r="F35" i="504"/>
  <c r="H35" i="504"/>
  <c r="J35" i="504" s="1"/>
  <c r="F42" i="338" s="1"/>
  <c r="G42" i="338" s="1"/>
  <c r="H31" i="504"/>
  <c r="J31" i="504" s="1"/>
  <c r="F38" i="338" s="1"/>
  <c r="G38" i="338" s="1"/>
  <c r="C37" i="343" s="1"/>
  <c r="F31" i="504"/>
  <c r="F72" i="504"/>
  <c r="H72" i="504"/>
  <c r="J72" i="504" s="1"/>
  <c r="F79" i="338" s="1"/>
  <c r="G79" i="338" s="1"/>
  <c r="C78" i="343" s="1"/>
  <c r="F36" i="504"/>
  <c r="H36" i="504"/>
  <c r="J36" i="504" s="1"/>
  <c r="F43" i="338" s="1"/>
  <c r="G43" i="338" s="1"/>
  <c r="C42" i="343" s="1"/>
  <c r="H30" i="504"/>
  <c r="J30" i="504" s="1"/>
  <c r="H75" i="504"/>
  <c r="J75" i="504" s="1"/>
  <c r="F82" i="338" s="1"/>
  <c r="G82" i="338" s="1"/>
  <c r="C81" i="343" s="1"/>
  <c r="F75" i="504"/>
  <c r="H8" i="504"/>
  <c r="J8" i="504" s="1"/>
  <c r="F16" i="338" s="1"/>
  <c r="G16" i="338" s="1"/>
  <c r="F8" i="504"/>
  <c r="H55" i="504"/>
  <c r="J55" i="504" s="1"/>
  <c r="F62" i="338" s="1"/>
  <c r="G62" i="338" s="1"/>
  <c r="C61" i="343" s="1"/>
  <c r="F55" i="504"/>
  <c r="H56" i="504"/>
  <c r="J56" i="504" s="1"/>
  <c r="F63" i="338" s="1"/>
  <c r="G63" i="338" s="1"/>
  <c r="C62" i="343" s="1"/>
  <c r="F56" i="504"/>
  <c r="H39" i="504"/>
  <c r="J39" i="504" s="1"/>
  <c r="F46" i="338" s="1"/>
  <c r="G46" i="338" s="1"/>
  <c r="C45" i="343" s="1"/>
  <c r="F39" i="504"/>
  <c r="H54" i="504"/>
  <c r="J54" i="504" s="1"/>
  <c r="F61" i="338" s="1"/>
  <c r="G61" i="338" s="1"/>
  <c r="C60" i="343" s="1"/>
  <c r="F54" i="504"/>
  <c r="H71" i="504"/>
  <c r="J71" i="504" s="1"/>
  <c r="F78" i="338" s="1"/>
  <c r="G78" i="338" s="1"/>
  <c r="F71" i="504"/>
  <c r="H16" i="504"/>
  <c r="J16" i="504" s="1"/>
  <c r="F24" i="338" s="1"/>
  <c r="F16" i="504"/>
  <c r="H73" i="504"/>
  <c r="J73" i="504" s="1"/>
  <c r="F80" i="338" s="1"/>
  <c r="F73" i="504"/>
  <c r="H18" i="504"/>
  <c r="J18" i="504" s="1"/>
  <c r="F26" i="338" s="1"/>
  <c r="F18" i="504"/>
  <c r="F37" i="504"/>
  <c r="H37" i="504"/>
  <c r="J37" i="504" s="1"/>
  <c r="F44" i="338" s="1"/>
  <c r="G44" i="338" s="1"/>
  <c r="F40" i="504"/>
  <c r="H40" i="504"/>
  <c r="J40" i="504" s="1"/>
  <c r="F47" i="338" s="1"/>
  <c r="G47" i="338" s="1"/>
  <c r="H13" i="504"/>
  <c r="J13" i="504" s="1"/>
  <c r="F21" i="338" s="1"/>
  <c r="F13" i="504"/>
  <c r="H51" i="504"/>
  <c r="J51" i="504" s="1"/>
  <c r="F58" i="338" s="1"/>
  <c r="G58" i="338" s="1"/>
  <c r="C57" i="343" s="1"/>
  <c r="F51" i="504"/>
  <c r="H15" i="504"/>
  <c r="J15" i="504" s="1"/>
  <c r="F23" i="338" s="1"/>
  <c r="F15" i="504"/>
  <c r="H95" i="504"/>
  <c r="H25" i="504" s="1"/>
  <c r="J25" i="504"/>
  <c r="H66" i="504"/>
  <c r="J66" i="504" s="1"/>
  <c r="F73" i="338" s="1"/>
  <c r="G73" i="338" s="1"/>
  <c r="C72" i="343" s="1"/>
  <c r="F66" i="504"/>
  <c r="H34" i="504"/>
  <c r="J34" i="504" s="1"/>
  <c r="F41" i="338" s="1"/>
  <c r="G41" i="338" s="1"/>
  <c r="C40" i="343" s="1"/>
  <c r="F34" i="504"/>
  <c r="F82" i="504"/>
  <c r="H82" i="504"/>
  <c r="J82" i="504" s="1"/>
  <c r="F89" i="338" s="1"/>
  <c r="G89" i="338" s="1"/>
  <c r="C88" i="343" s="1"/>
  <c r="F83" i="504"/>
  <c r="H83" i="504"/>
  <c r="J83" i="504" s="1"/>
  <c r="F90" i="338" s="1"/>
  <c r="G90" i="338" s="1"/>
  <c r="C89" i="343" s="1"/>
  <c r="H20" i="504"/>
  <c r="J20" i="504" s="1"/>
  <c r="F28" i="338" s="1"/>
  <c r="F20" i="504"/>
  <c r="H69" i="504"/>
  <c r="J69" i="504" s="1"/>
  <c r="F76" i="338" s="1"/>
  <c r="G76" i="338" s="1"/>
  <c r="C75" i="343" s="1"/>
  <c r="F69" i="504"/>
  <c r="F81" i="504"/>
  <c r="H81" i="504"/>
  <c r="J81" i="504" s="1"/>
  <c r="F88" i="338" s="1"/>
  <c r="G88" i="338" s="1"/>
  <c r="C87" i="343" s="1"/>
  <c r="H60" i="504"/>
  <c r="J60" i="504" s="1"/>
  <c r="F67" i="338" s="1"/>
  <c r="G67" i="338" s="1"/>
  <c r="C66" i="343" s="1"/>
  <c r="F60" i="504"/>
  <c r="H59" i="504"/>
  <c r="J59" i="504" s="1"/>
  <c r="F66" i="338" s="1"/>
  <c r="G66" i="338" s="1"/>
  <c r="C65" i="343" s="1"/>
  <c r="F59" i="504"/>
  <c r="H48" i="504"/>
  <c r="J48" i="504" s="1"/>
  <c r="F55" i="338" s="1"/>
  <c r="G55" i="338" s="1"/>
  <c r="F48" i="504"/>
  <c r="H61" i="504"/>
  <c r="J61" i="504" s="1"/>
  <c r="F68" i="338" s="1"/>
  <c r="G68" i="338" s="1"/>
  <c r="C67" i="343" s="1"/>
  <c r="F61" i="504"/>
  <c r="F41" i="504"/>
  <c r="H41" i="504"/>
  <c r="J41" i="504" s="1"/>
  <c r="F48" i="338" s="1"/>
  <c r="G48" i="338" s="1"/>
  <c r="C47" i="343" s="1"/>
  <c r="H42" i="504"/>
  <c r="J42" i="504" s="1"/>
  <c r="F49" i="338" s="1"/>
  <c r="G49" i="338" s="1"/>
  <c r="C48" i="343" s="1"/>
  <c r="F42" i="504"/>
  <c r="H17" i="504"/>
  <c r="J17" i="504" s="1"/>
  <c r="F25" i="338" s="1"/>
  <c r="F17" i="504"/>
  <c r="H53" i="504"/>
  <c r="J53" i="504" s="1"/>
  <c r="F60" i="338" s="1"/>
  <c r="G60" i="338" s="1"/>
  <c r="C59" i="343" s="1"/>
  <c r="F53" i="504"/>
  <c r="H45" i="504"/>
  <c r="J45" i="504" s="1"/>
  <c r="F52" i="338" s="1"/>
  <c r="G52" i="338" s="1"/>
  <c r="C51" i="343" s="1"/>
  <c r="F45" i="504"/>
  <c r="H43" i="504"/>
  <c r="J43" i="504" s="1"/>
  <c r="F50" i="338" s="1"/>
  <c r="G50" i="338" s="1"/>
  <c r="C49" i="343" s="1"/>
  <c r="F43" i="504"/>
  <c r="H33" i="504"/>
  <c r="J33" i="504" s="1"/>
  <c r="F40" i="338" s="1"/>
  <c r="G40" i="338" s="1"/>
  <c r="F33" i="504"/>
  <c r="F74" i="504"/>
  <c r="H74" i="504"/>
  <c r="J74" i="504" s="1"/>
  <c r="F81" i="338" s="1"/>
  <c r="G81" i="338" s="1"/>
  <c r="C80" i="343" s="1"/>
  <c r="F57" i="504"/>
  <c r="H57" i="504"/>
  <c r="J57" i="504" s="1"/>
  <c r="F64" i="338" s="1"/>
  <c r="G64" i="338" s="1"/>
  <c r="C63" i="343" s="1"/>
  <c r="H21" i="504"/>
  <c r="J21" i="504" s="1"/>
  <c r="F29" i="338" s="1"/>
  <c r="F21" i="504"/>
  <c r="H62" i="504"/>
  <c r="J62" i="504" s="1"/>
  <c r="F69" i="338" s="1"/>
  <c r="G69" i="338" s="1"/>
  <c r="C68" i="343" s="1"/>
  <c r="F62" i="504"/>
  <c r="H52" i="504"/>
  <c r="J52" i="504" s="1"/>
  <c r="F59" i="338" s="1"/>
  <c r="G59" i="338" s="1"/>
  <c r="C58" i="343" s="1"/>
  <c r="F52" i="504"/>
  <c r="F9" i="504"/>
  <c r="J9" i="504"/>
  <c r="F17" i="338" s="1"/>
  <c r="H88" i="504"/>
  <c r="J88" i="504" s="1"/>
  <c r="F95" i="338" s="1"/>
  <c r="G95" i="338" s="1"/>
  <c r="C94" i="343" s="1"/>
  <c r="F88" i="504"/>
  <c r="F87" i="504"/>
  <c r="H87" i="504"/>
  <c r="J87" i="504" s="1"/>
  <c r="F94" i="338" s="1"/>
  <c r="G94" i="338" s="1"/>
  <c r="H58" i="504"/>
  <c r="J58" i="504" s="1"/>
  <c r="F65" i="338" s="1"/>
  <c r="G65" i="338" s="1"/>
  <c r="C64" i="343" s="1"/>
  <c r="F58" i="504"/>
  <c r="H89" i="504"/>
  <c r="J89" i="504" s="1"/>
  <c r="F96" i="338" s="1"/>
  <c r="G96" i="338" s="1"/>
  <c r="F89" i="504"/>
  <c r="H67" i="504"/>
  <c r="J67" i="504" s="1"/>
  <c r="F74" i="338" s="1"/>
  <c r="G74" i="338" s="1"/>
  <c r="C73" i="343" s="1"/>
  <c r="F67" i="504"/>
  <c r="F68" i="504"/>
  <c r="H68" i="504"/>
  <c r="J68" i="504" s="1"/>
  <c r="F75" i="338" s="1"/>
  <c r="G75" i="338" s="1"/>
  <c r="C74" i="343" s="1"/>
  <c r="F32" i="504"/>
  <c r="H32" i="504"/>
  <c r="J32" i="504" s="1"/>
  <c r="F39" i="338" s="1"/>
  <c r="G39" i="338" s="1"/>
  <c r="C38" i="343" s="1"/>
  <c r="F70" i="504"/>
  <c r="H70" i="504"/>
  <c r="J70" i="504" s="1"/>
  <c r="F77" i="338" s="1"/>
  <c r="G77" i="338" s="1"/>
  <c r="C76" i="343" s="1"/>
  <c r="H19" i="504"/>
  <c r="J19" i="504" s="1"/>
  <c r="F27" i="338" s="1"/>
  <c r="F19" i="504"/>
  <c r="H44" i="504"/>
  <c r="J44" i="504" s="1"/>
  <c r="F51" i="338" s="1"/>
  <c r="G51" i="338" s="1"/>
  <c r="C50" i="343" s="1"/>
  <c r="F44" i="504"/>
  <c r="H12" i="504"/>
  <c r="J12" i="504" s="1"/>
  <c r="F20" i="338" s="1"/>
  <c r="F12" i="504"/>
  <c r="H84" i="504"/>
  <c r="J84" i="504" s="1"/>
  <c r="F91" i="338" s="1"/>
  <c r="G91" i="338" s="1"/>
  <c r="F84" i="504"/>
  <c r="H47" i="504"/>
  <c r="J47" i="504" s="1"/>
  <c r="F54" i="338" s="1"/>
  <c r="G54" i="338" s="1"/>
  <c r="F47" i="504"/>
  <c r="F11" i="504"/>
  <c r="H11" i="504"/>
  <c r="J11" i="504" s="1"/>
  <c r="F19" i="338" s="1"/>
  <c r="L101" i="343"/>
  <c r="K101" i="343"/>
  <c r="K32" i="343" s="1"/>
  <c r="J101" i="343"/>
  <c r="J32" i="343" s="1"/>
  <c r="E29" i="338"/>
  <c r="G104" i="588"/>
  <c r="G70" i="588"/>
  <c r="E23" i="338"/>
  <c r="E24" i="338"/>
  <c r="G76" i="588"/>
  <c r="M105" i="340"/>
  <c r="I105" i="340"/>
  <c r="G31" i="588"/>
  <c r="E17" i="338"/>
  <c r="G87" i="588"/>
  <c r="E26" i="338"/>
  <c r="E20" i="338"/>
  <c r="G54" i="588"/>
  <c r="E105" i="340"/>
  <c r="E36" i="340" s="1"/>
  <c r="G58" i="588"/>
  <c r="E21" i="338"/>
  <c r="D97" i="338"/>
  <c r="D32" i="338" s="1"/>
  <c r="E19" i="338"/>
  <c r="E27" i="338"/>
  <c r="G96" i="588"/>
  <c r="E22" i="338"/>
  <c r="G66" i="588"/>
  <c r="E30" i="338"/>
  <c r="G114" i="588"/>
  <c r="E28" i="338"/>
  <c r="G100" i="588"/>
  <c r="E18" i="338"/>
  <c r="G36" i="588"/>
  <c r="E31" i="338"/>
  <c r="G120" i="588"/>
  <c r="G83" i="588"/>
  <c r="E25" i="338"/>
  <c r="L32" i="343" l="1"/>
  <c r="L102" i="343" s="1"/>
  <c r="L31" i="343"/>
  <c r="K31" i="343"/>
  <c r="K97" i="343" s="1"/>
  <c r="J31" i="343"/>
  <c r="J97" i="343" s="1"/>
  <c r="I36" i="340"/>
  <c r="I37" i="340" s="1"/>
  <c r="M19" i="551" s="1"/>
  <c r="K7" i="504"/>
  <c r="E37" i="340"/>
  <c r="M17" i="551" s="1"/>
  <c r="G188" i="588"/>
  <c r="E45" i="338"/>
  <c r="G45" i="338" s="1"/>
  <c r="C44" i="343" s="1"/>
  <c r="G80" i="338"/>
  <c r="C79" i="343" s="1"/>
  <c r="D34" i="338"/>
  <c r="G28" i="338"/>
  <c r="C27" i="343" s="1"/>
  <c r="N27" i="343" s="1"/>
  <c r="J10" i="504"/>
  <c r="F18" i="338" s="1"/>
  <c r="G18" i="338" s="1"/>
  <c r="G22" i="338"/>
  <c r="C21" i="343" s="1"/>
  <c r="N21" i="343" s="1"/>
  <c r="G27" i="338"/>
  <c r="C26" i="343" s="1"/>
  <c r="N26" i="343" s="1"/>
  <c r="C33" i="337"/>
  <c r="G29" i="338"/>
  <c r="C28" i="343" s="1"/>
  <c r="N28" i="343" s="1"/>
  <c r="K21" i="504"/>
  <c r="G23" i="338"/>
  <c r="C22" i="343" s="1"/>
  <c r="N22" i="343" s="1"/>
  <c r="G25" i="338"/>
  <c r="C24" i="343" s="1"/>
  <c r="N24" i="343" s="1"/>
  <c r="G26" i="338"/>
  <c r="C25" i="343" s="1"/>
  <c r="N25" i="343" s="1"/>
  <c r="G24" i="338"/>
  <c r="C23" i="343" s="1"/>
  <c r="N23" i="343" s="1"/>
  <c r="K18" i="504"/>
  <c r="K23" i="504"/>
  <c r="K9" i="504"/>
  <c r="G20" i="338"/>
  <c r="C19" i="343" s="1"/>
  <c r="N19" i="343" s="1"/>
  <c r="K16" i="504"/>
  <c r="K15" i="504"/>
  <c r="C95" i="343"/>
  <c r="H96" i="338"/>
  <c r="H90" i="504"/>
  <c r="H24" i="504" s="1"/>
  <c r="H26" i="504" s="1"/>
  <c r="K11" i="504"/>
  <c r="K10" i="504"/>
  <c r="K22" i="504"/>
  <c r="K17" i="504"/>
  <c r="K12" i="504"/>
  <c r="K20" i="504"/>
  <c r="K13" i="504"/>
  <c r="K8" i="504"/>
  <c r="K14" i="504"/>
  <c r="K25" i="504"/>
  <c r="K19" i="504"/>
  <c r="F90" i="504"/>
  <c r="F24" i="504" s="1"/>
  <c r="G21" i="338"/>
  <c r="C20" i="343" s="1"/>
  <c r="N20" i="343" s="1"/>
  <c r="C41" i="343"/>
  <c r="H42" i="338"/>
  <c r="C93" i="343"/>
  <c r="H94" i="338"/>
  <c r="G30" i="338"/>
  <c r="C29" i="343" s="1"/>
  <c r="N29" i="343" s="1"/>
  <c r="G31" i="338"/>
  <c r="C30" i="343" s="1"/>
  <c r="N30" i="343" s="1"/>
  <c r="G17" i="338"/>
  <c r="C16" i="343" s="1"/>
  <c r="N16" i="343" s="1"/>
  <c r="C90" i="343"/>
  <c r="H91" i="338"/>
  <c r="G19" i="338"/>
  <c r="C18" i="343" s="1"/>
  <c r="N18" i="343" s="1"/>
  <c r="H61" i="338"/>
  <c r="C43" i="343"/>
  <c r="H44" i="338"/>
  <c r="H53" i="338"/>
  <c r="H51" i="338"/>
  <c r="H85" i="338"/>
  <c r="C53" i="343"/>
  <c r="H54" i="338"/>
  <c r="H58" i="338"/>
  <c r="H49" i="338"/>
  <c r="H88" i="338"/>
  <c r="J102" i="343"/>
  <c r="H56" i="338"/>
  <c r="H62" i="338"/>
  <c r="H55" i="338"/>
  <c r="C54" i="343"/>
  <c r="H40" i="338"/>
  <c r="C39" i="343"/>
  <c r="H47" i="338"/>
  <c r="C46" i="343"/>
  <c r="H16" i="338"/>
  <c r="C15" i="343"/>
  <c r="N15" i="343" s="1"/>
  <c r="H78" i="338"/>
  <c r="C77" i="343"/>
  <c r="H60" i="338"/>
  <c r="H48" i="338"/>
  <c r="H66" i="338"/>
  <c r="H67" i="338"/>
  <c r="H68" i="338"/>
  <c r="H82" i="338"/>
  <c r="H39" i="338"/>
  <c r="H52" i="338"/>
  <c r="H63" i="338"/>
  <c r="H64" i="338"/>
  <c r="H95" i="338"/>
  <c r="H46" i="338"/>
  <c r="H59" i="338"/>
  <c r="H81" i="338"/>
  <c r="H84" i="338"/>
  <c r="H76" i="338"/>
  <c r="H71" i="338"/>
  <c r="H50" i="338"/>
  <c r="H90" i="338"/>
  <c r="H57" i="338"/>
  <c r="H72" i="338"/>
  <c r="H69" i="338"/>
  <c r="H41" i="338"/>
  <c r="H79" i="338"/>
  <c r="H87" i="338"/>
  <c r="H89" i="338"/>
  <c r="H65" i="338"/>
  <c r="H75" i="338"/>
  <c r="H73" i="338"/>
  <c r="H93" i="338"/>
  <c r="H83" i="338"/>
  <c r="H70" i="338"/>
  <c r="H74" i="338"/>
  <c r="H43" i="338"/>
  <c r="H77" i="338"/>
  <c r="H38" i="338"/>
  <c r="J90" i="504"/>
  <c r="J24" i="504" s="1"/>
  <c r="F37" i="338"/>
  <c r="F15" i="338"/>
  <c r="G15" i="338" s="1"/>
  <c r="F100" i="338"/>
  <c r="L33" i="343" l="1"/>
  <c r="L34" i="343" s="1"/>
  <c r="L97" i="343"/>
  <c r="K102" i="343"/>
  <c r="F26" i="504"/>
  <c r="K24" i="504"/>
  <c r="H28" i="338"/>
  <c r="H80" i="338"/>
  <c r="E97" i="338"/>
  <c r="G189" i="588" s="1"/>
  <c r="H27" i="338"/>
  <c r="H29" i="338"/>
  <c r="H23" i="338"/>
  <c r="H25" i="338"/>
  <c r="C17" i="343"/>
  <c r="N17" i="343" s="1"/>
  <c r="H18" i="338"/>
  <c r="H22" i="338"/>
  <c r="H26" i="338"/>
  <c r="H24" i="338"/>
  <c r="H30" i="338"/>
  <c r="H20" i="338"/>
  <c r="H31" i="338"/>
  <c r="H21" i="338"/>
  <c r="H19" i="338"/>
  <c r="H17" i="338"/>
  <c r="H45" i="338"/>
  <c r="T13" i="608"/>
  <c r="U13" i="332"/>
  <c r="U34" i="332" s="1"/>
  <c r="J33" i="343"/>
  <c r="J34" i="343" s="1"/>
  <c r="D6" i="340"/>
  <c r="J26" i="504"/>
  <c r="F97" i="338"/>
  <c r="F32" i="338" s="1"/>
  <c r="G37" i="338"/>
  <c r="C36" i="343" s="1"/>
  <c r="C96" i="343" s="1"/>
  <c r="C31" i="343" s="1"/>
  <c r="G100" i="338"/>
  <c r="C99" i="343" s="1"/>
  <c r="F102" i="338"/>
  <c r="F33" i="338" s="1"/>
  <c r="G33" i="338" s="1"/>
  <c r="C14" i="343"/>
  <c r="N14" i="343" s="1"/>
  <c r="K33" i="343" l="1"/>
  <c r="K34" i="343" s="1"/>
  <c r="E32" i="338"/>
  <c r="E34" i="338" s="1"/>
  <c r="D21" i="332"/>
  <c r="E10" i="551"/>
  <c r="D27" i="332"/>
  <c r="D17" i="332"/>
  <c r="D19" i="332"/>
  <c r="D23" i="332"/>
  <c r="D24" i="332"/>
  <c r="D33" i="332"/>
  <c r="D11" i="332"/>
  <c r="D12" i="332"/>
  <c r="D26" i="332"/>
  <c r="M13" i="551"/>
  <c r="D14" i="332"/>
  <c r="D13" i="332"/>
  <c r="C6" i="336"/>
  <c r="E6" i="336" s="1"/>
  <c r="C6" i="601" s="1"/>
  <c r="E6" i="601" s="1"/>
  <c r="C6" i="337" s="1"/>
  <c r="E6" i="337" s="1"/>
  <c r="C6" i="338" s="1"/>
  <c r="D8" i="332"/>
  <c r="D18" i="332"/>
  <c r="D28" i="332"/>
  <c r="D20" i="332"/>
  <c r="D10" i="332"/>
  <c r="D9" i="332"/>
  <c r="D22" i="332"/>
  <c r="D32" i="333"/>
  <c r="E32" i="333" s="1"/>
  <c r="D16" i="332"/>
  <c r="D29" i="332"/>
  <c r="D15" i="332"/>
  <c r="D25" i="332"/>
  <c r="D32" i="332"/>
  <c r="I9" i="622"/>
  <c r="C101" i="343"/>
  <c r="C32" i="343" s="1"/>
  <c r="N32" i="343" s="1"/>
  <c r="H33" i="338"/>
  <c r="G97" i="338"/>
  <c r="H97" i="338" s="1"/>
  <c r="H37" i="338"/>
  <c r="H15" i="338"/>
  <c r="G102" i="338"/>
  <c r="H100" i="338"/>
  <c r="H102" i="338" s="1"/>
  <c r="F34" i="338"/>
  <c r="G32" i="338" l="1"/>
  <c r="N31" i="343" s="1"/>
  <c r="E48" i="551"/>
  <c r="E12" i="551"/>
  <c r="I33" i="622"/>
  <c r="E11" i="551"/>
  <c r="D6" i="338"/>
  <c r="D34" i="332"/>
  <c r="D35" i="333"/>
  <c r="D34" i="333"/>
  <c r="C102" i="343"/>
  <c r="G34" i="338" l="1"/>
  <c r="C33" i="343" s="1"/>
  <c r="H32" i="338"/>
  <c r="C97" i="343"/>
  <c r="E6" i="338"/>
  <c r="C6" i="340" s="1"/>
  <c r="E6" i="340" s="1"/>
  <c r="C6" i="343" s="1"/>
  <c r="E14" i="343" s="1"/>
  <c r="D91" i="343" l="1"/>
  <c r="D36" i="343"/>
  <c r="E36" i="343" s="1"/>
  <c r="G36" i="343" s="1"/>
  <c r="D17" i="343"/>
  <c r="E17" i="343" s="1"/>
  <c r="G17" i="343" s="1"/>
  <c r="M17" i="343" s="1"/>
  <c r="D22" i="343"/>
  <c r="D71" i="343"/>
  <c r="E71" i="343" s="1"/>
  <c r="D48" i="343"/>
  <c r="E48" i="343" s="1"/>
  <c r="D67" i="343"/>
  <c r="E67" i="343" s="1"/>
  <c r="D69" i="343"/>
  <c r="E69" i="343" s="1"/>
  <c r="D60" i="343"/>
  <c r="E60" i="343" s="1"/>
  <c r="D19" i="343"/>
  <c r="E19" i="343" s="1"/>
  <c r="G19" i="343" s="1"/>
  <c r="M19" i="343" s="1"/>
  <c r="D95" i="343"/>
  <c r="E95" i="343" s="1"/>
  <c r="D58" i="343"/>
  <c r="E58" i="343" s="1"/>
  <c r="D63" i="343"/>
  <c r="E63" i="343" s="1"/>
  <c r="D80" i="343"/>
  <c r="E80" i="343" s="1"/>
  <c r="D84" i="343"/>
  <c r="E84" i="343" s="1"/>
  <c r="D82" i="343"/>
  <c r="E82" i="343" s="1"/>
  <c r="D30" i="343"/>
  <c r="E30" i="343" s="1"/>
  <c r="D88" i="343"/>
  <c r="E88" i="343" s="1"/>
  <c r="D29" i="343"/>
  <c r="E29" i="343" s="1"/>
  <c r="G29" i="343" s="1"/>
  <c r="M29" i="343" s="1"/>
  <c r="D86" i="343"/>
  <c r="E86" i="343" s="1"/>
  <c r="D70" i="343"/>
  <c r="E70" i="343" s="1"/>
  <c r="D28" i="343"/>
  <c r="E28" i="343" s="1"/>
  <c r="D96" i="343"/>
  <c r="D31" i="343" s="1"/>
  <c r="E31" i="343" s="1"/>
  <c r="D44" i="343"/>
  <c r="E44" i="343" s="1"/>
  <c r="D89" i="343"/>
  <c r="E89" i="343" s="1"/>
  <c r="D72" i="343"/>
  <c r="E72" i="343" s="1"/>
  <c r="H34" i="338"/>
  <c r="D25" i="343"/>
  <c r="E25" i="343" s="1"/>
  <c r="D26" i="343"/>
  <c r="E26" i="343" s="1"/>
  <c r="G26" i="343" s="1"/>
  <c r="M26" i="343" s="1"/>
  <c r="D42" i="343"/>
  <c r="E42" i="343" s="1"/>
  <c r="D38" i="343"/>
  <c r="E38" i="343" s="1"/>
  <c r="D46" i="343"/>
  <c r="E46" i="343" s="1"/>
  <c r="D16" i="343"/>
  <c r="E16" i="343" s="1"/>
  <c r="G16" i="343" s="1"/>
  <c r="M16" i="343" s="1"/>
  <c r="D21" i="343"/>
  <c r="E21" i="343" s="1"/>
  <c r="D74" i="343"/>
  <c r="E74" i="343" s="1"/>
  <c r="D41" i="343"/>
  <c r="E41" i="343" s="1"/>
  <c r="D100" i="343"/>
  <c r="E100" i="343" s="1"/>
  <c r="G100" i="343" s="1"/>
  <c r="M100" i="343" s="1"/>
  <c r="E96" i="602" s="1"/>
  <c r="D99" i="343"/>
  <c r="E99" i="343" s="1"/>
  <c r="G99" i="343" s="1"/>
  <c r="D65" i="343"/>
  <c r="E65" i="343" s="1"/>
  <c r="D56" i="343"/>
  <c r="E56" i="343" s="1"/>
  <c r="D43" i="343"/>
  <c r="E43" i="343" s="1"/>
  <c r="C34" i="343"/>
  <c r="D23" i="343"/>
  <c r="E23" i="343" s="1"/>
  <c r="D81" i="343"/>
  <c r="E81" i="343" s="1"/>
  <c r="D45" i="343"/>
  <c r="E45" i="343" s="1"/>
  <c r="D50" i="343"/>
  <c r="E50" i="343" s="1"/>
  <c r="D47" i="343"/>
  <c r="E47" i="343" s="1"/>
  <c r="D90" i="343"/>
  <c r="E90" i="343" s="1"/>
  <c r="E91" i="343"/>
  <c r="D24" i="343"/>
  <c r="E24" i="343" s="1"/>
  <c r="D92" i="343"/>
  <c r="E92" i="343" s="1"/>
  <c r="D94" i="343"/>
  <c r="E94" i="343" s="1"/>
  <c r="D79" i="343"/>
  <c r="E79" i="343" s="1"/>
  <c r="D52" i="343"/>
  <c r="E52" i="343" s="1"/>
  <c r="D27" i="343"/>
  <c r="E27" i="343" s="1"/>
  <c r="D20" i="343"/>
  <c r="E20" i="343" s="1"/>
  <c r="G20" i="343" s="1"/>
  <c r="M20" i="343" s="1"/>
  <c r="D51" i="343"/>
  <c r="E51" i="343" s="1"/>
  <c r="D66" i="343"/>
  <c r="E66" i="343" s="1"/>
  <c r="D78" i="343"/>
  <c r="E78" i="343" s="1"/>
  <c r="D83" i="343"/>
  <c r="E83" i="343" s="1"/>
  <c r="D73" i="343"/>
  <c r="E73" i="343" s="1"/>
  <c r="D54" i="343"/>
  <c r="E54" i="343" s="1"/>
  <c r="D18" i="343"/>
  <c r="E18" i="343" s="1"/>
  <c r="D76" i="343"/>
  <c r="E76" i="343" s="1"/>
  <c r="D68" i="343"/>
  <c r="E68" i="343" s="1"/>
  <c r="D37" i="343"/>
  <c r="E37" i="343" s="1"/>
  <c r="D15" i="343"/>
  <c r="E15" i="343" s="1"/>
  <c r="G15" i="343" s="1"/>
  <c r="M15" i="343" s="1"/>
  <c r="D49" i="343"/>
  <c r="E49" i="343" s="1"/>
  <c r="D75" i="343"/>
  <c r="E75" i="343" s="1"/>
  <c r="D62" i="343"/>
  <c r="E62" i="343" s="1"/>
  <c r="D40" i="343"/>
  <c r="E40" i="343" s="1"/>
  <c r="D64" i="343"/>
  <c r="E64" i="343" s="1"/>
  <c r="D57" i="343"/>
  <c r="E57" i="343" s="1"/>
  <c r="D93" i="343"/>
  <c r="E93" i="343" s="1"/>
  <c r="D39" i="343"/>
  <c r="E39" i="343" s="1"/>
  <c r="D55" i="343"/>
  <c r="E55" i="343" s="1"/>
  <c r="M36" i="343"/>
  <c r="D59" i="343"/>
  <c r="E59" i="343" s="1"/>
  <c r="D85" i="343"/>
  <c r="E85" i="343" s="1"/>
  <c r="D87" i="343"/>
  <c r="E87" i="343" s="1"/>
  <c r="D101" i="343"/>
  <c r="D32" i="343" s="1"/>
  <c r="E32" i="343" s="1"/>
  <c r="D61" i="343"/>
  <c r="E61" i="343" s="1"/>
  <c r="D77" i="343"/>
  <c r="E77" i="343" s="1"/>
  <c r="D53" i="343"/>
  <c r="E53" i="343" s="1"/>
  <c r="E22" i="343"/>
  <c r="G56" i="343" l="1"/>
  <c r="M56" i="343" s="1"/>
  <c r="E50" i="602" s="1"/>
  <c r="F50" i="602" s="1"/>
  <c r="G46" i="343"/>
  <c r="M46" i="343" s="1"/>
  <c r="E40" i="602" s="1"/>
  <c r="F40" i="602" s="1"/>
  <c r="G44" i="343"/>
  <c r="M44" i="343" s="1"/>
  <c r="E38" i="602" s="1"/>
  <c r="F38" i="602" s="1"/>
  <c r="G82" i="343"/>
  <c r="M82" i="343" s="1"/>
  <c r="E76" i="602" s="1"/>
  <c r="F76" i="602" s="1"/>
  <c r="G69" i="343"/>
  <c r="M69" i="343" s="1"/>
  <c r="E63" i="602" s="1"/>
  <c r="F63" i="602" s="1"/>
  <c r="G23" i="343"/>
  <c r="M23" i="343" s="1"/>
  <c r="E17" i="602" s="1"/>
  <c r="G59" i="343"/>
  <c r="M59" i="343" s="1"/>
  <c r="E53" i="602" s="1"/>
  <c r="F53" i="602" s="1"/>
  <c r="G62" i="343"/>
  <c r="M62" i="343" s="1"/>
  <c r="E56" i="602" s="1"/>
  <c r="F56" i="602" s="1"/>
  <c r="G18" i="343"/>
  <c r="M18" i="343" s="1"/>
  <c r="E12" i="602" s="1"/>
  <c r="G27" i="343"/>
  <c r="M27" i="343" s="1"/>
  <c r="E21" i="602" s="1"/>
  <c r="G47" i="343"/>
  <c r="M47" i="343" s="1"/>
  <c r="E41" i="602" s="1"/>
  <c r="F41" i="602" s="1"/>
  <c r="G65" i="343"/>
  <c r="M65" i="343" s="1"/>
  <c r="E59" i="602" s="1"/>
  <c r="F59" i="602" s="1"/>
  <c r="G38" i="343"/>
  <c r="M38" i="343" s="1"/>
  <c r="E32" i="602" s="1"/>
  <c r="F32" i="602" s="1"/>
  <c r="G84" i="343"/>
  <c r="M84" i="343" s="1"/>
  <c r="E78" i="602" s="1"/>
  <c r="F78" i="602" s="1"/>
  <c r="G40" i="343"/>
  <c r="M40" i="343" s="1"/>
  <c r="E34" i="602" s="1"/>
  <c r="F34" i="602" s="1"/>
  <c r="G90" i="343"/>
  <c r="M90" i="343" s="1"/>
  <c r="E84" i="602" s="1"/>
  <c r="F84" i="602" s="1"/>
  <c r="G22" i="343"/>
  <c r="M22" i="343" s="1"/>
  <c r="E16" i="602" s="1"/>
  <c r="G75" i="343"/>
  <c r="M75" i="343" s="1"/>
  <c r="E69" i="602" s="1"/>
  <c r="F69" i="602" s="1"/>
  <c r="G54" i="343"/>
  <c r="M54" i="343" s="1"/>
  <c r="E48" i="602" s="1"/>
  <c r="F48" i="602" s="1"/>
  <c r="G52" i="343"/>
  <c r="M52" i="343" s="1"/>
  <c r="E46" i="602" s="1"/>
  <c r="F46" i="602" s="1"/>
  <c r="G50" i="343"/>
  <c r="M50" i="343" s="1"/>
  <c r="E44" i="602" s="1"/>
  <c r="F44" i="602" s="1"/>
  <c r="G42" i="343"/>
  <c r="M42" i="343" s="1"/>
  <c r="E36" i="602" s="1"/>
  <c r="F36" i="602" s="1"/>
  <c r="G28" i="343"/>
  <c r="M28" i="343" s="1"/>
  <c r="E22" i="602" s="1"/>
  <c r="G80" i="343"/>
  <c r="M80" i="343" s="1"/>
  <c r="E74" i="602" s="1"/>
  <c r="F74" i="602" s="1"/>
  <c r="G48" i="343"/>
  <c r="M48" i="343" s="1"/>
  <c r="E42" i="602" s="1"/>
  <c r="F42" i="602" s="1"/>
  <c r="G66" i="343"/>
  <c r="M66" i="343" s="1"/>
  <c r="E60" i="602" s="1"/>
  <c r="F60" i="602" s="1"/>
  <c r="G70" i="343"/>
  <c r="M70" i="343" s="1"/>
  <c r="E64" i="602" s="1"/>
  <c r="F64" i="602" s="1"/>
  <c r="G63" i="343"/>
  <c r="M63" i="343" s="1"/>
  <c r="E57" i="602" s="1"/>
  <c r="F57" i="602" s="1"/>
  <c r="G71" i="343"/>
  <c r="M71" i="343" s="1"/>
  <c r="E65" i="602" s="1"/>
  <c r="F65" i="602" s="1"/>
  <c r="G24" i="343"/>
  <c r="M24" i="343" s="1"/>
  <c r="E18" i="602" s="1"/>
  <c r="G67" i="343"/>
  <c r="M67" i="343" s="1"/>
  <c r="E61" i="602" s="1"/>
  <c r="F61" i="602" s="1"/>
  <c r="G53" i="343"/>
  <c r="M53" i="343" s="1"/>
  <c r="E47" i="602" s="1"/>
  <c r="F47" i="602" s="1"/>
  <c r="G49" i="343"/>
  <c r="M49" i="343" s="1"/>
  <c r="E43" i="602" s="1"/>
  <c r="F43" i="602" s="1"/>
  <c r="G45" i="343"/>
  <c r="M45" i="343" s="1"/>
  <c r="E39" i="602" s="1"/>
  <c r="F39" i="602" s="1"/>
  <c r="G39" i="343"/>
  <c r="M39" i="343" s="1"/>
  <c r="E33" i="602" s="1"/>
  <c r="F33" i="602" s="1"/>
  <c r="G83" i="343"/>
  <c r="M83" i="343" s="1"/>
  <c r="E77" i="602" s="1"/>
  <c r="F77" i="602" s="1"/>
  <c r="G94" i="343"/>
  <c r="M94" i="343" s="1"/>
  <c r="E88" i="602" s="1"/>
  <c r="F88" i="602" s="1"/>
  <c r="G81" i="343"/>
  <c r="M81" i="343" s="1"/>
  <c r="E75" i="602" s="1"/>
  <c r="F75" i="602" s="1"/>
  <c r="G41" i="343"/>
  <c r="M41" i="343" s="1"/>
  <c r="E35" i="602" s="1"/>
  <c r="G25" i="343"/>
  <c r="M25" i="343" s="1"/>
  <c r="E19" i="602" s="1"/>
  <c r="G86" i="343"/>
  <c r="M86" i="343" s="1"/>
  <c r="E80" i="602" s="1"/>
  <c r="F80" i="602" s="1"/>
  <c r="G58" i="343"/>
  <c r="M58" i="343" s="1"/>
  <c r="E52" i="602" s="1"/>
  <c r="F52" i="602" s="1"/>
  <c r="G57" i="343"/>
  <c r="M57" i="343" s="1"/>
  <c r="E51" i="602" s="1"/>
  <c r="F51" i="602" s="1"/>
  <c r="G85" i="343"/>
  <c r="M85" i="343" s="1"/>
  <c r="E79" i="602" s="1"/>
  <c r="F79" i="602" s="1"/>
  <c r="G76" i="343"/>
  <c r="M76" i="343" s="1"/>
  <c r="E70" i="602" s="1"/>
  <c r="F70" i="602" s="1"/>
  <c r="G55" i="343"/>
  <c r="M55" i="343" s="1"/>
  <c r="E49" i="602" s="1"/>
  <c r="F49" i="602" s="1"/>
  <c r="G73" i="343"/>
  <c r="M73" i="343" s="1"/>
  <c r="E67" i="602" s="1"/>
  <c r="F67" i="602" s="1"/>
  <c r="G79" i="343"/>
  <c r="M79" i="343" s="1"/>
  <c r="E73" i="602" s="1"/>
  <c r="F73" i="602" s="1"/>
  <c r="G77" i="343"/>
  <c r="M77" i="343" s="1"/>
  <c r="E71" i="602" s="1"/>
  <c r="F71" i="602" s="1"/>
  <c r="G61" i="343"/>
  <c r="M61" i="343" s="1"/>
  <c r="E55" i="602" s="1"/>
  <c r="F55" i="602" s="1"/>
  <c r="G93" i="343"/>
  <c r="M93" i="343" s="1"/>
  <c r="E87" i="602" s="1"/>
  <c r="F87" i="602" s="1"/>
  <c r="G37" i="343"/>
  <c r="M37" i="343" s="1"/>
  <c r="G78" i="343"/>
  <c r="M78" i="343" s="1"/>
  <c r="E72" i="602" s="1"/>
  <c r="F72" i="602" s="1"/>
  <c r="G92" i="343"/>
  <c r="M92" i="343" s="1"/>
  <c r="E86" i="602" s="1"/>
  <c r="F86" i="602" s="1"/>
  <c r="G74" i="343"/>
  <c r="M74" i="343" s="1"/>
  <c r="E68" i="602" s="1"/>
  <c r="F68" i="602" s="1"/>
  <c r="G95" i="343"/>
  <c r="M95" i="343" s="1"/>
  <c r="E89" i="602" s="1"/>
  <c r="F89" i="602" s="1"/>
  <c r="G14" i="343"/>
  <c r="M14" i="343" s="1"/>
  <c r="G21" i="343"/>
  <c r="M21" i="343" s="1"/>
  <c r="E15" i="602" s="1"/>
  <c r="G72" i="343"/>
  <c r="M72" i="343" s="1"/>
  <c r="E66" i="602" s="1"/>
  <c r="F66" i="602" s="1"/>
  <c r="G88" i="343"/>
  <c r="M88" i="343" s="1"/>
  <c r="E82" i="602" s="1"/>
  <c r="F82" i="602" s="1"/>
  <c r="G87" i="343"/>
  <c r="M87" i="343" s="1"/>
  <c r="E81" i="602" s="1"/>
  <c r="F81" i="602" s="1"/>
  <c r="G64" i="343"/>
  <c r="M64" i="343" s="1"/>
  <c r="E58" i="602" s="1"/>
  <c r="F58" i="602" s="1"/>
  <c r="G68" i="343"/>
  <c r="M68" i="343" s="1"/>
  <c r="E62" i="602" s="1"/>
  <c r="F62" i="602" s="1"/>
  <c r="G51" i="343"/>
  <c r="M51" i="343" s="1"/>
  <c r="E45" i="602" s="1"/>
  <c r="F45" i="602" s="1"/>
  <c r="G91" i="343"/>
  <c r="M91" i="343" s="1"/>
  <c r="E85" i="602" s="1"/>
  <c r="F85" i="602" s="1"/>
  <c r="G43" i="343"/>
  <c r="M43" i="343" s="1"/>
  <c r="E37" i="602" s="1"/>
  <c r="F37" i="602" s="1"/>
  <c r="G89" i="343"/>
  <c r="M89" i="343" s="1"/>
  <c r="E83" i="602" s="1"/>
  <c r="F83" i="602" s="1"/>
  <c r="G30" i="343"/>
  <c r="M30" i="343" s="1"/>
  <c r="E24" i="602" s="1"/>
  <c r="G60" i="343"/>
  <c r="M60" i="343" s="1"/>
  <c r="E54" i="602" s="1"/>
  <c r="F54" i="602" s="1"/>
  <c r="D33" i="343"/>
  <c r="E33" i="343" s="1"/>
  <c r="D6" i="343" s="1"/>
  <c r="E6" i="343" s="1"/>
  <c r="E14" i="602"/>
  <c r="Q14" i="602" s="1"/>
  <c r="E10" i="602"/>
  <c r="E11" i="602"/>
  <c r="E96" i="343"/>
  <c r="E97" i="343" s="1"/>
  <c r="E101" i="343"/>
  <c r="E102" i="343" s="1"/>
  <c r="G101" i="343"/>
  <c r="E30" i="602"/>
  <c r="F35" i="602" l="1"/>
  <c r="E91" i="602"/>
  <c r="F91" i="602" s="1"/>
  <c r="F22" i="602"/>
  <c r="K22" i="602" s="1"/>
  <c r="D25" i="604" s="1"/>
  <c r="Q22" i="602"/>
  <c r="F18" i="602"/>
  <c r="K18" i="602" s="1"/>
  <c r="D21" i="620" s="1"/>
  <c r="Q18" i="602"/>
  <c r="Q17" i="602"/>
  <c r="F17" i="602"/>
  <c r="K17" i="602" s="1"/>
  <c r="AA20" i="604" s="1"/>
  <c r="Q19" i="602"/>
  <c r="F19" i="602"/>
  <c r="K19" i="602" s="1"/>
  <c r="S19" i="602" s="1"/>
  <c r="F24" i="602"/>
  <c r="K24" i="602" s="1"/>
  <c r="S24" i="602" s="1"/>
  <c r="Q24" i="602"/>
  <c r="F21" i="602"/>
  <c r="K21" i="602" s="1"/>
  <c r="Q21" i="602"/>
  <c r="E31" i="602"/>
  <c r="F31" i="602" s="1"/>
  <c r="M96" i="343"/>
  <c r="M31" i="343" s="1"/>
  <c r="E25" i="602" s="1"/>
  <c r="F25" i="602" s="1"/>
  <c r="K25" i="602" s="1"/>
  <c r="D89" i="619" s="1"/>
  <c r="Q15" i="602"/>
  <c r="F15" i="602"/>
  <c r="K15" i="602" s="1"/>
  <c r="T15" i="602" s="1"/>
  <c r="Q16" i="602"/>
  <c r="F16" i="602"/>
  <c r="K16" i="602" s="1"/>
  <c r="D19" i="604" s="1"/>
  <c r="F12" i="602"/>
  <c r="K12" i="602" s="1"/>
  <c r="T12" i="602" s="1"/>
  <c r="Q12" i="602"/>
  <c r="G96" i="343"/>
  <c r="G31" i="343" s="1"/>
  <c r="E90" i="602"/>
  <c r="E8" i="602"/>
  <c r="G32" i="343"/>
  <c r="G102" i="343" s="1"/>
  <c r="T21" i="602"/>
  <c r="S21" i="602"/>
  <c r="F14" i="602"/>
  <c r="K14" i="602" s="1"/>
  <c r="E9" i="602"/>
  <c r="Q9" i="602" s="1"/>
  <c r="E20" i="602"/>
  <c r="F20" i="602" s="1"/>
  <c r="K20" i="602" s="1"/>
  <c r="E23" i="602"/>
  <c r="F23" i="602" s="1"/>
  <c r="K23" i="602" s="1"/>
  <c r="E13" i="602"/>
  <c r="F13" i="602" s="1"/>
  <c r="K13" i="602" s="1"/>
  <c r="Q11" i="602"/>
  <c r="F11" i="602"/>
  <c r="K11" i="602" s="1"/>
  <c r="Q10" i="602"/>
  <c r="F10" i="602"/>
  <c r="K10" i="602" s="1"/>
  <c r="D25" i="603"/>
  <c r="AA24" i="604"/>
  <c r="D25" i="620"/>
  <c r="D22" i="603"/>
  <c r="D21" i="604"/>
  <c r="M99" i="343"/>
  <c r="D24" i="620"/>
  <c r="D24" i="604"/>
  <c r="AA25" i="604" l="1"/>
  <c r="S22" i="602"/>
  <c r="T22" i="602"/>
  <c r="M97" i="343"/>
  <c r="D26" i="603"/>
  <c r="L26" i="603" s="1"/>
  <c r="T18" i="602"/>
  <c r="S15" i="602"/>
  <c r="D28" i="604"/>
  <c r="T16" i="602"/>
  <c r="D28" i="603"/>
  <c r="Q28" i="603" s="1"/>
  <c r="AA27" i="604"/>
  <c r="D28" i="620"/>
  <c r="S16" i="602"/>
  <c r="D16" i="603"/>
  <c r="G16" i="603" s="1"/>
  <c r="D18" i="604"/>
  <c r="D20" i="620"/>
  <c r="D20" i="604"/>
  <c r="AA15" i="604"/>
  <c r="S12" i="602"/>
  <c r="D15" i="604"/>
  <c r="D19" i="620"/>
  <c r="AA19" i="604"/>
  <c r="D22" i="604"/>
  <c r="S18" i="602"/>
  <c r="D23" i="603"/>
  <c r="Q23" i="603" s="1"/>
  <c r="AA22" i="604"/>
  <c r="D21" i="603"/>
  <c r="L21" i="603" s="1"/>
  <c r="AA21" i="604"/>
  <c r="D20" i="603"/>
  <c r="Q20" i="603" s="1"/>
  <c r="T24" i="602"/>
  <c r="Q89" i="619"/>
  <c r="D18" i="620"/>
  <c r="T19" i="602"/>
  <c r="D19" i="603"/>
  <c r="H19" i="603" s="1"/>
  <c r="D22" i="620"/>
  <c r="D15" i="620"/>
  <c r="G97" i="343"/>
  <c r="G33" i="343"/>
  <c r="G34" i="343" s="1"/>
  <c r="AA18" i="604"/>
  <c r="K85" i="602"/>
  <c r="Q85" i="602" s="1"/>
  <c r="Q26" i="603"/>
  <c r="Q22" i="603"/>
  <c r="E22" i="603"/>
  <c r="G22" i="603"/>
  <c r="K79" i="602"/>
  <c r="Q79" i="602" s="1"/>
  <c r="T17" i="602"/>
  <c r="T25" i="602"/>
  <c r="Q25" i="603"/>
  <c r="E25" i="603"/>
  <c r="G25" i="603"/>
  <c r="D90" i="603"/>
  <c r="E90" i="603" s="1"/>
  <c r="S17" i="602"/>
  <c r="S25" i="602"/>
  <c r="D84" i="603"/>
  <c r="E84" i="603" s="1"/>
  <c r="D83" i="619"/>
  <c r="F8" i="602"/>
  <c r="K8" i="602" s="1"/>
  <c r="S10" i="602"/>
  <c r="T10" i="602"/>
  <c r="S13" i="602"/>
  <c r="T13" i="602"/>
  <c r="D26" i="604"/>
  <c r="T23" i="602"/>
  <c r="S23" i="602"/>
  <c r="S11" i="602"/>
  <c r="T11" i="602"/>
  <c r="T20" i="602"/>
  <c r="S20" i="602"/>
  <c r="AA17" i="604"/>
  <c r="T14" i="602"/>
  <c r="S14" i="602"/>
  <c r="D17" i="620"/>
  <c r="D18" i="603"/>
  <c r="D17" i="604"/>
  <c r="D24" i="603"/>
  <c r="D23" i="604"/>
  <c r="D23" i="620"/>
  <c r="F9" i="602"/>
  <c r="K9" i="602" s="1"/>
  <c r="D27" i="603"/>
  <c r="AA23" i="604"/>
  <c r="Q23" i="602"/>
  <c r="AA26" i="604"/>
  <c r="D27" i="620"/>
  <c r="Q20" i="602"/>
  <c r="D27" i="604"/>
  <c r="D26" i="620"/>
  <c r="AA14" i="604"/>
  <c r="D14" i="620"/>
  <c r="D14" i="604"/>
  <c r="D15" i="603"/>
  <c r="H22" i="603"/>
  <c r="D14" i="603"/>
  <c r="H26" i="603"/>
  <c r="D13" i="604"/>
  <c r="H25" i="603"/>
  <c r="D13" i="620"/>
  <c r="AA13" i="604"/>
  <c r="N22" i="603"/>
  <c r="L22" i="603"/>
  <c r="N26" i="603"/>
  <c r="N25" i="603"/>
  <c r="L25" i="603"/>
  <c r="E21" i="604"/>
  <c r="N45" i="551" s="1"/>
  <c r="I45" i="606" s="1"/>
  <c r="V18" i="618" s="1"/>
  <c r="Y21" i="620" s="1"/>
  <c r="E24" i="604"/>
  <c r="E25" i="604"/>
  <c r="I26" i="603"/>
  <c r="I25" i="603"/>
  <c r="I22" i="603"/>
  <c r="M101" i="343"/>
  <c r="E95" i="602"/>
  <c r="F30" i="602"/>
  <c r="Q8" i="602"/>
  <c r="E27" i="604" l="1"/>
  <c r="G26" i="603"/>
  <c r="H28" i="603"/>
  <c r="L28" i="603"/>
  <c r="E28" i="603"/>
  <c r="I28" i="603"/>
  <c r="N28" i="603"/>
  <c r="N19" i="603"/>
  <c r="N21" i="603"/>
  <c r="O21" i="603" s="1"/>
  <c r="H16" i="603"/>
  <c r="G28" i="603"/>
  <c r="E16" i="603"/>
  <c r="E15" i="604"/>
  <c r="Q16" i="603"/>
  <c r="I84" i="603"/>
  <c r="H90" i="603"/>
  <c r="I90" i="603"/>
  <c r="I20" i="603"/>
  <c r="H20" i="603"/>
  <c r="L20" i="603"/>
  <c r="H21" i="603"/>
  <c r="G20" i="603"/>
  <c r="N20" i="603"/>
  <c r="L16" i="603"/>
  <c r="E19" i="604"/>
  <c r="N43" i="551" s="1"/>
  <c r="I43" i="606" s="1"/>
  <c r="V16" i="618" s="1"/>
  <c r="Y19" i="620" s="1"/>
  <c r="N16" i="603"/>
  <c r="E21" i="603"/>
  <c r="E20" i="604"/>
  <c r="I21" i="603"/>
  <c r="I16" i="603"/>
  <c r="G21" i="603"/>
  <c r="Q21" i="603"/>
  <c r="E20" i="603"/>
  <c r="G19" i="603"/>
  <c r="E19" i="603"/>
  <c r="Q19" i="603"/>
  <c r="L19" i="603"/>
  <c r="I19" i="603"/>
  <c r="E18" i="604"/>
  <c r="L23" i="603"/>
  <c r="N23" i="603"/>
  <c r="E22" i="604"/>
  <c r="N46" i="551" s="1"/>
  <c r="I46" i="606" s="1"/>
  <c r="V19" i="618" s="1"/>
  <c r="Y22" i="620" s="1"/>
  <c r="E23" i="603"/>
  <c r="I23" i="603"/>
  <c r="G23" i="603"/>
  <c r="H23" i="603"/>
  <c r="Q83" i="619"/>
  <c r="E27" i="603"/>
  <c r="G27" i="603"/>
  <c r="E24" i="603"/>
  <c r="G24" i="603"/>
  <c r="Q84" i="603"/>
  <c r="G84" i="603"/>
  <c r="Q15" i="603"/>
  <c r="G15" i="603"/>
  <c r="E15" i="603"/>
  <c r="H84" i="603"/>
  <c r="G18" i="603"/>
  <c r="Q90" i="603"/>
  <c r="G90" i="603"/>
  <c r="Q14" i="603"/>
  <c r="E14" i="603"/>
  <c r="G14" i="603"/>
  <c r="M32" i="343"/>
  <c r="M33" i="343" s="1"/>
  <c r="M34" i="343" s="1"/>
  <c r="S9" i="602"/>
  <c r="T9" i="602"/>
  <c r="Q27" i="603"/>
  <c r="N24" i="603"/>
  <c r="Q24" i="603"/>
  <c r="I18" i="603"/>
  <c r="Q18" i="603"/>
  <c r="S8" i="602"/>
  <c r="T8" i="602"/>
  <c r="I24" i="603"/>
  <c r="L24" i="603"/>
  <c r="H24" i="603"/>
  <c r="E23" i="604"/>
  <c r="N47" i="551" s="1"/>
  <c r="I47" i="606" s="1"/>
  <c r="V20" i="618" s="1"/>
  <c r="Y23" i="620" s="1"/>
  <c r="N18" i="603"/>
  <c r="L18" i="603"/>
  <c r="E17" i="604"/>
  <c r="H18" i="603"/>
  <c r="D12" i="620"/>
  <c r="D13" i="603"/>
  <c r="N27" i="603"/>
  <c r="AA12" i="604"/>
  <c r="D12" i="604"/>
  <c r="H27" i="603"/>
  <c r="E26" i="604"/>
  <c r="N50" i="551" s="1"/>
  <c r="I50" i="606" s="1"/>
  <c r="V23" i="618" s="1"/>
  <c r="Y26" i="620" s="1"/>
  <c r="L27" i="603"/>
  <c r="I27" i="603"/>
  <c r="E13" i="604"/>
  <c r="N37" i="551" s="1"/>
  <c r="I37" i="606" s="1"/>
  <c r="V10" i="618" s="1"/>
  <c r="Y13" i="620" s="1"/>
  <c r="L15" i="603"/>
  <c r="H15" i="603"/>
  <c r="N15" i="603"/>
  <c r="E14" i="604"/>
  <c r="I15" i="603"/>
  <c r="L14" i="603"/>
  <c r="N14" i="603"/>
  <c r="I14" i="603"/>
  <c r="H14" i="603"/>
  <c r="O25" i="603"/>
  <c r="O26" i="603"/>
  <c r="O22" i="603"/>
  <c r="O28" i="603"/>
  <c r="J25" i="603"/>
  <c r="J22" i="603"/>
  <c r="J26" i="603"/>
  <c r="AA11" i="604"/>
  <c r="D43" i="603"/>
  <c r="AA28" i="604"/>
  <c r="D54" i="619"/>
  <c r="D40" i="603"/>
  <c r="D47" i="603"/>
  <c r="D87" i="603"/>
  <c r="K56" i="602"/>
  <c r="Q56" i="602" s="1"/>
  <c r="D45" i="603"/>
  <c r="D82" i="619"/>
  <c r="D34" i="619"/>
  <c r="K70" i="602"/>
  <c r="Q70" i="602" s="1"/>
  <c r="D58" i="619"/>
  <c r="D46" i="603"/>
  <c r="K37" i="602"/>
  <c r="Q37" i="602" s="1"/>
  <c r="D99" i="603"/>
  <c r="H99" i="603" s="1"/>
  <c r="K38" i="602"/>
  <c r="Q38" i="602" s="1"/>
  <c r="D62" i="619"/>
  <c r="D86" i="603"/>
  <c r="K50" i="602"/>
  <c r="Q50" i="602" s="1"/>
  <c r="K39" i="602"/>
  <c r="Q39" i="602" s="1"/>
  <c r="D38" i="619"/>
  <c r="D53" i="619"/>
  <c r="D39" i="603"/>
  <c r="K36" i="602"/>
  <c r="Q36" i="602" s="1"/>
  <c r="K35" i="602"/>
  <c r="Q35" i="602" s="1"/>
  <c r="D79" i="619"/>
  <c r="D40" i="619"/>
  <c r="D48" i="603"/>
  <c r="D93" i="603"/>
  <c r="D81" i="619"/>
  <c r="K34" i="602"/>
  <c r="Q34" i="602" s="1"/>
  <c r="D64" i="619"/>
  <c r="D89" i="603"/>
  <c r="K47" i="602"/>
  <c r="Q47" i="602" s="1"/>
  <c r="D66" i="619"/>
  <c r="D36" i="603"/>
  <c r="K42" i="602"/>
  <c r="Q42" i="602" s="1"/>
  <c r="D55" i="619"/>
  <c r="D66" i="603"/>
  <c r="K48" i="602"/>
  <c r="Q48" i="602" s="1"/>
  <c r="D44" i="619"/>
  <c r="D97" i="619"/>
  <c r="Q97" i="619" s="1"/>
  <c r="Q99" i="619" s="1"/>
  <c r="Q29" i="619" s="1"/>
  <c r="D92" i="619"/>
  <c r="D63" i="603"/>
  <c r="D77" i="619"/>
  <c r="D85" i="603"/>
  <c r="K86" i="602"/>
  <c r="Q86" i="602" s="1"/>
  <c r="D69" i="619"/>
  <c r="D80" i="619"/>
  <c r="K33" i="602"/>
  <c r="Q33" i="602" s="1"/>
  <c r="K83" i="602"/>
  <c r="Q83" i="602" s="1"/>
  <c r="K69" i="602"/>
  <c r="Q69" i="602" s="1"/>
  <c r="D41" i="619"/>
  <c r="D78" i="603"/>
  <c r="K49" i="602"/>
  <c r="Q49" i="602" s="1"/>
  <c r="D45" i="619"/>
  <c r="D38" i="603"/>
  <c r="K72" i="602"/>
  <c r="Q72" i="602" s="1"/>
  <c r="D98" i="603"/>
  <c r="D44" i="603"/>
  <c r="K58" i="602"/>
  <c r="Q58" i="602" s="1"/>
  <c r="D65" i="619"/>
  <c r="D80" i="603"/>
  <c r="K82" i="602"/>
  <c r="Q82" i="602" s="1"/>
  <c r="D67" i="619"/>
  <c r="D61" i="603"/>
  <c r="K59" i="602"/>
  <c r="Q59" i="602" s="1"/>
  <c r="D56" i="619"/>
  <c r="D83" i="603"/>
  <c r="K31" i="602"/>
  <c r="Q31" i="602" s="1"/>
  <c r="D92" i="603"/>
  <c r="K57" i="602"/>
  <c r="Q57" i="602" s="1"/>
  <c r="D37" i="619"/>
  <c r="D42" i="603"/>
  <c r="K64" i="602"/>
  <c r="Q64" i="602" s="1"/>
  <c r="D39" i="619"/>
  <c r="D68" i="603"/>
  <c r="K44" i="602"/>
  <c r="Q44" i="602" s="1"/>
  <c r="D43" i="619"/>
  <c r="D85" i="619"/>
  <c r="K80" i="602"/>
  <c r="Q80" i="602" s="1"/>
  <c r="K74" i="602"/>
  <c r="Q74" i="602" s="1"/>
  <c r="D73" i="619"/>
  <c r="D76" i="619"/>
  <c r="D71" i="619"/>
  <c r="K73" i="602"/>
  <c r="Q73" i="602" s="1"/>
  <c r="D50" i="603"/>
  <c r="D35" i="603"/>
  <c r="G35" i="603" s="1"/>
  <c r="D75" i="619"/>
  <c r="D72" i="619"/>
  <c r="D71" i="603"/>
  <c r="D70" i="619"/>
  <c r="D42" i="619"/>
  <c r="D67" i="603"/>
  <c r="D35" i="619"/>
  <c r="D79" i="603"/>
  <c r="D58" i="603"/>
  <c r="K89" i="602"/>
  <c r="Q89" i="602" s="1"/>
  <c r="D69" i="603"/>
  <c r="F95" i="602"/>
  <c r="K95" i="602" s="1"/>
  <c r="E97" i="602"/>
  <c r="D62" i="603"/>
  <c r="D84" i="619"/>
  <c r="K76" i="602"/>
  <c r="Q76" i="602" s="1"/>
  <c r="K68" i="602"/>
  <c r="Q68" i="602" s="1"/>
  <c r="D88" i="619"/>
  <c r="D51" i="603"/>
  <c r="D70" i="603"/>
  <c r="D36" i="619"/>
  <c r="D75" i="603"/>
  <c r="K51" i="602"/>
  <c r="Q51" i="602" s="1"/>
  <c r="D94" i="603"/>
  <c r="K75" i="602"/>
  <c r="Q75" i="602" s="1"/>
  <c r="D91" i="619"/>
  <c r="D77" i="603"/>
  <c r="D29" i="620"/>
  <c r="D89" i="620" s="1"/>
  <c r="D81" i="603"/>
  <c r="D56" i="603"/>
  <c r="K62" i="602"/>
  <c r="Q62" i="602" s="1"/>
  <c r="K43" i="602"/>
  <c r="Q43" i="602" s="1"/>
  <c r="D55" i="603"/>
  <c r="D90" i="619"/>
  <c r="D98" i="619"/>
  <c r="D86" i="619"/>
  <c r="D65" i="603"/>
  <c r="K46" i="602"/>
  <c r="Q46" i="602" s="1"/>
  <c r="D53" i="603"/>
  <c r="D41" i="603"/>
  <c r="D72" i="603"/>
  <c r="D74" i="619"/>
  <c r="D47" i="619"/>
  <c r="D37" i="603"/>
  <c r="K41" i="602"/>
  <c r="Q41" i="602" s="1"/>
  <c r="K52" i="602"/>
  <c r="Q52" i="602" s="1"/>
  <c r="K32" i="602"/>
  <c r="Q32" i="602" s="1"/>
  <c r="D68" i="619"/>
  <c r="K30" i="602"/>
  <c r="Q30" i="602" s="1"/>
  <c r="K87" i="602"/>
  <c r="Q87" i="602" s="1"/>
  <c r="K61" i="602"/>
  <c r="Q61" i="602" s="1"/>
  <c r="D60" i="619"/>
  <c r="D78" i="619"/>
  <c r="D52" i="603"/>
  <c r="D59" i="603"/>
  <c r="K67" i="602"/>
  <c r="Q67" i="602" s="1"/>
  <c r="K54" i="602"/>
  <c r="Q54" i="602" s="1"/>
  <c r="D64" i="603"/>
  <c r="D63" i="619"/>
  <c r="D61" i="619"/>
  <c r="K63" i="602"/>
  <c r="Q63" i="602" s="1"/>
  <c r="K53" i="602"/>
  <c r="Q53" i="602" s="1"/>
  <c r="K60" i="602"/>
  <c r="Q60" i="602" s="1"/>
  <c r="K78" i="602"/>
  <c r="Q78" i="602" s="1"/>
  <c r="D29" i="604"/>
  <c r="D89" i="604" s="1"/>
  <c r="D49" i="603"/>
  <c r="K66" i="602"/>
  <c r="Q66" i="602" s="1"/>
  <c r="D50" i="619"/>
  <c r="D60" i="603"/>
  <c r="D74" i="603"/>
  <c r="D29" i="603"/>
  <c r="D93" i="619"/>
  <c r="D87" i="619"/>
  <c r="K81" i="602"/>
  <c r="Q81" i="602" s="1"/>
  <c r="K71" i="602"/>
  <c r="Q71" i="602" s="1"/>
  <c r="K45" i="602"/>
  <c r="Q45" i="602" s="1"/>
  <c r="D57" i="619"/>
  <c r="D49" i="619"/>
  <c r="D57" i="603"/>
  <c r="K84" i="602"/>
  <c r="Q84" i="602" s="1"/>
  <c r="Q25" i="602"/>
  <c r="K77" i="602"/>
  <c r="Q77" i="602" s="1"/>
  <c r="D76" i="603"/>
  <c r="D82" i="603"/>
  <c r="K40" i="602"/>
  <c r="Q40" i="602" s="1"/>
  <c r="K65" i="602"/>
  <c r="Q65" i="602" s="1"/>
  <c r="K55" i="602"/>
  <c r="Q55" i="602" s="1"/>
  <c r="D48" i="619"/>
  <c r="D73" i="603"/>
  <c r="D88" i="603"/>
  <c r="D91" i="603"/>
  <c r="D54" i="603"/>
  <c r="K88" i="602"/>
  <c r="Q88" i="602" s="1"/>
  <c r="D59" i="619"/>
  <c r="D51" i="619"/>
  <c r="D52" i="619"/>
  <c r="D46" i="619"/>
  <c r="D11" i="620"/>
  <c r="D11" i="604"/>
  <c r="D12" i="603"/>
  <c r="F90" i="602"/>
  <c r="K90" i="602" s="1"/>
  <c r="E92" i="602"/>
  <c r="O19" i="603" l="1"/>
  <c r="J28" i="603"/>
  <c r="J16" i="603"/>
  <c r="J21" i="603"/>
  <c r="J20" i="603"/>
  <c r="O20" i="603"/>
  <c r="O23" i="603"/>
  <c r="J90" i="603"/>
  <c r="S90" i="603" s="1"/>
  <c r="J19" i="603"/>
  <c r="S19" i="603" s="1"/>
  <c r="V19" i="603" s="1"/>
  <c r="O16" i="603"/>
  <c r="S16" i="603" s="1"/>
  <c r="V16" i="603" s="1"/>
  <c r="J84" i="603"/>
  <c r="S84" i="603" s="1"/>
  <c r="J23" i="603"/>
  <c r="S25" i="603"/>
  <c r="V25" i="603" s="1"/>
  <c r="E26" i="603"/>
  <c r="S26" i="603" s="1"/>
  <c r="S22" i="603"/>
  <c r="V22" i="603" s="1"/>
  <c r="Q91" i="619"/>
  <c r="Q72" i="619"/>
  <c r="Q81" i="619"/>
  <c r="Q84" i="619"/>
  <c r="Q44" i="619"/>
  <c r="Q52" i="619"/>
  <c r="Q93" i="619"/>
  <c r="Q61" i="619"/>
  <c r="Q68" i="619"/>
  <c r="Q86" i="619"/>
  <c r="Q39" i="619"/>
  <c r="Q67" i="619"/>
  <c r="Q51" i="619"/>
  <c r="Q40" i="619"/>
  <c r="Q54" i="619"/>
  <c r="Q90" i="619"/>
  <c r="Q65" i="619"/>
  <c r="Q55" i="619"/>
  <c r="Q79" i="619"/>
  <c r="Q36" i="619"/>
  <c r="Q71" i="619"/>
  <c r="Q37" i="619"/>
  <c r="Q80" i="619"/>
  <c r="Q87" i="619"/>
  <c r="Q76" i="619"/>
  <c r="Q69" i="619"/>
  <c r="Q58" i="619"/>
  <c r="Q46" i="619"/>
  <c r="Q75" i="619"/>
  <c r="Q62" i="619"/>
  <c r="Q63" i="619"/>
  <c r="Q59" i="619"/>
  <c r="Q47" i="619"/>
  <c r="Q35" i="619"/>
  <c r="Q73" i="619"/>
  <c r="Q66" i="619"/>
  <c r="Q49" i="619"/>
  <c r="Q74" i="619"/>
  <c r="Q88" i="619"/>
  <c r="Q53" i="619"/>
  <c r="Q34" i="619"/>
  <c r="Q78" i="619"/>
  <c r="Q42" i="619"/>
  <c r="Q77" i="619"/>
  <c r="Q38" i="619"/>
  <c r="Q82" i="619"/>
  <c r="Q43" i="619"/>
  <c r="Q92" i="619"/>
  <c r="Q41" i="619"/>
  <c r="Q50" i="619"/>
  <c r="Q57" i="619"/>
  <c r="Q48" i="619"/>
  <c r="Q60" i="619"/>
  <c r="Q70" i="619"/>
  <c r="Q85" i="619"/>
  <c r="Q56" i="619"/>
  <c r="Q45" i="619"/>
  <c r="Q64" i="619"/>
  <c r="S21" i="603"/>
  <c r="V21" i="603" s="1"/>
  <c r="S28" i="603"/>
  <c r="V28" i="603" s="1"/>
  <c r="Q60" i="603"/>
  <c r="G60" i="603"/>
  <c r="Q83" i="603"/>
  <c r="G83" i="603"/>
  <c r="Q47" i="603"/>
  <c r="G47" i="603"/>
  <c r="Q70" i="603"/>
  <c r="G70" i="603"/>
  <c r="Q44" i="603"/>
  <c r="G44" i="603"/>
  <c r="Q63" i="603"/>
  <c r="G63" i="603"/>
  <c r="Q36" i="603"/>
  <c r="G36" i="603"/>
  <c r="Q48" i="603"/>
  <c r="G48" i="603"/>
  <c r="Q40" i="603"/>
  <c r="G40" i="603"/>
  <c r="Q91" i="603"/>
  <c r="G91" i="603"/>
  <c r="Q76" i="603"/>
  <c r="G76" i="603"/>
  <c r="Q77" i="603"/>
  <c r="G77" i="603"/>
  <c r="Q51" i="603"/>
  <c r="G51" i="603"/>
  <c r="Q69" i="603"/>
  <c r="G69" i="603"/>
  <c r="Q71" i="603"/>
  <c r="G71" i="603"/>
  <c r="Q65" i="603"/>
  <c r="G65" i="603"/>
  <c r="Q88" i="603"/>
  <c r="G88" i="603"/>
  <c r="Q49" i="603"/>
  <c r="G49" i="603"/>
  <c r="Q64" i="603"/>
  <c r="G64" i="603"/>
  <c r="Q42" i="603"/>
  <c r="G42" i="603"/>
  <c r="Q61" i="603"/>
  <c r="G61" i="603"/>
  <c r="Q86" i="603"/>
  <c r="G86" i="603"/>
  <c r="Q13" i="603"/>
  <c r="G13" i="603"/>
  <c r="E13" i="603"/>
  <c r="Q81" i="603"/>
  <c r="G81" i="603"/>
  <c r="Q68" i="603"/>
  <c r="G68" i="603"/>
  <c r="Q82" i="603"/>
  <c r="G82" i="603"/>
  <c r="Q73" i="603"/>
  <c r="G73" i="603"/>
  <c r="Q72" i="603"/>
  <c r="G72" i="603"/>
  <c r="Q55" i="603"/>
  <c r="G55" i="603"/>
  <c r="Q58" i="603"/>
  <c r="G58" i="603"/>
  <c r="Q38" i="603"/>
  <c r="G38" i="603"/>
  <c r="Q89" i="603"/>
  <c r="G89" i="603"/>
  <c r="Q43" i="603"/>
  <c r="G43" i="603"/>
  <c r="Q46" i="603"/>
  <c r="G46" i="603"/>
  <c r="Q54" i="603"/>
  <c r="G54" i="603"/>
  <c r="Q41" i="603"/>
  <c r="G41" i="603"/>
  <c r="Q94" i="603"/>
  <c r="G94" i="603"/>
  <c r="Q79" i="603"/>
  <c r="G79" i="603"/>
  <c r="Q45" i="603"/>
  <c r="G45" i="603"/>
  <c r="Q93" i="603"/>
  <c r="G93" i="603"/>
  <c r="G12" i="603"/>
  <c r="E12" i="603"/>
  <c r="Q57" i="603"/>
  <c r="G57" i="603"/>
  <c r="Q59" i="603"/>
  <c r="G59" i="603"/>
  <c r="Q53" i="603"/>
  <c r="G53" i="603"/>
  <c r="Q50" i="603"/>
  <c r="G50" i="603"/>
  <c r="Q92" i="603"/>
  <c r="G92" i="603"/>
  <c r="Q80" i="603"/>
  <c r="G80" i="603"/>
  <c r="Q66" i="603"/>
  <c r="G66" i="603"/>
  <c r="Q39" i="603"/>
  <c r="G39" i="603"/>
  <c r="Q37" i="603"/>
  <c r="G37" i="603"/>
  <c r="Q74" i="603"/>
  <c r="G74" i="603"/>
  <c r="Q52" i="603"/>
  <c r="G52" i="603"/>
  <c r="Q56" i="603"/>
  <c r="G56" i="603"/>
  <c r="Q75" i="603"/>
  <c r="G75" i="603"/>
  <c r="Q62" i="603"/>
  <c r="G62" i="603"/>
  <c r="Q67" i="603"/>
  <c r="G67" i="603"/>
  <c r="Q78" i="603"/>
  <c r="G78" i="603"/>
  <c r="Q85" i="603"/>
  <c r="G85" i="603"/>
  <c r="Q87" i="603"/>
  <c r="G87" i="603"/>
  <c r="O24" i="603"/>
  <c r="E26" i="602"/>
  <c r="M102" i="343"/>
  <c r="J24" i="603"/>
  <c r="O18" i="603"/>
  <c r="J18" i="603"/>
  <c r="L13" i="603"/>
  <c r="N13" i="603"/>
  <c r="E12" i="604"/>
  <c r="N36" i="551" s="1"/>
  <c r="I36" i="606" s="1"/>
  <c r="V9" i="618" s="1"/>
  <c r="Y12" i="620" s="1"/>
  <c r="D43" i="620"/>
  <c r="D83" i="620"/>
  <c r="H13" i="603"/>
  <c r="I13" i="603"/>
  <c r="J27" i="603"/>
  <c r="O27" i="603"/>
  <c r="D75" i="604"/>
  <c r="D83" i="604"/>
  <c r="O14" i="603"/>
  <c r="J15" i="603"/>
  <c r="O15" i="603"/>
  <c r="J14" i="603"/>
  <c r="H12" i="603"/>
  <c r="N12" i="603"/>
  <c r="L12" i="603"/>
  <c r="E83" i="603"/>
  <c r="H83" i="603"/>
  <c r="E87" i="603"/>
  <c r="H87" i="603"/>
  <c r="E62" i="603"/>
  <c r="H62" i="603"/>
  <c r="E39" i="603"/>
  <c r="H39" i="603"/>
  <c r="E65" i="603"/>
  <c r="H65" i="603"/>
  <c r="E81" i="603"/>
  <c r="H81" i="603"/>
  <c r="E68" i="603"/>
  <c r="H68" i="603"/>
  <c r="E91" i="603"/>
  <c r="H91" i="603"/>
  <c r="E76" i="603"/>
  <c r="H76" i="603"/>
  <c r="E37" i="603"/>
  <c r="H37" i="603"/>
  <c r="E70" i="603"/>
  <c r="H70" i="603"/>
  <c r="E44" i="603"/>
  <c r="H44" i="603"/>
  <c r="E63" i="603"/>
  <c r="H63" i="603"/>
  <c r="E36" i="603"/>
  <c r="H36" i="603"/>
  <c r="E93" i="603"/>
  <c r="H93" i="603"/>
  <c r="E46" i="603"/>
  <c r="H46" i="603"/>
  <c r="E47" i="603"/>
  <c r="H47" i="603"/>
  <c r="E77" i="603"/>
  <c r="H77" i="603"/>
  <c r="E51" i="603"/>
  <c r="H51" i="603"/>
  <c r="E69" i="603"/>
  <c r="H69" i="603"/>
  <c r="E71" i="603"/>
  <c r="H71" i="603"/>
  <c r="E48" i="603"/>
  <c r="H48" i="603"/>
  <c r="E40" i="603"/>
  <c r="H40" i="603"/>
  <c r="E60" i="603"/>
  <c r="H60" i="603"/>
  <c r="E52" i="603"/>
  <c r="H52" i="603"/>
  <c r="E75" i="603"/>
  <c r="H75" i="603"/>
  <c r="E85" i="603"/>
  <c r="H85" i="603"/>
  <c r="E54" i="603"/>
  <c r="H54" i="603"/>
  <c r="E82" i="603"/>
  <c r="H82" i="603"/>
  <c r="E88" i="603"/>
  <c r="H88" i="603"/>
  <c r="E73" i="603"/>
  <c r="H73" i="603"/>
  <c r="E49" i="603"/>
  <c r="H49" i="603"/>
  <c r="E64" i="603"/>
  <c r="H64" i="603"/>
  <c r="E42" i="603"/>
  <c r="H42" i="603"/>
  <c r="E61" i="603"/>
  <c r="H61" i="603"/>
  <c r="E89" i="603"/>
  <c r="H89" i="603"/>
  <c r="E86" i="603"/>
  <c r="H86" i="603"/>
  <c r="E56" i="603"/>
  <c r="H56" i="603"/>
  <c r="E67" i="603"/>
  <c r="H67" i="603"/>
  <c r="E78" i="603"/>
  <c r="H78" i="603"/>
  <c r="E72" i="603"/>
  <c r="H72" i="603"/>
  <c r="E58" i="603"/>
  <c r="H58" i="603"/>
  <c r="E41" i="603"/>
  <c r="H41" i="603"/>
  <c r="H94" i="603"/>
  <c r="E79" i="603"/>
  <c r="H79" i="603"/>
  <c r="H35" i="603"/>
  <c r="E43" i="603"/>
  <c r="H43" i="603"/>
  <c r="E55" i="603"/>
  <c r="H55" i="603"/>
  <c r="E38" i="603"/>
  <c r="H38" i="603"/>
  <c r="E57" i="603"/>
  <c r="H57" i="603"/>
  <c r="E74" i="603"/>
  <c r="H74" i="603"/>
  <c r="E59" i="603"/>
  <c r="H59" i="603"/>
  <c r="E53" i="603"/>
  <c r="H53" i="603"/>
  <c r="E50" i="603"/>
  <c r="H50" i="603"/>
  <c r="E92" i="603"/>
  <c r="H92" i="603"/>
  <c r="E80" i="603"/>
  <c r="H80" i="603"/>
  <c r="E66" i="603"/>
  <c r="H66" i="603"/>
  <c r="E45" i="603"/>
  <c r="H45" i="603"/>
  <c r="E28" i="604"/>
  <c r="E35" i="603"/>
  <c r="Q35" i="603"/>
  <c r="E11" i="604"/>
  <c r="E94" i="603"/>
  <c r="I12" i="603"/>
  <c r="H98" i="603"/>
  <c r="H100" i="603" s="1"/>
  <c r="H30" i="603" s="1"/>
  <c r="E98" i="603"/>
  <c r="I43" i="603"/>
  <c r="T95" i="602"/>
  <c r="S95" i="602"/>
  <c r="S97" i="602" s="1"/>
  <c r="I99" i="603"/>
  <c r="I41" i="603"/>
  <c r="I46" i="603"/>
  <c r="I88" i="603"/>
  <c r="I77" i="603"/>
  <c r="I51" i="603"/>
  <c r="I79" i="603"/>
  <c r="I44" i="603"/>
  <c r="I50" i="603"/>
  <c r="I73" i="603"/>
  <c r="I59" i="603"/>
  <c r="I72" i="603"/>
  <c r="I35" i="603"/>
  <c r="G98" i="603"/>
  <c r="I63" i="603"/>
  <c r="I36" i="603"/>
  <c r="I93" i="603"/>
  <c r="I55" i="603"/>
  <c r="I57" i="603"/>
  <c r="I53" i="603"/>
  <c r="I94" i="603"/>
  <c r="I38" i="603"/>
  <c r="I45" i="603"/>
  <c r="Q12" i="603"/>
  <c r="I89" i="603"/>
  <c r="I86" i="603"/>
  <c r="I52" i="603"/>
  <c r="I62" i="603"/>
  <c r="I61" i="603"/>
  <c r="L96" i="603"/>
  <c r="N96" i="603"/>
  <c r="I49" i="603"/>
  <c r="I65" i="603"/>
  <c r="I56" i="603"/>
  <c r="I75" i="603"/>
  <c r="I69" i="603"/>
  <c r="I92" i="603"/>
  <c r="I80" i="603"/>
  <c r="I87" i="603"/>
  <c r="I42" i="603"/>
  <c r="I54" i="603"/>
  <c r="I82" i="603"/>
  <c r="I74" i="603"/>
  <c r="I64" i="603"/>
  <c r="I37" i="603"/>
  <c r="I81" i="603"/>
  <c r="I71" i="603"/>
  <c r="I78" i="603"/>
  <c r="I85" i="603"/>
  <c r="I66" i="603"/>
  <c r="I47" i="603"/>
  <c r="I67" i="603"/>
  <c r="I48" i="603"/>
  <c r="I91" i="603"/>
  <c r="I76" i="603"/>
  <c r="I60" i="603"/>
  <c r="I70" i="603"/>
  <c r="I58" i="603"/>
  <c r="I68" i="603"/>
  <c r="I83" i="603"/>
  <c r="I39" i="603"/>
  <c r="I40" i="603"/>
  <c r="G99" i="603"/>
  <c r="E99" i="603"/>
  <c r="I98" i="603"/>
  <c r="Q98" i="603"/>
  <c r="Q100" i="603" s="1"/>
  <c r="Q30" i="603" s="1"/>
  <c r="D85" i="620"/>
  <c r="D37" i="620"/>
  <c r="D49" i="620"/>
  <c r="D77" i="620"/>
  <c r="D63" i="620"/>
  <c r="D35" i="620"/>
  <c r="D39" i="620"/>
  <c r="D40" i="620"/>
  <c r="D97" i="620"/>
  <c r="D67" i="620"/>
  <c r="D92" i="620"/>
  <c r="D62" i="620"/>
  <c r="D88" i="620"/>
  <c r="D98" i="620"/>
  <c r="D82" i="620"/>
  <c r="D61" i="620"/>
  <c r="D64" i="620"/>
  <c r="D65" i="620"/>
  <c r="D86" i="620"/>
  <c r="D59" i="620"/>
  <c r="D56" i="620"/>
  <c r="D79" i="620"/>
  <c r="D46" i="620"/>
  <c r="D58" i="620"/>
  <c r="D91" i="620"/>
  <c r="D34" i="620"/>
  <c r="D80" i="620"/>
  <c r="D50" i="620"/>
  <c r="D52" i="620"/>
  <c r="D66" i="620"/>
  <c r="D93" i="620"/>
  <c r="D84" i="620"/>
  <c r="D60" i="620"/>
  <c r="D53" i="620"/>
  <c r="D54" i="620"/>
  <c r="D90" i="620"/>
  <c r="D78" i="620"/>
  <c r="D45" i="620"/>
  <c r="D44" i="620"/>
  <c r="D76" i="620"/>
  <c r="D41" i="620"/>
  <c r="D75" i="620"/>
  <c r="D81" i="620"/>
  <c r="D74" i="620"/>
  <c r="D55" i="620"/>
  <c r="D87" i="620"/>
  <c r="D72" i="620"/>
  <c r="D70" i="620"/>
  <c r="D47" i="620"/>
  <c r="D38" i="620"/>
  <c r="D57" i="620"/>
  <c r="D71" i="620"/>
  <c r="D51" i="620"/>
  <c r="D48" i="620"/>
  <c r="D68" i="620"/>
  <c r="D42" i="620"/>
  <c r="D36" i="620"/>
  <c r="D73" i="620"/>
  <c r="D69" i="620"/>
  <c r="D76" i="604"/>
  <c r="T96" i="602"/>
  <c r="D78" i="604"/>
  <c r="D72" i="604"/>
  <c r="Q95" i="602"/>
  <c r="D70" i="604"/>
  <c r="D81" i="604"/>
  <c r="D55" i="604"/>
  <c r="D53" i="604"/>
  <c r="D98" i="604"/>
  <c r="D34" i="604"/>
  <c r="D97" i="604"/>
  <c r="D44" i="604"/>
  <c r="D62" i="604"/>
  <c r="D60" i="604"/>
  <c r="D87" i="604"/>
  <c r="D57" i="604"/>
  <c r="D46" i="604"/>
  <c r="D66" i="604"/>
  <c r="D92" i="604"/>
  <c r="D64" i="604"/>
  <c r="D69" i="604"/>
  <c r="D67" i="604"/>
  <c r="D58" i="604"/>
  <c r="D51" i="604"/>
  <c r="D42" i="604"/>
  <c r="D90" i="604"/>
  <c r="D73" i="604"/>
  <c r="D71" i="604"/>
  <c r="D47" i="604"/>
  <c r="D45" i="604"/>
  <c r="D43" i="604"/>
  <c r="D85" i="604"/>
  <c r="D79" i="604"/>
  <c r="D77" i="604"/>
  <c r="D82" i="604"/>
  <c r="D54" i="604"/>
  <c r="D52" i="604"/>
  <c r="D80" i="604"/>
  <c r="D49" i="604"/>
  <c r="D40" i="604"/>
  <c r="D38" i="604"/>
  <c r="D36" i="604"/>
  <c r="D56" i="604"/>
  <c r="D88" i="604"/>
  <c r="D86" i="604"/>
  <c r="D84" i="604"/>
  <c r="D93" i="604"/>
  <c r="D91" i="604"/>
  <c r="D74" i="604"/>
  <c r="D65" i="604"/>
  <c r="D41" i="604"/>
  <c r="D39" i="604"/>
  <c r="D37" i="604"/>
  <c r="D35" i="604"/>
  <c r="D63" i="604"/>
  <c r="D61" i="604"/>
  <c r="D59" i="604"/>
  <c r="D50" i="604"/>
  <c r="D68" i="604"/>
  <c r="D48" i="604"/>
  <c r="S20" i="603" l="1"/>
  <c r="V20" i="603" s="1"/>
  <c r="S23" i="603"/>
  <c r="V23" i="603" s="1"/>
  <c r="E18" i="603"/>
  <c r="S18" i="603" s="1"/>
  <c r="S14" i="603"/>
  <c r="S15" i="603"/>
  <c r="V15" i="603" s="1"/>
  <c r="S27" i="603"/>
  <c r="V27" i="603" s="1"/>
  <c r="F26" i="602"/>
  <c r="K26" i="602" s="1"/>
  <c r="T26" i="602" s="1"/>
  <c r="E27" i="602"/>
  <c r="E28" i="602" s="1"/>
  <c r="S24" i="603"/>
  <c r="U24" i="603" s="1"/>
  <c r="V18" i="603"/>
  <c r="O13" i="603"/>
  <c r="V26" i="603"/>
  <c r="W26" i="603"/>
  <c r="J13" i="603"/>
  <c r="E83" i="604"/>
  <c r="E89" i="604"/>
  <c r="U16" i="603"/>
  <c r="U20" i="603"/>
  <c r="U28" i="603"/>
  <c r="U22" i="603"/>
  <c r="V14" i="603"/>
  <c r="U19" i="603"/>
  <c r="U21" i="603"/>
  <c r="U25" i="603"/>
  <c r="O12" i="603"/>
  <c r="Q94" i="619"/>
  <c r="Q28" i="619" s="1"/>
  <c r="E95" i="603"/>
  <c r="E29" i="603" s="1"/>
  <c r="E44" i="604"/>
  <c r="E37" i="604"/>
  <c r="E86" i="604"/>
  <c r="E52" i="604"/>
  <c r="E45" i="604"/>
  <c r="E67" i="604"/>
  <c r="E60" i="604"/>
  <c r="E53" i="604"/>
  <c r="E65" i="604"/>
  <c r="E77" i="604"/>
  <c r="E76" i="604"/>
  <c r="E46" i="604"/>
  <c r="N52" i="551" s="1"/>
  <c r="I52" i="606" s="1"/>
  <c r="V25" i="618" s="1"/>
  <c r="Y28" i="620" s="1"/>
  <c r="E39" i="604"/>
  <c r="E88" i="604"/>
  <c r="E54" i="604"/>
  <c r="E47" i="604"/>
  <c r="E69" i="604"/>
  <c r="E62" i="604"/>
  <c r="E81" i="604"/>
  <c r="E74" i="604"/>
  <c r="E34" i="604"/>
  <c r="E40" i="604"/>
  <c r="E78" i="604"/>
  <c r="E85" i="604"/>
  <c r="E58" i="604"/>
  <c r="E48" i="604"/>
  <c r="E68" i="604"/>
  <c r="E41" i="604"/>
  <c r="E56" i="604"/>
  <c r="E82" i="604"/>
  <c r="E71" i="604"/>
  <c r="E64" i="604"/>
  <c r="E36" i="604"/>
  <c r="E59" i="604"/>
  <c r="E90" i="604"/>
  <c r="E79" i="604"/>
  <c r="E92" i="604"/>
  <c r="N51" i="551"/>
  <c r="I51" i="606" s="1"/>
  <c r="V24" i="618" s="1"/>
  <c r="Y27" i="620" s="1"/>
  <c r="E57" i="604"/>
  <c r="E70" i="604"/>
  <c r="E50" i="604"/>
  <c r="E73" i="604"/>
  <c r="E91" i="604"/>
  <c r="E63" i="604"/>
  <c r="E49" i="604"/>
  <c r="E43" i="604"/>
  <c r="E66" i="604"/>
  <c r="E72" i="604"/>
  <c r="E38" i="604"/>
  <c r="E61" i="604"/>
  <c r="E55" i="604"/>
  <c r="E93" i="604"/>
  <c r="E51" i="604"/>
  <c r="E80" i="604"/>
  <c r="E42" i="604"/>
  <c r="E75" i="604"/>
  <c r="E84" i="604"/>
  <c r="E87" i="604"/>
  <c r="E35" i="604"/>
  <c r="J12" i="603"/>
  <c r="Q95" i="603"/>
  <c r="Q29" i="603" s="1"/>
  <c r="U26" i="603"/>
  <c r="J43" i="603"/>
  <c r="S43" i="603" s="1"/>
  <c r="I100" i="603"/>
  <c r="I30" i="603" s="1"/>
  <c r="G100" i="603"/>
  <c r="G30" i="603" s="1"/>
  <c r="J99" i="603"/>
  <c r="S99" i="603" s="1"/>
  <c r="J93" i="603"/>
  <c r="S93" i="603" s="1"/>
  <c r="E100" i="603"/>
  <c r="E30" i="603" s="1"/>
  <c r="J78" i="603"/>
  <c r="S78" i="603" s="1"/>
  <c r="J71" i="603"/>
  <c r="S71" i="603" s="1"/>
  <c r="J52" i="603"/>
  <c r="S52" i="603" s="1"/>
  <c r="J36" i="603"/>
  <c r="S36" i="603" s="1"/>
  <c r="J51" i="603"/>
  <c r="S51" i="603" s="1"/>
  <c r="J63" i="603"/>
  <c r="S63" i="603" s="1"/>
  <c r="J66" i="603"/>
  <c r="S66" i="603" s="1"/>
  <c r="J85" i="603"/>
  <c r="S85" i="603" s="1"/>
  <c r="J44" i="603"/>
  <c r="S44" i="603" s="1"/>
  <c r="J77" i="603"/>
  <c r="S77" i="603" s="1"/>
  <c r="J47" i="603"/>
  <c r="S47" i="603" s="1"/>
  <c r="J35" i="603"/>
  <c r="S35" i="603" s="1"/>
  <c r="J40" i="603"/>
  <c r="S40" i="603" s="1"/>
  <c r="J68" i="603"/>
  <c r="S68" i="603" s="1"/>
  <c r="J98" i="603"/>
  <c r="S98" i="603" s="1"/>
  <c r="J39" i="603"/>
  <c r="S39" i="603" s="1"/>
  <c r="J48" i="603"/>
  <c r="S48" i="603" s="1"/>
  <c r="J69" i="603"/>
  <c r="S69" i="603" s="1"/>
  <c r="J83" i="603"/>
  <c r="S83" i="603" s="1"/>
  <c r="J59" i="603"/>
  <c r="S59" i="603" s="1"/>
  <c r="J64" i="603"/>
  <c r="S64" i="603" s="1"/>
  <c r="J41" i="603"/>
  <c r="S41" i="603" s="1"/>
  <c r="J72" i="603"/>
  <c r="S72" i="603" s="1"/>
  <c r="J58" i="603"/>
  <c r="S58" i="603" s="1"/>
  <c r="G95" i="603"/>
  <c r="G29" i="603" s="1"/>
  <c r="J70" i="603"/>
  <c r="S70" i="603" s="1"/>
  <c r="J53" i="603"/>
  <c r="S53" i="603" s="1"/>
  <c r="J80" i="603"/>
  <c r="S80" i="603" s="1"/>
  <c r="J87" i="603"/>
  <c r="S87" i="603" s="1"/>
  <c r="J74" i="603"/>
  <c r="S74" i="603" s="1"/>
  <c r="J45" i="603"/>
  <c r="S45" i="603" s="1"/>
  <c r="J92" i="603"/>
  <c r="S92" i="603" s="1"/>
  <c r="J75" i="603"/>
  <c r="S75" i="603" s="1"/>
  <c r="J42" i="603"/>
  <c r="S42" i="603" s="1"/>
  <c r="J46" i="603"/>
  <c r="S46" i="603" s="1"/>
  <c r="J55" i="603"/>
  <c r="S55" i="603" s="1"/>
  <c r="J37" i="603"/>
  <c r="S37" i="603" s="1"/>
  <c r="T97" i="602"/>
  <c r="J81" i="603"/>
  <c r="S81" i="603" s="1"/>
  <c r="J86" i="603"/>
  <c r="S86" i="603" s="1"/>
  <c r="J89" i="603"/>
  <c r="S89" i="603" s="1"/>
  <c r="J65" i="603"/>
  <c r="S65" i="603" s="1"/>
  <c r="J94" i="603"/>
  <c r="S94" i="603" s="1"/>
  <c r="J38" i="603"/>
  <c r="S38" i="603" s="1"/>
  <c r="J79" i="603"/>
  <c r="S79" i="603" s="1"/>
  <c r="J67" i="603"/>
  <c r="S67" i="603" s="1"/>
  <c r="J50" i="603"/>
  <c r="S50" i="603" s="1"/>
  <c r="J61" i="603"/>
  <c r="S61" i="603" s="1"/>
  <c r="J62" i="603"/>
  <c r="S62" i="603" s="1"/>
  <c r="J56" i="603"/>
  <c r="S56" i="603" s="1"/>
  <c r="J60" i="603"/>
  <c r="S60" i="603" s="1"/>
  <c r="J82" i="603"/>
  <c r="S82" i="603" s="1"/>
  <c r="J57" i="603"/>
  <c r="S57" i="603" s="1"/>
  <c r="J54" i="603"/>
  <c r="S54" i="603" s="1"/>
  <c r="H95" i="603"/>
  <c r="H29" i="603" s="1"/>
  <c r="J49" i="603"/>
  <c r="S49" i="603" s="1"/>
  <c r="J76" i="603"/>
  <c r="S76" i="603" s="1"/>
  <c r="J88" i="603"/>
  <c r="S88" i="603" s="1"/>
  <c r="J91" i="603"/>
  <c r="S91" i="603" s="1"/>
  <c r="I95" i="603"/>
  <c r="I29" i="603" s="1"/>
  <c r="J73" i="603"/>
  <c r="S73" i="603" s="1"/>
  <c r="AA29" i="604" l="1"/>
  <c r="S12" i="603"/>
  <c r="V12" i="603" s="1"/>
  <c r="Q26" i="602"/>
  <c r="U23" i="603"/>
  <c r="D30" i="603"/>
  <c r="E29" i="604" s="1"/>
  <c r="E97" i="604" s="1"/>
  <c r="S26" i="602"/>
  <c r="S13" i="603"/>
  <c r="V13" i="603" s="1"/>
  <c r="V24" i="603"/>
  <c r="U18" i="603"/>
  <c r="U27" i="603"/>
  <c r="U15" i="603"/>
  <c r="U14" i="603"/>
  <c r="E96" i="603"/>
  <c r="J100" i="603"/>
  <c r="S100" i="603"/>
  <c r="O96" i="603"/>
  <c r="J95" i="603"/>
  <c r="N53" i="551" l="1"/>
  <c r="I53" i="606" s="1"/>
  <c r="V26" i="618" s="1"/>
  <c r="Y29" i="620" s="1"/>
  <c r="E98" i="604"/>
  <c r="J29" i="603"/>
  <c r="J30" i="603"/>
  <c r="S30" i="603" s="1"/>
  <c r="U13" i="603"/>
  <c r="U12" i="603"/>
  <c r="S95" i="603"/>
  <c r="Q96" i="603"/>
  <c r="G96" i="603"/>
  <c r="I96" i="603"/>
  <c r="H96" i="603"/>
  <c r="S29" i="603" l="1"/>
  <c r="V29" i="603" s="1"/>
  <c r="V30" i="603"/>
  <c r="U30" i="603"/>
  <c r="J96" i="603"/>
  <c r="S96" i="603" l="1"/>
  <c r="U29" i="603"/>
  <c r="O15" i="551"/>
  <c r="N15" i="551"/>
  <c r="O13" i="605" l="1"/>
  <c r="W14" i="605"/>
  <c r="W15" i="605" l="1"/>
  <c r="O14" i="605"/>
  <c r="O16" i="605" l="1"/>
  <c r="W16" i="605"/>
  <c r="W17" i="605" l="1"/>
  <c r="O17" i="605"/>
  <c r="W18" i="605" l="1"/>
  <c r="O18" i="605"/>
  <c r="O19" i="605" l="1"/>
  <c r="W19" i="605"/>
  <c r="O20" i="605" l="1"/>
  <c r="W20" i="605"/>
  <c r="W21" i="605" l="1"/>
  <c r="O21" i="605"/>
  <c r="O22" i="605" l="1"/>
  <c r="W22" i="605"/>
  <c r="W23" i="605" l="1"/>
  <c r="O23" i="605"/>
  <c r="O24" i="605" l="1"/>
  <c r="W24" i="605"/>
  <c r="W25" i="605" l="1"/>
  <c r="O25" i="605"/>
  <c r="W26" i="605" l="1"/>
  <c r="O26" i="605"/>
  <c r="O27" i="605" l="1"/>
  <c r="W27" i="605"/>
  <c r="Q13" i="602"/>
  <c r="W29" i="605" l="1"/>
  <c r="W30" i="605" s="1"/>
  <c r="O29" i="605"/>
  <c r="O30" i="605" s="1"/>
  <c r="T27" i="602"/>
  <c r="S27" i="602"/>
  <c r="AA16" i="604"/>
  <c r="D17" i="603"/>
  <c r="D16" i="604"/>
  <c r="D16" i="620"/>
  <c r="G17" i="603" l="1"/>
  <c r="Q17" i="603"/>
  <c r="H17" i="603"/>
  <c r="H31" i="603" s="1"/>
  <c r="L17" i="603"/>
  <c r="N17" i="603"/>
  <c r="N31" i="603" s="1"/>
  <c r="T28" i="602"/>
  <c r="E16" i="604"/>
  <c r="I17" i="603"/>
  <c r="I31" i="603" s="1"/>
  <c r="T29" i="602" l="1"/>
  <c r="V29" i="602"/>
  <c r="Q31" i="603"/>
  <c r="O17" i="603"/>
  <c r="J17" i="603"/>
  <c r="G31" i="603"/>
  <c r="L31" i="603"/>
  <c r="E64" i="551"/>
  <c r="E61" i="551"/>
  <c r="E17" i="603" l="1"/>
  <c r="S17" i="603" s="1"/>
  <c r="E58" i="551"/>
  <c r="J31" i="603"/>
  <c r="O31" i="603"/>
  <c r="E31" i="603" l="1"/>
  <c r="V17" i="603"/>
  <c r="S31" i="603"/>
  <c r="S32" i="603" s="1"/>
  <c r="U17" i="603"/>
  <c r="U32" i="603" l="1"/>
  <c r="U33" i="603" s="1"/>
  <c r="K2" i="604" s="1"/>
  <c r="K3" i="604" s="1"/>
  <c r="E50" i="551"/>
  <c r="S18" i="604" l="1"/>
  <c r="S26" i="604"/>
  <c r="S11" i="604"/>
  <c r="F11" i="604"/>
  <c r="S14" i="604"/>
  <c r="S22" i="604"/>
  <c r="F98" i="604"/>
  <c r="G98" i="604" s="1"/>
  <c r="S15" i="604"/>
  <c r="S23" i="604"/>
  <c r="S25" i="604"/>
  <c r="S17" i="604"/>
  <c r="S19" i="604"/>
  <c r="S24" i="604"/>
  <c r="S27" i="604"/>
  <c r="S16" i="604"/>
  <c r="S21" i="604"/>
  <c r="S12" i="604"/>
  <c r="S13" i="604"/>
  <c r="S20" i="604"/>
  <c r="S89" i="604"/>
  <c r="S83" i="604"/>
  <c r="S74" i="604"/>
  <c r="S41" i="604"/>
  <c r="S65" i="604"/>
  <c r="S69" i="604"/>
  <c r="S47" i="604"/>
  <c r="S40" i="604"/>
  <c r="S68" i="604"/>
  <c r="S77" i="604"/>
  <c r="S61" i="604"/>
  <c r="S90" i="604"/>
  <c r="S50" i="604"/>
  <c r="S92" i="604"/>
  <c r="S71" i="604"/>
  <c r="S49" i="604"/>
  <c r="S80" i="604"/>
  <c r="S53" i="604"/>
  <c r="S91" i="604"/>
  <c r="S48" i="604"/>
  <c r="S76" i="604"/>
  <c r="S85" i="604"/>
  <c r="S45" i="604"/>
  <c r="S87" i="604"/>
  <c r="S86" i="604"/>
  <c r="S81" i="604"/>
  <c r="S63" i="604"/>
  <c r="S64" i="604"/>
  <c r="S93" i="604"/>
  <c r="S66" i="604"/>
  <c r="S75" i="604"/>
  <c r="S72" i="604"/>
  <c r="S78" i="604"/>
  <c r="S59" i="604"/>
  <c r="S34" i="604"/>
  <c r="S43" i="604"/>
  <c r="S79" i="604"/>
  <c r="S54" i="604"/>
  <c r="S44" i="604"/>
  <c r="S60" i="604"/>
  <c r="S42" i="604"/>
  <c r="S55" i="604"/>
  <c r="S70" i="604"/>
  <c r="S56" i="604"/>
  <c r="S73" i="604"/>
  <c r="S37" i="604"/>
  <c r="S51" i="604"/>
  <c r="S35" i="604"/>
  <c r="S57" i="604"/>
  <c r="S58" i="604"/>
  <c r="S82" i="604"/>
  <c r="S38" i="604"/>
  <c r="S52" i="604"/>
  <c r="S39" i="604"/>
  <c r="S88" i="604"/>
  <c r="S36" i="604"/>
  <c r="S62" i="604"/>
  <c r="S84" i="604"/>
  <c r="S67" i="604"/>
  <c r="S46" i="604"/>
  <c r="Q15" i="604"/>
  <c r="N18" i="604"/>
  <c r="N26" i="604"/>
  <c r="P17" i="604"/>
  <c r="P25" i="604"/>
  <c r="Q16" i="604"/>
  <c r="Q24" i="604"/>
  <c r="F19" i="604"/>
  <c r="F27" i="604"/>
  <c r="N11" i="604"/>
  <c r="N19" i="604"/>
  <c r="N27" i="604"/>
  <c r="P18" i="604"/>
  <c r="P26" i="604"/>
  <c r="Q17" i="604"/>
  <c r="Q25" i="604"/>
  <c r="F12" i="604"/>
  <c r="F20" i="604"/>
  <c r="N12" i="604"/>
  <c r="N20" i="604"/>
  <c r="Q11" i="604"/>
  <c r="P19" i="604"/>
  <c r="P27" i="604"/>
  <c r="Q18" i="604"/>
  <c r="Q26" i="604"/>
  <c r="F13" i="604"/>
  <c r="F21" i="604"/>
  <c r="N25" i="604"/>
  <c r="N13" i="604"/>
  <c r="N21" i="604"/>
  <c r="P12" i="604"/>
  <c r="P20" i="604"/>
  <c r="P11" i="604"/>
  <c r="Q19" i="604"/>
  <c r="Q27" i="604"/>
  <c r="F14" i="604"/>
  <c r="F22" i="604"/>
  <c r="N16" i="604"/>
  <c r="N24" i="604"/>
  <c r="P15" i="604"/>
  <c r="P23" i="604"/>
  <c r="Q22" i="604"/>
  <c r="F25" i="604"/>
  <c r="P24" i="604"/>
  <c r="F18" i="604"/>
  <c r="N14" i="604"/>
  <c r="N22" i="604"/>
  <c r="P13" i="604"/>
  <c r="P21" i="604"/>
  <c r="Q12" i="604"/>
  <c r="Q20" i="604"/>
  <c r="F15" i="604"/>
  <c r="F23" i="604"/>
  <c r="Q14" i="604"/>
  <c r="F17" i="604"/>
  <c r="P16" i="604"/>
  <c r="Q23" i="604"/>
  <c r="F26" i="604"/>
  <c r="N15" i="604"/>
  <c r="N23" i="604"/>
  <c r="P14" i="604"/>
  <c r="P22" i="604"/>
  <c r="Q13" i="604"/>
  <c r="Q21" i="604"/>
  <c r="F24" i="604"/>
  <c r="N17" i="604"/>
  <c r="F16" i="604"/>
  <c r="F89" i="604"/>
  <c r="L89" i="604"/>
  <c r="K89" i="604"/>
  <c r="J89" i="604"/>
  <c r="I89" i="604"/>
  <c r="F83" i="604"/>
  <c r="K83" i="604"/>
  <c r="L83" i="604"/>
  <c r="J83" i="604"/>
  <c r="I83" i="604"/>
  <c r="U34" i="603"/>
  <c r="U89" i="604" l="1"/>
  <c r="W89" i="604" s="1"/>
  <c r="U83" i="604"/>
  <c r="W83" i="604" s="1"/>
  <c r="N30" i="604"/>
  <c r="P30" i="604"/>
  <c r="Q30" i="604"/>
  <c r="E11" i="333" s="1"/>
  <c r="G89" i="604"/>
  <c r="G83" i="604"/>
  <c r="G11" i="604"/>
  <c r="J54" i="604"/>
  <c r="K45" i="604"/>
  <c r="I71" i="604"/>
  <c r="F70" i="604"/>
  <c r="K49" i="604"/>
  <c r="K56" i="604"/>
  <c r="F37" i="604"/>
  <c r="I84" i="604"/>
  <c r="J67" i="604"/>
  <c r="K51" i="604"/>
  <c r="J60" i="604"/>
  <c r="F92" i="604"/>
  <c r="J80" i="604"/>
  <c r="F68" i="604"/>
  <c r="K81" i="604"/>
  <c r="J56" i="604"/>
  <c r="J81" i="604"/>
  <c r="F75" i="604"/>
  <c r="J78" i="604"/>
  <c r="J61" i="604"/>
  <c r="K47" i="604"/>
  <c r="I58" i="604"/>
  <c r="I53" i="604"/>
  <c r="I90" i="604"/>
  <c r="K60" i="604"/>
  <c r="I93" i="604"/>
  <c r="I86" i="604"/>
  <c r="I87" i="604"/>
  <c r="J74" i="604"/>
  <c r="I51" i="604"/>
  <c r="J59" i="604"/>
  <c r="K42" i="604"/>
  <c r="J55" i="604"/>
  <c r="J76" i="604"/>
  <c r="J77" i="604"/>
  <c r="K62" i="604"/>
  <c r="F42" i="604"/>
  <c r="F51" i="604"/>
  <c r="I38" i="604"/>
  <c r="J79" i="604"/>
  <c r="J48" i="604"/>
  <c r="J43" i="604"/>
  <c r="F38" i="604"/>
  <c r="J46" i="604"/>
  <c r="K79" i="604"/>
  <c r="F54" i="604"/>
  <c r="I74" i="604"/>
  <c r="I80" i="604"/>
  <c r="I57" i="604"/>
  <c r="F47" i="604"/>
  <c r="K67" i="604"/>
  <c r="K91" i="604"/>
  <c r="F56" i="604"/>
  <c r="F74" i="604"/>
  <c r="J64" i="604"/>
  <c r="K37" i="604"/>
  <c r="K58" i="604"/>
  <c r="J71" i="604"/>
  <c r="J70" i="604"/>
  <c r="J93" i="604"/>
  <c r="F84" i="604"/>
  <c r="F80" i="604"/>
  <c r="I81" i="604"/>
  <c r="K66" i="604"/>
  <c r="J65" i="604"/>
  <c r="F88" i="604"/>
  <c r="I92" i="604"/>
  <c r="K77" i="604"/>
  <c r="K72" i="604"/>
  <c r="J40" i="604"/>
  <c r="J39" i="604"/>
  <c r="F86" i="604"/>
  <c r="F49" i="604"/>
  <c r="F87" i="604"/>
  <c r="I75" i="604"/>
  <c r="J82" i="604"/>
  <c r="I35" i="604"/>
  <c r="K55" i="604"/>
  <c r="I78" i="604"/>
  <c r="F59" i="604"/>
  <c r="I61" i="604"/>
  <c r="I66" i="604"/>
  <c r="J50" i="604"/>
  <c r="F73" i="604"/>
  <c r="K64" i="604"/>
  <c r="F78" i="604"/>
  <c r="F61" i="604"/>
  <c r="K71" i="604"/>
  <c r="K78" i="604"/>
  <c r="F66" i="604"/>
  <c r="I76" i="604"/>
  <c r="J86" i="604"/>
  <c r="K80" i="604"/>
  <c r="J91" i="604"/>
  <c r="K53" i="604"/>
  <c r="K63" i="604"/>
  <c r="J49" i="604"/>
  <c r="I63" i="604"/>
  <c r="F62" i="604"/>
  <c r="K82" i="604"/>
  <c r="K50" i="604"/>
  <c r="F71" i="604"/>
  <c r="I68" i="604"/>
  <c r="K46" i="604"/>
  <c r="I73" i="604"/>
  <c r="J84" i="604"/>
  <c r="F67" i="604"/>
  <c r="K75" i="604"/>
  <c r="K39" i="604"/>
  <c r="K76" i="604"/>
  <c r="J57" i="604"/>
  <c r="I47" i="604"/>
  <c r="F82" i="604"/>
  <c r="F85" i="604"/>
  <c r="I45" i="604"/>
  <c r="F60" i="604"/>
  <c r="K88" i="604"/>
  <c r="F57" i="604"/>
  <c r="I70" i="604"/>
  <c r="K44" i="604"/>
  <c r="K87" i="604"/>
  <c r="I65" i="604"/>
  <c r="I88" i="604"/>
  <c r="F45" i="604"/>
  <c r="J73" i="604"/>
  <c r="I69" i="604"/>
  <c r="F69" i="604"/>
  <c r="K41" i="604"/>
  <c r="F58" i="604"/>
  <c r="J87" i="604"/>
  <c r="J36" i="604"/>
  <c r="K59" i="604"/>
  <c r="K40" i="604"/>
  <c r="I55" i="604"/>
  <c r="F76" i="604"/>
  <c r="K70" i="604"/>
  <c r="I54" i="604"/>
  <c r="I59" i="604"/>
  <c r="J38" i="604"/>
  <c r="K54" i="604"/>
  <c r="K57" i="604"/>
  <c r="F93" i="604"/>
  <c r="F77" i="604"/>
  <c r="I50" i="604"/>
  <c r="J44" i="604"/>
  <c r="I41" i="604"/>
  <c r="F35" i="604"/>
  <c r="J47" i="604"/>
  <c r="K93" i="604"/>
  <c r="J66" i="604"/>
  <c r="F50" i="604"/>
  <c r="I79" i="604"/>
  <c r="K69" i="604"/>
  <c r="F91" i="604"/>
  <c r="J63" i="604"/>
  <c r="J62" i="604"/>
  <c r="K35" i="604"/>
  <c r="F36" i="604"/>
  <c r="K74" i="604"/>
  <c r="F55" i="604"/>
  <c r="J75" i="604"/>
  <c r="J52" i="604"/>
  <c r="I56" i="604"/>
  <c r="I72" i="604"/>
  <c r="I64" i="604"/>
  <c r="K48" i="604"/>
  <c r="J37" i="604"/>
  <c r="F53" i="604"/>
  <c r="I67" i="604"/>
  <c r="K68" i="604"/>
  <c r="F65" i="604"/>
  <c r="I60" i="604"/>
  <c r="J92" i="604"/>
  <c r="K73" i="604"/>
  <c r="I40" i="604"/>
  <c r="F39" i="604"/>
  <c r="I82" i="604"/>
  <c r="F40" i="604"/>
  <c r="K90" i="604"/>
  <c r="I44" i="604"/>
  <c r="J85" i="604"/>
  <c r="F46" i="604"/>
  <c r="I91" i="604"/>
  <c r="J72" i="604"/>
  <c r="J69" i="604"/>
  <c r="K85" i="604"/>
  <c r="K92" i="604"/>
  <c r="J88" i="604"/>
  <c r="J45" i="604"/>
  <c r="I52" i="604"/>
  <c r="K84" i="604"/>
  <c r="J58" i="604"/>
  <c r="F72" i="604"/>
  <c r="I36" i="604"/>
  <c r="I39" i="604"/>
  <c r="I46" i="604"/>
  <c r="F48" i="604"/>
  <c r="K38" i="604"/>
  <c r="I42" i="604"/>
  <c r="K52" i="604"/>
  <c r="J42" i="604"/>
  <c r="J51" i="604"/>
  <c r="F64" i="604"/>
  <c r="K61" i="604"/>
  <c r="I49" i="604"/>
  <c r="F63" i="604"/>
  <c r="I43" i="604"/>
  <c r="K86" i="604"/>
  <c r="I77" i="604"/>
  <c r="J68" i="604"/>
  <c r="F43" i="604"/>
  <c r="I48" i="604"/>
  <c r="K65" i="604"/>
  <c r="F79" i="604"/>
  <c r="J41" i="604"/>
  <c r="J35" i="604"/>
  <c r="F52" i="604"/>
  <c r="F81" i="604"/>
  <c r="J90" i="604"/>
  <c r="K43" i="604"/>
  <c r="F44" i="604"/>
  <c r="F41" i="604"/>
  <c r="I62" i="604"/>
  <c r="I85" i="604"/>
  <c r="K36" i="604"/>
  <c r="I37" i="604"/>
  <c r="J53" i="604"/>
  <c r="F90" i="604"/>
  <c r="F34" i="604"/>
  <c r="I11" i="604"/>
  <c r="Q95" i="604"/>
  <c r="J97" i="620"/>
  <c r="L98" i="620"/>
  <c r="L97" i="620"/>
  <c r="S97" i="620"/>
  <c r="K97" i="620"/>
  <c r="I34" i="604"/>
  <c r="L34" i="604"/>
  <c r="I24" i="604"/>
  <c r="L70" i="604"/>
  <c r="I27" i="604"/>
  <c r="L56" i="604"/>
  <c r="L86" i="604"/>
  <c r="L62" i="604"/>
  <c r="L97" i="604"/>
  <c r="L46" i="604"/>
  <c r="L42" i="604"/>
  <c r="L54" i="604"/>
  <c r="O12" i="604"/>
  <c r="J15" i="604"/>
  <c r="J34" i="604"/>
  <c r="L38" i="604"/>
  <c r="U38" i="604" s="1"/>
  <c r="L77" i="604"/>
  <c r="L59" i="604"/>
  <c r="J97" i="604"/>
  <c r="L68" i="604"/>
  <c r="J13" i="604"/>
  <c r="J98" i="604"/>
  <c r="O95" i="604"/>
  <c r="O27" i="604"/>
  <c r="O24" i="604"/>
  <c r="J11" i="604"/>
  <c r="L84" i="604"/>
  <c r="K34" i="604"/>
  <c r="L50" i="604"/>
  <c r="I18" i="604"/>
  <c r="L67" i="604"/>
  <c r="L81" i="604"/>
  <c r="L48" i="604"/>
  <c r="U48" i="604" s="1"/>
  <c r="L60" i="604"/>
  <c r="U60" i="604" s="1"/>
  <c r="I20" i="604"/>
  <c r="J19" i="604"/>
  <c r="L47" i="604"/>
  <c r="P95" i="604"/>
  <c r="N95" i="604"/>
  <c r="L37" i="604"/>
  <c r="O11" i="604"/>
  <c r="L39" i="604"/>
  <c r="L45" i="604"/>
  <c r="K13" i="604"/>
  <c r="L65" i="604"/>
  <c r="L53" i="604"/>
  <c r="I12" i="604"/>
  <c r="L69" i="604"/>
  <c r="L51" i="604"/>
  <c r="I23" i="604"/>
  <c r="L80" i="604"/>
  <c r="L76" i="604"/>
  <c r="I97" i="604"/>
  <c r="L41" i="604"/>
  <c r="L71" i="604"/>
  <c r="L52" i="604"/>
  <c r="L87" i="604"/>
  <c r="O14" i="604"/>
  <c r="O25" i="604"/>
  <c r="I98" i="604"/>
  <c r="J23" i="604"/>
  <c r="L74" i="604"/>
  <c r="L35" i="604"/>
  <c r="L49" i="604"/>
  <c r="L98" i="604"/>
  <c r="I22" i="604"/>
  <c r="L92" i="604"/>
  <c r="L63" i="604"/>
  <c r="L55" i="604"/>
  <c r="L64" i="604"/>
  <c r="O13" i="604"/>
  <c r="L85" i="604"/>
  <c r="K27" i="604"/>
  <c r="K21" i="604"/>
  <c r="J20" i="604"/>
  <c r="K11" i="604"/>
  <c r="L82" i="604"/>
  <c r="U82" i="604" s="1"/>
  <c r="L75" i="604"/>
  <c r="U75" i="604" s="1"/>
  <c r="L88" i="604"/>
  <c r="L58" i="604"/>
  <c r="L44" i="604"/>
  <c r="U44" i="604" s="1"/>
  <c r="L91" i="604"/>
  <c r="L57" i="604"/>
  <c r="L78" i="604"/>
  <c r="I15" i="604"/>
  <c r="L72" i="604"/>
  <c r="I19" i="604"/>
  <c r="L61" i="604"/>
  <c r="I26" i="604"/>
  <c r="I17" i="604"/>
  <c r="L73" i="604"/>
  <c r="L66" i="604"/>
  <c r="L36" i="604"/>
  <c r="I21" i="604"/>
  <c r="L90" i="604"/>
  <c r="L79" i="604"/>
  <c r="F97" i="604"/>
  <c r="I25" i="604"/>
  <c r="L93" i="604"/>
  <c r="L43" i="604"/>
  <c r="U43" i="604" s="1"/>
  <c r="K97" i="604"/>
  <c r="I13" i="604"/>
  <c r="I14" i="604"/>
  <c r="K24" i="604"/>
  <c r="O18" i="604"/>
  <c r="J25" i="604"/>
  <c r="K15" i="604"/>
  <c r="K22" i="604"/>
  <c r="J27" i="604"/>
  <c r="O15" i="604"/>
  <c r="J98" i="620"/>
  <c r="K19" i="604"/>
  <c r="S98" i="620"/>
  <c r="J12" i="604"/>
  <c r="K98" i="604"/>
  <c r="K17" i="604"/>
  <c r="J14" i="604"/>
  <c r="K12" i="604"/>
  <c r="K25" i="604"/>
  <c r="K18" i="604"/>
  <c r="J22" i="604"/>
  <c r="K14" i="604"/>
  <c r="J18" i="604"/>
  <c r="J24" i="604"/>
  <c r="K23" i="604"/>
  <c r="O19" i="604"/>
  <c r="K26" i="604"/>
  <c r="J21" i="604"/>
  <c r="O21" i="604"/>
  <c r="K20" i="604"/>
  <c r="O23" i="604"/>
  <c r="O16" i="604"/>
  <c r="S97" i="604"/>
  <c r="O17" i="604"/>
  <c r="O26" i="604"/>
  <c r="J26" i="604"/>
  <c r="S98" i="604"/>
  <c r="L40" i="604"/>
  <c r="J17" i="604"/>
  <c r="O22" i="604"/>
  <c r="K98" i="620"/>
  <c r="O20" i="604"/>
  <c r="J16" i="604"/>
  <c r="I16" i="604"/>
  <c r="K16" i="604"/>
  <c r="U62" i="604" l="1"/>
  <c r="U35" i="604"/>
  <c r="U91" i="604"/>
  <c r="U73" i="604"/>
  <c r="U92" i="604"/>
  <c r="U67" i="604"/>
  <c r="W67" i="604" s="1"/>
  <c r="U45" i="604"/>
  <c r="W45" i="604" s="1"/>
  <c r="U70" i="604"/>
  <c r="W70" i="604" s="1"/>
  <c r="U46" i="604"/>
  <c r="W46" i="604" s="1"/>
  <c r="U65" i="604"/>
  <c r="W65" i="604" s="1"/>
  <c r="U58" i="604"/>
  <c r="W58" i="604" s="1"/>
  <c r="U49" i="604"/>
  <c r="W49" i="604" s="1"/>
  <c r="U72" i="604"/>
  <c r="W72" i="604" s="1"/>
  <c r="U52" i="604"/>
  <c r="W52" i="604" s="1"/>
  <c r="U56" i="604"/>
  <c r="W56" i="604" s="1"/>
  <c r="U90" i="604"/>
  <c r="U77" i="604"/>
  <c r="W77" i="604" s="1"/>
  <c r="U61" i="604"/>
  <c r="W61" i="604" s="1"/>
  <c r="U69" i="604"/>
  <c r="W69" i="604" s="1"/>
  <c r="U37" i="604"/>
  <c r="U50" i="604"/>
  <c r="W50" i="604" s="1"/>
  <c r="U76" i="604"/>
  <c r="W76" i="604" s="1"/>
  <c r="U84" i="604"/>
  <c r="W84" i="604" s="1"/>
  <c r="U42" i="604"/>
  <c r="W42" i="604" s="1"/>
  <c r="U64" i="604"/>
  <c r="W64" i="604" s="1"/>
  <c r="U59" i="604"/>
  <c r="W59" i="604" s="1"/>
  <c r="U39" i="604"/>
  <c r="W39" i="604" s="1"/>
  <c r="L16" i="604"/>
  <c r="U16" i="604" s="1"/>
  <c r="U86" i="604"/>
  <c r="W86" i="604" s="1"/>
  <c r="U74" i="604"/>
  <c r="W74" i="604" s="1"/>
  <c r="U41" i="604"/>
  <c r="W41" i="604" s="1"/>
  <c r="U53" i="604"/>
  <c r="W53" i="604" s="1"/>
  <c r="L13" i="604"/>
  <c r="U13" i="604" s="1"/>
  <c r="U55" i="604"/>
  <c r="W55" i="604" s="1"/>
  <c r="L20" i="604"/>
  <c r="U20" i="604" s="1"/>
  <c r="L24" i="604"/>
  <c r="U24" i="604" s="1"/>
  <c r="L25" i="604"/>
  <c r="U25" i="604" s="1"/>
  <c r="L17" i="604"/>
  <c r="U17" i="604" s="1"/>
  <c r="L22" i="604"/>
  <c r="U22" i="604" s="1"/>
  <c r="L23" i="604"/>
  <c r="U23" i="604" s="1"/>
  <c r="L11" i="604"/>
  <c r="U11" i="604" s="1"/>
  <c r="L26" i="604"/>
  <c r="U26" i="604" s="1"/>
  <c r="U97" i="604"/>
  <c r="L14" i="604"/>
  <c r="U14" i="604" s="1"/>
  <c r="L19" i="604"/>
  <c r="U19" i="604" s="1"/>
  <c r="L12" i="604"/>
  <c r="U12" i="604" s="1"/>
  <c r="L21" i="604"/>
  <c r="U21" i="604" s="1"/>
  <c r="L18" i="604"/>
  <c r="U18" i="604" s="1"/>
  <c r="L15" i="604"/>
  <c r="U15" i="604" s="1"/>
  <c r="L27" i="604"/>
  <c r="U27" i="604" s="1"/>
  <c r="U79" i="604"/>
  <c r="W79" i="604" s="1"/>
  <c r="U85" i="604"/>
  <c r="W85" i="604" s="1"/>
  <c r="U81" i="604"/>
  <c r="W81" i="604" s="1"/>
  <c r="U88" i="604"/>
  <c r="W88" i="604" s="1"/>
  <c r="U71" i="604"/>
  <c r="W71" i="604" s="1"/>
  <c r="U36" i="604"/>
  <c r="W36" i="604" s="1"/>
  <c r="U47" i="604"/>
  <c r="W47" i="604" s="1"/>
  <c r="U66" i="604"/>
  <c r="W66" i="604" s="1"/>
  <c r="U78" i="604"/>
  <c r="W78" i="604" s="1"/>
  <c r="U63" i="604"/>
  <c r="W63" i="604" s="1"/>
  <c r="U68" i="604"/>
  <c r="W68" i="604" s="1"/>
  <c r="U54" i="604"/>
  <c r="W54" i="604" s="1"/>
  <c r="U40" i="604"/>
  <c r="W40" i="604" s="1"/>
  <c r="U93" i="604"/>
  <c r="W93" i="604" s="1"/>
  <c r="U57" i="604"/>
  <c r="W57" i="604" s="1"/>
  <c r="U80" i="604"/>
  <c r="W80" i="604" s="1"/>
  <c r="U87" i="604"/>
  <c r="W87" i="604" s="1"/>
  <c r="U51" i="604"/>
  <c r="W51" i="604" s="1"/>
  <c r="D13" i="333"/>
  <c r="W92" i="604"/>
  <c r="W90" i="604"/>
  <c r="W38" i="604"/>
  <c r="W43" i="604"/>
  <c r="W73" i="604"/>
  <c r="W91" i="604"/>
  <c r="W44" i="604"/>
  <c r="W60" i="604"/>
  <c r="U34" i="604"/>
  <c r="W34" i="604" s="1"/>
  <c r="W35" i="604"/>
  <c r="W37" i="604"/>
  <c r="W62" i="604"/>
  <c r="W75" i="604"/>
  <c r="S94" i="604"/>
  <c r="W82" i="604"/>
  <c r="O30" i="604"/>
  <c r="W48" i="604"/>
  <c r="H109" i="622"/>
  <c r="F94" i="604"/>
  <c r="F28" i="604" s="1"/>
  <c r="F95" i="604" s="1"/>
  <c r="P44" i="605"/>
  <c r="P72" i="605"/>
  <c r="P64" i="605"/>
  <c r="P79" i="605"/>
  <c r="P34" i="605"/>
  <c r="P48" i="605"/>
  <c r="P60" i="605"/>
  <c r="P75" i="605"/>
  <c r="P89" i="605"/>
  <c r="P52" i="605"/>
  <c r="P59" i="605"/>
  <c r="P77" i="605"/>
  <c r="P45" i="605"/>
  <c r="P70" i="605"/>
  <c r="P61" i="605"/>
  <c r="P53" i="605"/>
  <c r="P85" i="605"/>
  <c r="P43" i="605"/>
  <c r="P83" i="605"/>
  <c r="P57" i="605"/>
  <c r="P86" i="605"/>
  <c r="P87" i="605"/>
  <c r="P58" i="605"/>
  <c r="P35" i="605"/>
  <c r="P41" i="605"/>
  <c r="P80" i="605"/>
  <c r="P73" i="605"/>
  <c r="P40" i="605"/>
  <c r="P56" i="605"/>
  <c r="P81" i="605"/>
  <c r="P91" i="605"/>
  <c r="P54" i="605"/>
  <c r="P92" i="605"/>
  <c r="P78" i="605"/>
  <c r="P37" i="605"/>
  <c r="P68" i="605"/>
  <c r="P90" i="605"/>
  <c r="P50" i="605"/>
  <c r="P42" i="605"/>
  <c r="P71" i="605"/>
  <c r="P51" i="605"/>
  <c r="P46" i="605"/>
  <c r="P67" i="605"/>
  <c r="P47" i="605"/>
  <c r="P62" i="605"/>
  <c r="P63" i="605"/>
  <c r="P69" i="605"/>
  <c r="P49" i="605"/>
  <c r="P66" i="605"/>
  <c r="P39" i="605"/>
  <c r="P65" i="605"/>
  <c r="P84" i="605"/>
  <c r="P74" i="605"/>
  <c r="P55" i="605"/>
  <c r="P76" i="605"/>
  <c r="P38" i="605"/>
  <c r="P36" i="605"/>
  <c r="P12" i="605"/>
  <c r="P13" i="605"/>
  <c r="P14" i="605"/>
  <c r="P15" i="605"/>
  <c r="P16" i="605"/>
  <c r="P17" i="605"/>
  <c r="P18" i="605"/>
  <c r="P19" i="605"/>
  <c r="P20" i="605"/>
  <c r="P21" i="605"/>
  <c r="P22" i="605"/>
  <c r="P23" i="605"/>
  <c r="P24" i="605"/>
  <c r="P25" i="605"/>
  <c r="P26" i="605"/>
  <c r="P27" i="605"/>
  <c r="P28" i="605"/>
  <c r="P29" i="605"/>
  <c r="P33" i="605"/>
  <c r="H128" i="622"/>
  <c r="H142" i="622" s="1"/>
  <c r="S99" i="604"/>
  <c r="S29" i="604" s="1"/>
  <c r="J99" i="604"/>
  <c r="J29" i="604" s="1"/>
  <c r="K99" i="604"/>
  <c r="K29" i="604" s="1"/>
  <c r="G69" i="604"/>
  <c r="G41" i="604"/>
  <c r="G73" i="604"/>
  <c r="G72" i="604"/>
  <c r="G18" i="604"/>
  <c r="K94" i="604"/>
  <c r="G76" i="604"/>
  <c r="G93" i="604"/>
  <c r="L99" i="604"/>
  <c r="L29" i="604" s="1"/>
  <c r="I94" i="604"/>
  <c r="I28" i="604" s="1"/>
  <c r="G67" i="604"/>
  <c r="G75" i="604"/>
  <c r="G47" i="604"/>
  <c r="G79" i="604"/>
  <c r="G84" i="604"/>
  <c r="G21" i="604"/>
  <c r="G90" i="604"/>
  <c r="G19" i="604"/>
  <c r="J94" i="604"/>
  <c r="G91" i="604"/>
  <c r="G39" i="604"/>
  <c r="K99" i="620"/>
  <c r="K29" i="620" s="1"/>
  <c r="G54" i="604"/>
  <c r="G22" i="604"/>
  <c r="G64" i="604"/>
  <c r="G70" i="604"/>
  <c r="G87" i="604"/>
  <c r="G92" i="604"/>
  <c r="G13" i="604"/>
  <c r="G80" i="604"/>
  <c r="G68" i="604"/>
  <c r="G34" i="604"/>
  <c r="G50" i="604"/>
  <c r="G46" i="604"/>
  <c r="G20" i="604"/>
  <c r="G45" i="604"/>
  <c r="G65" i="604"/>
  <c r="G53" i="604"/>
  <c r="G85" i="604"/>
  <c r="G14" i="604"/>
  <c r="G25" i="604"/>
  <c r="G38" i="604"/>
  <c r="G42" i="604"/>
  <c r="U98" i="604"/>
  <c r="W98" i="604" s="1"/>
  <c r="G37" i="604"/>
  <c r="G77" i="604"/>
  <c r="G78" i="604"/>
  <c r="G55" i="604"/>
  <c r="G58" i="604"/>
  <c r="G26" i="604"/>
  <c r="G62" i="604"/>
  <c r="G35" i="604"/>
  <c r="G74" i="604"/>
  <c r="S99" i="620"/>
  <c r="S29" i="620" s="1"/>
  <c r="G61" i="604"/>
  <c r="G15" i="604"/>
  <c r="G48" i="604"/>
  <c r="G59" i="604"/>
  <c r="G57" i="604"/>
  <c r="G88" i="604"/>
  <c r="G71" i="604"/>
  <c r="G52" i="604"/>
  <c r="L99" i="620"/>
  <c r="L29" i="620" s="1"/>
  <c r="G36" i="604"/>
  <c r="G23" i="604"/>
  <c r="I99" i="604"/>
  <c r="I29" i="604" s="1"/>
  <c r="G44" i="604"/>
  <c r="G63" i="604"/>
  <c r="G49" i="604"/>
  <c r="G16" i="604"/>
  <c r="G12" i="604"/>
  <c r="F99" i="604"/>
  <c r="F29" i="604" s="1"/>
  <c r="G97" i="604"/>
  <c r="G99" i="604" s="1"/>
  <c r="G29" i="604" s="1"/>
  <c r="G56" i="604"/>
  <c r="G17" i="604"/>
  <c r="G86" i="604"/>
  <c r="G43" i="604"/>
  <c r="G51" i="604"/>
  <c r="G82" i="604"/>
  <c r="G40" i="604"/>
  <c r="G60" i="604"/>
  <c r="G81" i="604"/>
  <c r="G66" i="604"/>
  <c r="G27" i="604"/>
  <c r="G24" i="604"/>
  <c r="L94" i="604"/>
  <c r="L28" i="604" s="1"/>
  <c r="J99" i="620"/>
  <c r="J29" i="620" s="1"/>
  <c r="F30" i="604" l="1"/>
  <c r="E17" i="333" s="1"/>
  <c r="S28" i="604"/>
  <c r="S30" i="604" s="1"/>
  <c r="E13" i="333" s="1"/>
  <c r="E10" i="621"/>
  <c r="AB22" i="604"/>
  <c r="E18" i="621"/>
  <c r="AB24" i="604"/>
  <c r="E20" i="621"/>
  <c r="AB15" i="604"/>
  <c r="E11" i="621"/>
  <c r="AB19" i="604"/>
  <c r="E15" i="621"/>
  <c r="AB26" i="604"/>
  <c r="E22" i="621"/>
  <c r="AB20" i="604"/>
  <c r="E16" i="621"/>
  <c r="AB16" i="604"/>
  <c r="E12" i="621"/>
  <c r="AB18" i="604"/>
  <c r="E14" i="621"/>
  <c r="AB23" i="604"/>
  <c r="E19" i="621"/>
  <c r="AB13" i="604"/>
  <c r="E9" i="621"/>
  <c r="AB11" i="604"/>
  <c r="E7" i="621"/>
  <c r="AB17" i="604"/>
  <c r="E13" i="621"/>
  <c r="AB21" i="604"/>
  <c r="E17" i="621"/>
  <c r="AB27" i="604"/>
  <c r="E23" i="621"/>
  <c r="AB12" i="604"/>
  <c r="E8" i="621"/>
  <c r="AB25" i="604"/>
  <c r="E21" i="621"/>
  <c r="H127" i="622"/>
  <c r="I128" i="622"/>
  <c r="I142" i="622" s="1"/>
  <c r="I109" i="622"/>
  <c r="I30" i="604"/>
  <c r="E19" i="333" s="1"/>
  <c r="P93" i="605"/>
  <c r="P30" i="605" s="1"/>
  <c r="X92" i="605"/>
  <c r="AA92" i="605" s="1"/>
  <c r="AB92" i="605" s="1"/>
  <c r="X39" i="605"/>
  <c r="AA39" i="605" s="1"/>
  <c r="AB39" i="605" s="1"/>
  <c r="X59" i="605"/>
  <c r="AA59" i="605" s="1"/>
  <c r="AB59" i="605" s="1"/>
  <c r="X67" i="605"/>
  <c r="AA67" i="605" s="1"/>
  <c r="AB67" i="605" s="1"/>
  <c r="X55" i="605"/>
  <c r="AA55" i="605" s="1"/>
  <c r="AB55" i="605" s="1"/>
  <c r="X38" i="605"/>
  <c r="AA38" i="605" s="1"/>
  <c r="AB38" i="605" s="1"/>
  <c r="X42" i="605"/>
  <c r="AA42" i="605" s="1"/>
  <c r="AB42" i="605" s="1"/>
  <c r="X43" i="605"/>
  <c r="AA43" i="605" s="1"/>
  <c r="AB43" i="605" s="1"/>
  <c r="X71" i="605"/>
  <c r="AA71" i="605" s="1"/>
  <c r="AB71" i="605" s="1"/>
  <c r="X87" i="605"/>
  <c r="AA87" i="605" s="1"/>
  <c r="AB87" i="605" s="1"/>
  <c r="X37" i="605"/>
  <c r="AA37" i="605" s="1"/>
  <c r="AB37" i="605" s="1"/>
  <c r="X86" i="605"/>
  <c r="AA86" i="605" s="1"/>
  <c r="AB86" i="605" s="1"/>
  <c r="X35" i="605"/>
  <c r="AA35" i="605" s="1"/>
  <c r="AB35" i="605" s="1"/>
  <c r="X52" i="605"/>
  <c r="AA52" i="605" s="1"/>
  <c r="AB52" i="605" s="1"/>
  <c r="X45" i="605"/>
  <c r="AA45" i="605" s="1"/>
  <c r="AB45" i="605" s="1"/>
  <c r="X65" i="605"/>
  <c r="AA65" i="605" s="1"/>
  <c r="AB65" i="605" s="1"/>
  <c r="X34" i="605"/>
  <c r="AA34" i="605" s="1"/>
  <c r="AB34" i="605" s="1"/>
  <c r="X73" i="605"/>
  <c r="AA73" i="605" s="1"/>
  <c r="AB73" i="605" s="1"/>
  <c r="X50" i="605"/>
  <c r="AA50" i="605" s="1"/>
  <c r="AB50" i="605" s="1"/>
  <c r="X76" i="605"/>
  <c r="AA76" i="605" s="1"/>
  <c r="AB76" i="605" s="1"/>
  <c r="X44" i="605"/>
  <c r="AA44" i="605" s="1"/>
  <c r="AB44" i="605" s="1"/>
  <c r="X69" i="605"/>
  <c r="AA69" i="605" s="1"/>
  <c r="AB69" i="605" s="1"/>
  <c r="X46" i="605"/>
  <c r="AA46" i="605" s="1"/>
  <c r="AB46" i="605" s="1"/>
  <c r="X60" i="605"/>
  <c r="AA60" i="605" s="1"/>
  <c r="AB60" i="605" s="1"/>
  <c r="X81" i="605"/>
  <c r="AA81" i="605" s="1"/>
  <c r="AB81" i="605" s="1"/>
  <c r="X56" i="605"/>
  <c r="AA56" i="605" s="1"/>
  <c r="AB56" i="605" s="1"/>
  <c r="X66" i="605"/>
  <c r="AA66" i="605" s="1"/>
  <c r="AB66" i="605" s="1"/>
  <c r="X85" i="605"/>
  <c r="AA85" i="605" s="1"/>
  <c r="AB85" i="605" s="1"/>
  <c r="X77" i="605"/>
  <c r="AA77" i="605" s="1"/>
  <c r="AB77" i="605" s="1"/>
  <c r="X57" i="605"/>
  <c r="AA57" i="605" s="1"/>
  <c r="AB57" i="605" s="1"/>
  <c r="X51" i="605"/>
  <c r="AA51" i="605" s="1"/>
  <c r="AB51" i="605" s="1"/>
  <c r="X40" i="605"/>
  <c r="AA40" i="605" s="1"/>
  <c r="AB40" i="605" s="1"/>
  <c r="X79" i="605"/>
  <c r="AA79" i="605" s="1"/>
  <c r="AB79" i="605" s="1"/>
  <c r="X72" i="605"/>
  <c r="AA72" i="605" s="1"/>
  <c r="AB72" i="605" s="1"/>
  <c r="X58" i="605"/>
  <c r="AA58" i="605" s="1"/>
  <c r="AB58" i="605" s="1"/>
  <c r="X36" i="605"/>
  <c r="AA36" i="605" s="1"/>
  <c r="AB36" i="605" s="1"/>
  <c r="X47" i="605"/>
  <c r="AA47" i="605" s="1"/>
  <c r="AB47" i="605" s="1"/>
  <c r="X80" i="605"/>
  <c r="AA80" i="605" s="1"/>
  <c r="AB80" i="605" s="1"/>
  <c r="X54" i="605"/>
  <c r="AA54" i="605" s="1"/>
  <c r="AB54" i="605" s="1"/>
  <c r="X90" i="605"/>
  <c r="AA90" i="605" s="1"/>
  <c r="AB90" i="605" s="1"/>
  <c r="X62" i="605"/>
  <c r="AA62" i="605" s="1"/>
  <c r="AB62" i="605" s="1"/>
  <c r="X53" i="605"/>
  <c r="AA53" i="605" s="1"/>
  <c r="AB53" i="605" s="1"/>
  <c r="X74" i="605"/>
  <c r="AA74" i="605" s="1"/>
  <c r="AB74" i="605" s="1"/>
  <c r="X91" i="605"/>
  <c r="AA91" i="605" s="1"/>
  <c r="AB91" i="605" s="1"/>
  <c r="X64" i="605"/>
  <c r="AA64" i="605" s="1"/>
  <c r="AB64" i="605" s="1"/>
  <c r="X78" i="605"/>
  <c r="AA78" i="605" s="1"/>
  <c r="AB78" i="605" s="1"/>
  <c r="X89" i="605"/>
  <c r="AA89" i="605" s="1"/>
  <c r="AB89" i="605" s="1"/>
  <c r="X49" i="605"/>
  <c r="AA49" i="605" s="1"/>
  <c r="AB49" i="605" s="1"/>
  <c r="X83" i="605"/>
  <c r="AA83" i="605" s="1"/>
  <c r="AB83" i="605" s="1"/>
  <c r="X41" i="605"/>
  <c r="AA41" i="605" s="1"/>
  <c r="AB41" i="605" s="1"/>
  <c r="X63" i="605"/>
  <c r="AA63" i="605" s="1"/>
  <c r="AB63" i="605" s="1"/>
  <c r="X75" i="605"/>
  <c r="AA75" i="605" s="1"/>
  <c r="AB75" i="605" s="1"/>
  <c r="X70" i="605"/>
  <c r="AA70" i="605" s="1"/>
  <c r="AB70" i="605" s="1"/>
  <c r="X84" i="605"/>
  <c r="AA84" i="605" s="1"/>
  <c r="AB84" i="605" s="1"/>
  <c r="X61" i="605"/>
  <c r="AA61" i="605" s="1"/>
  <c r="AB61" i="605" s="1"/>
  <c r="X68" i="605"/>
  <c r="AA68" i="605" s="1"/>
  <c r="AB68" i="605" s="1"/>
  <c r="X48" i="605"/>
  <c r="AA48" i="605" s="1"/>
  <c r="AB48" i="605" s="1"/>
  <c r="X12" i="605"/>
  <c r="X14" i="605"/>
  <c r="AA14" i="605" s="1"/>
  <c r="AB14" i="605" s="1"/>
  <c r="X13" i="605"/>
  <c r="AA13" i="605" s="1"/>
  <c r="AB13" i="605" s="1"/>
  <c r="X15" i="605"/>
  <c r="AA15" i="605" s="1"/>
  <c r="AB15" i="605" s="1"/>
  <c r="X16" i="605"/>
  <c r="AA16" i="605" s="1"/>
  <c r="AB16" i="605" s="1"/>
  <c r="X17" i="605"/>
  <c r="AA17" i="605" s="1"/>
  <c r="AB17" i="605" s="1"/>
  <c r="X18" i="605"/>
  <c r="AA18" i="605" s="1"/>
  <c r="AB18" i="605" s="1"/>
  <c r="X19" i="605"/>
  <c r="AA19" i="605" s="1"/>
  <c r="AB19" i="605" s="1"/>
  <c r="X20" i="605"/>
  <c r="AA20" i="605" s="1"/>
  <c r="AB20" i="605" s="1"/>
  <c r="X21" i="605"/>
  <c r="AA21" i="605" s="1"/>
  <c r="AB21" i="605" s="1"/>
  <c r="X22" i="605"/>
  <c r="AA22" i="605" s="1"/>
  <c r="AB22" i="605" s="1"/>
  <c r="X23" i="605"/>
  <c r="AA23" i="605" s="1"/>
  <c r="AB23" i="605" s="1"/>
  <c r="X24" i="605"/>
  <c r="AA24" i="605" s="1"/>
  <c r="AB24" i="605" s="1"/>
  <c r="X25" i="605"/>
  <c r="AA25" i="605" s="1"/>
  <c r="AB25" i="605" s="1"/>
  <c r="X26" i="605"/>
  <c r="AA26" i="605" s="1"/>
  <c r="AB26" i="605" s="1"/>
  <c r="X27" i="605"/>
  <c r="AA27" i="605" s="1"/>
  <c r="AB27" i="605" s="1"/>
  <c r="X28" i="605"/>
  <c r="AA28" i="605" s="1"/>
  <c r="AB28" i="605" s="1"/>
  <c r="X29" i="605"/>
  <c r="AA29" i="605" s="1"/>
  <c r="AB29" i="605" s="1"/>
  <c r="X33" i="605"/>
  <c r="J28" i="604"/>
  <c r="J30" i="604" s="1"/>
  <c r="E20" i="333" s="1"/>
  <c r="K28" i="604"/>
  <c r="K30" i="604" s="1"/>
  <c r="E21" i="333" s="1"/>
  <c r="W19" i="604"/>
  <c r="Z19" i="604"/>
  <c r="Z21" i="604"/>
  <c r="W21" i="604"/>
  <c r="N38" i="551"/>
  <c r="Z12" i="604"/>
  <c r="W12" i="604"/>
  <c r="Z20" i="604"/>
  <c r="N44" i="551" s="1"/>
  <c r="I44" i="606" s="1"/>
  <c r="V17" i="618" s="1"/>
  <c r="Y20" i="620" s="1"/>
  <c r="W20" i="604"/>
  <c r="Z25" i="604"/>
  <c r="N49" i="551" s="1"/>
  <c r="I49" i="606" s="1"/>
  <c r="V22" i="618" s="1"/>
  <c r="W25" i="604"/>
  <c r="Z18" i="604"/>
  <c r="N42" i="551" s="1"/>
  <c r="I42" i="606" s="1"/>
  <c r="V15" i="618" s="1"/>
  <c r="Y18" i="620" s="1"/>
  <c r="W18" i="604"/>
  <c r="W17" i="604"/>
  <c r="Z17" i="604"/>
  <c r="N41" i="551" s="1"/>
  <c r="I41" i="606" s="1"/>
  <c r="V14" i="618" s="1"/>
  <c r="Z24" i="604"/>
  <c r="N48" i="551" s="1"/>
  <c r="I48" i="606" s="1"/>
  <c r="V21" i="618" s="1"/>
  <c r="Y24" i="620" s="1"/>
  <c r="W24" i="604"/>
  <c r="Z16" i="604"/>
  <c r="N40" i="551" s="1"/>
  <c r="I40" i="606" s="1"/>
  <c r="V13" i="618" s="1"/>
  <c r="W16" i="604"/>
  <c r="Z26" i="604"/>
  <c r="W26" i="604"/>
  <c r="W22" i="604"/>
  <c r="Z22" i="604"/>
  <c r="W13" i="604"/>
  <c r="Z13" i="604"/>
  <c r="Z15" i="604"/>
  <c r="N39" i="551" s="1"/>
  <c r="I39" i="606" s="1"/>
  <c r="V12" i="618" s="1"/>
  <c r="Y15" i="620" s="1"/>
  <c r="W15" i="604"/>
  <c r="W27" i="604"/>
  <c r="Z27" i="604"/>
  <c r="W23" i="604"/>
  <c r="Z23" i="604"/>
  <c r="U94" i="604"/>
  <c r="U28" i="604" s="1"/>
  <c r="W28" i="604" s="1"/>
  <c r="W97" i="604"/>
  <c r="U99" i="604"/>
  <c r="U29" i="604" s="1"/>
  <c r="W11" i="604"/>
  <c r="Z11" i="604"/>
  <c r="U30" i="604" l="1"/>
  <c r="D22" i="333"/>
  <c r="D24" i="333" s="1"/>
  <c r="E24" i="333" s="1"/>
  <c r="E22" i="333"/>
  <c r="D17" i="333"/>
  <c r="S95" i="604"/>
  <c r="W14" i="604"/>
  <c r="AB14" i="604"/>
  <c r="Z14" i="604"/>
  <c r="U31" i="604"/>
  <c r="H35" i="622"/>
  <c r="H108" i="622" s="1"/>
  <c r="W29" i="604"/>
  <c r="E25" i="621"/>
  <c r="AB28" i="604"/>
  <c r="E24" i="621"/>
  <c r="I127" i="622"/>
  <c r="I38" i="606"/>
  <c r="V11" i="618" s="1"/>
  <c r="Y14" i="620" s="1"/>
  <c r="H20" i="333"/>
  <c r="H258" i="622"/>
  <c r="H326" i="622" s="1"/>
  <c r="H190" i="622"/>
  <c r="H257" i="622" s="1"/>
  <c r="H143" i="622"/>
  <c r="H21" i="333"/>
  <c r="H327" i="622"/>
  <c r="H341" i="622" s="1"/>
  <c r="E62" i="551"/>
  <c r="AA33" i="605"/>
  <c r="X93" i="605"/>
  <c r="AA12" i="605"/>
  <c r="X30" i="605"/>
  <c r="K95" i="604"/>
  <c r="E65" i="551"/>
  <c r="J95" i="604"/>
  <c r="N35" i="551"/>
  <c r="I35" i="606" s="1"/>
  <c r="I95" i="604"/>
  <c r="Y16" i="620"/>
  <c r="Y17" i="620"/>
  <c r="Y25" i="620"/>
  <c r="I35" i="622" l="1"/>
  <c r="I108" i="622" s="1"/>
  <c r="E26" i="621"/>
  <c r="H189" i="622"/>
  <c r="H350" i="622" s="1"/>
  <c r="I327" i="622"/>
  <c r="I341" i="622" s="1"/>
  <c r="I258" i="622"/>
  <c r="I326" i="622" s="1"/>
  <c r="I143" i="622"/>
  <c r="I190" i="622"/>
  <c r="I257" i="622" s="1"/>
  <c r="AB29" i="604"/>
  <c r="AB30" i="604" s="1"/>
  <c r="W30" i="604"/>
  <c r="Z29" i="604"/>
  <c r="D19" i="333"/>
  <c r="AB12" i="605"/>
  <c r="AB30" i="605" s="1"/>
  <c r="AA30" i="605"/>
  <c r="AB33" i="605"/>
  <c r="AB93" i="605" s="1"/>
  <c r="AA93" i="605"/>
  <c r="N56" i="551"/>
  <c r="N57" i="551"/>
  <c r="I56" i="606"/>
  <c r="Z28" i="604"/>
  <c r="G30" i="604"/>
  <c r="E59" i="551"/>
  <c r="U95" i="604"/>
  <c r="L30" i="604"/>
  <c r="L95" i="604"/>
  <c r="O21" i="551"/>
  <c r="I21" i="606"/>
  <c r="N21" i="551"/>
  <c r="N19" i="551"/>
  <c r="I19" i="606"/>
  <c r="O19" i="551"/>
  <c r="D26" i="333" l="1"/>
  <c r="Z30" i="604"/>
  <c r="I189" i="622"/>
  <c r="I350" i="622" s="1"/>
  <c r="H1" i="622"/>
  <c r="Y32" i="604"/>
  <c r="Y31" i="604"/>
  <c r="I57" i="606"/>
  <c r="V8" i="618"/>
  <c r="Y11" i="620" s="1"/>
  <c r="D20" i="333"/>
  <c r="D21" i="333" s="1"/>
  <c r="H19" i="333"/>
  <c r="E51" i="551"/>
  <c r="E52" i="551" s="1"/>
  <c r="E53" i="551" s="1"/>
  <c r="E56" i="551" s="1"/>
  <c r="H17" i="333"/>
  <c r="F11" i="332" l="1"/>
  <c r="E15" i="333"/>
  <c r="H15" i="333" s="1"/>
  <c r="I17" i="333" s="1"/>
  <c r="I15" i="606"/>
  <c r="D21" i="606" s="1"/>
  <c r="I1" i="622"/>
  <c r="E47" i="551"/>
  <c r="O17" i="551"/>
  <c r="N17" i="551"/>
  <c r="I17" i="606"/>
  <c r="E21" i="606" l="1"/>
  <c r="D18" i="606"/>
  <c r="E18" i="606" s="1"/>
  <c r="F21" i="333"/>
  <c r="F20" i="333"/>
  <c r="F15" i="333"/>
  <c r="E25" i="333"/>
  <c r="F13" i="333"/>
  <c r="F17" i="333"/>
  <c r="E26" i="333"/>
  <c r="F19" i="333"/>
  <c r="F11" i="333"/>
  <c r="I19" i="333"/>
  <c r="I13" i="606"/>
  <c r="O13" i="551"/>
  <c r="N13" i="551"/>
  <c r="I15" i="333"/>
  <c r="I20" i="333"/>
  <c r="I21" i="333"/>
  <c r="D22" i="606" l="1"/>
  <c r="F24" i="333"/>
  <c r="E9" i="606"/>
  <c r="N30" i="333"/>
  <c r="E22" i="606" l="1"/>
  <c r="D23" i="606"/>
  <c r="H7" i="609"/>
  <c r="E23" i="606" l="1"/>
  <c r="E24" i="606" s="1"/>
  <c r="D28" i="606"/>
  <c r="M15" i="606"/>
  <c r="E34" i="606"/>
  <c r="E33" i="606"/>
  <c r="E25" i="606" l="1"/>
  <c r="D30" i="606"/>
  <c r="E35" i="606"/>
  <c r="O15" i="606"/>
  <c r="N15" i="606"/>
  <c r="L100" i="620"/>
  <c r="P100" i="620"/>
  <c r="Q100" i="620"/>
  <c r="N100" i="620"/>
  <c r="N95" i="620"/>
  <c r="Q95" i="620"/>
  <c r="S100" i="620"/>
  <c r="O95" i="620"/>
  <c r="O100" i="620"/>
  <c r="J100" i="620"/>
  <c r="K100" i="620"/>
  <c r="P95" i="620"/>
  <c r="E37" i="606" l="1"/>
  <c r="C8" i="612"/>
  <c r="C91" i="612" s="1"/>
  <c r="E11" i="613"/>
  <c r="E42" i="606"/>
  <c r="H10" i="616" s="1"/>
  <c r="E41" i="606"/>
  <c r="D10" i="616" s="1"/>
  <c r="E12" i="605" s="1"/>
  <c r="E43" i="606"/>
  <c r="L10" i="616" s="1"/>
  <c r="E30" i="606"/>
  <c r="H12" i="605"/>
  <c r="H30" i="605" s="1"/>
  <c r="E91" i="612" l="1"/>
  <c r="D92" i="615" s="1"/>
  <c r="D85" i="614"/>
  <c r="L89" i="616"/>
  <c r="M89" i="616" s="1"/>
  <c r="L85" i="617" s="1"/>
  <c r="I83" i="619" s="1"/>
  <c r="L95" i="616"/>
  <c r="M95" i="616" s="1"/>
  <c r="L91" i="617" s="1"/>
  <c r="I89" i="619" s="1"/>
  <c r="H89" i="616"/>
  <c r="I89" i="616" s="1"/>
  <c r="K85" i="617" s="1"/>
  <c r="H83" i="619" s="1"/>
  <c r="H95" i="616"/>
  <c r="I95" i="616" s="1"/>
  <c r="K91" i="617" s="1"/>
  <c r="H89" i="619" s="1"/>
  <c r="D89" i="616"/>
  <c r="E89" i="616" s="1"/>
  <c r="J85" i="617" s="1"/>
  <c r="G83" i="619" s="1"/>
  <c r="D95" i="616"/>
  <c r="E95" i="616" s="1"/>
  <c r="J91" i="617" s="1"/>
  <c r="G89" i="619" s="1"/>
  <c r="C23" i="612"/>
  <c r="E23" i="612" s="1"/>
  <c r="C85" i="612"/>
  <c r="C41" i="612"/>
  <c r="E41" i="612" s="1"/>
  <c r="D42" i="615" s="1"/>
  <c r="C92" i="612"/>
  <c r="D86" i="614" s="1"/>
  <c r="F86" i="614" s="1"/>
  <c r="C42" i="612"/>
  <c r="D36" i="614" s="1"/>
  <c r="F36" i="614" s="1"/>
  <c r="C26" i="612"/>
  <c r="E26" i="612" s="1"/>
  <c r="C43" i="612"/>
  <c r="E43" i="612" s="1"/>
  <c r="D44" i="615" s="1"/>
  <c r="D30" i="608"/>
  <c r="D31" i="608"/>
  <c r="C93" i="612"/>
  <c r="E93" i="612" s="1"/>
  <c r="D94" i="615" s="1"/>
  <c r="C50" i="612"/>
  <c r="D44" i="614" s="1"/>
  <c r="H44" i="614" s="1"/>
  <c r="J44" i="614" s="1"/>
  <c r="F51" i="615" s="1"/>
  <c r="C75" i="612"/>
  <c r="E75" i="612" s="1"/>
  <c r="D76" i="615" s="1"/>
  <c r="C74" i="612"/>
  <c r="E74" i="612" s="1"/>
  <c r="D75" i="615" s="1"/>
  <c r="E55" i="606"/>
  <c r="C30" i="612"/>
  <c r="E30" i="612" s="1"/>
  <c r="C55" i="612"/>
  <c r="D49" i="614" s="1"/>
  <c r="H49" i="614" s="1"/>
  <c r="J49" i="614" s="1"/>
  <c r="F56" i="615" s="1"/>
  <c r="C87" i="612"/>
  <c r="E87" i="612" s="1"/>
  <c r="D88" i="615" s="1"/>
  <c r="C71" i="612"/>
  <c r="E71" i="612" s="1"/>
  <c r="D72" i="615" s="1"/>
  <c r="C45" i="612"/>
  <c r="D39" i="614" s="1"/>
  <c r="F39" i="614" s="1"/>
  <c r="C79" i="612"/>
  <c r="D73" i="614" s="1"/>
  <c r="F73" i="614" s="1"/>
  <c r="C31" i="612"/>
  <c r="E31" i="612" s="1"/>
  <c r="C80" i="612"/>
  <c r="E80" i="612" s="1"/>
  <c r="D81" i="615" s="1"/>
  <c r="C44" i="612"/>
  <c r="D38" i="614" s="1"/>
  <c r="F38" i="614" s="1"/>
  <c r="C18" i="612"/>
  <c r="E18" i="612" s="1"/>
  <c r="C64" i="612"/>
  <c r="E64" i="612" s="1"/>
  <c r="D65" i="615" s="1"/>
  <c r="C82" i="612"/>
  <c r="D76" i="614" s="1"/>
  <c r="H76" i="614" s="1"/>
  <c r="J76" i="614" s="1"/>
  <c r="F83" i="615" s="1"/>
  <c r="C65" i="612"/>
  <c r="D59" i="614" s="1"/>
  <c r="H59" i="614" s="1"/>
  <c r="J59" i="614" s="1"/>
  <c r="F66" i="615" s="1"/>
  <c r="C61" i="612"/>
  <c r="D55" i="614" s="1"/>
  <c r="H55" i="614" s="1"/>
  <c r="J55" i="614" s="1"/>
  <c r="F62" i="615" s="1"/>
  <c r="C90" i="612"/>
  <c r="E90" i="612" s="1"/>
  <c r="D91" i="615" s="1"/>
  <c r="C81" i="612"/>
  <c r="D75" i="614" s="1"/>
  <c r="F75" i="614" s="1"/>
  <c r="C37" i="612"/>
  <c r="D31" i="614" s="1"/>
  <c r="F31" i="614" s="1"/>
  <c r="C54" i="612"/>
  <c r="E54" i="612" s="1"/>
  <c r="D55" i="615" s="1"/>
  <c r="C15" i="612"/>
  <c r="E15" i="612" s="1"/>
  <c r="C62" i="612"/>
  <c r="D56" i="614" s="1"/>
  <c r="H56" i="614" s="1"/>
  <c r="J56" i="614" s="1"/>
  <c r="F63" i="615" s="1"/>
  <c r="C66" i="612"/>
  <c r="D60" i="614" s="1"/>
  <c r="F60" i="614" s="1"/>
  <c r="C46" i="612"/>
  <c r="E46" i="612" s="1"/>
  <c r="D47" i="615" s="1"/>
  <c r="C99" i="612"/>
  <c r="E99" i="612" s="1"/>
  <c r="D100" i="615" s="1"/>
  <c r="D102" i="615" s="1"/>
  <c r="D33" i="615" s="1"/>
  <c r="C22" i="612"/>
  <c r="E22" i="612" s="1"/>
  <c r="C39" i="612"/>
  <c r="E39" i="612" s="1"/>
  <c r="D40" i="615" s="1"/>
  <c r="C49" i="612"/>
  <c r="D43" i="614" s="1"/>
  <c r="H43" i="614" s="1"/>
  <c r="J43" i="614" s="1"/>
  <c r="F50" i="615" s="1"/>
  <c r="C53" i="612"/>
  <c r="D47" i="614" s="1"/>
  <c r="F47" i="614" s="1"/>
  <c r="C36" i="612"/>
  <c r="E36" i="612" s="1"/>
  <c r="D37" i="615" s="1"/>
  <c r="C83" i="612"/>
  <c r="E83" i="612" s="1"/>
  <c r="D84" i="615" s="1"/>
  <c r="C16" i="612"/>
  <c r="E16" i="612" s="1"/>
  <c r="C47" i="612"/>
  <c r="D41" i="614" s="1"/>
  <c r="F41" i="614" s="1"/>
  <c r="C63" i="612"/>
  <c r="D57" i="614" s="1"/>
  <c r="H57" i="614" s="1"/>
  <c r="J57" i="614" s="1"/>
  <c r="F64" i="615" s="1"/>
  <c r="C27" i="612"/>
  <c r="E27" i="612" s="1"/>
  <c r="C56" i="612"/>
  <c r="E56" i="612" s="1"/>
  <c r="D57" i="615" s="1"/>
  <c r="C67" i="612"/>
  <c r="E67" i="612" s="1"/>
  <c r="D68" i="615" s="1"/>
  <c r="C58" i="612"/>
  <c r="E58" i="612" s="1"/>
  <c r="D59" i="615" s="1"/>
  <c r="C68" i="612"/>
  <c r="E68" i="612" s="1"/>
  <c r="D69" i="615" s="1"/>
  <c r="C52" i="612"/>
  <c r="D46" i="614" s="1"/>
  <c r="F46" i="614" s="1"/>
  <c r="C21" i="612"/>
  <c r="E21" i="612" s="1"/>
  <c r="C29" i="612"/>
  <c r="E29" i="612" s="1"/>
  <c r="C51" i="612"/>
  <c r="E51" i="612" s="1"/>
  <c r="D52" i="615" s="1"/>
  <c r="C32" i="612"/>
  <c r="E32" i="612" s="1"/>
  <c r="C59" i="612"/>
  <c r="D53" i="614" s="1"/>
  <c r="H53" i="614" s="1"/>
  <c r="J53" i="614" s="1"/>
  <c r="F60" i="615" s="1"/>
  <c r="C48" i="612"/>
  <c r="E48" i="612" s="1"/>
  <c r="D49" i="615" s="1"/>
  <c r="C14" i="612"/>
  <c r="E14" i="612" s="1"/>
  <c r="C24" i="612"/>
  <c r="E24" i="612" s="1"/>
  <c r="C38" i="612"/>
  <c r="E38" i="612" s="1"/>
  <c r="D39" i="615" s="1"/>
  <c r="C77" i="612"/>
  <c r="D71" i="614" s="1"/>
  <c r="F71" i="614" s="1"/>
  <c r="C57" i="612"/>
  <c r="E57" i="612" s="1"/>
  <c r="D58" i="615" s="1"/>
  <c r="C69" i="612"/>
  <c r="E69" i="612" s="1"/>
  <c r="D70" i="615" s="1"/>
  <c r="C40" i="612"/>
  <c r="E40" i="612" s="1"/>
  <c r="D41" i="615" s="1"/>
  <c r="C60" i="612"/>
  <c r="E60" i="612" s="1"/>
  <c r="D61" i="615" s="1"/>
  <c r="C89" i="612"/>
  <c r="D83" i="614" s="1"/>
  <c r="F83" i="614" s="1"/>
  <c r="C84" i="612"/>
  <c r="E84" i="612" s="1"/>
  <c r="D85" i="615" s="1"/>
  <c r="C101" i="612"/>
  <c r="C88" i="612"/>
  <c r="D82" i="614" s="1"/>
  <c r="F82" i="614" s="1"/>
  <c r="C73" i="612"/>
  <c r="D67" i="614" s="1"/>
  <c r="H67" i="614" s="1"/>
  <c r="J67" i="614" s="1"/>
  <c r="F74" i="615" s="1"/>
  <c r="C100" i="612"/>
  <c r="E100" i="612" s="1"/>
  <c r="C72" i="612"/>
  <c r="D66" i="614" s="1"/>
  <c r="H66" i="614" s="1"/>
  <c r="J66" i="614" s="1"/>
  <c r="F73" i="615" s="1"/>
  <c r="C70" i="612"/>
  <c r="D64" i="614" s="1"/>
  <c r="H64" i="614" s="1"/>
  <c r="J64" i="614" s="1"/>
  <c r="F71" i="615" s="1"/>
  <c r="C95" i="612"/>
  <c r="E95" i="612" s="1"/>
  <c r="D96" i="615" s="1"/>
  <c r="C78" i="612"/>
  <c r="E78" i="612" s="1"/>
  <c r="D79" i="615" s="1"/>
  <c r="C96" i="612"/>
  <c r="C20" i="612"/>
  <c r="E20" i="612" s="1"/>
  <c r="C86" i="612"/>
  <c r="E86" i="612" s="1"/>
  <c r="D87" i="615" s="1"/>
  <c r="C94" i="612"/>
  <c r="D88" i="614" s="1"/>
  <c r="F88" i="614" s="1"/>
  <c r="C25" i="612"/>
  <c r="E25" i="612" s="1"/>
  <c r="C76" i="612"/>
  <c r="D70" i="614" s="1"/>
  <c r="F70" i="614" s="1"/>
  <c r="C19" i="612"/>
  <c r="E19" i="612" s="1"/>
  <c r="C17" i="612"/>
  <c r="E17" i="612" s="1"/>
  <c r="C28" i="612"/>
  <c r="E28" i="612" s="1"/>
  <c r="E108" i="613"/>
  <c r="F108" i="613" s="1"/>
  <c r="G108" i="613" s="1"/>
  <c r="E80" i="613"/>
  <c r="F80" i="613" s="1"/>
  <c r="G80" i="613" s="1"/>
  <c r="E29" i="613"/>
  <c r="F29" i="613" s="1"/>
  <c r="G29" i="613" s="1"/>
  <c r="E44" i="613"/>
  <c r="F44" i="613" s="1"/>
  <c r="G44" i="613" s="1"/>
  <c r="E116" i="613"/>
  <c r="F116" i="613" s="1"/>
  <c r="E48" i="613"/>
  <c r="F48" i="613" s="1"/>
  <c r="G48" i="613" s="1"/>
  <c r="E98" i="613"/>
  <c r="F98" i="613" s="1"/>
  <c r="E78" i="613"/>
  <c r="F78" i="613" s="1"/>
  <c r="E95" i="613"/>
  <c r="F95" i="613" s="1"/>
  <c r="G95" i="613" s="1"/>
  <c r="E28" i="613"/>
  <c r="F28" i="613" s="1"/>
  <c r="G28" i="613" s="1"/>
  <c r="E103" i="613"/>
  <c r="F103" i="613" s="1"/>
  <c r="G103" i="613" s="1"/>
  <c r="E60" i="613"/>
  <c r="F60" i="613" s="1"/>
  <c r="E30" i="613"/>
  <c r="F30" i="613" s="1"/>
  <c r="G30" i="613" s="1"/>
  <c r="E40" i="613"/>
  <c r="F40" i="613" s="1"/>
  <c r="G40" i="613" s="1"/>
  <c r="E33" i="613"/>
  <c r="F33" i="613" s="1"/>
  <c r="E64" i="613"/>
  <c r="F64" i="613" s="1"/>
  <c r="G64" i="613" s="1"/>
  <c r="E35" i="613"/>
  <c r="F35" i="613" s="1"/>
  <c r="G35" i="613" s="1"/>
  <c r="E23" i="613"/>
  <c r="F23" i="613" s="1"/>
  <c r="G23" i="613" s="1"/>
  <c r="E109" i="613"/>
  <c r="F109" i="613" s="1"/>
  <c r="G109" i="613" s="1"/>
  <c r="E63" i="613"/>
  <c r="F63" i="613" s="1"/>
  <c r="G63" i="613" s="1"/>
  <c r="E81" i="613"/>
  <c r="F81" i="613" s="1"/>
  <c r="G81" i="613" s="1"/>
  <c r="E57" i="613"/>
  <c r="F57" i="613" s="1"/>
  <c r="G57" i="613" s="1"/>
  <c r="E41" i="613"/>
  <c r="F41" i="613" s="1"/>
  <c r="G41" i="613" s="1"/>
  <c r="E90" i="613"/>
  <c r="F90" i="613" s="1"/>
  <c r="G90" i="613" s="1"/>
  <c r="E25" i="613"/>
  <c r="F25" i="613" s="1"/>
  <c r="G25" i="613" s="1"/>
  <c r="E92" i="613"/>
  <c r="F92" i="613" s="1"/>
  <c r="G92" i="613" s="1"/>
  <c r="E43" i="613"/>
  <c r="F43" i="613" s="1"/>
  <c r="G43" i="613" s="1"/>
  <c r="E51" i="613"/>
  <c r="F51" i="613" s="1"/>
  <c r="E62" i="613"/>
  <c r="F62" i="613" s="1"/>
  <c r="G62" i="613" s="1"/>
  <c r="E111" i="613"/>
  <c r="F111" i="613" s="1"/>
  <c r="G111" i="613" s="1"/>
  <c r="E180" i="613" s="1"/>
  <c r="G180" i="613" s="1"/>
  <c r="E88" i="615" s="1"/>
  <c r="E16" i="613"/>
  <c r="F16" i="613" s="1"/>
  <c r="E106" i="613"/>
  <c r="F106" i="613" s="1"/>
  <c r="E91" i="613"/>
  <c r="F91" i="613" s="1"/>
  <c r="G91" i="613" s="1"/>
  <c r="E65" i="613"/>
  <c r="F65" i="613" s="1"/>
  <c r="G65" i="613" s="1"/>
  <c r="E73" i="613"/>
  <c r="F73" i="613" s="1"/>
  <c r="G73" i="613" s="1"/>
  <c r="E119" i="613"/>
  <c r="F119" i="613" s="1"/>
  <c r="G119" i="613" s="1"/>
  <c r="E79" i="613"/>
  <c r="F79" i="613" s="1"/>
  <c r="G79" i="613" s="1"/>
  <c r="E27" i="613"/>
  <c r="F27" i="613" s="1"/>
  <c r="G27" i="613" s="1"/>
  <c r="E46" i="613"/>
  <c r="F46" i="613" s="1"/>
  <c r="G46" i="613" s="1"/>
  <c r="E18" i="613"/>
  <c r="F18" i="613" s="1"/>
  <c r="E69" i="613"/>
  <c r="F69" i="613" s="1"/>
  <c r="G69" i="613" s="1"/>
  <c r="E94" i="613"/>
  <c r="F94" i="613" s="1"/>
  <c r="G94" i="613" s="1"/>
  <c r="E21" i="613"/>
  <c r="F21" i="613" s="1"/>
  <c r="G21" i="613" s="1"/>
  <c r="E99" i="613"/>
  <c r="F99" i="613" s="1"/>
  <c r="G99" i="613" s="1"/>
  <c r="E110" i="613"/>
  <c r="F110" i="613" s="1"/>
  <c r="G110" i="613" s="1"/>
  <c r="E52" i="613"/>
  <c r="F52" i="613" s="1"/>
  <c r="G52" i="613" s="1"/>
  <c r="E42" i="613"/>
  <c r="F42" i="613" s="1"/>
  <c r="G42" i="613" s="1"/>
  <c r="E47" i="613"/>
  <c r="F47" i="613" s="1"/>
  <c r="G47" i="613" s="1"/>
  <c r="E22" i="613"/>
  <c r="F22" i="613" s="1"/>
  <c r="G22" i="613" s="1"/>
  <c r="E38" i="613"/>
  <c r="F38" i="613" s="1"/>
  <c r="E102" i="613"/>
  <c r="F102" i="613" s="1"/>
  <c r="E86" i="613"/>
  <c r="F86" i="613" s="1"/>
  <c r="G86" i="613" s="1"/>
  <c r="E113" i="613"/>
  <c r="F113" i="613" s="1"/>
  <c r="G113" i="613" s="1"/>
  <c r="E61" i="613"/>
  <c r="F61" i="613" s="1"/>
  <c r="G61" i="613" s="1"/>
  <c r="E24" i="613"/>
  <c r="F24" i="613" s="1"/>
  <c r="G24" i="613" s="1"/>
  <c r="E118" i="613"/>
  <c r="F118" i="613" s="1"/>
  <c r="G118" i="613" s="1"/>
  <c r="E74" i="613"/>
  <c r="F74" i="613" s="1"/>
  <c r="G74" i="613" s="1"/>
  <c r="E93" i="613"/>
  <c r="F93" i="613" s="1"/>
  <c r="G93" i="613" s="1"/>
  <c r="E75" i="613"/>
  <c r="F75" i="613" s="1"/>
  <c r="G75" i="613" s="1"/>
  <c r="E68" i="613"/>
  <c r="F68" i="613" s="1"/>
  <c r="E112" i="613"/>
  <c r="F112" i="613" s="1"/>
  <c r="G112" i="613" s="1"/>
  <c r="E107" i="613"/>
  <c r="F107" i="613" s="1"/>
  <c r="G107" i="613" s="1"/>
  <c r="E45" i="613"/>
  <c r="F45" i="613" s="1"/>
  <c r="G45" i="613" s="1"/>
  <c r="E26" i="613"/>
  <c r="F26" i="613" s="1"/>
  <c r="G26" i="613" s="1"/>
  <c r="E117" i="613"/>
  <c r="F117" i="613" s="1"/>
  <c r="G117" i="613" s="1"/>
  <c r="E72" i="613"/>
  <c r="F72" i="613" s="1"/>
  <c r="E56" i="613"/>
  <c r="F56" i="613" s="1"/>
  <c r="E82" i="613"/>
  <c r="F82" i="613" s="1"/>
  <c r="G82" i="613" s="1"/>
  <c r="E39" i="613"/>
  <c r="F39" i="613" s="1"/>
  <c r="G39" i="613" s="1"/>
  <c r="E53" i="613"/>
  <c r="F53" i="613" s="1"/>
  <c r="G53" i="613" s="1"/>
  <c r="E34" i="613"/>
  <c r="F34" i="613" s="1"/>
  <c r="G34" i="613" s="1"/>
  <c r="E20" i="613"/>
  <c r="F20" i="613" s="1"/>
  <c r="E85" i="613"/>
  <c r="F85" i="613" s="1"/>
  <c r="E89" i="613"/>
  <c r="F89" i="613" s="1"/>
  <c r="D74" i="616"/>
  <c r="E74" i="616" s="1"/>
  <c r="J70" i="617" s="1"/>
  <c r="G68" i="619" s="1"/>
  <c r="D50" i="616"/>
  <c r="E50" i="616" s="1"/>
  <c r="J46" i="617" s="1"/>
  <c r="G44" i="619" s="1"/>
  <c r="D80" i="616"/>
  <c r="E80" i="616" s="1"/>
  <c r="J76" i="617" s="1"/>
  <c r="G74" i="619" s="1"/>
  <c r="D22" i="616"/>
  <c r="E22" i="616" s="1"/>
  <c r="J18" i="617" s="1"/>
  <c r="D85" i="616"/>
  <c r="E85" i="616" s="1"/>
  <c r="J81" i="617" s="1"/>
  <c r="G79" i="619" s="1"/>
  <c r="D96" i="616"/>
  <c r="E96" i="616" s="1"/>
  <c r="J92" i="617" s="1"/>
  <c r="G90" i="619" s="1"/>
  <c r="D47" i="616"/>
  <c r="E47" i="616" s="1"/>
  <c r="J43" i="617" s="1"/>
  <c r="G41" i="619" s="1"/>
  <c r="D103" i="616"/>
  <c r="E103" i="616" s="1"/>
  <c r="D45" i="616"/>
  <c r="E45" i="616" s="1"/>
  <c r="J41" i="617" s="1"/>
  <c r="G39" i="619" s="1"/>
  <c r="D40" i="616"/>
  <c r="E40" i="616" s="1"/>
  <c r="J36" i="617" s="1"/>
  <c r="G34" i="619" s="1"/>
  <c r="D92" i="616"/>
  <c r="E92" i="616" s="1"/>
  <c r="J88" i="617" s="1"/>
  <c r="G86" i="619" s="1"/>
  <c r="D81" i="616"/>
  <c r="E81" i="616" s="1"/>
  <c r="J77" i="617" s="1"/>
  <c r="G75" i="619" s="1"/>
  <c r="D83" i="616"/>
  <c r="E83" i="616" s="1"/>
  <c r="J79" i="617" s="1"/>
  <c r="G77" i="619" s="1"/>
  <c r="D43" i="616"/>
  <c r="E43" i="616" s="1"/>
  <c r="J39" i="617" s="1"/>
  <c r="G37" i="619" s="1"/>
  <c r="D33" i="616"/>
  <c r="E33" i="616" s="1"/>
  <c r="J29" i="617" s="1"/>
  <c r="D64" i="616"/>
  <c r="E64" i="616" s="1"/>
  <c r="J60" i="617" s="1"/>
  <c r="G58" i="619" s="1"/>
  <c r="D41" i="616"/>
  <c r="E41" i="616" s="1"/>
  <c r="J37" i="617" s="1"/>
  <c r="G35" i="619" s="1"/>
  <c r="D19" i="616"/>
  <c r="E19" i="616" s="1"/>
  <c r="J15" i="617" s="1"/>
  <c r="D97" i="616"/>
  <c r="E97" i="616" s="1"/>
  <c r="J93" i="617" s="1"/>
  <c r="G91" i="619" s="1"/>
  <c r="D56" i="616"/>
  <c r="E56" i="616" s="1"/>
  <c r="J52" i="617" s="1"/>
  <c r="G50" i="619" s="1"/>
  <c r="D73" i="616"/>
  <c r="E73" i="616" s="1"/>
  <c r="J69" i="617" s="1"/>
  <c r="G67" i="619" s="1"/>
  <c r="D49" i="616"/>
  <c r="E49" i="616" s="1"/>
  <c r="J45" i="617" s="1"/>
  <c r="G43" i="619" s="1"/>
  <c r="D26" i="616"/>
  <c r="E26" i="616" s="1"/>
  <c r="J22" i="617" s="1"/>
  <c r="D98" i="616"/>
  <c r="E98" i="616" s="1"/>
  <c r="J94" i="617" s="1"/>
  <c r="G92" i="619" s="1"/>
  <c r="D82" i="616"/>
  <c r="E82" i="616" s="1"/>
  <c r="J78" i="617" s="1"/>
  <c r="G76" i="619" s="1"/>
  <c r="D24" i="616"/>
  <c r="E24" i="616" s="1"/>
  <c r="J20" i="617" s="1"/>
  <c r="D28" i="616"/>
  <c r="E28" i="616" s="1"/>
  <c r="J24" i="617" s="1"/>
  <c r="D62" i="616"/>
  <c r="E62" i="616" s="1"/>
  <c r="J58" i="617" s="1"/>
  <c r="G56" i="619" s="1"/>
  <c r="D54" i="616"/>
  <c r="E54" i="616" s="1"/>
  <c r="J50" i="617" s="1"/>
  <c r="G48" i="619" s="1"/>
  <c r="D91" i="616"/>
  <c r="E91" i="616" s="1"/>
  <c r="J87" i="617" s="1"/>
  <c r="G85" i="619" s="1"/>
  <c r="D84" i="616"/>
  <c r="E84" i="616" s="1"/>
  <c r="J80" i="617" s="1"/>
  <c r="G78" i="619" s="1"/>
  <c r="D79" i="616"/>
  <c r="E79" i="616" s="1"/>
  <c r="J75" i="617" s="1"/>
  <c r="G73" i="619" s="1"/>
  <c r="D42" i="616"/>
  <c r="E42" i="616" s="1"/>
  <c r="J38" i="617" s="1"/>
  <c r="G36" i="619" s="1"/>
  <c r="D53" i="616"/>
  <c r="E53" i="616" s="1"/>
  <c r="J49" i="617" s="1"/>
  <c r="G47" i="619" s="1"/>
  <c r="D99" i="616"/>
  <c r="E99" i="616" s="1"/>
  <c r="J95" i="617" s="1"/>
  <c r="G93" i="619" s="1"/>
  <c r="D76" i="616"/>
  <c r="E76" i="616" s="1"/>
  <c r="J72" i="617" s="1"/>
  <c r="G70" i="619" s="1"/>
  <c r="D71" i="616"/>
  <c r="E71" i="616" s="1"/>
  <c r="J67" i="617" s="1"/>
  <c r="G65" i="619" s="1"/>
  <c r="D86" i="616"/>
  <c r="E86" i="616" s="1"/>
  <c r="J82" i="617" s="1"/>
  <c r="G80" i="619" s="1"/>
  <c r="D44" i="616"/>
  <c r="E44" i="616" s="1"/>
  <c r="J40" i="617" s="1"/>
  <c r="G38" i="619" s="1"/>
  <c r="D32" i="616"/>
  <c r="E32" i="616" s="1"/>
  <c r="J28" i="617" s="1"/>
  <c r="D36" i="616"/>
  <c r="D59" i="616"/>
  <c r="E59" i="616" s="1"/>
  <c r="J55" i="617" s="1"/>
  <c r="G53" i="619" s="1"/>
  <c r="D25" i="616"/>
  <c r="E25" i="616" s="1"/>
  <c r="J21" i="617" s="1"/>
  <c r="D20" i="616"/>
  <c r="E20" i="616" s="1"/>
  <c r="J16" i="617" s="1"/>
  <c r="D93" i="616"/>
  <c r="E93" i="616" s="1"/>
  <c r="J89" i="617" s="1"/>
  <c r="G87" i="619" s="1"/>
  <c r="D67" i="616"/>
  <c r="E67" i="616" s="1"/>
  <c r="J63" i="617" s="1"/>
  <c r="G61" i="619" s="1"/>
  <c r="D66" i="616"/>
  <c r="E66" i="616" s="1"/>
  <c r="J62" i="617" s="1"/>
  <c r="G60" i="619" s="1"/>
  <c r="D104" i="616"/>
  <c r="E104" i="616" s="1"/>
  <c r="J100" i="617" s="1"/>
  <c r="G98" i="619" s="1"/>
  <c r="D70" i="616"/>
  <c r="E70" i="616" s="1"/>
  <c r="J66" i="617" s="1"/>
  <c r="G64" i="619" s="1"/>
  <c r="D75" i="616"/>
  <c r="E75" i="616" s="1"/>
  <c r="J71" i="617" s="1"/>
  <c r="G69" i="619" s="1"/>
  <c r="D51" i="616"/>
  <c r="E51" i="616" s="1"/>
  <c r="J47" i="617" s="1"/>
  <c r="G45" i="619" s="1"/>
  <c r="D29" i="616"/>
  <c r="E29" i="616" s="1"/>
  <c r="J25" i="617" s="1"/>
  <c r="D94" i="616"/>
  <c r="E94" i="616" s="1"/>
  <c r="J90" i="617" s="1"/>
  <c r="G88" i="619" s="1"/>
  <c r="D65" i="616"/>
  <c r="E65" i="616" s="1"/>
  <c r="J61" i="617" s="1"/>
  <c r="G59" i="619" s="1"/>
  <c r="E13" i="605"/>
  <c r="E14" i="605" s="1"/>
  <c r="E15" i="605" s="1"/>
  <c r="E16" i="605" s="1"/>
  <c r="E17" i="605" s="1"/>
  <c r="E18" i="605" s="1"/>
  <c r="E19" i="605" s="1"/>
  <c r="E20" i="605" s="1"/>
  <c r="E21" i="605" s="1"/>
  <c r="E22" i="605" s="1"/>
  <c r="E23" i="605" s="1"/>
  <c r="E24" i="605" s="1"/>
  <c r="E25" i="605" s="1"/>
  <c r="E26" i="605" s="1"/>
  <c r="E27" i="605" s="1"/>
  <c r="E28" i="605" s="1"/>
  <c r="E29" i="605" s="1"/>
  <c r="D68" i="616"/>
  <c r="E68" i="616" s="1"/>
  <c r="J64" i="617" s="1"/>
  <c r="G62" i="619" s="1"/>
  <c r="D27" i="616"/>
  <c r="E27" i="616" s="1"/>
  <c r="J23" i="617" s="1"/>
  <c r="D35" i="616"/>
  <c r="E35" i="616" s="1"/>
  <c r="D21" i="616"/>
  <c r="E21" i="616" s="1"/>
  <c r="J17" i="617" s="1"/>
  <c r="D88" i="616"/>
  <c r="E88" i="616" s="1"/>
  <c r="J84" i="617" s="1"/>
  <c r="G82" i="619" s="1"/>
  <c r="D52" i="616"/>
  <c r="E52" i="616" s="1"/>
  <c r="J48" i="617" s="1"/>
  <c r="G46" i="619" s="1"/>
  <c r="D61" i="616"/>
  <c r="E61" i="616" s="1"/>
  <c r="J57" i="617" s="1"/>
  <c r="G55" i="619" s="1"/>
  <c r="D46" i="616"/>
  <c r="E46" i="616" s="1"/>
  <c r="J42" i="617" s="1"/>
  <c r="G40" i="619" s="1"/>
  <c r="D55" i="616"/>
  <c r="E55" i="616" s="1"/>
  <c r="J51" i="617" s="1"/>
  <c r="G49" i="619" s="1"/>
  <c r="D58" i="616"/>
  <c r="E58" i="616" s="1"/>
  <c r="J54" i="617" s="1"/>
  <c r="G52" i="619" s="1"/>
  <c r="D77" i="616"/>
  <c r="E77" i="616" s="1"/>
  <c r="J73" i="617" s="1"/>
  <c r="G71" i="619" s="1"/>
  <c r="D30" i="616"/>
  <c r="E30" i="616" s="1"/>
  <c r="J26" i="617" s="1"/>
  <c r="D18" i="616"/>
  <c r="E18" i="616" s="1"/>
  <c r="J14" i="617" s="1"/>
  <c r="D60" i="616"/>
  <c r="E60" i="616" s="1"/>
  <c r="J56" i="617" s="1"/>
  <c r="G54" i="619" s="1"/>
  <c r="D87" i="616"/>
  <c r="E87" i="616" s="1"/>
  <c r="J83" i="617" s="1"/>
  <c r="G81" i="619" s="1"/>
  <c r="D57" i="616"/>
  <c r="E57" i="616" s="1"/>
  <c r="J53" i="617" s="1"/>
  <c r="G51" i="619" s="1"/>
  <c r="D31" i="616"/>
  <c r="E31" i="616" s="1"/>
  <c r="J27" i="617" s="1"/>
  <c r="D23" i="616"/>
  <c r="E23" i="616" s="1"/>
  <c r="J19" i="617" s="1"/>
  <c r="D48" i="616"/>
  <c r="E48" i="616" s="1"/>
  <c r="J44" i="617" s="1"/>
  <c r="G42" i="619" s="1"/>
  <c r="D69" i="616"/>
  <c r="E69" i="616" s="1"/>
  <c r="J65" i="617" s="1"/>
  <c r="G63" i="619" s="1"/>
  <c r="D72" i="616"/>
  <c r="E72" i="616" s="1"/>
  <c r="J68" i="617" s="1"/>
  <c r="G66" i="619" s="1"/>
  <c r="D63" i="616"/>
  <c r="E63" i="616" s="1"/>
  <c r="J59" i="617" s="1"/>
  <c r="G57" i="619" s="1"/>
  <c r="D90" i="616"/>
  <c r="E90" i="616" s="1"/>
  <c r="J86" i="617" s="1"/>
  <c r="G84" i="619" s="1"/>
  <c r="D78" i="616"/>
  <c r="E78" i="616" s="1"/>
  <c r="J74" i="617" s="1"/>
  <c r="G72" i="619" s="1"/>
  <c r="D34" i="616"/>
  <c r="E34" i="616" s="1"/>
  <c r="J30" i="617" s="1"/>
  <c r="H91" i="616"/>
  <c r="I91" i="616" s="1"/>
  <c r="K87" i="617" s="1"/>
  <c r="H85" i="619" s="1"/>
  <c r="H29" i="616"/>
  <c r="I29" i="616" s="1"/>
  <c r="K25" i="617" s="1"/>
  <c r="H104" i="616"/>
  <c r="I104" i="616" s="1"/>
  <c r="K100" i="617" s="1"/>
  <c r="H98" i="619" s="1"/>
  <c r="H103" i="616"/>
  <c r="I103" i="616" s="1"/>
  <c r="H86" i="616"/>
  <c r="I86" i="616" s="1"/>
  <c r="K82" i="617" s="1"/>
  <c r="H80" i="619" s="1"/>
  <c r="H32" i="616"/>
  <c r="I32" i="616" s="1"/>
  <c r="K28" i="617" s="1"/>
  <c r="H23" i="616"/>
  <c r="I23" i="616" s="1"/>
  <c r="K19" i="617" s="1"/>
  <c r="H75" i="616"/>
  <c r="I75" i="616" s="1"/>
  <c r="K71" i="617" s="1"/>
  <c r="H69" i="619" s="1"/>
  <c r="H42" i="616"/>
  <c r="I42" i="616" s="1"/>
  <c r="K38" i="617" s="1"/>
  <c r="H36" i="619" s="1"/>
  <c r="H68" i="616"/>
  <c r="I68" i="616" s="1"/>
  <c r="K64" i="617" s="1"/>
  <c r="H62" i="619" s="1"/>
  <c r="H30" i="616"/>
  <c r="I30" i="616" s="1"/>
  <c r="K26" i="617" s="1"/>
  <c r="H58" i="616"/>
  <c r="I58" i="616" s="1"/>
  <c r="K54" i="617" s="1"/>
  <c r="H52" i="619" s="1"/>
  <c r="H64" i="616"/>
  <c r="I64" i="616" s="1"/>
  <c r="K60" i="617" s="1"/>
  <c r="H58" i="619" s="1"/>
  <c r="H71" i="616"/>
  <c r="I71" i="616" s="1"/>
  <c r="K67" i="617" s="1"/>
  <c r="H65" i="619" s="1"/>
  <c r="H40" i="616"/>
  <c r="I40" i="616" s="1"/>
  <c r="K36" i="617" s="1"/>
  <c r="H34" i="619" s="1"/>
  <c r="H43" i="616"/>
  <c r="I43" i="616" s="1"/>
  <c r="K39" i="617" s="1"/>
  <c r="H37" i="619" s="1"/>
  <c r="H93" i="616"/>
  <c r="I93" i="616" s="1"/>
  <c r="K89" i="617" s="1"/>
  <c r="H87" i="619" s="1"/>
  <c r="H76" i="616"/>
  <c r="I76" i="616" s="1"/>
  <c r="K72" i="617" s="1"/>
  <c r="H70" i="619" s="1"/>
  <c r="H77" i="616"/>
  <c r="I77" i="616" s="1"/>
  <c r="K73" i="617" s="1"/>
  <c r="H71" i="619" s="1"/>
  <c r="H84" i="616"/>
  <c r="I84" i="616" s="1"/>
  <c r="K80" i="617" s="1"/>
  <c r="H78" i="619" s="1"/>
  <c r="H88" i="616"/>
  <c r="I88" i="616" s="1"/>
  <c r="K84" i="617" s="1"/>
  <c r="H82" i="619" s="1"/>
  <c r="H87" i="616"/>
  <c r="I87" i="616" s="1"/>
  <c r="K83" i="617" s="1"/>
  <c r="H81" i="619" s="1"/>
  <c r="H48" i="616"/>
  <c r="I48" i="616" s="1"/>
  <c r="K44" i="617" s="1"/>
  <c r="H42" i="619" s="1"/>
  <c r="H49" i="616"/>
  <c r="I49" i="616" s="1"/>
  <c r="K45" i="617" s="1"/>
  <c r="H43" i="619" s="1"/>
  <c r="H53" i="616"/>
  <c r="I53" i="616" s="1"/>
  <c r="K49" i="617" s="1"/>
  <c r="H47" i="619" s="1"/>
  <c r="H28" i="616"/>
  <c r="I28" i="616" s="1"/>
  <c r="K24" i="617" s="1"/>
  <c r="H61" i="616"/>
  <c r="I61" i="616" s="1"/>
  <c r="K57" i="617" s="1"/>
  <c r="H55" i="619" s="1"/>
  <c r="H98" i="616"/>
  <c r="I98" i="616" s="1"/>
  <c r="K94" i="617" s="1"/>
  <c r="H92" i="619" s="1"/>
  <c r="H80" i="616"/>
  <c r="I80" i="616" s="1"/>
  <c r="K76" i="617" s="1"/>
  <c r="H74" i="619" s="1"/>
  <c r="H82" i="616"/>
  <c r="I82" i="616" s="1"/>
  <c r="K78" i="617" s="1"/>
  <c r="H76" i="619" s="1"/>
  <c r="H74" i="616"/>
  <c r="I74" i="616" s="1"/>
  <c r="K70" i="617" s="1"/>
  <c r="H68" i="619" s="1"/>
  <c r="H66" i="616"/>
  <c r="I66" i="616" s="1"/>
  <c r="K62" i="617" s="1"/>
  <c r="H60" i="619" s="1"/>
  <c r="H41" i="616"/>
  <c r="I41" i="616" s="1"/>
  <c r="K37" i="617" s="1"/>
  <c r="H35" i="619" s="1"/>
  <c r="M12" i="605"/>
  <c r="M13" i="605" s="1"/>
  <c r="M14" i="605" s="1"/>
  <c r="M15" i="605" s="1"/>
  <c r="M16" i="605" s="1"/>
  <c r="M17" i="605" s="1"/>
  <c r="M18" i="605" s="1"/>
  <c r="M19" i="605" s="1"/>
  <c r="M20" i="605" s="1"/>
  <c r="M21" i="605" s="1"/>
  <c r="M22" i="605" s="1"/>
  <c r="M23" i="605" s="1"/>
  <c r="M24" i="605" s="1"/>
  <c r="M25" i="605" s="1"/>
  <c r="M26" i="605" s="1"/>
  <c r="M27" i="605" s="1"/>
  <c r="M28" i="605" s="1"/>
  <c r="M29" i="605" s="1"/>
  <c r="M33" i="605" s="1"/>
  <c r="M34" i="605" s="1"/>
  <c r="M35" i="605" s="1"/>
  <c r="M36" i="605" s="1"/>
  <c r="M37" i="605" s="1"/>
  <c r="M38" i="605" s="1"/>
  <c r="M39" i="605" s="1"/>
  <c r="M40" i="605" s="1"/>
  <c r="M41" i="605" s="1"/>
  <c r="M42" i="605" s="1"/>
  <c r="M43" i="605" s="1"/>
  <c r="M44" i="605" s="1"/>
  <c r="M45" i="605" s="1"/>
  <c r="M46" i="605" s="1"/>
  <c r="M47" i="605" s="1"/>
  <c r="M48" i="605" s="1"/>
  <c r="M49" i="605" s="1"/>
  <c r="M50" i="605" s="1"/>
  <c r="M51" i="605" s="1"/>
  <c r="M52" i="605" s="1"/>
  <c r="M53" i="605" s="1"/>
  <c r="M54" i="605" s="1"/>
  <c r="M55" i="605" s="1"/>
  <c r="M56" i="605" s="1"/>
  <c r="M57" i="605" s="1"/>
  <c r="M58" i="605" s="1"/>
  <c r="M59" i="605" s="1"/>
  <c r="M60" i="605" s="1"/>
  <c r="M61" i="605" s="1"/>
  <c r="M62" i="605" s="1"/>
  <c r="M63" i="605" s="1"/>
  <c r="M64" i="605" s="1"/>
  <c r="M65" i="605" s="1"/>
  <c r="M66" i="605" s="1"/>
  <c r="M67" i="605" s="1"/>
  <c r="M68" i="605" s="1"/>
  <c r="M69" i="605" s="1"/>
  <c r="M70" i="605" s="1"/>
  <c r="M71" i="605" s="1"/>
  <c r="M72" i="605" s="1"/>
  <c r="M73" i="605" s="1"/>
  <c r="M74" i="605" s="1"/>
  <c r="M75" i="605" s="1"/>
  <c r="M76" i="605" s="1"/>
  <c r="M77" i="605" s="1"/>
  <c r="M78" i="605" s="1"/>
  <c r="M79" i="605" s="1"/>
  <c r="M80" i="605" s="1"/>
  <c r="M81" i="605" s="1"/>
  <c r="M82" i="605" s="1"/>
  <c r="M83" i="605" s="1"/>
  <c r="M84" i="605" s="1"/>
  <c r="M85" i="605" s="1"/>
  <c r="M86" i="605" s="1"/>
  <c r="M87" i="605" s="1"/>
  <c r="M88" i="605" s="1"/>
  <c r="M89" i="605" s="1"/>
  <c r="M90" i="605" s="1"/>
  <c r="M91" i="605" s="1"/>
  <c r="M92" i="605" s="1"/>
  <c r="H21" i="616"/>
  <c r="I21" i="616" s="1"/>
  <c r="K17" i="617" s="1"/>
  <c r="H90" i="616"/>
  <c r="I90" i="616" s="1"/>
  <c r="K86" i="617" s="1"/>
  <c r="H84" i="619" s="1"/>
  <c r="H52" i="616"/>
  <c r="I52" i="616" s="1"/>
  <c r="K48" i="617" s="1"/>
  <c r="H46" i="619" s="1"/>
  <c r="H73" i="616"/>
  <c r="I73" i="616" s="1"/>
  <c r="K69" i="617" s="1"/>
  <c r="H67" i="619" s="1"/>
  <c r="H35" i="616"/>
  <c r="I35" i="616" s="1"/>
  <c r="H78" i="616"/>
  <c r="I78" i="616" s="1"/>
  <c r="K74" i="617" s="1"/>
  <c r="H72" i="619" s="1"/>
  <c r="H27" i="616"/>
  <c r="I27" i="616" s="1"/>
  <c r="K23" i="617" s="1"/>
  <c r="H44" i="616"/>
  <c r="I44" i="616" s="1"/>
  <c r="K40" i="617" s="1"/>
  <c r="H38" i="619" s="1"/>
  <c r="H65" i="616"/>
  <c r="I65" i="616" s="1"/>
  <c r="K61" i="617" s="1"/>
  <c r="H59" i="619" s="1"/>
  <c r="H26" i="616"/>
  <c r="I26" i="616" s="1"/>
  <c r="K22" i="617" s="1"/>
  <c r="H81" i="616"/>
  <c r="I81" i="616" s="1"/>
  <c r="K77" i="617" s="1"/>
  <c r="H75" i="619" s="1"/>
  <c r="H69" i="616"/>
  <c r="I69" i="616" s="1"/>
  <c r="K65" i="617" s="1"/>
  <c r="H63" i="619" s="1"/>
  <c r="H85" i="616"/>
  <c r="I85" i="616" s="1"/>
  <c r="K81" i="617" s="1"/>
  <c r="H79" i="619" s="1"/>
  <c r="H47" i="616"/>
  <c r="I47" i="616" s="1"/>
  <c r="K43" i="617" s="1"/>
  <c r="H41" i="619" s="1"/>
  <c r="H51" i="616"/>
  <c r="I51" i="616" s="1"/>
  <c r="K47" i="617" s="1"/>
  <c r="H45" i="619" s="1"/>
  <c r="H36" i="616"/>
  <c r="H50" i="616"/>
  <c r="I50" i="616" s="1"/>
  <c r="K46" i="617" s="1"/>
  <c r="H44" i="619" s="1"/>
  <c r="H72" i="616"/>
  <c r="I72" i="616" s="1"/>
  <c r="K68" i="617" s="1"/>
  <c r="H66" i="619" s="1"/>
  <c r="H20" i="616"/>
  <c r="I20" i="616" s="1"/>
  <c r="K16" i="617" s="1"/>
  <c r="H83" i="616"/>
  <c r="I83" i="616" s="1"/>
  <c r="K79" i="617" s="1"/>
  <c r="H77" i="619" s="1"/>
  <c r="H63" i="616"/>
  <c r="I63" i="616" s="1"/>
  <c r="K59" i="617" s="1"/>
  <c r="H57" i="619" s="1"/>
  <c r="H57" i="616"/>
  <c r="I57" i="616" s="1"/>
  <c r="K53" i="617" s="1"/>
  <c r="H51" i="619" s="1"/>
  <c r="H22" i="616"/>
  <c r="I22" i="616" s="1"/>
  <c r="K18" i="617" s="1"/>
  <c r="H18" i="616"/>
  <c r="I18" i="616" s="1"/>
  <c r="K14" i="617" s="1"/>
  <c r="H45" i="616"/>
  <c r="I45" i="616" s="1"/>
  <c r="K41" i="617" s="1"/>
  <c r="H39" i="619" s="1"/>
  <c r="H96" i="616"/>
  <c r="I96" i="616" s="1"/>
  <c r="K92" i="617" s="1"/>
  <c r="H90" i="619" s="1"/>
  <c r="H67" i="616"/>
  <c r="I67" i="616" s="1"/>
  <c r="K63" i="617" s="1"/>
  <c r="H61" i="619" s="1"/>
  <c r="H33" i="616"/>
  <c r="I33" i="616" s="1"/>
  <c r="K29" i="617" s="1"/>
  <c r="H99" i="616"/>
  <c r="I99" i="616" s="1"/>
  <c r="K95" i="617" s="1"/>
  <c r="H93" i="619" s="1"/>
  <c r="H60" i="616"/>
  <c r="I60" i="616" s="1"/>
  <c r="K56" i="617" s="1"/>
  <c r="H54" i="619" s="1"/>
  <c r="H92" i="616"/>
  <c r="I92" i="616" s="1"/>
  <c r="K88" i="617" s="1"/>
  <c r="H86" i="619" s="1"/>
  <c r="H97" i="616"/>
  <c r="I97" i="616" s="1"/>
  <c r="K93" i="617" s="1"/>
  <c r="H91" i="619" s="1"/>
  <c r="H19" i="616"/>
  <c r="I19" i="616" s="1"/>
  <c r="K15" i="617" s="1"/>
  <c r="H59" i="616"/>
  <c r="I59" i="616" s="1"/>
  <c r="K55" i="617" s="1"/>
  <c r="H53" i="619" s="1"/>
  <c r="H56" i="616"/>
  <c r="I56" i="616" s="1"/>
  <c r="K52" i="617" s="1"/>
  <c r="H50" i="619" s="1"/>
  <c r="H34" i="616"/>
  <c r="I34" i="616" s="1"/>
  <c r="K30" i="617" s="1"/>
  <c r="H79" i="616"/>
  <c r="I79" i="616" s="1"/>
  <c r="K75" i="617" s="1"/>
  <c r="H73" i="619" s="1"/>
  <c r="H54" i="616"/>
  <c r="I54" i="616" s="1"/>
  <c r="K50" i="617" s="1"/>
  <c r="H48" i="619" s="1"/>
  <c r="H25" i="616"/>
  <c r="I25" i="616" s="1"/>
  <c r="K21" i="617" s="1"/>
  <c r="H94" i="616"/>
  <c r="I94" i="616" s="1"/>
  <c r="K90" i="617" s="1"/>
  <c r="H88" i="619" s="1"/>
  <c r="H70" i="616"/>
  <c r="I70" i="616" s="1"/>
  <c r="K66" i="617" s="1"/>
  <c r="H64" i="619" s="1"/>
  <c r="H62" i="616"/>
  <c r="I62" i="616" s="1"/>
  <c r="K58" i="617" s="1"/>
  <c r="H56" i="619" s="1"/>
  <c r="H55" i="616"/>
  <c r="I55" i="616" s="1"/>
  <c r="K51" i="617" s="1"/>
  <c r="H49" i="619" s="1"/>
  <c r="H24" i="616"/>
  <c r="I24" i="616" s="1"/>
  <c r="K20" i="617" s="1"/>
  <c r="H46" i="616"/>
  <c r="I46" i="616" s="1"/>
  <c r="K42" i="617" s="1"/>
  <c r="H40" i="619" s="1"/>
  <c r="H31" i="616"/>
  <c r="I31" i="616" s="1"/>
  <c r="K27" i="617" s="1"/>
  <c r="L57" i="616"/>
  <c r="M57" i="616" s="1"/>
  <c r="L53" i="617" s="1"/>
  <c r="I51" i="619" s="1"/>
  <c r="L70" i="616"/>
  <c r="M70" i="616" s="1"/>
  <c r="L66" i="617" s="1"/>
  <c r="I64" i="619" s="1"/>
  <c r="L68" i="616"/>
  <c r="M68" i="616" s="1"/>
  <c r="L64" i="617" s="1"/>
  <c r="I62" i="619" s="1"/>
  <c r="L64" i="616"/>
  <c r="M64" i="616" s="1"/>
  <c r="L60" i="617" s="1"/>
  <c r="I58" i="619" s="1"/>
  <c r="L90" i="616"/>
  <c r="M90" i="616" s="1"/>
  <c r="L86" i="617" s="1"/>
  <c r="I84" i="619" s="1"/>
  <c r="L41" i="616"/>
  <c r="M41" i="616" s="1"/>
  <c r="L37" i="617" s="1"/>
  <c r="I35" i="619" s="1"/>
  <c r="L18" i="616"/>
  <c r="M18" i="616" s="1"/>
  <c r="L14" i="617" s="1"/>
  <c r="L55" i="616"/>
  <c r="M55" i="616" s="1"/>
  <c r="L51" i="617" s="1"/>
  <c r="I49" i="619" s="1"/>
  <c r="L96" i="616"/>
  <c r="M96" i="616" s="1"/>
  <c r="L92" i="617" s="1"/>
  <c r="I90" i="619" s="1"/>
  <c r="L59" i="616"/>
  <c r="M59" i="616" s="1"/>
  <c r="L55" i="617" s="1"/>
  <c r="I53" i="619" s="1"/>
  <c r="L34" i="616"/>
  <c r="M34" i="616" s="1"/>
  <c r="L30" i="617" s="1"/>
  <c r="L22" i="616"/>
  <c r="M22" i="616" s="1"/>
  <c r="L18" i="617" s="1"/>
  <c r="L91" i="616"/>
  <c r="M91" i="616" s="1"/>
  <c r="L87" i="617" s="1"/>
  <c r="I85" i="619" s="1"/>
  <c r="L76" i="616"/>
  <c r="M76" i="616" s="1"/>
  <c r="L72" i="617" s="1"/>
  <c r="I70" i="619" s="1"/>
  <c r="L24" i="616"/>
  <c r="M24" i="616" s="1"/>
  <c r="L20" i="617" s="1"/>
  <c r="L104" i="616"/>
  <c r="M104" i="616" s="1"/>
  <c r="L100" i="617" s="1"/>
  <c r="I98" i="619" s="1"/>
  <c r="L62" i="616"/>
  <c r="M62" i="616" s="1"/>
  <c r="L58" i="617" s="1"/>
  <c r="I56" i="619" s="1"/>
  <c r="L47" i="616"/>
  <c r="M47" i="616" s="1"/>
  <c r="L43" i="617" s="1"/>
  <c r="I41" i="619" s="1"/>
  <c r="L77" i="616"/>
  <c r="M77" i="616" s="1"/>
  <c r="L73" i="617" s="1"/>
  <c r="I71" i="619" s="1"/>
  <c r="L58" i="616"/>
  <c r="M58" i="616" s="1"/>
  <c r="L54" i="617" s="1"/>
  <c r="I52" i="619" s="1"/>
  <c r="L78" i="616"/>
  <c r="M78" i="616" s="1"/>
  <c r="L74" i="617" s="1"/>
  <c r="I72" i="619" s="1"/>
  <c r="L103" i="616"/>
  <c r="M103" i="616" s="1"/>
  <c r="L21" i="616"/>
  <c r="M21" i="616" s="1"/>
  <c r="L17" i="617" s="1"/>
  <c r="L46" i="616"/>
  <c r="M46" i="616" s="1"/>
  <c r="L42" i="617" s="1"/>
  <c r="I40" i="619" s="1"/>
  <c r="L19" i="616"/>
  <c r="M19" i="616" s="1"/>
  <c r="L15" i="617" s="1"/>
  <c r="L69" i="616"/>
  <c r="M69" i="616" s="1"/>
  <c r="L65" i="617" s="1"/>
  <c r="I63" i="619" s="1"/>
  <c r="L23" i="616"/>
  <c r="M23" i="616" s="1"/>
  <c r="L19" i="617" s="1"/>
  <c r="L29" i="616"/>
  <c r="M29" i="616" s="1"/>
  <c r="L25" i="617" s="1"/>
  <c r="L81" i="616"/>
  <c r="M81" i="616" s="1"/>
  <c r="L77" i="617" s="1"/>
  <c r="I75" i="619" s="1"/>
  <c r="L98" i="616"/>
  <c r="M98" i="616" s="1"/>
  <c r="L94" i="617" s="1"/>
  <c r="I92" i="619" s="1"/>
  <c r="L48" i="616"/>
  <c r="M48" i="616" s="1"/>
  <c r="L44" i="617" s="1"/>
  <c r="I42" i="619" s="1"/>
  <c r="L82" i="616"/>
  <c r="M82" i="616" s="1"/>
  <c r="L78" i="617" s="1"/>
  <c r="I76" i="619" s="1"/>
  <c r="L86" i="616"/>
  <c r="M86" i="616" s="1"/>
  <c r="L82" i="617" s="1"/>
  <c r="I80" i="619" s="1"/>
  <c r="U12" i="605"/>
  <c r="U13" i="605" s="1"/>
  <c r="U14" i="605" s="1"/>
  <c r="U15" i="605" s="1"/>
  <c r="U16" i="605" s="1"/>
  <c r="U17" i="605" s="1"/>
  <c r="U18" i="605" s="1"/>
  <c r="U19" i="605" s="1"/>
  <c r="U20" i="605" s="1"/>
  <c r="U21" i="605" s="1"/>
  <c r="U22" i="605" s="1"/>
  <c r="U23" i="605" s="1"/>
  <c r="U24" i="605" s="1"/>
  <c r="U25" i="605" s="1"/>
  <c r="U26" i="605" s="1"/>
  <c r="U27" i="605" s="1"/>
  <c r="U28" i="605" s="1"/>
  <c r="U29" i="605" s="1"/>
  <c r="U33" i="605" s="1"/>
  <c r="U34" i="605" s="1"/>
  <c r="U35" i="605" s="1"/>
  <c r="U36" i="605" s="1"/>
  <c r="U37" i="605" s="1"/>
  <c r="U38" i="605" s="1"/>
  <c r="U39" i="605" s="1"/>
  <c r="U40" i="605" s="1"/>
  <c r="U41" i="605" s="1"/>
  <c r="U42" i="605" s="1"/>
  <c r="U43" i="605" s="1"/>
  <c r="U44" i="605" s="1"/>
  <c r="U45" i="605" s="1"/>
  <c r="U46" i="605" s="1"/>
  <c r="U47" i="605" s="1"/>
  <c r="U48" i="605" s="1"/>
  <c r="U49" i="605" s="1"/>
  <c r="U50" i="605" s="1"/>
  <c r="U51" i="605" s="1"/>
  <c r="U52" i="605" s="1"/>
  <c r="U53" i="605" s="1"/>
  <c r="U54" i="605" s="1"/>
  <c r="U55" i="605" s="1"/>
  <c r="U56" i="605" s="1"/>
  <c r="U57" i="605" s="1"/>
  <c r="U58" i="605" s="1"/>
  <c r="U59" i="605" s="1"/>
  <c r="U60" i="605" s="1"/>
  <c r="U61" i="605" s="1"/>
  <c r="U62" i="605" s="1"/>
  <c r="U63" i="605" s="1"/>
  <c r="U64" i="605" s="1"/>
  <c r="U65" i="605" s="1"/>
  <c r="U66" i="605" s="1"/>
  <c r="U67" i="605" s="1"/>
  <c r="U68" i="605" s="1"/>
  <c r="U69" i="605" s="1"/>
  <c r="U70" i="605" s="1"/>
  <c r="U71" i="605" s="1"/>
  <c r="U72" i="605" s="1"/>
  <c r="U73" i="605" s="1"/>
  <c r="U74" i="605" s="1"/>
  <c r="U75" i="605" s="1"/>
  <c r="U76" i="605" s="1"/>
  <c r="U77" i="605" s="1"/>
  <c r="U78" i="605" s="1"/>
  <c r="U79" i="605" s="1"/>
  <c r="U80" i="605" s="1"/>
  <c r="U81" i="605" s="1"/>
  <c r="U82" i="605" s="1"/>
  <c r="U83" i="605" s="1"/>
  <c r="U84" i="605" s="1"/>
  <c r="U85" i="605" s="1"/>
  <c r="U86" i="605" s="1"/>
  <c r="U87" i="605" s="1"/>
  <c r="U88" i="605" s="1"/>
  <c r="U89" i="605" s="1"/>
  <c r="U90" i="605" s="1"/>
  <c r="U91" i="605" s="1"/>
  <c r="U92" i="605" s="1"/>
  <c r="L50" i="616"/>
  <c r="M50" i="616" s="1"/>
  <c r="L46" i="617" s="1"/>
  <c r="I44" i="619" s="1"/>
  <c r="L99" i="616"/>
  <c r="M99" i="616" s="1"/>
  <c r="L95" i="617" s="1"/>
  <c r="I93" i="619" s="1"/>
  <c r="L30" i="616"/>
  <c r="M30" i="616" s="1"/>
  <c r="L26" i="617" s="1"/>
  <c r="L31" i="616"/>
  <c r="M31" i="616" s="1"/>
  <c r="L27" i="617" s="1"/>
  <c r="L74" i="616"/>
  <c r="M74" i="616" s="1"/>
  <c r="L70" i="617" s="1"/>
  <c r="I68" i="619" s="1"/>
  <c r="L20" i="616"/>
  <c r="M20" i="616" s="1"/>
  <c r="L16" i="617" s="1"/>
  <c r="L42" i="616"/>
  <c r="M42" i="616" s="1"/>
  <c r="L38" i="617" s="1"/>
  <c r="I36" i="619" s="1"/>
  <c r="L53" i="616"/>
  <c r="M53" i="616" s="1"/>
  <c r="L49" i="617" s="1"/>
  <c r="I47" i="619" s="1"/>
  <c r="L75" i="616"/>
  <c r="M75" i="616" s="1"/>
  <c r="L71" i="617" s="1"/>
  <c r="I69" i="619" s="1"/>
  <c r="L67" i="616"/>
  <c r="M67" i="616" s="1"/>
  <c r="L63" i="617" s="1"/>
  <c r="I61" i="619" s="1"/>
  <c r="L45" i="616"/>
  <c r="M45" i="616" s="1"/>
  <c r="L41" i="617" s="1"/>
  <c r="I39" i="619" s="1"/>
  <c r="L66" i="616"/>
  <c r="M66" i="616" s="1"/>
  <c r="L62" i="617" s="1"/>
  <c r="I60" i="619" s="1"/>
  <c r="L94" i="616"/>
  <c r="M94" i="616" s="1"/>
  <c r="L90" i="617" s="1"/>
  <c r="I88" i="619" s="1"/>
  <c r="L28" i="616"/>
  <c r="M28" i="616" s="1"/>
  <c r="L24" i="617" s="1"/>
  <c r="L71" i="616"/>
  <c r="M71" i="616" s="1"/>
  <c r="L67" i="617" s="1"/>
  <c r="I65" i="619" s="1"/>
  <c r="L93" i="616"/>
  <c r="M93" i="616" s="1"/>
  <c r="L89" i="617" s="1"/>
  <c r="I87" i="619" s="1"/>
  <c r="L32" i="616"/>
  <c r="M32" i="616" s="1"/>
  <c r="L28" i="617" s="1"/>
  <c r="L92" i="616"/>
  <c r="M92" i="616" s="1"/>
  <c r="L88" i="617" s="1"/>
  <c r="I86" i="619" s="1"/>
  <c r="L79" i="616"/>
  <c r="M79" i="616" s="1"/>
  <c r="L75" i="617" s="1"/>
  <c r="I73" i="619" s="1"/>
  <c r="L51" i="616"/>
  <c r="M51" i="616" s="1"/>
  <c r="L47" i="617" s="1"/>
  <c r="I45" i="619" s="1"/>
  <c r="L49" i="616"/>
  <c r="M49" i="616" s="1"/>
  <c r="L45" i="617" s="1"/>
  <c r="I43" i="619" s="1"/>
  <c r="L83" i="616"/>
  <c r="M83" i="616" s="1"/>
  <c r="L79" i="617" s="1"/>
  <c r="I77" i="619" s="1"/>
  <c r="L84" i="616"/>
  <c r="M84" i="616" s="1"/>
  <c r="L80" i="617" s="1"/>
  <c r="I78" i="619" s="1"/>
  <c r="L80" i="616"/>
  <c r="M80" i="616" s="1"/>
  <c r="L76" i="617" s="1"/>
  <c r="I74" i="619" s="1"/>
  <c r="L40" i="616"/>
  <c r="M40" i="616" s="1"/>
  <c r="L36" i="617" s="1"/>
  <c r="I34" i="619" s="1"/>
  <c r="L87" i="616"/>
  <c r="M87" i="616" s="1"/>
  <c r="L83" i="617" s="1"/>
  <c r="I81" i="619" s="1"/>
  <c r="L26" i="616"/>
  <c r="M26" i="616" s="1"/>
  <c r="L22" i="617" s="1"/>
  <c r="L27" i="616"/>
  <c r="M27" i="616" s="1"/>
  <c r="L23" i="617" s="1"/>
  <c r="L72" i="616"/>
  <c r="M72" i="616" s="1"/>
  <c r="L68" i="617" s="1"/>
  <c r="I66" i="619" s="1"/>
  <c r="L65" i="616"/>
  <c r="M65" i="616" s="1"/>
  <c r="L61" i="617" s="1"/>
  <c r="I59" i="619" s="1"/>
  <c r="L63" i="616"/>
  <c r="M63" i="616" s="1"/>
  <c r="L59" i="617" s="1"/>
  <c r="I57" i="619" s="1"/>
  <c r="L88" i="616"/>
  <c r="M88" i="616" s="1"/>
  <c r="L84" i="617" s="1"/>
  <c r="I82" i="619" s="1"/>
  <c r="L85" i="616"/>
  <c r="M85" i="616" s="1"/>
  <c r="L81" i="617" s="1"/>
  <c r="I79" i="619" s="1"/>
  <c r="L97" i="616"/>
  <c r="M97" i="616" s="1"/>
  <c r="L93" i="617" s="1"/>
  <c r="I91" i="619" s="1"/>
  <c r="L52" i="616"/>
  <c r="M52" i="616" s="1"/>
  <c r="L48" i="617" s="1"/>
  <c r="I46" i="619" s="1"/>
  <c r="L35" i="616"/>
  <c r="M35" i="616" s="1"/>
  <c r="L44" i="616"/>
  <c r="M44" i="616" s="1"/>
  <c r="L40" i="617" s="1"/>
  <c r="I38" i="619" s="1"/>
  <c r="L25" i="616"/>
  <c r="M25" i="616" s="1"/>
  <c r="L21" i="617" s="1"/>
  <c r="L73" i="616"/>
  <c r="M73" i="616" s="1"/>
  <c r="L69" i="617" s="1"/>
  <c r="I67" i="619" s="1"/>
  <c r="L56" i="616"/>
  <c r="M56" i="616" s="1"/>
  <c r="L52" i="617" s="1"/>
  <c r="I50" i="619" s="1"/>
  <c r="L33" i="616"/>
  <c r="M33" i="616" s="1"/>
  <c r="L29" i="617" s="1"/>
  <c r="L36" i="616"/>
  <c r="L43" i="616"/>
  <c r="M43" i="616" s="1"/>
  <c r="L39" i="617" s="1"/>
  <c r="I37" i="619" s="1"/>
  <c r="L61" i="616"/>
  <c r="M61" i="616" s="1"/>
  <c r="L57" i="617" s="1"/>
  <c r="I55" i="619" s="1"/>
  <c r="L54" i="616"/>
  <c r="M54" i="616" s="1"/>
  <c r="L50" i="617" s="1"/>
  <c r="I48" i="619" s="1"/>
  <c r="L60" i="616"/>
  <c r="M60" i="616" s="1"/>
  <c r="L56" i="617" s="1"/>
  <c r="I54" i="619" s="1"/>
  <c r="K9" i="622"/>
  <c r="O13" i="608"/>
  <c r="U13" i="608"/>
  <c r="D25" i="614" l="1"/>
  <c r="D11" i="614"/>
  <c r="H11" i="614" s="1"/>
  <c r="J11" i="614" s="1"/>
  <c r="F19" i="615" s="1"/>
  <c r="D20" i="614"/>
  <c r="F20" i="614" s="1"/>
  <c r="D23" i="614"/>
  <c r="D21" i="615"/>
  <c r="D22" i="614"/>
  <c r="H22" i="614" s="1"/>
  <c r="J22" i="614" s="1"/>
  <c r="F30" i="615" s="1"/>
  <c r="D23" i="615"/>
  <c r="D27" i="615"/>
  <c r="D21" i="614"/>
  <c r="F21" i="614" s="1"/>
  <c r="D29" i="615"/>
  <c r="D22" i="615"/>
  <c r="D18" i="615"/>
  <c r="D17" i="614"/>
  <c r="F17" i="614" s="1"/>
  <c r="D9" i="614"/>
  <c r="F9" i="614" s="1"/>
  <c r="D20" i="615"/>
  <c r="D7" i="614"/>
  <c r="H7" i="614" s="1"/>
  <c r="J7" i="614" s="1"/>
  <c r="F15" i="615" s="1"/>
  <c r="D18" i="614"/>
  <c r="F18" i="614" s="1"/>
  <c r="D16" i="615"/>
  <c r="D24" i="615"/>
  <c r="D58" i="614"/>
  <c r="H58" i="614" s="1"/>
  <c r="J58" i="614" s="1"/>
  <c r="F65" i="615" s="1"/>
  <c r="G65" i="615" s="1"/>
  <c r="H65" i="615" s="1"/>
  <c r="E30" i="605"/>
  <c r="E33" i="605"/>
  <c r="E34" i="605" s="1"/>
  <c r="E35" i="605" s="1"/>
  <c r="E36" i="605" s="1"/>
  <c r="E37" i="605" s="1"/>
  <c r="E38" i="605" s="1"/>
  <c r="E39" i="605" s="1"/>
  <c r="E40" i="605" s="1"/>
  <c r="E41" i="605" s="1"/>
  <c r="E42" i="605" s="1"/>
  <c r="E43" i="605" s="1"/>
  <c r="E44" i="605" s="1"/>
  <c r="E45" i="605" s="1"/>
  <c r="E46" i="605" s="1"/>
  <c r="E47" i="605" s="1"/>
  <c r="E48" i="605" s="1"/>
  <c r="E49" i="605" s="1"/>
  <c r="E50" i="605" s="1"/>
  <c r="E51" i="605" s="1"/>
  <c r="E52" i="605" s="1"/>
  <c r="E53" i="605" s="1"/>
  <c r="E54" i="605" s="1"/>
  <c r="E55" i="605" s="1"/>
  <c r="E56" i="605" s="1"/>
  <c r="E57" i="605" s="1"/>
  <c r="E58" i="605" s="1"/>
  <c r="E59" i="605" s="1"/>
  <c r="E60" i="605" s="1"/>
  <c r="E61" i="605" s="1"/>
  <c r="E62" i="605" s="1"/>
  <c r="E63" i="605" s="1"/>
  <c r="E64" i="605" s="1"/>
  <c r="E65" i="605" s="1"/>
  <c r="E66" i="605" s="1"/>
  <c r="E67" i="605" s="1"/>
  <c r="E68" i="605" s="1"/>
  <c r="E69" i="605" s="1"/>
  <c r="E70" i="605" s="1"/>
  <c r="E71" i="605" s="1"/>
  <c r="E72" i="605" s="1"/>
  <c r="E73" i="605" s="1"/>
  <c r="E74" i="605" s="1"/>
  <c r="E75" i="605" s="1"/>
  <c r="E76" i="605" s="1"/>
  <c r="E77" i="605" s="1"/>
  <c r="E78" i="605" s="1"/>
  <c r="E79" i="605" s="1"/>
  <c r="E80" i="605" s="1"/>
  <c r="E81" i="605" s="1"/>
  <c r="E82" i="605" s="1"/>
  <c r="E83" i="605" s="1"/>
  <c r="E84" i="605" s="1"/>
  <c r="E85" i="605" s="1"/>
  <c r="E86" i="605" s="1"/>
  <c r="E87" i="605" s="1"/>
  <c r="E88" i="605" s="1"/>
  <c r="E89" i="605" s="1"/>
  <c r="E90" i="605" s="1"/>
  <c r="E91" i="605" s="1"/>
  <c r="E92" i="605" s="1"/>
  <c r="H86" i="614"/>
  <c r="J86" i="614" s="1"/>
  <c r="F93" i="615" s="1"/>
  <c r="D16" i="614"/>
  <c r="F16" i="614" s="1"/>
  <c r="H36" i="614"/>
  <c r="J36" i="614" s="1"/>
  <c r="F43" i="615" s="1"/>
  <c r="D35" i="614"/>
  <c r="H35" i="614" s="1"/>
  <c r="J35" i="614" s="1"/>
  <c r="F42" i="615" s="1"/>
  <c r="G42" i="615" s="1"/>
  <c r="H42" i="615" s="1"/>
  <c r="F49" i="614"/>
  <c r="E85" i="612"/>
  <c r="D86" i="615" s="1"/>
  <c r="D79" i="614"/>
  <c r="H85" i="614"/>
  <c r="J85" i="614" s="1"/>
  <c r="F92" i="615" s="1"/>
  <c r="G92" i="615" s="1"/>
  <c r="F85" i="614"/>
  <c r="E92" i="612"/>
  <c r="D93" i="615" s="1"/>
  <c r="F44" i="614"/>
  <c r="D19" i="614"/>
  <c r="F19" i="614" s="1"/>
  <c r="E42" i="612"/>
  <c r="D43" i="615" s="1"/>
  <c r="D37" i="614"/>
  <c r="F37" i="614" s="1"/>
  <c r="D69" i="614"/>
  <c r="H69" i="614" s="1"/>
  <c r="J69" i="614" s="1"/>
  <c r="F76" i="615" s="1"/>
  <c r="G76" i="615" s="1"/>
  <c r="E50" i="612"/>
  <c r="D51" i="615" s="1"/>
  <c r="G51" i="615" s="1"/>
  <c r="C50" i="617" s="1"/>
  <c r="D87" i="614"/>
  <c r="F87" i="614" s="1"/>
  <c r="D74" i="614"/>
  <c r="F74" i="614" s="1"/>
  <c r="F11" i="614"/>
  <c r="E161" i="613"/>
  <c r="G161" i="613" s="1"/>
  <c r="E69" i="615" s="1"/>
  <c r="E147" i="613"/>
  <c r="G147" i="613" s="1"/>
  <c r="E55" i="615" s="1"/>
  <c r="E37" i="612"/>
  <c r="D38" i="615" s="1"/>
  <c r="H75" i="614"/>
  <c r="J75" i="614" s="1"/>
  <c r="F82" i="615" s="1"/>
  <c r="F43" i="614"/>
  <c r="D31" i="615"/>
  <c r="H71" i="614"/>
  <c r="J71" i="614" s="1"/>
  <c r="F78" i="615" s="1"/>
  <c r="H38" i="614"/>
  <c r="J38" i="614" s="1"/>
  <c r="F45" i="615" s="1"/>
  <c r="D68" i="614"/>
  <c r="H68" i="614" s="1"/>
  <c r="J68" i="614" s="1"/>
  <c r="F75" i="615" s="1"/>
  <c r="G75" i="615" s="1"/>
  <c r="C74" i="617" s="1"/>
  <c r="E55" i="612"/>
  <c r="D56" i="615" s="1"/>
  <c r="G56" i="615" s="1"/>
  <c r="H56" i="615" s="1"/>
  <c r="D48" i="614"/>
  <c r="F48" i="614" s="1"/>
  <c r="D19" i="615"/>
  <c r="D81" i="614"/>
  <c r="H81" i="614" s="1"/>
  <c r="J81" i="614" s="1"/>
  <c r="F88" i="615" s="1"/>
  <c r="G88" i="615" s="1"/>
  <c r="C87" i="617" s="1"/>
  <c r="D65" i="614"/>
  <c r="F65" i="614" s="1"/>
  <c r="H73" i="614"/>
  <c r="J73" i="614" s="1"/>
  <c r="F80" i="615" s="1"/>
  <c r="H39" i="614"/>
  <c r="J39" i="614" s="1"/>
  <c r="F46" i="615" s="1"/>
  <c r="E65" i="612"/>
  <c r="D66" i="615" s="1"/>
  <c r="G66" i="615" s="1"/>
  <c r="H66" i="615" s="1"/>
  <c r="D24" i="614"/>
  <c r="E79" i="612"/>
  <c r="D80" i="615" s="1"/>
  <c r="E45" i="612"/>
  <c r="D46" i="615" s="1"/>
  <c r="E44" i="612"/>
  <c r="D45" i="615" s="1"/>
  <c r="D15" i="614"/>
  <c r="H15" i="614" s="1"/>
  <c r="J15" i="614" s="1"/>
  <c r="F23" i="615" s="1"/>
  <c r="E81" i="612"/>
  <c r="D82" i="615" s="1"/>
  <c r="H31" i="614"/>
  <c r="J31" i="614" s="1"/>
  <c r="F38" i="615" s="1"/>
  <c r="F76" i="614"/>
  <c r="D33" i="614"/>
  <c r="F33" i="614" s="1"/>
  <c r="F59" i="614"/>
  <c r="F55" i="614"/>
  <c r="D84" i="614"/>
  <c r="F84" i="614" s="1"/>
  <c r="E61" i="612"/>
  <c r="D62" i="615" s="1"/>
  <c r="G62" i="615" s="1"/>
  <c r="H62" i="615" s="1"/>
  <c r="E82" i="612"/>
  <c r="D83" i="615" s="1"/>
  <c r="G83" i="615" s="1"/>
  <c r="H83" i="615" s="1"/>
  <c r="H60" i="614"/>
  <c r="J60" i="614" s="1"/>
  <c r="F67" i="615" s="1"/>
  <c r="H41" i="614"/>
  <c r="J41" i="614" s="1"/>
  <c r="F48" i="615" s="1"/>
  <c r="D40" i="614"/>
  <c r="H40" i="614" s="1"/>
  <c r="J40" i="614" s="1"/>
  <c r="F47" i="615" s="1"/>
  <c r="G47" i="615" s="1"/>
  <c r="C46" i="617" s="1"/>
  <c r="D8" i="614"/>
  <c r="H8" i="614" s="1"/>
  <c r="J8" i="614" s="1"/>
  <c r="F16" i="615" s="1"/>
  <c r="E62" i="612"/>
  <c r="D63" i="615" s="1"/>
  <c r="G63" i="615" s="1"/>
  <c r="H63" i="615" s="1"/>
  <c r="F56" i="614"/>
  <c r="E66" i="612"/>
  <c r="D67" i="615" s="1"/>
  <c r="E101" i="612"/>
  <c r="D14" i="614"/>
  <c r="H14" i="614" s="1"/>
  <c r="J14" i="614" s="1"/>
  <c r="F22" i="615" s="1"/>
  <c r="H47" i="614"/>
  <c r="J47" i="614" s="1"/>
  <c r="F54" i="615" s="1"/>
  <c r="E47" i="612"/>
  <c r="D48" i="615" s="1"/>
  <c r="D93" i="614"/>
  <c r="F93" i="614" s="1"/>
  <c r="F95" i="614" s="1"/>
  <c r="E72" i="612"/>
  <c r="D73" i="615" s="1"/>
  <c r="G73" i="615" s="1"/>
  <c r="H73" i="615" s="1"/>
  <c r="F66" i="614"/>
  <c r="E53" i="612"/>
  <c r="D54" i="615" s="1"/>
  <c r="D30" i="614"/>
  <c r="F30" i="614" s="1"/>
  <c r="F53" i="614"/>
  <c r="D63" i="614"/>
  <c r="H63" i="614" s="1"/>
  <c r="J63" i="614" s="1"/>
  <c r="F70" i="615" s="1"/>
  <c r="G70" i="615" s="1"/>
  <c r="C69" i="617" s="1"/>
  <c r="E59" i="612"/>
  <c r="D60" i="615" s="1"/>
  <c r="G60" i="615" s="1"/>
  <c r="H60" i="615" s="1"/>
  <c r="E49" i="612"/>
  <c r="D50" i="615" s="1"/>
  <c r="G50" i="615" s="1"/>
  <c r="C49" i="617" s="1"/>
  <c r="D77" i="614"/>
  <c r="F77" i="614" s="1"/>
  <c r="D34" i="614"/>
  <c r="F34" i="614" s="1"/>
  <c r="E94" i="612"/>
  <c r="D95" i="615" s="1"/>
  <c r="D51" i="614"/>
  <c r="F51" i="614" s="1"/>
  <c r="H20" i="614"/>
  <c r="J20" i="614" s="1"/>
  <c r="F28" i="615" s="1"/>
  <c r="D45" i="614"/>
  <c r="F45" i="614" s="1"/>
  <c r="D28" i="615"/>
  <c r="E73" i="612"/>
  <c r="D74" i="615" s="1"/>
  <c r="G74" i="615" s="1"/>
  <c r="H74" i="615" s="1"/>
  <c r="D80" i="614"/>
  <c r="F80" i="614" s="1"/>
  <c r="F67" i="614"/>
  <c r="H46" i="614"/>
  <c r="J46" i="614" s="1"/>
  <c r="F53" i="615" s="1"/>
  <c r="F57" i="614"/>
  <c r="E88" i="612"/>
  <c r="D89" i="615" s="1"/>
  <c r="E52" i="612"/>
  <c r="D53" i="615" s="1"/>
  <c r="D10" i="614"/>
  <c r="F10" i="614" s="1"/>
  <c r="D17" i="615"/>
  <c r="H70" i="614"/>
  <c r="J70" i="614" s="1"/>
  <c r="F77" i="615" s="1"/>
  <c r="H82" i="614"/>
  <c r="J82" i="614" s="1"/>
  <c r="F89" i="615" s="1"/>
  <c r="D12" i="614"/>
  <c r="F12" i="614" s="1"/>
  <c r="D26" i="615"/>
  <c r="D30" i="615"/>
  <c r="E63" i="612"/>
  <c r="D64" i="615" s="1"/>
  <c r="G64" i="615" s="1"/>
  <c r="C63" i="617" s="1"/>
  <c r="D13" i="614"/>
  <c r="F13" i="614" s="1"/>
  <c r="H83" i="614"/>
  <c r="J83" i="614" s="1"/>
  <c r="F90" i="615" s="1"/>
  <c r="E77" i="612"/>
  <c r="D78" i="615" s="1"/>
  <c r="D32" i="614"/>
  <c r="H32" i="614" s="1"/>
  <c r="J32" i="614" s="1"/>
  <c r="F39" i="615" s="1"/>
  <c r="G39" i="615" s="1"/>
  <c r="H39" i="615" s="1"/>
  <c r="H18" i="614"/>
  <c r="J18" i="614" s="1"/>
  <c r="F26" i="615" s="1"/>
  <c r="H88" i="614"/>
  <c r="J88" i="614" s="1"/>
  <c r="F95" i="615" s="1"/>
  <c r="D42" i="614"/>
  <c r="F42" i="614" s="1"/>
  <c r="D50" i="614"/>
  <c r="H50" i="614" s="1"/>
  <c r="J50" i="614" s="1"/>
  <c r="F57" i="615" s="1"/>
  <c r="G57" i="615" s="1"/>
  <c r="H57" i="615" s="1"/>
  <c r="E76" i="612"/>
  <c r="D77" i="615" s="1"/>
  <c r="D72" i="614"/>
  <c r="F72" i="614" s="1"/>
  <c r="D25" i="615"/>
  <c r="E89" i="612"/>
  <c r="D90" i="615" s="1"/>
  <c r="D62" i="614"/>
  <c r="H62" i="614" s="1"/>
  <c r="J62" i="614" s="1"/>
  <c r="F69" i="615" s="1"/>
  <c r="F64" i="614"/>
  <c r="D15" i="615"/>
  <c r="D52" i="614"/>
  <c r="H52" i="614" s="1"/>
  <c r="J52" i="614" s="1"/>
  <c r="F59" i="615" s="1"/>
  <c r="G59" i="615" s="1"/>
  <c r="C58" i="617" s="1"/>
  <c r="D78" i="614"/>
  <c r="D61" i="614"/>
  <c r="F61" i="614" s="1"/>
  <c r="D54" i="614"/>
  <c r="F54" i="614" s="1"/>
  <c r="E70" i="612"/>
  <c r="D71" i="615" s="1"/>
  <c r="G71" i="615" s="1"/>
  <c r="H71" i="615" s="1"/>
  <c r="D89" i="614"/>
  <c r="H89" i="614" s="1"/>
  <c r="J89" i="614" s="1"/>
  <c r="F96" i="615" s="1"/>
  <c r="G96" i="615" s="1"/>
  <c r="C95" i="617" s="1"/>
  <c r="G33" i="613"/>
  <c r="F36" i="613"/>
  <c r="F120" i="613"/>
  <c r="G116" i="613"/>
  <c r="F114" i="613"/>
  <c r="G106" i="613"/>
  <c r="G68" i="613"/>
  <c r="F70" i="613"/>
  <c r="F54" i="613"/>
  <c r="G51" i="613"/>
  <c r="F66" i="613"/>
  <c r="G60" i="613"/>
  <c r="E16" i="615"/>
  <c r="G18" i="613"/>
  <c r="G16" i="613"/>
  <c r="E15" i="615"/>
  <c r="G56" i="613"/>
  <c r="F58" i="613"/>
  <c r="G102" i="613"/>
  <c r="F104" i="613"/>
  <c r="F31" i="613"/>
  <c r="G20" i="613"/>
  <c r="G78" i="613"/>
  <c r="F83" i="613"/>
  <c r="G98" i="613"/>
  <c r="F100" i="613"/>
  <c r="G89" i="613"/>
  <c r="F96" i="613"/>
  <c r="G72" i="613"/>
  <c r="F76" i="613"/>
  <c r="G38" i="613"/>
  <c r="F49" i="613"/>
  <c r="F87" i="613"/>
  <c r="G85" i="613"/>
  <c r="K33" i="622"/>
  <c r="E105" i="616"/>
  <c r="E36" i="616" s="1"/>
  <c r="J99" i="617"/>
  <c r="M105" i="616"/>
  <c r="M36" i="616" s="1"/>
  <c r="L99" i="617"/>
  <c r="I100" i="616"/>
  <c r="M100" i="616"/>
  <c r="U30" i="605"/>
  <c r="I105" i="616"/>
  <c r="I36" i="616" s="1"/>
  <c r="K99" i="617"/>
  <c r="E100" i="616"/>
  <c r="M30" i="605"/>
  <c r="J98" i="619"/>
  <c r="D8" i="608"/>
  <c r="D24" i="608"/>
  <c r="D28" i="608"/>
  <c r="N32" i="333"/>
  <c r="D23" i="608"/>
  <c r="D12" i="608"/>
  <c r="D14" i="608"/>
  <c r="D9" i="608"/>
  <c r="D25" i="608"/>
  <c r="D29" i="608"/>
  <c r="D21" i="608"/>
  <c r="D32" i="608"/>
  <c r="D22" i="608"/>
  <c r="C6" i="609"/>
  <c r="E6" i="609" s="1"/>
  <c r="C6" i="611" s="1"/>
  <c r="E6" i="611" s="1"/>
  <c r="C6" i="612" s="1"/>
  <c r="D18" i="608"/>
  <c r="D13" i="608"/>
  <c r="D17" i="608"/>
  <c r="D11" i="608"/>
  <c r="M13" i="606"/>
  <c r="E10" i="606"/>
  <c r="D34" i="608"/>
  <c r="D16" i="608"/>
  <c r="D10" i="608"/>
  <c r="D15" i="608"/>
  <c r="D20" i="608"/>
  <c r="D27" i="608"/>
  <c r="D26" i="608"/>
  <c r="D19" i="608"/>
  <c r="D33" i="608"/>
  <c r="L9" i="622"/>
  <c r="F122" i="613" l="1"/>
  <c r="H23" i="614"/>
  <c r="J23" i="614" s="1"/>
  <c r="F31" i="615" s="1"/>
  <c r="F23" i="614"/>
  <c r="H21" i="614"/>
  <c r="J21" i="614" s="1"/>
  <c r="F29" i="615" s="1"/>
  <c r="F25" i="614"/>
  <c r="H25" i="614"/>
  <c r="K25" i="614" s="1"/>
  <c r="H17" i="614"/>
  <c r="J17" i="614" s="1"/>
  <c r="F25" i="615" s="1"/>
  <c r="H9" i="614"/>
  <c r="J9" i="614" s="1"/>
  <c r="F17" i="615" s="1"/>
  <c r="F22" i="614"/>
  <c r="K22" i="614" s="1"/>
  <c r="F7" i="614"/>
  <c r="K7" i="614" s="1"/>
  <c r="J88" i="619"/>
  <c r="K23" i="614"/>
  <c r="J71" i="619"/>
  <c r="J78" i="619"/>
  <c r="J76" i="619"/>
  <c r="J44" i="619"/>
  <c r="J64" i="619"/>
  <c r="J77" i="619"/>
  <c r="J46" i="619"/>
  <c r="J55" i="619"/>
  <c r="J67" i="619"/>
  <c r="J56" i="619"/>
  <c r="J65" i="619"/>
  <c r="J85" i="619"/>
  <c r="J72" i="619"/>
  <c r="J93" i="619"/>
  <c r="J86" i="619"/>
  <c r="J92" i="619"/>
  <c r="J63" i="619"/>
  <c r="J62" i="619"/>
  <c r="J81" i="619"/>
  <c r="J47" i="619"/>
  <c r="J82" i="619"/>
  <c r="J48" i="619"/>
  <c r="J35" i="619"/>
  <c r="J59" i="619"/>
  <c r="J66" i="619"/>
  <c r="J90" i="619"/>
  <c r="J52" i="619"/>
  <c r="J75" i="619"/>
  <c r="J50" i="619"/>
  <c r="J79" i="619"/>
  <c r="J37" i="619"/>
  <c r="J70" i="619"/>
  <c r="J43" i="619"/>
  <c r="J69" i="619"/>
  <c r="J87" i="619"/>
  <c r="J42" i="619"/>
  <c r="J89" i="619"/>
  <c r="J54" i="619"/>
  <c r="J49" i="619"/>
  <c r="J80" i="619"/>
  <c r="J84" i="619"/>
  <c r="J83" i="619"/>
  <c r="J60" i="619"/>
  <c r="J73" i="619"/>
  <c r="J39" i="619"/>
  <c r="J45" i="619"/>
  <c r="J53" i="619"/>
  <c r="J57" i="619"/>
  <c r="J40" i="619"/>
  <c r="J68" i="619"/>
  <c r="J38" i="619"/>
  <c r="J36" i="619"/>
  <c r="J91" i="619"/>
  <c r="J58" i="619"/>
  <c r="J61" i="619"/>
  <c r="J41" i="619"/>
  <c r="J51" i="619"/>
  <c r="J74" i="619"/>
  <c r="F58" i="614"/>
  <c r="C64" i="617"/>
  <c r="G93" i="615"/>
  <c r="H93" i="615" s="1"/>
  <c r="C91" i="617"/>
  <c r="H92" i="615"/>
  <c r="C41" i="617"/>
  <c r="H16" i="614"/>
  <c r="J16" i="614" s="1"/>
  <c r="F24" i="615" s="1"/>
  <c r="H19" i="614"/>
  <c r="J19" i="614" s="1"/>
  <c r="F27" i="615" s="1"/>
  <c r="F35" i="614"/>
  <c r="G43" i="615"/>
  <c r="C42" i="617" s="1"/>
  <c r="H79" i="614"/>
  <c r="J79" i="614" s="1"/>
  <c r="F86" i="615" s="1"/>
  <c r="G86" i="615" s="1"/>
  <c r="F79" i="614"/>
  <c r="H37" i="614"/>
  <c r="J37" i="614" s="1"/>
  <c r="F44" i="615" s="1"/>
  <c r="G44" i="615" s="1"/>
  <c r="C43" i="617" s="1"/>
  <c r="H74" i="614"/>
  <c r="J74" i="614" s="1"/>
  <c r="F81" i="615" s="1"/>
  <c r="G81" i="615" s="1"/>
  <c r="H81" i="615" s="1"/>
  <c r="F69" i="614"/>
  <c r="C75" i="617"/>
  <c r="H76" i="615"/>
  <c r="H87" i="614"/>
  <c r="J87" i="614" s="1"/>
  <c r="F94" i="615" s="1"/>
  <c r="G94" i="615" s="1"/>
  <c r="H94" i="615" s="1"/>
  <c r="K11" i="614"/>
  <c r="G54" i="615"/>
  <c r="G38" i="615"/>
  <c r="C37" i="617" s="1"/>
  <c r="H33" i="614"/>
  <c r="J33" i="614" s="1"/>
  <c r="F40" i="615" s="1"/>
  <c r="G40" i="615" s="1"/>
  <c r="C39" i="617" s="1"/>
  <c r="H88" i="615"/>
  <c r="F81" i="614"/>
  <c r="E172" i="613"/>
  <c r="G172" i="613" s="1"/>
  <c r="E80" i="615" s="1"/>
  <c r="G80" i="615" s="1"/>
  <c r="H80" i="615" s="1"/>
  <c r="G69" i="615"/>
  <c r="C68" i="617" s="1"/>
  <c r="H65" i="614"/>
  <c r="J65" i="614" s="1"/>
  <c r="F72" i="615" s="1"/>
  <c r="G72" i="615" s="1"/>
  <c r="C71" i="617" s="1"/>
  <c r="F15" i="614"/>
  <c r="K15" i="614" s="1"/>
  <c r="E137" i="613"/>
  <c r="G137" i="613" s="1"/>
  <c r="G82" i="615"/>
  <c r="C81" i="617" s="1"/>
  <c r="H47" i="615"/>
  <c r="H75" i="615"/>
  <c r="F68" i="614"/>
  <c r="H48" i="614"/>
  <c r="J48" i="614" s="1"/>
  <c r="F55" i="615" s="1"/>
  <c r="G55" i="615" s="1"/>
  <c r="C54" i="617" s="1"/>
  <c r="G78" i="615"/>
  <c r="C77" i="617" s="1"/>
  <c r="G46" i="615"/>
  <c r="H46" i="615" s="1"/>
  <c r="H84" i="614"/>
  <c r="J84" i="614" s="1"/>
  <c r="F91" i="615" s="1"/>
  <c r="G91" i="615" s="1"/>
  <c r="H91" i="615" s="1"/>
  <c r="F40" i="614"/>
  <c r="G48" i="615"/>
  <c r="C47" i="617" s="1"/>
  <c r="F8" i="614"/>
  <c r="K8" i="614" s="1"/>
  <c r="G67" i="615"/>
  <c r="C66" i="617" s="1"/>
  <c r="G16" i="615"/>
  <c r="C15" i="617" s="1"/>
  <c r="H93" i="614"/>
  <c r="H95" i="614" s="1"/>
  <c r="F14" i="614"/>
  <c r="K14" i="614" s="1"/>
  <c r="K21" i="614"/>
  <c r="H30" i="614"/>
  <c r="J30" i="614" s="1"/>
  <c r="F37" i="615" s="1"/>
  <c r="H51" i="614"/>
  <c r="J51" i="614" s="1"/>
  <c r="F58" i="615" s="1"/>
  <c r="G58" i="615" s="1"/>
  <c r="C57" i="617" s="1"/>
  <c r="K20" i="614"/>
  <c r="H70" i="615"/>
  <c r="C38" i="617"/>
  <c r="G53" i="615"/>
  <c r="H53" i="615" s="1"/>
  <c r="F63" i="614"/>
  <c r="G95" i="615"/>
  <c r="H95" i="615" s="1"/>
  <c r="H34" i="614"/>
  <c r="J34" i="614" s="1"/>
  <c r="F41" i="615" s="1"/>
  <c r="G41" i="615" s="1"/>
  <c r="C40" i="617" s="1"/>
  <c r="H61" i="614"/>
  <c r="J61" i="614" s="1"/>
  <c r="F68" i="615" s="1"/>
  <c r="G68" i="615" s="1"/>
  <c r="C67" i="617" s="1"/>
  <c r="H12" i="614"/>
  <c r="J12" i="614" s="1"/>
  <c r="F20" i="615" s="1"/>
  <c r="H77" i="614"/>
  <c r="J77" i="614" s="1"/>
  <c r="F84" i="615" s="1"/>
  <c r="G84" i="615" s="1"/>
  <c r="C83" i="617" s="1"/>
  <c r="G15" i="615"/>
  <c r="C14" i="617" s="1"/>
  <c r="C56" i="617"/>
  <c r="H45" i="614"/>
  <c r="J45" i="614" s="1"/>
  <c r="F52" i="615" s="1"/>
  <c r="G52" i="615" s="1"/>
  <c r="C51" i="617" s="1"/>
  <c r="F32" i="614"/>
  <c r="K18" i="614"/>
  <c r="F50" i="614"/>
  <c r="H13" i="614"/>
  <c r="J13" i="614" s="1"/>
  <c r="F21" i="615" s="1"/>
  <c r="G89" i="615"/>
  <c r="C88" i="617" s="1"/>
  <c r="H80" i="614"/>
  <c r="J80" i="614" s="1"/>
  <c r="F87" i="615" s="1"/>
  <c r="G87" i="615" s="1"/>
  <c r="H87" i="615" s="1"/>
  <c r="H42" i="614"/>
  <c r="J42" i="614" s="1"/>
  <c r="F49" i="615" s="1"/>
  <c r="G49" i="615" s="1"/>
  <c r="C48" i="617" s="1"/>
  <c r="G77" i="615"/>
  <c r="C76" i="617" s="1"/>
  <c r="E12" i="606"/>
  <c r="E48" i="606"/>
  <c r="H59" i="615"/>
  <c r="H54" i="614"/>
  <c r="J54" i="614" s="1"/>
  <c r="F61" i="615" s="1"/>
  <c r="G61" i="615" s="1"/>
  <c r="C60" i="617" s="1"/>
  <c r="H10" i="614"/>
  <c r="J10" i="614" s="1"/>
  <c r="F18" i="615" s="1"/>
  <c r="G90" i="615"/>
  <c r="H90" i="615" s="1"/>
  <c r="F62" i="614"/>
  <c r="E33" i="612"/>
  <c r="D6" i="612" s="1"/>
  <c r="D97" i="615"/>
  <c r="D32" i="615" s="1"/>
  <c r="D34" i="615" s="1"/>
  <c r="E96" i="612"/>
  <c r="F78" i="614"/>
  <c r="H78" i="614"/>
  <c r="J78" i="614" s="1"/>
  <c r="F85" i="615" s="1"/>
  <c r="G85" i="615" s="1"/>
  <c r="H72" i="614"/>
  <c r="J72" i="614" s="1"/>
  <c r="F79" i="615" s="1"/>
  <c r="G79" i="615" s="1"/>
  <c r="H79" i="615" s="1"/>
  <c r="F52" i="614"/>
  <c r="H96" i="615"/>
  <c r="F89" i="614"/>
  <c r="E24" i="615"/>
  <c r="G76" i="613"/>
  <c r="G31" i="613"/>
  <c r="E17" i="615"/>
  <c r="E27" i="615"/>
  <c r="G96" i="613"/>
  <c r="E29" i="615"/>
  <c r="G29" i="615" s="1"/>
  <c r="C28" i="617" s="1"/>
  <c r="G104" i="613"/>
  <c r="E30" i="615"/>
  <c r="G30" i="615" s="1"/>
  <c r="C29" i="617" s="1"/>
  <c r="G114" i="613"/>
  <c r="E22" i="615"/>
  <c r="G22" i="615" s="1"/>
  <c r="C21" i="617" s="1"/>
  <c r="G66" i="613"/>
  <c r="E31" i="615"/>
  <c r="G31" i="615" s="1"/>
  <c r="C30" i="617" s="1"/>
  <c r="G120" i="613"/>
  <c r="G100" i="613"/>
  <c r="E28" i="615"/>
  <c r="G28" i="615" s="1"/>
  <c r="C27" i="617" s="1"/>
  <c r="E21" i="615"/>
  <c r="G58" i="613"/>
  <c r="G36" i="613"/>
  <c r="E18" i="615"/>
  <c r="G87" i="613"/>
  <c r="E26" i="615"/>
  <c r="G26" i="615" s="1"/>
  <c r="C25" i="617" s="1"/>
  <c r="E20" i="615"/>
  <c r="G54" i="613"/>
  <c r="E19" i="615"/>
  <c r="G19" i="615" s="1"/>
  <c r="C18" i="617" s="1"/>
  <c r="G49" i="613"/>
  <c r="E25" i="615"/>
  <c r="G83" i="613"/>
  <c r="E23" i="615"/>
  <c r="G23" i="615" s="1"/>
  <c r="C22" i="617" s="1"/>
  <c r="G70" i="613"/>
  <c r="H51" i="615"/>
  <c r="C55" i="617"/>
  <c r="C62" i="617"/>
  <c r="C70" i="617"/>
  <c r="C82" i="617"/>
  <c r="C72" i="617"/>
  <c r="C65" i="617"/>
  <c r="H64" i="615"/>
  <c r="C59" i="617"/>
  <c r="H50" i="615"/>
  <c r="C61" i="617"/>
  <c r="C73" i="617"/>
  <c r="E37" i="616"/>
  <c r="I97" i="619"/>
  <c r="I99" i="619" s="1"/>
  <c r="I29" i="619" s="1"/>
  <c r="L101" i="617"/>
  <c r="L32" i="617" s="1"/>
  <c r="I94" i="619"/>
  <c r="I28" i="619" s="1"/>
  <c r="L96" i="617"/>
  <c r="L31" i="617" s="1"/>
  <c r="M37" i="616"/>
  <c r="M21" i="606" s="1"/>
  <c r="K101" i="617"/>
  <c r="K32" i="617" s="1"/>
  <c r="H97" i="619"/>
  <c r="H99" i="619" s="1"/>
  <c r="H29" i="619" s="1"/>
  <c r="J96" i="617"/>
  <c r="J31" i="617" s="1"/>
  <c r="H94" i="619"/>
  <c r="H28" i="619" s="1"/>
  <c r="K96" i="617"/>
  <c r="K31" i="617" s="1"/>
  <c r="J101" i="617"/>
  <c r="J32" i="617" s="1"/>
  <c r="G97" i="619"/>
  <c r="I37" i="616"/>
  <c r="M19" i="606" s="1"/>
  <c r="E11" i="606"/>
  <c r="N34" i="333"/>
  <c r="O32" i="333"/>
  <c r="N35" i="333"/>
  <c r="M9" i="622"/>
  <c r="M33" i="622" s="1"/>
  <c r="L33" i="622"/>
  <c r="D35" i="608"/>
  <c r="N13" i="606"/>
  <c r="O13" i="606"/>
  <c r="K9" i="614" l="1"/>
  <c r="K17" i="614"/>
  <c r="G25" i="615"/>
  <c r="C24" i="617" s="1"/>
  <c r="G17" i="615"/>
  <c r="C16" i="617" s="1"/>
  <c r="D6" i="616"/>
  <c r="K33" i="617"/>
  <c r="H22" i="615"/>
  <c r="H31" i="615"/>
  <c r="M17" i="606"/>
  <c r="N17" i="606" s="1"/>
  <c r="H16" i="615"/>
  <c r="H23" i="615"/>
  <c r="J33" i="617"/>
  <c r="H30" i="615"/>
  <c r="H26" i="615"/>
  <c r="C33" i="612"/>
  <c r="H28" i="615"/>
  <c r="L33" i="617"/>
  <c r="C92" i="617"/>
  <c r="C53" i="617"/>
  <c r="H54" i="615"/>
  <c r="C85" i="617"/>
  <c r="H86" i="615"/>
  <c r="G24" i="615"/>
  <c r="C23" i="617" s="1"/>
  <c r="K16" i="614"/>
  <c r="K19" i="614"/>
  <c r="G27" i="615"/>
  <c r="C26" i="617" s="1"/>
  <c r="H43" i="615"/>
  <c r="H44" i="615"/>
  <c r="C93" i="617"/>
  <c r="C80" i="617"/>
  <c r="H38" i="615"/>
  <c r="H78" i="615"/>
  <c r="H40" i="615"/>
  <c r="H82" i="615"/>
  <c r="H72" i="615"/>
  <c r="H69" i="615"/>
  <c r="H55" i="615"/>
  <c r="H58" i="615"/>
  <c r="E45" i="615"/>
  <c r="G45" i="615" s="1"/>
  <c r="G189" i="613"/>
  <c r="H48" i="615"/>
  <c r="C45" i="617"/>
  <c r="C79" i="617"/>
  <c r="J93" i="614"/>
  <c r="F100" i="615" s="1"/>
  <c r="G100" i="615" s="1"/>
  <c r="H67" i="615"/>
  <c r="C90" i="617"/>
  <c r="H84" i="615"/>
  <c r="H68" i="615"/>
  <c r="K12" i="614"/>
  <c r="C94" i="617"/>
  <c r="H41" i="615"/>
  <c r="C89" i="617"/>
  <c r="G20" i="615"/>
  <c r="C19" i="617" s="1"/>
  <c r="G21" i="615"/>
  <c r="C20" i="617" s="1"/>
  <c r="K13" i="614"/>
  <c r="H49" i="615"/>
  <c r="C52" i="617"/>
  <c r="H61" i="615"/>
  <c r="C86" i="617"/>
  <c r="H52" i="615"/>
  <c r="H15" i="615"/>
  <c r="H89" i="615"/>
  <c r="H77" i="615"/>
  <c r="H19" i="615"/>
  <c r="G18" i="615"/>
  <c r="C17" i="617" s="1"/>
  <c r="K10" i="614"/>
  <c r="E6" i="612"/>
  <c r="C6" i="615" s="1"/>
  <c r="H25" i="615"/>
  <c r="F90" i="614"/>
  <c r="F24" i="614" s="1"/>
  <c r="H29" i="615"/>
  <c r="H90" i="614"/>
  <c r="H85" i="615"/>
  <c r="C84" i="617"/>
  <c r="C78" i="617"/>
  <c r="J90" i="614"/>
  <c r="J24" i="614" s="1"/>
  <c r="H17" i="615"/>
  <c r="O19" i="606"/>
  <c r="N19" i="606"/>
  <c r="N21" i="606"/>
  <c r="O21" i="606"/>
  <c r="G99" i="619"/>
  <c r="G29" i="619" s="1"/>
  <c r="J97" i="619"/>
  <c r="J34" i="619"/>
  <c r="G94" i="619"/>
  <c r="G28" i="619" s="1"/>
  <c r="G37" i="615"/>
  <c r="F97" i="615"/>
  <c r="F32" i="615" s="1"/>
  <c r="H24" i="614" l="1"/>
  <c r="H26" i="614" s="1"/>
  <c r="O17" i="606"/>
  <c r="H21" i="615"/>
  <c r="H24" i="615"/>
  <c r="H27" i="615"/>
  <c r="E97" i="615"/>
  <c r="E32" i="615" s="1"/>
  <c r="E34" i="615" s="1"/>
  <c r="F102" i="615"/>
  <c r="F33" i="615" s="1"/>
  <c r="G33" i="615" s="1"/>
  <c r="C32" i="617" s="1"/>
  <c r="J95" i="614"/>
  <c r="J25" i="614" s="1"/>
  <c r="J26" i="614" s="1"/>
  <c r="H18" i="615"/>
  <c r="H20" i="615"/>
  <c r="K24" i="614"/>
  <c r="C44" i="617"/>
  <c r="H45" i="615"/>
  <c r="J94" i="619"/>
  <c r="J28" i="619" s="1"/>
  <c r="J99" i="619"/>
  <c r="J29" i="619" s="1"/>
  <c r="F26" i="614"/>
  <c r="G97" i="615"/>
  <c r="H97" i="615" s="1"/>
  <c r="C36" i="617"/>
  <c r="H37" i="615"/>
  <c r="C99" i="617"/>
  <c r="C101" i="617" s="1"/>
  <c r="G102" i="615"/>
  <c r="H100" i="615"/>
  <c r="H102" i="615" s="1"/>
  <c r="G190" i="613" l="1"/>
  <c r="H33" i="615"/>
  <c r="F34" i="615"/>
  <c r="D6" i="615" s="1"/>
  <c r="C96" i="617"/>
  <c r="G32" i="615"/>
  <c r="C31" i="617" s="1"/>
  <c r="H32" i="615" l="1"/>
  <c r="D15" i="617"/>
  <c r="E6" i="615"/>
  <c r="C6" i="616" s="1"/>
  <c r="E6" i="616" s="1"/>
  <c r="C6" i="617" s="1"/>
  <c r="L6" i="343" s="1"/>
  <c r="G34" i="615"/>
  <c r="C33" i="617" s="1"/>
  <c r="E15" i="617" l="1"/>
  <c r="D85" i="617"/>
  <c r="E85" i="617" s="1"/>
  <c r="G85" i="617" s="1"/>
  <c r="E83" i="619" s="1"/>
  <c r="D91" i="617"/>
  <c r="E91" i="617" s="1"/>
  <c r="G91" i="617" s="1"/>
  <c r="E89" i="619" s="1"/>
  <c r="H34" i="615"/>
  <c r="D25" i="617"/>
  <c r="E25" i="617" s="1"/>
  <c r="G25" i="617" s="1"/>
  <c r="M25" i="617" s="1"/>
  <c r="D21" i="617"/>
  <c r="E21" i="617" s="1"/>
  <c r="G21" i="617" s="1"/>
  <c r="M21" i="617" s="1"/>
  <c r="D22" i="617"/>
  <c r="E22" i="617" s="1"/>
  <c r="G22" i="617" s="1"/>
  <c r="M22" i="617" s="1"/>
  <c r="D27" i="617"/>
  <c r="E27" i="617" s="1"/>
  <c r="G27" i="617" s="1"/>
  <c r="M27" i="617" s="1"/>
  <c r="D18" i="617"/>
  <c r="E18" i="617" s="1"/>
  <c r="G18" i="617" s="1"/>
  <c r="M18" i="617" s="1"/>
  <c r="D19" i="617"/>
  <c r="E19" i="617" s="1"/>
  <c r="G19" i="617" s="1"/>
  <c r="M19" i="617" s="1"/>
  <c r="D30" i="617"/>
  <c r="E30" i="617" s="1"/>
  <c r="G30" i="617" s="1"/>
  <c r="M30" i="617" s="1"/>
  <c r="D26" i="617"/>
  <c r="E26" i="617" s="1"/>
  <c r="G26" i="617" s="1"/>
  <c r="M26" i="617" s="1"/>
  <c r="D24" i="617"/>
  <c r="E24" i="617" s="1"/>
  <c r="G24" i="617" s="1"/>
  <c r="M24" i="617" s="1"/>
  <c r="D17" i="617"/>
  <c r="E17" i="617" s="1"/>
  <c r="G17" i="617" s="1"/>
  <c r="M17" i="617" s="1"/>
  <c r="D28" i="617"/>
  <c r="E28" i="617" s="1"/>
  <c r="G28" i="617" s="1"/>
  <c r="M28" i="617" s="1"/>
  <c r="D23" i="617"/>
  <c r="E23" i="617" s="1"/>
  <c r="G23" i="617" s="1"/>
  <c r="M23" i="617" s="1"/>
  <c r="D29" i="617"/>
  <c r="E29" i="617" s="1"/>
  <c r="G29" i="617" s="1"/>
  <c r="M29" i="617" s="1"/>
  <c r="D20" i="617"/>
  <c r="E20" i="617" s="1"/>
  <c r="G20" i="617" s="1"/>
  <c r="M20" i="617" s="1"/>
  <c r="D16" i="617"/>
  <c r="E16" i="617" s="1"/>
  <c r="G16" i="617" s="1"/>
  <c r="M16" i="617" s="1"/>
  <c r="D14" i="617"/>
  <c r="E14" i="617" s="1"/>
  <c r="D101" i="617"/>
  <c r="D33" i="617"/>
  <c r="E33" i="617" s="1"/>
  <c r="D6" i="617" s="1"/>
  <c r="D68" i="617"/>
  <c r="E68" i="617" s="1"/>
  <c r="G68" i="617" s="1"/>
  <c r="E66" i="619" s="1"/>
  <c r="D70" i="617"/>
  <c r="E70" i="617" s="1"/>
  <c r="G70" i="617" s="1"/>
  <c r="E68" i="619" s="1"/>
  <c r="D74" i="617"/>
  <c r="E74" i="617" s="1"/>
  <c r="G74" i="617" s="1"/>
  <c r="E72" i="619" s="1"/>
  <c r="D75" i="617"/>
  <c r="E75" i="617" s="1"/>
  <c r="G75" i="617" s="1"/>
  <c r="E73" i="619" s="1"/>
  <c r="D47" i="617"/>
  <c r="E47" i="617" s="1"/>
  <c r="G47" i="617" s="1"/>
  <c r="E45" i="619" s="1"/>
  <c r="D65" i="617"/>
  <c r="E65" i="617" s="1"/>
  <c r="G65" i="617" s="1"/>
  <c r="E63" i="619" s="1"/>
  <c r="D84" i="617"/>
  <c r="E84" i="617" s="1"/>
  <c r="G84" i="617" s="1"/>
  <c r="E82" i="619" s="1"/>
  <c r="D37" i="617"/>
  <c r="E37" i="617" s="1"/>
  <c r="G37" i="617" s="1"/>
  <c r="E35" i="619" s="1"/>
  <c r="D96" i="617"/>
  <c r="D95" i="617"/>
  <c r="E95" i="617" s="1"/>
  <c r="G95" i="617" s="1"/>
  <c r="E93" i="619" s="1"/>
  <c r="D58" i="617"/>
  <c r="E58" i="617" s="1"/>
  <c r="G58" i="617" s="1"/>
  <c r="E56" i="619" s="1"/>
  <c r="D80" i="617"/>
  <c r="E80" i="617" s="1"/>
  <c r="G80" i="617" s="1"/>
  <c r="E78" i="619" s="1"/>
  <c r="D78" i="617"/>
  <c r="E78" i="617" s="1"/>
  <c r="G78" i="617" s="1"/>
  <c r="E76" i="619" s="1"/>
  <c r="D40" i="617"/>
  <c r="E40" i="617" s="1"/>
  <c r="G40" i="617" s="1"/>
  <c r="E38" i="619" s="1"/>
  <c r="D51" i="617"/>
  <c r="E51" i="617" s="1"/>
  <c r="G51" i="617" s="1"/>
  <c r="E49" i="619" s="1"/>
  <c r="D60" i="617"/>
  <c r="E60" i="617" s="1"/>
  <c r="G60" i="617" s="1"/>
  <c r="E58" i="619" s="1"/>
  <c r="D100" i="617"/>
  <c r="E100" i="617" s="1"/>
  <c r="G100" i="617" s="1"/>
  <c r="E98" i="619" s="1"/>
  <c r="D62" i="617"/>
  <c r="E62" i="617" s="1"/>
  <c r="G62" i="617" s="1"/>
  <c r="E60" i="619" s="1"/>
  <c r="D63" i="617"/>
  <c r="E63" i="617" s="1"/>
  <c r="G63" i="617" s="1"/>
  <c r="E61" i="619" s="1"/>
  <c r="D53" i="617"/>
  <c r="E53" i="617" s="1"/>
  <c r="G53" i="617" s="1"/>
  <c r="E51" i="619" s="1"/>
  <c r="D81" i="617"/>
  <c r="E81" i="617" s="1"/>
  <c r="G81" i="617" s="1"/>
  <c r="E79" i="619" s="1"/>
  <c r="D52" i="617"/>
  <c r="E52" i="617" s="1"/>
  <c r="G52" i="617" s="1"/>
  <c r="E50" i="619" s="1"/>
  <c r="D83" i="617"/>
  <c r="E83" i="617" s="1"/>
  <c r="G83" i="617" s="1"/>
  <c r="E81" i="619" s="1"/>
  <c r="D55" i="617"/>
  <c r="E55" i="617" s="1"/>
  <c r="G55" i="617" s="1"/>
  <c r="E53" i="619" s="1"/>
  <c r="D46" i="617"/>
  <c r="E46" i="617" s="1"/>
  <c r="G46" i="617" s="1"/>
  <c r="E44" i="619" s="1"/>
  <c r="D36" i="617"/>
  <c r="E36" i="617" s="1"/>
  <c r="G36" i="617" s="1"/>
  <c r="E34" i="619" s="1"/>
  <c r="D57" i="617"/>
  <c r="E57" i="617" s="1"/>
  <c r="G57" i="617" s="1"/>
  <c r="E55" i="619" s="1"/>
  <c r="D32" i="617"/>
  <c r="E32" i="617" s="1"/>
  <c r="D87" i="617"/>
  <c r="E87" i="617" s="1"/>
  <c r="G87" i="617" s="1"/>
  <c r="E85" i="619" s="1"/>
  <c r="D89" i="617"/>
  <c r="E89" i="617" s="1"/>
  <c r="G89" i="617" s="1"/>
  <c r="E87" i="619" s="1"/>
  <c r="D61" i="617"/>
  <c r="E61" i="617" s="1"/>
  <c r="G61" i="617" s="1"/>
  <c r="E59" i="619" s="1"/>
  <c r="D86" i="617"/>
  <c r="E86" i="617" s="1"/>
  <c r="G86" i="617" s="1"/>
  <c r="E84" i="619" s="1"/>
  <c r="D76" i="617"/>
  <c r="E76" i="617" s="1"/>
  <c r="G76" i="617" s="1"/>
  <c r="E74" i="619" s="1"/>
  <c r="D67" i="617"/>
  <c r="E67" i="617" s="1"/>
  <c r="G67" i="617" s="1"/>
  <c r="E65" i="619" s="1"/>
  <c r="D92" i="617"/>
  <c r="E92" i="617" s="1"/>
  <c r="G92" i="617" s="1"/>
  <c r="E90" i="619" s="1"/>
  <c r="D59" i="617"/>
  <c r="E59" i="617" s="1"/>
  <c r="G59" i="617" s="1"/>
  <c r="E57" i="619" s="1"/>
  <c r="D88" i="617"/>
  <c r="E88" i="617" s="1"/>
  <c r="G88" i="617" s="1"/>
  <c r="E86" i="619" s="1"/>
  <c r="D44" i="617"/>
  <c r="E44" i="617" s="1"/>
  <c r="G44" i="617" s="1"/>
  <c r="E42" i="619" s="1"/>
  <c r="D31" i="617"/>
  <c r="E31" i="617" s="1"/>
  <c r="D79" i="617"/>
  <c r="E79" i="617" s="1"/>
  <c r="G79" i="617" s="1"/>
  <c r="E77" i="619" s="1"/>
  <c r="D48" i="617"/>
  <c r="E48" i="617" s="1"/>
  <c r="G48" i="617" s="1"/>
  <c r="E46" i="619" s="1"/>
  <c r="D69" i="617"/>
  <c r="E69" i="617" s="1"/>
  <c r="G69" i="617" s="1"/>
  <c r="E67" i="619" s="1"/>
  <c r="D82" i="617"/>
  <c r="E82" i="617" s="1"/>
  <c r="G82" i="617" s="1"/>
  <c r="E80" i="619" s="1"/>
  <c r="D93" i="617"/>
  <c r="E93" i="617" s="1"/>
  <c r="G93" i="617" s="1"/>
  <c r="E91" i="619" s="1"/>
  <c r="D39" i="617"/>
  <c r="E39" i="617" s="1"/>
  <c r="G39" i="617" s="1"/>
  <c r="E37" i="619" s="1"/>
  <c r="D77" i="617"/>
  <c r="E77" i="617" s="1"/>
  <c r="G77" i="617" s="1"/>
  <c r="E75" i="619" s="1"/>
  <c r="D50" i="617"/>
  <c r="E50" i="617" s="1"/>
  <c r="G50" i="617" s="1"/>
  <c r="E48" i="619" s="1"/>
  <c r="D54" i="617"/>
  <c r="E54" i="617" s="1"/>
  <c r="G54" i="617" s="1"/>
  <c r="E52" i="619" s="1"/>
  <c r="D90" i="617"/>
  <c r="E90" i="617" s="1"/>
  <c r="G90" i="617" s="1"/>
  <c r="E88" i="619" s="1"/>
  <c r="D41" i="617"/>
  <c r="E41" i="617" s="1"/>
  <c r="G41" i="617" s="1"/>
  <c r="E39" i="619" s="1"/>
  <c r="D72" i="617"/>
  <c r="E72" i="617" s="1"/>
  <c r="G72" i="617" s="1"/>
  <c r="E70" i="619" s="1"/>
  <c r="D38" i="617"/>
  <c r="E38" i="617" s="1"/>
  <c r="G38" i="617" s="1"/>
  <c r="E36" i="619" s="1"/>
  <c r="D94" i="617"/>
  <c r="E94" i="617" s="1"/>
  <c r="G94" i="617" s="1"/>
  <c r="E92" i="619" s="1"/>
  <c r="D49" i="617"/>
  <c r="E49" i="617" s="1"/>
  <c r="G49" i="617" s="1"/>
  <c r="E47" i="619" s="1"/>
  <c r="D71" i="617"/>
  <c r="E71" i="617" s="1"/>
  <c r="G71" i="617" s="1"/>
  <c r="E69" i="619" s="1"/>
  <c r="D45" i="617"/>
  <c r="E45" i="617" s="1"/>
  <c r="G45" i="617" s="1"/>
  <c r="E43" i="619" s="1"/>
  <c r="D99" i="617"/>
  <c r="E99" i="617" s="1"/>
  <c r="G99" i="617" s="1"/>
  <c r="D43" i="617"/>
  <c r="E43" i="617" s="1"/>
  <c r="G43" i="617" s="1"/>
  <c r="E41" i="619" s="1"/>
  <c r="D66" i="617"/>
  <c r="E66" i="617" s="1"/>
  <c r="G66" i="617" s="1"/>
  <c r="E64" i="619" s="1"/>
  <c r="D42" i="617"/>
  <c r="E42" i="617" s="1"/>
  <c r="G42" i="617" s="1"/>
  <c r="E40" i="619" s="1"/>
  <c r="D56" i="617"/>
  <c r="E56" i="617" s="1"/>
  <c r="G56" i="617" s="1"/>
  <c r="E54" i="619" s="1"/>
  <c r="D73" i="617"/>
  <c r="E73" i="617" s="1"/>
  <c r="G73" i="617" s="1"/>
  <c r="E71" i="619" s="1"/>
  <c r="D64" i="617"/>
  <c r="E64" i="617" s="1"/>
  <c r="G64" i="617" s="1"/>
  <c r="E62" i="619" s="1"/>
  <c r="G14" i="617" l="1"/>
  <c r="M14" i="617" s="1"/>
  <c r="E8" i="618" s="1"/>
  <c r="G15" i="617"/>
  <c r="M15" i="617" s="1"/>
  <c r="E9" i="618" s="1"/>
  <c r="E18" i="618"/>
  <c r="E19" i="618"/>
  <c r="E20" i="618"/>
  <c r="E10" i="618"/>
  <c r="E24" i="618"/>
  <c r="E14" i="618"/>
  <c r="E11" i="618"/>
  <c r="F11" i="618" s="1"/>
  <c r="K11" i="618" s="1"/>
  <c r="S11" i="618" s="1"/>
  <c r="E23" i="618"/>
  <c r="E12" i="618"/>
  <c r="E15" i="618"/>
  <c r="E17" i="618"/>
  <c r="E21" i="618"/>
  <c r="E6" i="617"/>
  <c r="E22" i="618"/>
  <c r="E16" i="618"/>
  <c r="S66" i="619"/>
  <c r="S39" i="619"/>
  <c r="S60" i="619"/>
  <c r="S88" i="619"/>
  <c r="S67" i="619"/>
  <c r="S93" i="619"/>
  <c r="S74" i="619"/>
  <c r="S82" i="619"/>
  <c r="M37" i="617"/>
  <c r="E31" i="618" s="1"/>
  <c r="F31" i="618" s="1"/>
  <c r="S62" i="619"/>
  <c r="S75" i="619"/>
  <c r="M70" i="617"/>
  <c r="E64" i="618" s="1"/>
  <c r="F64" i="618" s="1"/>
  <c r="S44" i="619"/>
  <c r="S77" i="619"/>
  <c r="S84" i="619"/>
  <c r="S69" i="619"/>
  <c r="S81" i="619"/>
  <c r="S71" i="619"/>
  <c r="S41" i="619"/>
  <c r="S46" i="619"/>
  <c r="S52" i="619"/>
  <c r="S53" i="619"/>
  <c r="S59" i="619"/>
  <c r="S42" i="619"/>
  <c r="M52" i="617"/>
  <c r="E46" i="618" s="1"/>
  <c r="F46" i="618" s="1"/>
  <c r="S38" i="619"/>
  <c r="S63" i="619"/>
  <c r="S54" i="619"/>
  <c r="S37" i="619"/>
  <c r="S85" i="619"/>
  <c r="S76" i="619"/>
  <c r="S40" i="619"/>
  <c r="S91" i="619"/>
  <c r="S78" i="619"/>
  <c r="S73" i="619"/>
  <c r="M91" i="617"/>
  <c r="E85" i="618" s="1"/>
  <c r="F85" i="618" s="1"/>
  <c r="M67" i="617"/>
  <c r="E61" i="618" s="1"/>
  <c r="F61" i="618" s="1"/>
  <c r="S43" i="619"/>
  <c r="S58" i="619"/>
  <c r="S48" i="619"/>
  <c r="S49" i="619"/>
  <c r="S47" i="619"/>
  <c r="S87" i="619"/>
  <c r="S92" i="619"/>
  <c r="S86" i="619"/>
  <c r="S79" i="619"/>
  <c r="S45" i="619"/>
  <c r="S36" i="619"/>
  <c r="S57" i="619"/>
  <c r="S51" i="619"/>
  <c r="M66" i="617"/>
  <c r="E60" i="618" s="1"/>
  <c r="F60" i="618" s="1"/>
  <c r="S70" i="619"/>
  <c r="M82" i="617"/>
  <c r="E76" i="618" s="1"/>
  <c r="F76" i="618" s="1"/>
  <c r="S90" i="619"/>
  <c r="S55" i="619"/>
  <c r="S61" i="619"/>
  <c r="S56" i="619"/>
  <c r="S72" i="619"/>
  <c r="S83" i="619"/>
  <c r="E97" i="619"/>
  <c r="E99" i="619" s="1"/>
  <c r="E29" i="619" s="1"/>
  <c r="E101" i="617"/>
  <c r="E96" i="617"/>
  <c r="S98" i="619"/>
  <c r="M100" i="617"/>
  <c r="E96" i="618" s="1"/>
  <c r="Q9" i="618" l="1"/>
  <c r="F9" i="618"/>
  <c r="K9" i="618" s="1"/>
  <c r="M68" i="617"/>
  <c r="E62" i="618" s="1"/>
  <c r="F62" i="618" s="1"/>
  <c r="M41" i="617"/>
  <c r="E35" i="618" s="1"/>
  <c r="F35" i="618" s="1"/>
  <c r="M62" i="617"/>
  <c r="E56" i="618" s="1"/>
  <c r="F56" i="618" s="1"/>
  <c r="M69" i="617"/>
  <c r="E63" i="618" s="1"/>
  <c r="F63" i="618" s="1"/>
  <c r="M93" i="617"/>
  <c r="E87" i="618" s="1"/>
  <c r="F87" i="618" s="1"/>
  <c r="M84" i="617"/>
  <c r="E78" i="618" s="1"/>
  <c r="F78" i="618" s="1"/>
  <c r="M90" i="617"/>
  <c r="E84" i="618" s="1"/>
  <c r="F84" i="618" s="1"/>
  <c r="M40" i="617"/>
  <c r="E34" i="618" s="1"/>
  <c r="F34" i="618" s="1"/>
  <c r="M42" i="617"/>
  <c r="E36" i="618" s="1"/>
  <c r="F36" i="618" s="1"/>
  <c r="M54" i="617"/>
  <c r="E48" i="618" s="1"/>
  <c r="F48" i="618" s="1"/>
  <c r="M80" i="617"/>
  <c r="E74" i="618" s="1"/>
  <c r="F74" i="618" s="1"/>
  <c r="M73" i="617"/>
  <c r="E67" i="618" s="1"/>
  <c r="F67" i="618" s="1"/>
  <c r="M56" i="617"/>
  <c r="E50" i="618" s="1"/>
  <c r="F50" i="618" s="1"/>
  <c r="M64" i="617"/>
  <c r="E58" i="618" s="1"/>
  <c r="F58" i="618" s="1"/>
  <c r="M55" i="617"/>
  <c r="E49" i="618" s="1"/>
  <c r="F49" i="618" s="1"/>
  <c r="M60" i="617"/>
  <c r="E54" i="618" s="1"/>
  <c r="F54" i="618" s="1"/>
  <c r="M65" i="617"/>
  <c r="E59" i="618" s="1"/>
  <c r="F59" i="618" s="1"/>
  <c r="M77" i="617"/>
  <c r="E71" i="618" s="1"/>
  <c r="F71" i="618" s="1"/>
  <c r="M75" i="617"/>
  <c r="E69" i="618" s="1"/>
  <c r="F69" i="618" s="1"/>
  <c r="M83" i="617"/>
  <c r="E77" i="618" s="1"/>
  <c r="F77" i="618" s="1"/>
  <c r="M61" i="617"/>
  <c r="E55" i="618" s="1"/>
  <c r="F55" i="618" s="1"/>
  <c r="S65" i="619"/>
  <c r="M92" i="617"/>
  <c r="E86" i="618" s="1"/>
  <c r="F86" i="618" s="1"/>
  <c r="M48" i="617"/>
  <c r="E42" i="618" s="1"/>
  <c r="F42" i="618" s="1"/>
  <c r="M88" i="617"/>
  <c r="E82" i="618" s="1"/>
  <c r="F82" i="618" s="1"/>
  <c r="M89" i="617"/>
  <c r="E83" i="618" s="1"/>
  <c r="F83" i="618" s="1"/>
  <c r="M50" i="617"/>
  <c r="E44" i="618" s="1"/>
  <c r="F44" i="618" s="1"/>
  <c r="M86" i="617"/>
  <c r="E80" i="618" s="1"/>
  <c r="F80" i="618" s="1"/>
  <c r="M45" i="617"/>
  <c r="E39" i="618" s="1"/>
  <c r="F39" i="618" s="1"/>
  <c r="M78" i="617"/>
  <c r="E72" i="618" s="1"/>
  <c r="F72" i="618" s="1"/>
  <c r="M59" i="617"/>
  <c r="E53" i="618" s="1"/>
  <c r="F53" i="618" s="1"/>
  <c r="M44" i="617"/>
  <c r="E38" i="618" s="1"/>
  <c r="F38" i="618" s="1"/>
  <c r="M76" i="617"/>
  <c r="E70" i="618" s="1"/>
  <c r="F70" i="618" s="1"/>
  <c r="M53" i="617"/>
  <c r="E47" i="618" s="1"/>
  <c r="F47" i="618" s="1"/>
  <c r="M74" i="617"/>
  <c r="E68" i="618" s="1"/>
  <c r="F68" i="618" s="1"/>
  <c r="M49" i="617"/>
  <c r="E43" i="618" s="1"/>
  <c r="F43" i="618" s="1"/>
  <c r="M46" i="617"/>
  <c r="E40" i="618" s="1"/>
  <c r="F40" i="618" s="1"/>
  <c r="M57" i="617"/>
  <c r="E51" i="618" s="1"/>
  <c r="F51" i="618" s="1"/>
  <c r="M39" i="617"/>
  <c r="E33" i="618" s="1"/>
  <c r="F33" i="618" s="1"/>
  <c r="M95" i="617"/>
  <c r="E89" i="618" s="1"/>
  <c r="F89" i="618" s="1"/>
  <c r="M94" i="617"/>
  <c r="E88" i="618" s="1"/>
  <c r="F88" i="618" s="1"/>
  <c r="M47" i="617"/>
  <c r="E41" i="618" s="1"/>
  <c r="F41" i="618" s="1"/>
  <c r="S80" i="619"/>
  <c r="M71" i="617"/>
  <c r="E65" i="618" s="1"/>
  <c r="F65" i="618" s="1"/>
  <c r="M85" i="617"/>
  <c r="E79" i="618" s="1"/>
  <c r="F79" i="618" s="1"/>
  <c r="M63" i="617"/>
  <c r="E57" i="618" s="1"/>
  <c r="F57" i="618" s="1"/>
  <c r="M38" i="617"/>
  <c r="E32" i="618" s="1"/>
  <c r="F32" i="618" s="1"/>
  <c r="M58" i="617"/>
  <c r="E52" i="618" s="1"/>
  <c r="F52" i="618" s="1"/>
  <c r="M51" i="617"/>
  <c r="E45" i="618" s="1"/>
  <c r="F45" i="618" s="1"/>
  <c r="M72" i="617"/>
  <c r="E66" i="618" s="1"/>
  <c r="F66" i="618" s="1"/>
  <c r="M79" i="617"/>
  <c r="E73" i="618" s="1"/>
  <c r="F73" i="618" s="1"/>
  <c r="M43" i="617"/>
  <c r="E37" i="618" s="1"/>
  <c r="F37" i="618" s="1"/>
  <c r="S35" i="619"/>
  <c r="S50" i="619"/>
  <c r="M81" i="617"/>
  <c r="E75" i="618" s="1"/>
  <c r="F75" i="618" s="1"/>
  <c r="S64" i="619"/>
  <c r="M87" i="617"/>
  <c r="E81" i="618" s="1"/>
  <c r="F81" i="618" s="1"/>
  <c r="S89" i="619"/>
  <c r="S68" i="619"/>
  <c r="T9" i="618"/>
  <c r="S9" i="618"/>
  <c r="AA12" i="620"/>
  <c r="D12" i="619"/>
  <c r="E12" i="619" s="1"/>
  <c r="T11" i="618"/>
  <c r="D14" i="619"/>
  <c r="E14" i="619" s="1"/>
  <c r="AA14" i="620"/>
  <c r="F21" i="618"/>
  <c r="K21" i="618" s="1"/>
  <c r="S21" i="618" s="1"/>
  <c r="Q21" i="618"/>
  <c r="Q10" i="618"/>
  <c r="F10" i="618"/>
  <c r="K10" i="618" s="1"/>
  <c r="F22" i="618"/>
  <c r="K22" i="618" s="1"/>
  <c r="S22" i="618" s="1"/>
  <c r="Q22" i="618"/>
  <c r="F18" i="618"/>
  <c r="K18" i="618" s="1"/>
  <c r="S18" i="618" s="1"/>
  <c r="Q18" i="618"/>
  <c r="F24" i="618"/>
  <c r="K24" i="618" s="1"/>
  <c r="S24" i="618" s="1"/>
  <c r="Q24" i="618"/>
  <c r="F23" i="618"/>
  <c r="K23" i="618" s="1"/>
  <c r="S23" i="618" s="1"/>
  <c r="Q23" i="618"/>
  <c r="F17" i="618"/>
  <c r="K17" i="618" s="1"/>
  <c r="S17" i="618" s="1"/>
  <c r="Q17" i="618"/>
  <c r="F16" i="618"/>
  <c r="K16" i="618" s="1"/>
  <c r="S16" i="618" s="1"/>
  <c r="Q16" i="618"/>
  <c r="Q12" i="618"/>
  <c r="F12" i="618"/>
  <c r="K12" i="618" s="1"/>
  <c r="Q14" i="618"/>
  <c r="F14" i="618"/>
  <c r="K14" i="618" s="1"/>
  <c r="F20" i="618"/>
  <c r="K20" i="618" s="1"/>
  <c r="S20" i="618" s="1"/>
  <c r="Q20" i="618"/>
  <c r="Q8" i="618"/>
  <c r="F8" i="618"/>
  <c r="K8" i="618" s="1"/>
  <c r="S8" i="618" s="1"/>
  <c r="F15" i="618"/>
  <c r="K15" i="618" s="1"/>
  <c r="S15" i="618" s="1"/>
  <c r="Q15" i="618"/>
  <c r="F19" i="618"/>
  <c r="K19" i="618" s="1"/>
  <c r="S19" i="618" s="1"/>
  <c r="Q19" i="618"/>
  <c r="E13" i="618"/>
  <c r="Q11" i="618"/>
  <c r="M99" i="617"/>
  <c r="G101" i="617"/>
  <c r="G32" i="617" s="1"/>
  <c r="S97" i="619"/>
  <c r="S34" i="619"/>
  <c r="G96" i="617"/>
  <c r="G31" i="617" s="1"/>
  <c r="M36" i="617"/>
  <c r="E91" i="618" l="1"/>
  <c r="F91" i="618" s="1"/>
  <c r="K91" i="618" s="1"/>
  <c r="G33" i="617"/>
  <c r="T14" i="618"/>
  <c r="S14" i="618"/>
  <c r="T10" i="618"/>
  <c r="S10" i="618"/>
  <c r="D15" i="619"/>
  <c r="E15" i="619" s="1"/>
  <c r="S12" i="618"/>
  <c r="G12" i="619"/>
  <c r="H12" i="619"/>
  <c r="Q12" i="619"/>
  <c r="E12" i="620"/>
  <c r="N36" i="606" s="1"/>
  <c r="L12" i="619"/>
  <c r="N12" i="619"/>
  <c r="I12" i="619"/>
  <c r="AA11" i="620"/>
  <c r="T8" i="618"/>
  <c r="L95" i="619"/>
  <c r="H14" i="619"/>
  <c r="D11" i="619"/>
  <c r="E11" i="619" s="1"/>
  <c r="L14" i="619"/>
  <c r="G95" i="619"/>
  <c r="H95" i="619"/>
  <c r="Q95" i="619"/>
  <c r="I95" i="619"/>
  <c r="N95" i="619"/>
  <c r="G14" i="619"/>
  <c r="Q14" i="619"/>
  <c r="I14" i="619"/>
  <c r="N14" i="619"/>
  <c r="E14" i="620"/>
  <c r="N38" i="606" s="1"/>
  <c r="AA13" i="620"/>
  <c r="D13" i="619"/>
  <c r="E13" i="619" s="1"/>
  <c r="T21" i="618"/>
  <c r="D24" i="619"/>
  <c r="E24" i="619" s="1"/>
  <c r="AA24" i="620"/>
  <c r="F13" i="618"/>
  <c r="K13" i="618" s="1"/>
  <c r="S13" i="618" s="1"/>
  <c r="Q13" i="618"/>
  <c r="T23" i="618"/>
  <c r="AA26" i="620"/>
  <c r="D26" i="619"/>
  <c r="E26" i="619" s="1"/>
  <c r="T15" i="618"/>
  <c r="AA18" i="620"/>
  <c r="D18" i="619"/>
  <c r="E18" i="619" s="1"/>
  <c r="T12" i="618"/>
  <c r="AA15" i="620"/>
  <c r="T19" i="618"/>
  <c r="D22" i="619"/>
  <c r="E22" i="619" s="1"/>
  <c r="AA22" i="620"/>
  <c r="T24" i="618"/>
  <c r="D27" i="619"/>
  <c r="E27" i="619" s="1"/>
  <c r="AA27" i="620"/>
  <c r="T16" i="618"/>
  <c r="D19" i="619"/>
  <c r="E19" i="619" s="1"/>
  <c r="AA19" i="620"/>
  <c r="T18" i="618"/>
  <c r="D21" i="619"/>
  <c r="E21" i="619" s="1"/>
  <c r="AA21" i="620"/>
  <c r="AA17" i="620"/>
  <c r="D17" i="619"/>
  <c r="E17" i="619" s="1"/>
  <c r="T20" i="618"/>
  <c r="AA23" i="620"/>
  <c r="D23" i="619"/>
  <c r="E23" i="619" s="1"/>
  <c r="T17" i="618"/>
  <c r="AA20" i="620"/>
  <c r="D20" i="619"/>
  <c r="E20" i="619" s="1"/>
  <c r="T22" i="618"/>
  <c r="D25" i="619"/>
  <c r="AA25" i="620"/>
  <c r="E94" i="619"/>
  <c r="S94" i="619"/>
  <c r="S28" i="619" s="1"/>
  <c r="S99" i="619"/>
  <c r="S29" i="619" s="1"/>
  <c r="E95" i="618"/>
  <c r="M101" i="617"/>
  <c r="M32" i="617" s="1"/>
  <c r="M96" i="617"/>
  <c r="M31" i="617" s="1"/>
  <c r="E25" i="618" s="1"/>
  <c r="F25" i="618" s="1"/>
  <c r="K25" i="618" s="1"/>
  <c r="E30" i="618"/>
  <c r="E25" i="619" l="1"/>
  <c r="I15" i="619"/>
  <c r="E15" i="620"/>
  <c r="N39" i="606" s="1"/>
  <c r="S25" i="618"/>
  <c r="K37" i="618"/>
  <c r="Q37" i="618" s="1"/>
  <c r="K54" i="618"/>
  <c r="Q54" i="618" s="1"/>
  <c r="AA28" i="620"/>
  <c r="K74" i="618"/>
  <c r="Q74" i="618" s="1"/>
  <c r="K38" i="618"/>
  <c r="Q38" i="618" s="1"/>
  <c r="K55" i="618"/>
  <c r="Q55" i="618" s="1"/>
  <c r="K32" i="618"/>
  <c r="Q32" i="618" s="1"/>
  <c r="K89" i="618"/>
  <c r="Q89" i="618" s="1"/>
  <c r="K70" i="618"/>
  <c r="Q70" i="618" s="1"/>
  <c r="K33" i="618"/>
  <c r="Q33" i="618" s="1"/>
  <c r="K30" i="618"/>
  <c r="Q30" i="618" s="1"/>
  <c r="K52" i="618"/>
  <c r="Q52" i="618" s="1"/>
  <c r="K34" i="618"/>
  <c r="Q34" i="618" s="1"/>
  <c r="T25" i="618"/>
  <c r="K57" i="618"/>
  <c r="Q57" i="618" s="1"/>
  <c r="K48" i="618"/>
  <c r="Q48" i="618" s="1"/>
  <c r="K75" i="618"/>
  <c r="Q75" i="618" s="1"/>
  <c r="K62" i="618"/>
  <c r="Q62" i="618" s="1"/>
  <c r="K36" i="618"/>
  <c r="Q36" i="618" s="1"/>
  <c r="D28" i="619"/>
  <c r="E28" i="620" s="1"/>
  <c r="E89" i="620" s="1"/>
  <c r="K42" i="618"/>
  <c r="Q42" i="618" s="1"/>
  <c r="K58" i="618"/>
  <c r="Q58" i="618" s="1"/>
  <c r="K83" i="618"/>
  <c r="Q83" i="618" s="1"/>
  <c r="K44" i="618"/>
  <c r="Q44" i="618" s="1"/>
  <c r="K81" i="618"/>
  <c r="Q81" i="618" s="1"/>
  <c r="K67" i="618"/>
  <c r="Q67" i="618" s="1"/>
  <c r="K49" i="618"/>
  <c r="Q49" i="618" s="1"/>
  <c r="K82" i="618"/>
  <c r="Q82" i="618" s="1"/>
  <c r="K43" i="618"/>
  <c r="K40" i="618"/>
  <c r="Q40" i="618" s="1"/>
  <c r="K86" i="618"/>
  <c r="Q86" i="618" s="1"/>
  <c r="K39" i="618"/>
  <c r="Q39" i="618" s="1"/>
  <c r="K51" i="618"/>
  <c r="Q51" i="618" s="1"/>
  <c r="K63" i="618"/>
  <c r="Q63" i="618" s="1"/>
  <c r="K56" i="618"/>
  <c r="Q56" i="618" s="1"/>
  <c r="K66" i="618"/>
  <c r="Q66" i="618" s="1"/>
  <c r="K50" i="618"/>
  <c r="Q50" i="618" s="1"/>
  <c r="K79" i="618"/>
  <c r="Q79" i="618" s="1"/>
  <c r="K47" i="618"/>
  <c r="Q47" i="618" s="1"/>
  <c r="K61" i="618"/>
  <c r="Q61" i="618" s="1"/>
  <c r="K60" i="618"/>
  <c r="Q60" i="618" s="1"/>
  <c r="K72" i="618"/>
  <c r="Q72" i="618" s="1"/>
  <c r="K76" i="618"/>
  <c r="Q76" i="618" s="1"/>
  <c r="K78" i="618"/>
  <c r="Q78" i="618" s="1"/>
  <c r="K85" i="618"/>
  <c r="Q85" i="618" s="1"/>
  <c r="K59" i="618"/>
  <c r="Q59" i="618" s="1"/>
  <c r="K35" i="618"/>
  <c r="Q35" i="618" s="1"/>
  <c r="K53" i="618"/>
  <c r="Q53" i="618" s="1"/>
  <c r="K71" i="618"/>
  <c r="Q71" i="618" s="1"/>
  <c r="K45" i="618"/>
  <c r="Q45" i="618" s="1"/>
  <c r="K73" i="618"/>
  <c r="Q73" i="618" s="1"/>
  <c r="K31" i="618"/>
  <c r="Q31" i="618" s="1"/>
  <c r="K80" i="618"/>
  <c r="Q80" i="618" s="1"/>
  <c r="K88" i="618"/>
  <c r="Q88" i="618" s="1"/>
  <c r="K84" i="618"/>
  <c r="Q84" i="618" s="1"/>
  <c r="K65" i="618"/>
  <c r="Q65" i="618" s="1"/>
  <c r="K77" i="618"/>
  <c r="Q77" i="618" s="1"/>
  <c r="K64" i="618"/>
  <c r="Q64" i="618" s="1"/>
  <c r="K87" i="618"/>
  <c r="Q87" i="618" s="1"/>
  <c r="K46" i="618"/>
  <c r="Q46" i="618" s="1"/>
  <c r="K41" i="618"/>
  <c r="Q41" i="618" s="1"/>
  <c r="K68" i="618"/>
  <c r="Q68" i="618" s="1"/>
  <c r="K69" i="618"/>
  <c r="Q69" i="618" s="1"/>
  <c r="Q25" i="618"/>
  <c r="H15" i="619"/>
  <c r="N15" i="619"/>
  <c r="G15" i="619"/>
  <c r="L15" i="619"/>
  <c r="Q15" i="619"/>
  <c r="E26" i="618"/>
  <c r="M33" i="617"/>
  <c r="E28" i="619"/>
  <c r="E95" i="619" s="1"/>
  <c r="J12" i="619"/>
  <c r="O12" i="619"/>
  <c r="E11" i="620"/>
  <c r="N35" i="606" s="1"/>
  <c r="N11" i="619"/>
  <c r="L11" i="619"/>
  <c r="G11" i="619"/>
  <c r="H11" i="619"/>
  <c r="Q11" i="619"/>
  <c r="I11" i="619"/>
  <c r="Q13" i="619"/>
  <c r="L13" i="619"/>
  <c r="N13" i="619"/>
  <c r="G13" i="619"/>
  <c r="E13" i="620"/>
  <c r="N37" i="606" s="1"/>
  <c r="O14" i="619"/>
  <c r="I13" i="619"/>
  <c r="J14" i="619"/>
  <c r="J95" i="619"/>
  <c r="O95" i="619"/>
  <c r="H13" i="619"/>
  <c r="G17" i="619"/>
  <c r="N17" i="619"/>
  <c r="I17" i="619"/>
  <c r="E17" i="620"/>
  <c r="L17" i="619"/>
  <c r="Q17" i="619"/>
  <c r="H17" i="619"/>
  <c r="E24" i="620"/>
  <c r="N48" i="606" s="1"/>
  <c r="Q24" i="619"/>
  <c r="H24" i="619"/>
  <c r="I24" i="619"/>
  <c r="G24" i="619"/>
  <c r="L24" i="619"/>
  <c r="N24" i="619"/>
  <c r="H22" i="619"/>
  <c r="L22" i="619"/>
  <c r="E22" i="620"/>
  <c r="N46" i="606" s="1"/>
  <c r="Q22" i="619"/>
  <c r="G22" i="619"/>
  <c r="N22" i="619"/>
  <c r="I22" i="619"/>
  <c r="E26" i="620"/>
  <c r="N50" i="606" s="1"/>
  <c r="L26" i="619"/>
  <c r="G26" i="619"/>
  <c r="H26" i="619"/>
  <c r="N26" i="619"/>
  <c r="I26" i="619"/>
  <c r="Q26" i="619"/>
  <c r="H21" i="619"/>
  <c r="E21" i="620"/>
  <c r="N45" i="606" s="1"/>
  <c r="L21" i="619"/>
  <c r="G21" i="619"/>
  <c r="I21" i="619"/>
  <c r="N21" i="619"/>
  <c r="Q21" i="619"/>
  <c r="H27" i="619"/>
  <c r="I27" i="619"/>
  <c r="G27" i="619"/>
  <c r="E27" i="620"/>
  <c r="N51" i="606" s="1"/>
  <c r="N27" i="619"/>
  <c r="Q27" i="619"/>
  <c r="L27" i="619"/>
  <c r="N25" i="619"/>
  <c r="L25" i="619"/>
  <c r="H25" i="619"/>
  <c r="E25" i="620"/>
  <c r="Q25" i="619"/>
  <c r="I25" i="619"/>
  <c r="G25" i="619"/>
  <c r="L23" i="619"/>
  <c r="H23" i="619"/>
  <c r="N23" i="619"/>
  <c r="G23" i="619"/>
  <c r="I23" i="619"/>
  <c r="Q23" i="619"/>
  <c r="E23" i="620"/>
  <c r="N47" i="606" s="1"/>
  <c r="Q18" i="619"/>
  <c r="L18" i="619"/>
  <c r="N18" i="619"/>
  <c r="G18" i="619"/>
  <c r="I18" i="619"/>
  <c r="H18" i="619"/>
  <c r="E18" i="620"/>
  <c r="N42" i="606" s="1"/>
  <c r="Q19" i="619"/>
  <c r="H19" i="619"/>
  <c r="G19" i="619"/>
  <c r="L19" i="619"/>
  <c r="N19" i="619"/>
  <c r="I19" i="619"/>
  <c r="E19" i="620"/>
  <c r="N43" i="606" s="1"/>
  <c r="E20" i="620"/>
  <c r="N44" i="606" s="1"/>
  <c r="Q20" i="619"/>
  <c r="L20" i="619"/>
  <c r="I20" i="619"/>
  <c r="H20" i="619"/>
  <c r="N20" i="619"/>
  <c r="G20" i="619"/>
  <c r="T13" i="618"/>
  <c r="D16" i="619"/>
  <c r="AA16" i="620"/>
  <c r="E90" i="618"/>
  <c r="F30" i="618"/>
  <c r="F95" i="618"/>
  <c r="K95" i="618" s="1"/>
  <c r="E97" i="618"/>
  <c r="E16" i="619" l="1"/>
  <c r="S14" i="619"/>
  <c r="V14" i="619" s="1"/>
  <c r="S12" i="619"/>
  <c r="E59" i="620"/>
  <c r="E75" i="620"/>
  <c r="E69" i="620"/>
  <c r="E86" i="620"/>
  <c r="E80" i="620"/>
  <c r="E51" i="620"/>
  <c r="E45" i="620"/>
  <c r="E83" i="620"/>
  <c r="E74" i="620"/>
  <c r="E91" i="620"/>
  <c r="E72" i="620"/>
  <c r="E37" i="620"/>
  <c r="E56" i="620"/>
  <c r="E54" i="620"/>
  <c r="E65" i="620"/>
  <c r="E57" i="620"/>
  <c r="E93" i="620"/>
  <c r="E68" i="620"/>
  <c r="E73" i="620"/>
  <c r="E64" i="620"/>
  <c r="E39" i="620"/>
  <c r="E53" i="620"/>
  <c r="E67" i="620"/>
  <c r="E70" i="620"/>
  <c r="E82" i="620"/>
  <c r="E90" i="620"/>
  <c r="E78" i="620"/>
  <c r="E85" i="620"/>
  <c r="E81" i="620"/>
  <c r="E52" i="620"/>
  <c r="E76" i="620"/>
  <c r="E77" i="620"/>
  <c r="E60" i="620"/>
  <c r="E84" i="620"/>
  <c r="E61" i="620"/>
  <c r="E71" i="620"/>
  <c r="N52" i="606"/>
  <c r="E42" i="620"/>
  <c r="E49" i="620"/>
  <c r="E36" i="620"/>
  <c r="E50" i="620"/>
  <c r="E43" i="620"/>
  <c r="E55" i="620"/>
  <c r="J15" i="619"/>
  <c r="O15" i="619"/>
  <c r="E98" i="618"/>
  <c r="E66" i="620"/>
  <c r="E46" i="620"/>
  <c r="E34" i="620"/>
  <c r="E48" i="620"/>
  <c r="E88" i="620"/>
  <c r="E87" i="620"/>
  <c r="E58" i="620"/>
  <c r="E47" i="620"/>
  <c r="E62" i="620"/>
  <c r="E35" i="620"/>
  <c r="E92" i="620"/>
  <c r="E41" i="620"/>
  <c r="E79" i="620"/>
  <c r="E40" i="620"/>
  <c r="E63" i="620"/>
  <c r="E44" i="620"/>
  <c r="E38" i="620"/>
  <c r="Q43" i="618"/>
  <c r="T96" i="618"/>
  <c r="F26" i="618"/>
  <c r="K26" i="618" s="1"/>
  <c r="E27" i="618"/>
  <c r="E28" i="618" s="1"/>
  <c r="E30" i="619"/>
  <c r="V12" i="619"/>
  <c r="O11" i="619"/>
  <c r="J11" i="619"/>
  <c r="O13" i="619"/>
  <c r="J13" i="619"/>
  <c r="J17" i="619"/>
  <c r="J27" i="619"/>
  <c r="V28" i="619"/>
  <c r="O17" i="619"/>
  <c r="O24" i="619"/>
  <c r="J24" i="619"/>
  <c r="O25" i="619"/>
  <c r="O21" i="619"/>
  <c r="J19" i="619"/>
  <c r="J20" i="619"/>
  <c r="J25" i="619"/>
  <c r="O27" i="619"/>
  <c r="J22" i="619"/>
  <c r="O19" i="619"/>
  <c r="J18" i="619"/>
  <c r="J23" i="619"/>
  <c r="J21" i="619"/>
  <c r="O20" i="619"/>
  <c r="O18" i="619"/>
  <c r="J26" i="619"/>
  <c r="L16" i="619"/>
  <c r="G16" i="619"/>
  <c r="I16" i="619"/>
  <c r="N16" i="619"/>
  <c r="N30" i="619" s="1"/>
  <c r="H16" i="619"/>
  <c r="E16" i="620"/>
  <c r="Q16" i="619"/>
  <c r="O23" i="619"/>
  <c r="O26" i="619"/>
  <c r="O22" i="619"/>
  <c r="F90" i="618"/>
  <c r="K90" i="618" s="1"/>
  <c r="E92" i="618"/>
  <c r="E93" i="618" s="1"/>
  <c r="S95" i="618"/>
  <c r="S97" i="618" s="1"/>
  <c r="T95" i="618"/>
  <c r="Q95" i="618"/>
  <c r="S13" i="619" l="1"/>
  <c r="V13" i="619" s="1"/>
  <c r="S24" i="619"/>
  <c r="S25" i="619"/>
  <c r="V25" i="619" s="1"/>
  <c r="S19" i="619"/>
  <c r="U19" i="619" s="1"/>
  <c r="S20" i="619"/>
  <c r="V20" i="619" s="1"/>
  <c r="S27" i="619"/>
  <c r="V27" i="619" s="1"/>
  <c r="S15" i="619"/>
  <c r="V15" i="619" s="1"/>
  <c r="S21" i="619"/>
  <c r="V21" i="619" s="1"/>
  <c r="S17" i="619"/>
  <c r="V17" i="619" s="1"/>
  <c r="S23" i="619"/>
  <c r="V23" i="619" s="1"/>
  <c r="S11" i="619"/>
  <c r="S18" i="619"/>
  <c r="S22" i="619"/>
  <c r="S26" i="619"/>
  <c r="Q30" i="619"/>
  <c r="H30" i="619"/>
  <c r="E61" i="606" s="1"/>
  <c r="I30" i="619"/>
  <c r="E64" i="606" s="1"/>
  <c r="T97" i="618"/>
  <c r="S26" i="618"/>
  <c r="S27" i="618" s="1"/>
  <c r="T26" i="618"/>
  <c r="T27" i="618" s="1"/>
  <c r="AA29" i="620"/>
  <c r="D29" i="619"/>
  <c r="Q26" i="618"/>
  <c r="U12" i="619"/>
  <c r="U29" i="619"/>
  <c r="U14" i="619"/>
  <c r="S95" i="619"/>
  <c r="U28" i="619"/>
  <c r="J16" i="619"/>
  <c r="G30" i="619"/>
  <c r="E58" i="606" s="1"/>
  <c r="O16" i="619"/>
  <c r="L30" i="619"/>
  <c r="S16" i="619" l="1"/>
  <c r="S30" i="619" s="1"/>
  <c r="O30" i="619"/>
  <c r="U15" i="619"/>
  <c r="E29" i="620"/>
  <c r="V29" i="619"/>
  <c r="T28" i="618"/>
  <c r="V29" i="618" s="1"/>
  <c r="V11" i="619"/>
  <c r="U11" i="619"/>
  <c r="U13" i="619"/>
  <c r="U17" i="619"/>
  <c r="U20" i="619"/>
  <c r="U27" i="619"/>
  <c r="V24" i="619"/>
  <c r="U24" i="619"/>
  <c r="U25" i="619"/>
  <c r="V19" i="619"/>
  <c r="U21" i="619"/>
  <c r="U23" i="619"/>
  <c r="V18" i="619"/>
  <c r="U18" i="619"/>
  <c r="J30" i="619"/>
  <c r="V22" i="619"/>
  <c r="U22" i="619"/>
  <c r="V26" i="619"/>
  <c r="U26" i="619"/>
  <c r="U31" i="619" l="1"/>
  <c r="S31" i="619"/>
  <c r="T29" i="618"/>
  <c r="E98" i="620"/>
  <c r="N53" i="606"/>
  <c r="E97" i="620"/>
  <c r="V16" i="619"/>
  <c r="U16" i="619"/>
  <c r="U32" i="619" l="1"/>
  <c r="E50" i="606"/>
  <c r="K2" i="620" l="1"/>
  <c r="K3" i="620" s="1"/>
  <c r="U33" i="619"/>
  <c r="F47" i="620" l="1"/>
  <c r="F60" i="620"/>
  <c r="F84" i="620"/>
  <c r="F69" i="620"/>
  <c r="F63" i="620"/>
  <c r="F89" i="620"/>
  <c r="F78" i="620"/>
  <c r="G78" i="620" s="1"/>
  <c r="F55" i="620"/>
  <c r="G55" i="620" s="1"/>
  <c r="F87" i="620"/>
  <c r="G87" i="620" s="1"/>
  <c r="F93" i="620"/>
  <c r="G93" i="620" s="1"/>
  <c r="F53" i="620"/>
  <c r="G53" i="620" s="1"/>
  <c r="F48" i="620"/>
  <c r="G48" i="620" s="1"/>
  <c r="F71" i="620"/>
  <c r="F42" i="620"/>
  <c r="F73" i="620"/>
  <c r="F61" i="620"/>
  <c r="F86" i="620"/>
  <c r="F68" i="620"/>
  <c r="F58" i="620"/>
  <c r="G58" i="620" s="1"/>
  <c r="F59" i="620"/>
  <c r="G59" i="620" s="1"/>
  <c r="F75" i="620"/>
  <c r="G75" i="620" s="1"/>
  <c r="F37" i="620"/>
  <c r="G37" i="620" s="1"/>
  <c r="F83" i="620"/>
  <c r="F56" i="620"/>
  <c r="G56" i="620" s="1"/>
  <c r="F41" i="620"/>
  <c r="F74" i="620"/>
  <c r="F35" i="620"/>
  <c r="F81" i="620"/>
  <c r="F54" i="620"/>
  <c r="F40" i="620"/>
  <c r="G40" i="620" s="1"/>
  <c r="F92" i="620"/>
  <c r="G92" i="620" s="1"/>
  <c r="F72" i="620"/>
  <c r="G72" i="620" s="1"/>
  <c r="F39" i="620"/>
  <c r="G39" i="620" s="1"/>
  <c r="F44" i="620"/>
  <c r="G44" i="620" s="1"/>
  <c r="F88" i="620"/>
  <c r="G88" i="620" s="1"/>
  <c r="F49" i="620"/>
  <c r="G49" i="620" s="1"/>
  <c r="F85" i="620"/>
  <c r="F36" i="620"/>
  <c r="F64" i="620"/>
  <c r="F67" i="620"/>
  <c r="F66" i="620"/>
  <c r="F46" i="620"/>
  <c r="F82" i="620"/>
  <c r="G82" i="620" s="1"/>
  <c r="F79" i="620"/>
  <c r="F91" i="620"/>
  <c r="G91" i="620" s="1"/>
  <c r="F70" i="620"/>
  <c r="G70" i="620" s="1"/>
  <c r="F65" i="620"/>
  <c r="G65" i="620" s="1"/>
  <c r="F52" i="620"/>
  <c r="G52" i="620" s="1"/>
  <c r="F43" i="620"/>
  <c r="F50" i="620"/>
  <c r="F76" i="620"/>
  <c r="F57" i="620"/>
  <c r="F80" i="620"/>
  <c r="F34" i="620"/>
  <c r="F77" i="620"/>
  <c r="G77" i="620" s="1"/>
  <c r="F62" i="620"/>
  <c r="G62" i="620" s="1"/>
  <c r="F38" i="620"/>
  <c r="G38" i="620" s="1"/>
  <c r="F45" i="620"/>
  <c r="G45" i="620" s="1"/>
  <c r="F51" i="620"/>
  <c r="F90" i="620"/>
  <c r="G90" i="620" s="1"/>
  <c r="S40" i="620"/>
  <c r="S48" i="620"/>
  <c r="S56" i="620"/>
  <c r="S64" i="620"/>
  <c r="S72" i="620"/>
  <c r="S80" i="620"/>
  <c r="S88" i="620"/>
  <c r="S69" i="620"/>
  <c r="S41" i="620"/>
  <c r="S49" i="620"/>
  <c r="S57" i="620"/>
  <c r="S65" i="620"/>
  <c r="S73" i="620"/>
  <c r="S81" i="620"/>
  <c r="S89" i="620"/>
  <c r="S93" i="620"/>
  <c r="S42" i="620"/>
  <c r="S50" i="620"/>
  <c r="S58" i="620"/>
  <c r="S66" i="620"/>
  <c r="S74" i="620"/>
  <c r="S82" i="620"/>
  <c r="S90" i="620"/>
  <c r="S35" i="620"/>
  <c r="S43" i="620"/>
  <c r="S51" i="620"/>
  <c r="S59" i="620"/>
  <c r="S67" i="620"/>
  <c r="S75" i="620"/>
  <c r="S83" i="620"/>
  <c r="S91" i="620"/>
  <c r="S34" i="620"/>
  <c r="S45" i="620"/>
  <c r="S53" i="620"/>
  <c r="S77" i="620"/>
  <c r="S85" i="620"/>
  <c r="S36" i="620"/>
  <c r="S44" i="620"/>
  <c r="S52" i="620"/>
  <c r="S60" i="620"/>
  <c r="S68" i="620"/>
  <c r="S76" i="620"/>
  <c r="S84" i="620"/>
  <c r="S92" i="620"/>
  <c r="S37" i="620"/>
  <c r="S61" i="620"/>
  <c r="S38" i="620"/>
  <c r="S46" i="620"/>
  <c r="S54" i="620"/>
  <c r="S62" i="620"/>
  <c r="S70" i="620"/>
  <c r="S78" i="620"/>
  <c r="S86" i="620"/>
  <c r="S39" i="620"/>
  <c r="S47" i="620"/>
  <c r="S55" i="620"/>
  <c r="S63" i="620"/>
  <c r="S71" i="620"/>
  <c r="S79" i="620"/>
  <c r="S87" i="620"/>
  <c r="I82" i="620"/>
  <c r="J83" i="620"/>
  <c r="J44" i="620"/>
  <c r="J56" i="620"/>
  <c r="I81" i="620"/>
  <c r="J35" i="620"/>
  <c r="K79" i="620"/>
  <c r="I49" i="620"/>
  <c r="J36" i="620"/>
  <c r="K52" i="620"/>
  <c r="J65" i="620"/>
  <c r="J86" i="620"/>
  <c r="J75" i="620"/>
  <c r="K68" i="620"/>
  <c r="K74" i="620"/>
  <c r="K73" i="620"/>
  <c r="J41" i="620"/>
  <c r="I53" i="620"/>
  <c r="I57" i="620"/>
  <c r="J79" i="620"/>
  <c r="K50" i="620"/>
  <c r="K37" i="620"/>
  <c r="J48" i="620"/>
  <c r="K91" i="620"/>
  <c r="J53" i="620"/>
  <c r="I55" i="620"/>
  <c r="J87" i="620"/>
  <c r="K55" i="620"/>
  <c r="K35" i="620"/>
  <c r="J55" i="620"/>
  <c r="J52" i="620"/>
  <c r="I37" i="620"/>
  <c r="K71" i="620"/>
  <c r="J43" i="620"/>
  <c r="K92" i="620"/>
  <c r="J64" i="620"/>
  <c r="K39" i="620"/>
  <c r="J60" i="620"/>
  <c r="I50" i="620"/>
  <c r="K54" i="620"/>
  <c r="K36" i="620"/>
  <c r="J88" i="620"/>
  <c r="J50" i="620"/>
  <c r="K43" i="620"/>
  <c r="I70" i="620"/>
  <c r="I36" i="620"/>
  <c r="K67" i="620"/>
  <c r="I45" i="620"/>
  <c r="I64" i="620"/>
  <c r="I76" i="620"/>
  <c r="K53" i="620"/>
  <c r="I65" i="620"/>
  <c r="I40" i="620"/>
  <c r="I86" i="620"/>
  <c r="I58" i="620"/>
  <c r="K70" i="620"/>
  <c r="J39" i="620"/>
  <c r="I88" i="620"/>
  <c r="I72" i="620"/>
  <c r="I75" i="620"/>
  <c r="I85" i="620"/>
  <c r="I83" i="620"/>
  <c r="K61" i="620"/>
  <c r="J76" i="620"/>
  <c r="K90" i="620"/>
  <c r="I56" i="620"/>
  <c r="I89" i="620"/>
  <c r="K65" i="620"/>
  <c r="K81" i="620"/>
  <c r="J63" i="620"/>
  <c r="I93" i="620"/>
  <c r="I71" i="620"/>
  <c r="K56" i="620"/>
  <c r="K46" i="620"/>
  <c r="J85" i="620"/>
  <c r="I48" i="620"/>
  <c r="I60" i="620"/>
  <c r="I42" i="620"/>
  <c r="J82" i="620"/>
  <c r="J73" i="620"/>
  <c r="I34" i="620"/>
  <c r="K78" i="620"/>
  <c r="J71" i="620"/>
  <c r="J70" i="620"/>
  <c r="J46" i="620"/>
  <c r="K42" i="620"/>
  <c r="K93" i="620"/>
  <c r="J81" i="620"/>
  <c r="K51" i="620"/>
  <c r="K49" i="620"/>
  <c r="K45" i="620"/>
  <c r="J38" i="620"/>
  <c r="J66" i="620"/>
  <c r="I61" i="620"/>
  <c r="I68" i="620"/>
  <c r="I39" i="620"/>
  <c r="K40" i="620"/>
  <c r="J58" i="620"/>
  <c r="J93" i="620"/>
  <c r="K41" i="620"/>
  <c r="K85" i="620"/>
  <c r="K48" i="620"/>
  <c r="J34" i="620"/>
  <c r="I87" i="620"/>
  <c r="I51" i="620"/>
  <c r="K47" i="620"/>
  <c r="K75" i="620"/>
  <c r="J69" i="620"/>
  <c r="J54" i="620"/>
  <c r="K60" i="620"/>
  <c r="K69" i="620"/>
  <c r="I79" i="620"/>
  <c r="I41" i="620"/>
  <c r="J92" i="620"/>
  <c r="K86" i="620"/>
  <c r="J67" i="620"/>
  <c r="I74" i="620"/>
  <c r="I67" i="620"/>
  <c r="I38" i="620"/>
  <c r="K57" i="620"/>
  <c r="J45" i="620"/>
  <c r="I44" i="620"/>
  <c r="J84" i="620"/>
  <c r="K82" i="620"/>
  <c r="J90" i="620"/>
  <c r="K84" i="620"/>
  <c r="K38" i="620"/>
  <c r="I63" i="620"/>
  <c r="I62" i="620"/>
  <c r="I52" i="620"/>
  <c r="J62" i="620"/>
  <c r="J74" i="620"/>
  <c r="J40" i="620"/>
  <c r="K83" i="620"/>
  <c r="J72" i="620"/>
  <c r="J47" i="620"/>
  <c r="K89" i="620"/>
  <c r="J89" i="620"/>
  <c r="K87" i="620"/>
  <c r="I54" i="620"/>
  <c r="J68" i="620"/>
  <c r="I47" i="620"/>
  <c r="K76" i="620"/>
  <c r="J37" i="620"/>
  <c r="I69" i="620"/>
  <c r="J80" i="620"/>
  <c r="J57" i="620"/>
  <c r="K80" i="620"/>
  <c r="K59" i="620"/>
  <c r="I92" i="620"/>
  <c r="I35" i="620"/>
  <c r="I66" i="620"/>
  <c r="I90" i="620"/>
  <c r="K62" i="620"/>
  <c r="K63" i="620"/>
  <c r="K72" i="620"/>
  <c r="I73" i="620"/>
  <c r="J78" i="620"/>
  <c r="I43" i="620"/>
  <c r="K44" i="620"/>
  <c r="I46" i="620"/>
  <c r="J42" i="620"/>
  <c r="J91" i="620"/>
  <c r="J61" i="620"/>
  <c r="K88" i="620"/>
  <c r="K34" i="620"/>
  <c r="I77" i="620"/>
  <c r="I78" i="620"/>
  <c r="K64" i="620"/>
  <c r="J49" i="620"/>
  <c r="K66" i="620"/>
  <c r="J77" i="620"/>
  <c r="K58" i="620"/>
  <c r="I84" i="620"/>
  <c r="I91" i="620"/>
  <c r="J59" i="620"/>
  <c r="K77" i="620"/>
  <c r="I80" i="620"/>
  <c r="J51" i="620"/>
  <c r="I59" i="620"/>
  <c r="L91" i="620"/>
  <c r="L56" i="620"/>
  <c r="L63" i="620"/>
  <c r="L70" i="620"/>
  <c r="L35" i="620"/>
  <c r="L79" i="620"/>
  <c r="L75" i="620"/>
  <c r="L81" i="620"/>
  <c r="L69" i="620"/>
  <c r="L58" i="620"/>
  <c r="L36" i="620"/>
  <c r="L82" i="620"/>
  <c r="L78" i="620"/>
  <c r="L67" i="620"/>
  <c r="L59" i="620"/>
  <c r="L86" i="620"/>
  <c r="L48" i="620"/>
  <c r="L47" i="620"/>
  <c r="L65" i="620"/>
  <c r="L53" i="620"/>
  <c r="L74" i="620"/>
  <c r="L72" i="620"/>
  <c r="L71" i="620"/>
  <c r="L92" i="620"/>
  <c r="L46" i="620"/>
  <c r="L93" i="620"/>
  <c r="L85" i="620"/>
  <c r="L76" i="620"/>
  <c r="L68" i="620"/>
  <c r="L51" i="620"/>
  <c r="L39" i="620"/>
  <c r="L55" i="620"/>
  <c r="L88" i="620"/>
  <c r="L77" i="620"/>
  <c r="L44" i="620"/>
  <c r="L84" i="620"/>
  <c r="L83" i="620"/>
  <c r="L40" i="620"/>
  <c r="L64" i="620"/>
  <c r="L61" i="620"/>
  <c r="L50" i="620"/>
  <c r="L89" i="620"/>
  <c r="L38" i="620"/>
  <c r="L41" i="620"/>
  <c r="L60" i="620"/>
  <c r="L90" i="620"/>
  <c r="L43" i="620"/>
  <c r="L57" i="620"/>
  <c r="L49" i="620"/>
  <c r="L45" i="620"/>
  <c r="L73" i="620"/>
  <c r="L87" i="620"/>
  <c r="L62" i="620"/>
  <c r="L66" i="620"/>
  <c r="L80" i="620"/>
  <c r="L37" i="620"/>
  <c r="L54" i="620"/>
  <c r="L42" i="620"/>
  <c r="L52" i="620"/>
  <c r="L34" i="620"/>
  <c r="K12" i="620"/>
  <c r="I12" i="620"/>
  <c r="K15" i="620"/>
  <c r="K14" i="620"/>
  <c r="S14" i="620"/>
  <c r="I14" i="620"/>
  <c r="J14" i="620"/>
  <c r="J12" i="620"/>
  <c r="S12" i="620"/>
  <c r="J25" i="620"/>
  <c r="I27" i="620"/>
  <c r="L14" i="620"/>
  <c r="K17" i="620"/>
  <c r="S22" i="620"/>
  <c r="J26" i="620"/>
  <c r="J13" i="620"/>
  <c r="J22" i="620"/>
  <c r="K27" i="620"/>
  <c r="I15" i="620"/>
  <c r="L12" i="620"/>
  <c r="K13" i="620"/>
  <c r="J24" i="620"/>
  <c r="S24" i="620"/>
  <c r="I13" i="620"/>
  <c r="J17" i="620"/>
  <c r="J21" i="620"/>
  <c r="I20" i="620"/>
  <c r="J15" i="620"/>
  <c r="S11" i="620"/>
  <c r="Q14" i="620"/>
  <c r="I17" i="620"/>
  <c r="S15" i="620"/>
  <c r="K22" i="620"/>
  <c r="I23" i="620"/>
  <c r="K18" i="620"/>
  <c r="K19" i="620"/>
  <c r="J19" i="620"/>
  <c r="I11" i="620"/>
  <c r="S20" i="620"/>
  <c r="K23" i="620"/>
  <c r="K24" i="620"/>
  <c r="I19" i="620"/>
  <c r="K21" i="620"/>
  <c r="I26" i="620"/>
  <c r="I18" i="620"/>
  <c r="J20" i="620"/>
  <c r="J23" i="620"/>
  <c r="S18" i="620"/>
  <c r="J18" i="620"/>
  <c r="S19" i="620"/>
  <c r="I24" i="620"/>
  <c r="S25" i="620"/>
  <c r="S13" i="620"/>
  <c r="J27" i="620"/>
  <c r="S21" i="620"/>
  <c r="I22" i="620"/>
  <c r="I25" i="620"/>
  <c r="S17" i="620"/>
  <c r="K25" i="620"/>
  <c r="Q12" i="620"/>
  <c r="S26" i="620"/>
  <c r="K26" i="620"/>
  <c r="K20" i="620"/>
  <c r="S27" i="620"/>
  <c r="I21" i="620"/>
  <c r="S23" i="620"/>
  <c r="L11" i="620"/>
  <c r="Q15" i="620"/>
  <c r="L19" i="620"/>
  <c r="Q20" i="620"/>
  <c r="Q19" i="620"/>
  <c r="Q27" i="620"/>
  <c r="L26" i="620"/>
  <c r="Q17" i="620"/>
  <c r="Q24" i="620"/>
  <c r="L17" i="620"/>
  <c r="L24" i="620"/>
  <c r="Q18" i="620"/>
  <c r="Q25" i="620"/>
  <c r="L23" i="620"/>
  <c r="Q11" i="620"/>
  <c r="L27" i="620"/>
  <c r="Q26" i="620"/>
  <c r="K16" i="620"/>
  <c r="Q13" i="620"/>
  <c r="L20" i="620"/>
  <c r="L22" i="620"/>
  <c r="L15" i="620"/>
  <c r="Q23" i="620"/>
  <c r="L18" i="620"/>
  <c r="S16" i="620"/>
  <c r="J16" i="620"/>
  <c r="Q21" i="620"/>
  <c r="Q22" i="620"/>
  <c r="L25" i="620"/>
  <c r="L21" i="620"/>
  <c r="L13" i="620"/>
  <c r="I16" i="620"/>
  <c r="Q16" i="620"/>
  <c r="L16" i="620"/>
  <c r="F15" i="620"/>
  <c r="F23" i="620"/>
  <c r="G47" i="620"/>
  <c r="G63" i="620"/>
  <c r="G71" i="620"/>
  <c r="G79" i="620"/>
  <c r="G36" i="620"/>
  <c r="F16" i="620"/>
  <c r="U16" i="620" s="1"/>
  <c r="F24" i="620"/>
  <c r="G64" i="620"/>
  <c r="G80" i="620"/>
  <c r="F17" i="620"/>
  <c r="F25" i="620"/>
  <c r="G57" i="620"/>
  <c r="G73" i="620"/>
  <c r="G81" i="620"/>
  <c r="F18" i="620"/>
  <c r="F26" i="620"/>
  <c r="G50" i="620"/>
  <c r="G66" i="620"/>
  <c r="G74" i="620"/>
  <c r="F19" i="620"/>
  <c r="F27" i="620"/>
  <c r="G67" i="620"/>
  <c r="F12" i="620"/>
  <c r="F20" i="620"/>
  <c r="G60" i="620"/>
  <c r="G68" i="620"/>
  <c r="G76" i="620"/>
  <c r="G84" i="620"/>
  <c r="G41" i="620"/>
  <c r="F13" i="620"/>
  <c r="U13" i="620" s="1"/>
  <c r="F21" i="620"/>
  <c r="G61" i="620"/>
  <c r="G69" i="620"/>
  <c r="G85" i="620"/>
  <c r="G42" i="620"/>
  <c r="F14" i="620"/>
  <c r="F22" i="620"/>
  <c r="F97" i="620"/>
  <c r="U97" i="620" s="1"/>
  <c r="G46" i="620"/>
  <c r="G54" i="620"/>
  <c r="G86" i="620"/>
  <c r="G35" i="620"/>
  <c r="G43" i="620"/>
  <c r="F11" i="620"/>
  <c r="F29" i="620"/>
  <c r="U29" i="620" s="1"/>
  <c r="H9" i="605"/>
  <c r="P9" i="605" s="1"/>
  <c r="X9" i="605" s="1"/>
  <c r="O24" i="620"/>
  <c r="O21" i="620"/>
  <c r="P17" i="620"/>
  <c r="N13" i="620"/>
  <c r="N17" i="620"/>
  <c r="N15" i="620"/>
  <c r="N24" i="620"/>
  <c r="J11" i="620"/>
  <c r="O22" i="620"/>
  <c r="O19" i="620"/>
  <c r="I98" i="620"/>
  <c r="N21" i="620"/>
  <c r="N27" i="620"/>
  <c r="P15" i="620"/>
  <c r="N16" i="620"/>
  <c r="K11" i="620"/>
  <c r="O23" i="620"/>
  <c r="O17" i="620"/>
  <c r="I97" i="620"/>
  <c r="O11" i="620"/>
  <c r="O26" i="620"/>
  <c r="N18" i="620"/>
  <c r="P27" i="620"/>
  <c r="P22" i="620"/>
  <c r="P13" i="620"/>
  <c r="P20" i="620"/>
  <c r="N11" i="620"/>
  <c r="N20" i="620"/>
  <c r="N23" i="620"/>
  <c r="N25" i="620"/>
  <c r="P23" i="620"/>
  <c r="N19" i="620"/>
  <c r="P14" i="620"/>
  <c r="N12" i="620"/>
  <c r="O12" i="620"/>
  <c r="O13" i="620"/>
  <c r="O25" i="620"/>
  <c r="O15" i="620"/>
  <c r="F98" i="620"/>
  <c r="P26" i="620"/>
  <c r="P24" i="620"/>
  <c r="P11" i="620"/>
  <c r="O18" i="620"/>
  <c r="P12" i="620"/>
  <c r="N14" i="620"/>
  <c r="P18" i="620"/>
  <c r="O20" i="620"/>
  <c r="O14" i="620"/>
  <c r="P21" i="620"/>
  <c r="P25" i="620"/>
  <c r="P16" i="620"/>
  <c r="O16" i="620"/>
  <c r="O27" i="620"/>
  <c r="N22" i="620"/>
  <c r="N26" i="620"/>
  <c r="P19" i="620"/>
  <c r="U26" i="620" l="1"/>
  <c r="U23" i="620"/>
  <c r="U15" i="620"/>
  <c r="U11" i="620"/>
  <c r="U19" i="620"/>
  <c r="U18" i="620"/>
  <c r="U14" i="620"/>
  <c r="U20" i="620"/>
  <c r="P30" i="620"/>
  <c r="U22" i="620"/>
  <c r="U12" i="620"/>
  <c r="U25" i="620"/>
  <c r="U17" i="620"/>
  <c r="U27" i="620"/>
  <c r="U21" i="620"/>
  <c r="U24" i="620"/>
  <c r="U66" i="620"/>
  <c r="W66" i="620" s="1"/>
  <c r="U90" i="620"/>
  <c r="W90" i="620" s="1"/>
  <c r="U51" i="620"/>
  <c r="W51" i="620" s="1"/>
  <c r="U72" i="620"/>
  <c r="W72" i="620" s="1"/>
  <c r="U67" i="620"/>
  <c r="W67" i="620" s="1"/>
  <c r="U79" i="620"/>
  <c r="W79" i="620" s="1"/>
  <c r="U37" i="620"/>
  <c r="W37" i="620" s="1"/>
  <c r="U57" i="620"/>
  <c r="W57" i="620" s="1"/>
  <c r="U61" i="620"/>
  <c r="W61" i="620" s="1"/>
  <c r="U55" i="620"/>
  <c r="W55" i="620" s="1"/>
  <c r="U92" i="620"/>
  <c r="W92" i="620" s="1"/>
  <c r="U86" i="620"/>
  <c r="W86" i="620" s="1"/>
  <c r="U81" i="620"/>
  <c r="W81" i="620" s="1"/>
  <c r="U80" i="620"/>
  <c r="W80" i="620" s="1"/>
  <c r="U43" i="620"/>
  <c r="W43" i="620" s="1"/>
  <c r="U64" i="620"/>
  <c r="W64" i="620" s="1"/>
  <c r="U39" i="620"/>
  <c r="W39" i="620" s="1"/>
  <c r="U71" i="620"/>
  <c r="W71" i="620" s="1"/>
  <c r="U59" i="620"/>
  <c r="W59" i="620" s="1"/>
  <c r="U75" i="620"/>
  <c r="W75" i="620" s="1"/>
  <c r="U62" i="620"/>
  <c r="W62" i="620" s="1"/>
  <c r="U60" i="620"/>
  <c r="U83" i="620"/>
  <c r="W83" i="620" s="1"/>
  <c r="U68" i="620"/>
  <c r="W68" i="620" s="1"/>
  <c r="U74" i="620"/>
  <c r="W74" i="620" s="1"/>
  <c r="U78" i="620"/>
  <c r="W78" i="620" s="1"/>
  <c r="U35" i="620"/>
  <c r="W35" i="620" s="1"/>
  <c r="U34" i="620"/>
  <c r="W34" i="620" s="1"/>
  <c r="U87" i="620"/>
  <c r="W87" i="620" s="1"/>
  <c r="U41" i="620"/>
  <c r="W41" i="620" s="1"/>
  <c r="U84" i="620"/>
  <c r="W84" i="620" s="1"/>
  <c r="U76" i="620"/>
  <c r="W76" i="620" s="1"/>
  <c r="U53" i="620"/>
  <c r="W53" i="620" s="1"/>
  <c r="U82" i="620"/>
  <c r="W82" i="620" s="1"/>
  <c r="U70" i="620"/>
  <c r="W70" i="620" s="1"/>
  <c r="U52" i="620"/>
  <c r="W52" i="620" s="1"/>
  <c r="U73" i="620"/>
  <c r="W73" i="620" s="1"/>
  <c r="U38" i="620"/>
  <c r="W38" i="620" s="1"/>
  <c r="U44" i="620"/>
  <c r="W44" i="620" s="1"/>
  <c r="U85" i="620"/>
  <c r="W85" i="620" s="1"/>
  <c r="U65" i="620"/>
  <c r="W65" i="620" s="1"/>
  <c r="U36" i="620"/>
  <c r="W36" i="620" s="1"/>
  <c r="U63" i="620"/>
  <c r="W63" i="620" s="1"/>
  <c r="U40" i="620"/>
  <c r="W40" i="620" s="1"/>
  <c r="U42" i="620"/>
  <c r="W42" i="620" s="1"/>
  <c r="U45" i="620"/>
  <c r="W45" i="620" s="1"/>
  <c r="U89" i="620"/>
  <c r="W89" i="620" s="1"/>
  <c r="U77" i="620"/>
  <c r="W77" i="620" s="1"/>
  <c r="U93" i="620"/>
  <c r="W93" i="620" s="1"/>
  <c r="U47" i="620"/>
  <c r="W47" i="620" s="1"/>
  <c r="U58" i="620"/>
  <c r="W58" i="620" s="1"/>
  <c r="U56" i="620"/>
  <c r="W56" i="620" s="1"/>
  <c r="U54" i="620"/>
  <c r="W54" i="620" s="1"/>
  <c r="U49" i="620"/>
  <c r="W49" i="620" s="1"/>
  <c r="U50" i="620"/>
  <c r="W50" i="620" s="1"/>
  <c r="U88" i="620"/>
  <c r="W88" i="620" s="1"/>
  <c r="U46" i="620"/>
  <c r="W46" i="620" s="1"/>
  <c r="U48" i="620"/>
  <c r="W48" i="620" s="1"/>
  <c r="U69" i="620"/>
  <c r="W69" i="620" s="1"/>
  <c r="U91" i="620"/>
  <c r="W91" i="620" s="1"/>
  <c r="F94" i="620"/>
  <c r="F28" i="620" s="1"/>
  <c r="G28" i="620" s="1"/>
  <c r="G94" i="620" s="1"/>
  <c r="G95" i="620" s="1"/>
  <c r="G89" i="620"/>
  <c r="G83" i="620"/>
  <c r="G29" i="620"/>
  <c r="I99" i="620"/>
  <c r="I29" i="620" s="1"/>
  <c r="I100" i="620" s="1"/>
  <c r="G18" i="620"/>
  <c r="G19" i="620"/>
  <c r="G25" i="620"/>
  <c r="K94" i="620"/>
  <c r="G22" i="620"/>
  <c r="I94" i="620"/>
  <c r="G14" i="620"/>
  <c r="G51" i="620"/>
  <c r="G13" i="620"/>
  <c r="N30" i="620"/>
  <c r="L94" i="620"/>
  <c r="L28" i="620" s="1"/>
  <c r="G16" i="620"/>
  <c r="G98" i="620"/>
  <c r="U98" i="620"/>
  <c r="W98" i="620" s="1"/>
  <c r="G11" i="620"/>
  <c r="G15" i="620"/>
  <c r="G97" i="620"/>
  <c r="G99" i="620" s="1"/>
  <c r="F99" i="620"/>
  <c r="F100" i="620" s="1"/>
  <c r="W60" i="620"/>
  <c r="G34" i="620"/>
  <c r="G27" i="620"/>
  <c r="K128" i="622"/>
  <c r="G20" i="620"/>
  <c r="J94" i="620"/>
  <c r="G12" i="620"/>
  <c r="G24" i="620"/>
  <c r="G23" i="620"/>
  <c r="S94" i="620"/>
  <c r="S28" i="620" s="1"/>
  <c r="S30" i="620" s="1"/>
  <c r="O13" i="333" s="1"/>
  <c r="G17" i="620"/>
  <c r="G21" i="620"/>
  <c r="O30" i="620"/>
  <c r="G26" i="620"/>
  <c r="K109" i="622" l="1"/>
  <c r="Q30" i="620"/>
  <c r="O11" i="333" s="1"/>
  <c r="F30" i="620"/>
  <c r="O17" i="333" s="1"/>
  <c r="F95" i="620"/>
  <c r="G100" i="620"/>
  <c r="F19" i="621"/>
  <c r="G19" i="621" s="1"/>
  <c r="AB23" i="620"/>
  <c r="Z23" i="620"/>
  <c r="W23" i="620"/>
  <c r="F23" i="621"/>
  <c r="G23" i="621" s="1"/>
  <c r="AB27" i="620"/>
  <c r="W27" i="620"/>
  <c r="Z27" i="620"/>
  <c r="F17" i="621"/>
  <c r="G17" i="621" s="1"/>
  <c r="AB21" i="620"/>
  <c r="Z21" i="620"/>
  <c r="W21" i="620"/>
  <c r="F21" i="621"/>
  <c r="G21" i="621" s="1"/>
  <c r="AB25" i="620"/>
  <c r="Z25" i="620"/>
  <c r="N49" i="606" s="1"/>
  <c r="W25" i="620"/>
  <c r="F20" i="621"/>
  <c r="G20" i="621" s="1"/>
  <c r="AB24" i="620"/>
  <c r="Z24" i="620"/>
  <c r="W24" i="620"/>
  <c r="U94" i="620"/>
  <c r="U28" i="620" s="1"/>
  <c r="U30" i="620" s="1"/>
  <c r="F16" i="621"/>
  <c r="G16" i="621" s="1"/>
  <c r="Z20" i="620"/>
  <c r="W20" i="620"/>
  <c r="AB20" i="620"/>
  <c r="U99" i="620"/>
  <c r="W97" i="620"/>
  <c r="K127" i="622"/>
  <c r="L109" i="622"/>
  <c r="I28" i="620"/>
  <c r="I30" i="620" s="1"/>
  <c r="O19" i="333" s="1"/>
  <c r="F15" i="621"/>
  <c r="G15" i="621" s="1"/>
  <c r="Z19" i="620"/>
  <c r="AB19" i="620"/>
  <c r="W19" i="620"/>
  <c r="F13" i="621"/>
  <c r="G13" i="621" s="1"/>
  <c r="W17" i="620"/>
  <c r="Z17" i="620"/>
  <c r="N41" i="606" s="1"/>
  <c r="AB17" i="620"/>
  <c r="F8" i="621"/>
  <c r="G8" i="621" s="1"/>
  <c r="AB12" i="620"/>
  <c r="Z12" i="620"/>
  <c r="W12" i="620"/>
  <c r="K142" i="622"/>
  <c r="L128" i="622"/>
  <c r="W11" i="620"/>
  <c r="AB11" i="620"/>
  <c r="Z11" i="620"/>
  <c r="F7" i="621"/>
  <c r="G7" i="621" s="1"/>
  <c r="F9" i="621"/>
  <c r="G9" i="621" s="1"/>
  <c r="Z13" i="620"/>
  <c r="AB13" i="620"/>
  <c r="W13" i="620"/>
  <c r="F18" i="621"/>
  <c r="G18" i="621" s="1"/>
  <c r="W22" i="620"/>
  <c r="Z22" i="620"/>
  <c r="AB22" i="620"/>
  <c r="F14" i="621"/>
  <c r="G14" i="621" s="1"/>
  <c r="AB18" i="620"/>
  <c r="Z18" i="620"/>
  <c r="W18" i="620"/>
  <c r="F22" i="621"/>
  <c r="G22" i="621" s="1"/>
  <c r="W26" i="620"/>
  <c r="AB26" i="620"/>
  <c r="Z26" i="620"/>
  <c r="J28" i="620"/>
  <c r="J30" i="620" s="1"/>
  <c r="O20" i="333" s="1"/>
  <c r="F11" i="621"/>
  <c r="G11" i="621" s="1"/>
  <c r="AB15" i="620"/>
  <c r="Z15" i="620"/>
  <c r="W15" i="620"/>
  <c r="F12" i="621"/>
  <c r="G12" i="621" s="1"/>
  <c r="AB16" i="620"/>
  <c r="W16" i="620"/>
  <c r="Z16" i="620"/>
  <c r="N40" i="606" s="1"/>
  <c r="F10" i="621"/>
  <c r="G10" i="621" s="1"/>
  <c r="W14" i="620"/>
  <c r="AB14" i="620"/>
  <c r="Z14" i="620"/>
  <c r="K28" i="620"/>
  <c r="K30" i="620" s="1"/>
  <c r="O21" i="333" s="1"/>
  <c r="N22" i="333" l="1"/>
  <c r="O22" i="333"/>
  <c r="O24" i="333" s="1"/>
  <c r="U31" i="620"/>
  <c r="G30" i="620"/>
  <c r="N13" i="333"/>
  <c r="N17" i="333" s="1"/>
  <c r="K35" i="622"/>
  <c r="L35" i="622" s="1"/>
  <c r="X30" i="620"/>
  <c r="L30" i="620"/>
  <c r="U95" i="620"/>
  <c r="S95" i="620"/>
  <c r="K143" i="622"/>
  <c r="I16" i="621"/>
  <c r="H16" i="621"/>
  <c r="I22" i="621"/>
  <c r="H22" i="621"/>
  <c r="I7" i="621"/>
  <c r="H7" i="621"/>
  <c r="H21" i="621"/>
  <c r="I21" i="621"/>
  <c r="H18" i="621"/>
  <c r="I18" i="621"/>
  <c r="H8" i="621"/>
  <c r="I8" i="621"/>
  <c r="L95" i="620"/>
  <c r="H11" i="621"/>
  <c r="I11" i="621"/>
  <c r="H15" i="621"/>
  <c r="I15" i="621"/>
  <c r="H23" i="621"/>
  <c r="I23" i="621"/>
  <c r="I10" i="621"/>
  <c r="H10" i="621"/>
  <c r="N57" i="606"/>
  <c r="N56" i="606"/>
  <c r="J95" i="620"/>
  <c r="I95" i="620"/>
  <c r="U100" i="620"/>
  <c r="K258" i="622"/>
  <c r="E62" i="606"/>
  <c r="L142" i="622"/>
  <c r="M128" i="622"/>
  <c r="M142" i="622" s="1"/>
  <c r="E59" i="606"/>
  <c r="K190" i="622"/>
  <c r="H20" i="621"/>
  <c r="I20" i="621"/>
  <c r="K95" i="620"/>
  <c r="I14" i="621"/>
  <c r="H14" i="621"/>
  <c r="I9" i="621"/>
  <c r="H9" i="621"/>
  <c r="L127" i="622"/>
  <c r="M109" i="622"/>
  <c r="M127" i="622" s="1"/>
  <c r="E65" i="606"/>
  <c r="K327" i="622"/>
  <c r="H12" i="621"/>
  <c r="I12" i="621"/>
  <c r="I13" i="621"/>
  <c r="H13" i="621"/>
  <c r="H17" i="621"/>
  <c r="I17" i="621"/>
  <c r="H19" i="621"/>
  <c r="I19" i="621"/>
  <c r="N24" i="333" l="1"/>
  <c r="R17" i="333"/>
  <c r="K108" i="622"/>
  <c r="R21" i="333"/>
  <c r="K326" i="622"/>
  <c r="L258" i="622"/>
  <c r="N19" i="333"/>
  <c r="N20" i="333" s="1"/>
  <c r="N21" i="333" s="1"/>
  <c r="K341" i="622"/>
  <c r="L327" i="622"/>
  <c r="K257" i="622"/>
  <c r="L190" i="622"/>
  <c r="R19" i="333"/>
  <c r="M35" i="622"/>
  <c r="L108" i="622"/>
  <c r="F24" i="621"/>
  <c r="W28" i="620"/>
  <c r="Z28" i="620"/>
  <c r="AB28" i="620"/>
  <c r="K189" i="622"/>
  <c r="L143" i="622"/>
  <c r="R20" i="333"/>
  <c r="AB29" i="620"/>
  <c r="F25" i="621"/>
  <c r="G25" i="621" s="1"/>
  <c r="W29" i="620"/>
  <c r="Z29" i="620"/>
  <c r="K350" i="622" l="1"/>
  <c r="K1" i="622" s="1"/>
  <c r="P20" i="333"/>
  <c r="AB30" i="620"/>
  <c r="L189" i="622"/>
  <c r="M143" i="622"/>
  <c r="M189" i="622" s="1"/>
  <c r="M108" i="622"/>
  <c r="X31" i="620"/>
  <c r="W30" i="620"/>
  <c r="E51" i="606"/>
  <c r="E52" i="606" s="1"/>
  <c r="E53" i="606" s="1"/>
  <c r="E56" i="606" s="1"/>
  <c r="O15" i="333" s="1"/>
  <c r="M258" i="622"/>
  <c r="M326" i="622" s="1"/>
  <c r="L326" i="622"/>
  <c r="I25" i="621"/>
  <c r="H25" i="621"/>
  <c r="L257" i="622"/>
  <c r="M190" i="622"/>
  <c r="M257" i="622" s="1"/>
  <c r="F26" i="621"/>
  <c r="G24" i="621"/>
  <c r="L341" i="622"/>
  <c r="M327" i="622"/>
  <c r="M341" i="622" s="1"/>
  <c r="P17" i="333" l="1"/>
  <c r="P21" i="333"/>
  <c r="P11" i="333"/>
  <c r="P19" i="333"/>
  <c r="O26" i="333"/>
  <c r="N26" i="333"/>
  <c r="E47" i="606" s="1"/>
  <c r="O25" i="333"/>
  <c r="P13" i="333"/>
  <c r="L350" i="622"/>
  <c r="L1" i="622" s="1"/>
  <c r="M350" i="622"/>
  <c r="M1" i="622" s="1"/>
  <c r="H24" i="621"/>
  <c r="G26" i="621"/>
  <c r="I24" i="621"/>
  <c r="G11" i="332"/>
  <c r="H11" i="332" s="1"/>
  <c r="P24" i="333" l="1"/>
  <c r="R15" i="333"/>
  <c r="P15" i="333"/>
  <c r="H26" i="621"/>
  <c r="I26" i="621"/>
  <c r="S15" i="333" l="1"/>
  <c r="S17" i="333"/>
  <c r="S19" i="333"/>
  <c r="S21" i="333"/>
  <c r="S20" i="3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James L. Kirkpatrick</author>
  </authors>
  <commentList>
    <comment ref="N27" authorId="0" shapeId="0" xr:uid="{EB2B72EE-90CF-487F-880E-C84BD648CFAA}">
      <text>
        <r>
          <rPr>
            <b/>
            <sz val="9"/>
            <color indexed="81"/>
            <rFont val="Tahoma"/>
            <family val="2"/>
          </rPr>
          <t>James L. Kirkpatrick:</t>
        </r>
        <r>
          <rPr>
            <sz val="9"/>
            <color indexed="81"/>
            <rFont val="Tahoma"/>
            <family val="2"/>
          </rPr>
          <t xml:space="preserve">
This is due to the change from FRL to using the grad score for determining ATR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Drost, Adam</author>
    <author>James L. Kirkpatrick</author>
    <author>Adam Drost</author>
  </authors>
  <commentList>
    <comment ref="K8" authorId="0" shapeId="0" xr:uid="{560730E3-D224-4C81-A70A-5D9E33EB2552}">
      <text>
        <r>
          <rPr>
            <b/>
            <sz val="9"/>
            <color indexed="81"/>
            <rFont val="Tahoma"/>
            <charset val="1"/>
          </rPr>
          <t>Drost, Adam:</t>
        </r>
        <r>
          <rPr>
            <sz val="9"/>
            <color indexed="81"/>
            <rFont val="Tahoma"/>
            <charset val="1"/>
          </rPr>
          <t xml:space="preserve">
5/5/2023: Updated distance education enrollment with information provided by James Kirkpatrick.</t>
        </r>
      </text>
    </comment>
    <comment ref="G11" authorId="1" shapeId="0" xr:uid="{833BCF97-B5CC-4D73-9BD9-36B67067DE7D}">
      <text>
        <r>
          <rPr>
            <b/>
            <sz val="9"/>
            <color indexed="81"/>
            <rFont val="Tahoma"/>
            <charset val="1"/>
          </rPr>
          <t>James L. Kirkpatrick:</t>
        </r>
        <r>
          <rPr>
            <sz val="9"/>
            <color indexed="81"/>
            <rFont val="Tahoma"/>
            <charset val="1"/>
          </rPr>
          <t xml:space="preserve">
Added 95 students from GEMS.</t>
        </r>
      </text>
    </comment>
    <comment ref="H11" authorId="1" shapeId="0" xr:uid="{499684A0-DFA3-44B2-87B8-A70E70729FCE}">
      <text>
        <r>
          <rPr>
            <b/>
            <sz val="9"/>
            <color indexed="81"/>
            <rFont val="Tahoma"/>
            <charset val="1"/>
          </rPr>
          <t>James L. Kirkpatrick:</t>
        </r>
        <r>
          <rPr>
            <sz val="9"/>
            <color indexed="81"/>
            <rFont val="Tahoma"/>
            <charset val="1"/>
          </rPr>
          <t xml:space="preserve">
Added 16 students from GEMS.</t>
        </r>
      </text>
    </comment>
    <comment ref="I11" authorId="1" shapeId="0" xr:uid="{9B6A6336-3FB5-48D8-A002-2CCC68271B90}">
      <text>
        <r>
          <rPr>
            <b/>
            <sz val="9"/>
            <color indexed="81"/>
            <rFont val="Tahoma"/>
            <charset val="1"/>
          </rPr>
          <t>James L. Kirkpatrick:</t>
        </r>
        <r>
          <rPr>
            <sz val="9"/>
            <color indexed="81"/>
            <rFont val="Tahoma"/>
            <charset val="1"/>
          </rPr>
          <t xml:space="preserve">
Added 19 students from GEMS.</t>
        </r>
      </text>
    </comment>
    <comment ref="E27" authorId="2" shapeId="0" xr:uid="{88C00E68-D456-4190-92D8-3FE422E430AF}">
      <text>
        <r>
          <rPr>
            <b/>
            <sz val="9"/>
            <color indexed="81"/>
            <rFont val="Tahoma"/>
            <family val="2"/>
          </rPr>
          <t>Adam Drost:</t>
        </r>
        <r>
          <rPr>
            <sz val="9"/>
            <color indexed="81"/>
            <rFont val="Tahoma"/>
            <family val="2"/>
          </rPr>
          <t xml:space="preserve">
These amounts include Davidson Academy, which is broken out beginning in Tab 2.9.</t>
        </r>
      </text>
    </comment>
    <comment ref="K38" authorId="2" shapeId="0" xr:uid="{0D3A66ED-54C5-4A63-983C-03A250FACEDF}">
      <text>
        <r>
          <rPr>
            <b/>
            <sz val="9"/>
            <color indexed="81"/>
            <rFont val="Tahoma"/>
            <family val="2"/>
          </rPr>
          <t>Adam Drost:</t>
        </r>
        <r>
          <rPr>
            <sz val="9"/>
            <color indexed="81"/>
            <rFont val="Tahoma"/>
            <family val="2"/>
          </rPr>
          <t xml:space="preserve">
Removed per 5/20/2021 email from Rebecca Feiden.</t>
        </r>
      </text>
    </comment>
    <comment ref="G58" authorId="1" shapeId="0" xr:uid="{6F81BBF2-3FA2-4409-AD0A-90B1D75AEBA6}">
      <text>
        <r>
          <rPr>
            <b/>
            <sz val="9"/>
            <color indexed="81"/>
            <rFont val="Tahoma"/>
            <charset val="1"/>
          </rPr>
          <t>James L. Kirkpatrick:</t>
        </r>
        <r>
          <rPr>
            <sz val="9"/>
            <color indexed="81"/>
            <rFont val="Tahoma"/>
            <charset val="1"/>
          </rPr>
          <t xml:space="preserve">
GEMS is closing at the end of  the 22-23 school year. Moved enrollment to CCSD</t>
        </r>
      </text>
    </comment>
    <comment ref="H58" authorId="1" shapeId="0" xr:uid="{E3FD90AB-B18B-4C44-8D9A-2441DDDDF465}">
      <text>
        <r>
          <rPr>
            <b/>
            <sz val="9"/>
            <color indexed="81"/>
            <rFont val="Tahoma"/>
            <charset val="1"/>
          </rPr>
          <t>James L. Kirkpatrick:</t>
        </r>
        <r>
          <rPr>
            <sz val="9"/>
            <color indexed="81"/>
            <rFont val="Tahoma"/>
            <charset val="1"/>
          </rPr>
          <t xml:space="preserve">
GEMS is closing at the end of  the 22-23 school year. Moved enrollment to CCSD</t>
        </r>
      </text>
    </comment>
    <comment ref="I58" authorId="1" shapeId="0" xr:uid="{8E051284-B582-40FB-8197-64B11D83BD95}">
      <text>
        <r>
          <rPr>
            <b/>
            <sz val="9"/>
            <color indexed="81"/>
            <rFont val="Tahoma"/>
            <charset val="1"/>
          </rPr>
          <t>James L. Kirkpatrick:</t>
        </r>
        <r>
          <rPr>
            <sz val="9"/>
            <color indexed="81"/>
            <rFont val="Tahoma"/>
            <charset val="1"/>
          </rPr>
          <t xml:space="preserve">
GEMS is closing at the end of  the 22-23 school year. Moved enrollment to CCSD</t>
        </r>
      </text>
    </comment>
    <comment ref="G184" authorId="1" shapeId="0" xr:uid="{4BE46D01-5559-4661-85F2-4BF20EB8E8C2}">
      <text>
        <r>
          <rPr>
            <b/>
            <sz val="9"/>
            <color indexed="81"/>
            <rFont val="Tahoma"/>
            <family val="2"/>
          </rPr>
          <t>James L. Kirkpatrick:</t>
        </r>
        <r>
          <rPr>
            <sz val="9"/>
            <color indexed="81"/>
            <rFont val="Tahoma"/>
            <family val="2"/>
          </rPr>
          <t xml:space="preserve">
adjust 180 kids for Rooted Charter.</t>
        </r>
      </text>
    </comment>
    <comment ref="G354" authorId="1" shapeId="0" xr:uid="{4E13BB6E-257B-42CF-B82E-BC7BD3F2A901}">
      <text>
        <r>
          <rPr>
            <b/>
            <sz val="9"/>
            <color indexed="81"/>
            <rFont val="Tahoma"/>
            <family val="2"/>
          </rPr>
          <t>James L. Kirkpatrick:</t>
        </r>
        <r>
          <rPr>
            <sz val="9"/>
            <color indexed="81"/>
            <rFont val="Tahoma"/>
            <family val="2"/>
          </rPr>
          <t xml:space="preserve">
adjust 540 kids for Eagle Charter</t>
        </r>
      </text>
    </comment>
    <comment ref="G355" authorId="1" shapeId="0" xr:uid="{098B44C6-A562-4F89-BEB9-76F054CFDF1C}">
      <text>
        <r>
          <rPr>
            <b/>
            <sz val="9"/>
            <color indexed="81"/>
            <rFont val="Tahoma"/>
            <family val="2"/>
          </rPr>
          <t>James L. Kirkpatrick:</t>
        </r>
        <r>
          <rPr>
            <sz val="9"/>
            <color indexed="81"/>
            <rFont val="Tahoma"/>
            <family val="2"/>
          </rPr>
          <t xml:space="preserve">
Increased 87 students due to closure of GEMS</t>
        </r>
      </text>
    </comment>
    <comment ref="G399" authorId="1" shapeId="0" xr:uid="{0B51E357-040A-4DA6-A513-EF04A9669869}">
      <text>
        <r>
          <rPr>
            <b/>
            <sz val="9"/>
            <color indexed="81"/>
            <rFont val="Tahoma"/>
            <family val="2"/>
          </rPr>
          <t>James L. Kirkpatrick:</t>
        </r>
        <r>
          <rPr>
            <sz val="9"/>
            <color indexed="81"/>
            <rFont val="Tahoma"/>
            <family val="2"/>
          </rPr>
          <t xml:space="preserve">
Adjust 200 kids for Southern Nevada Trades Charter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Adam Drost</author>
  </authors>
  <commentList>
    <comment ref="I14" authorId="0" shapeId="0" xr:uid="{939CA71F-47AE-42E3-95FB-DDEDC6B28234}">
      <text>
        <r>
          <rPr>
            <b/>
            <sz val="9"/>
            <color indexed="81"/>
            <rFont val="Tahoma"/>
            <family val="2"/>
          </rPr>
          <t>Adam Drost:</t>
        </r>
        <r>
          <rPr>
            <sz val="9"/>
            <color indexed="81"/>
            <rFont val="Tahoma"/>
            <family val="2"/>
          </rPr>
          <t xml:space="preserve">
Taxation information from May 2021.  These projections are the tax on net proceeds and do not include the proceeds from the 75-cent rate apply to royalties.  That is why the amount is lower than FY 2022 projections.  However, this information was used to share out NPM.</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Adam Drost</author>
  </authors>
  <commentList>
    <comment ref="J33" authorId="0" shapeId="0" xr:uid="{C0B2CCDF-0394-4E4C-A1DF-B6EDC1D07214}">
      <text>
        <r>
          <rPr>
            <b/>
            <sz val="9"/>
            <color indexed="81"/>
            <rFont val="Tahoma"/>
            <family val="2"/>
          </rPr>
          <t>Adam Drost:</t>
        </r>
        <r>
          <rPr>
            <sz val="9"/>
            <color indexed="81"/>
            <rFont val="Tahoma"/>
            <family val="2"/>
          </rPr>
          <t xml:space="preserve">
Revised per 5/14/21 NDE email for kindergarten.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Adam Drost</author>
    <author>James L. Kirkpatrick</author>
  </authors>
  <commentList>
    <comment ref="F7" authorId="0" shapeId="0" xr:uid="{06465483-132C-4F57-B9D8-1D6FF3E43EB2}">
      <text>
        <r>
          <rPr>
            <b/>
            <sz val="9"/>
            <color indexed="81"/>
            <rFont val="Tahoma"/>
            <family val="2"/>
          </rPr>
          <t>Adam Drost:</t>
        </r>
        <r>
          <rPr>
            <sz val="9"/>
            <color indexed="81"/>
            <rFont val="Tahoma"/>
            <family val="2"/>
          </rPr>
          <t xml:space="preserve">
Applies compounding interest to reflect increases from FY 2020 to FY 2022 (two year period)</t>
        </r>
      </text>
    </comment>
    <comment ref="F9" authorId="1" shapeId="0" xr:uid="{15DE558C-A24B-4390-AC8C-0482DBAF6C15}">
      <text>
        <r>
          <rPr>
            <b/>
            <sz val="9"/>
            <color indexed="81"/>
            <rFont val="Tahoma"/>
            <family val="2"/>
          </rPr>
          <t>James L. Kirkpatrick:</t>
        </r>
        <r>
          <rPr>
            <sz val="9"/>
            <color indexed="81"/>
            <rFont val="Tahoma"/>
            <family val="2"/>
          </rPr>
          <t xml:space="preserve">
Special Transportation costs for district is included in the actual transportation costs that are used to calculated the 4 year average allocations.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James L. Kirkpatrick</author>
  </authors>
  <commentList>
    <comment ref="F74" authorId="0" shapeId="0" xr:uid="{31D3DED9-FB16-4E72-A73B-DF7847ECC58D}">
      <text>
        <r>
          <rPr>
            <b/>
            <sz val="9"/>
            <color indexed="81"/>
            <rFont val="Tahoma"/>
            <family val="2"/>
          </rPr>
          <t>James L. Kirkpatrick:</t>
        </r>
        <r>
          <rPr>
            <sz val="9"/>
            <color indexed="81"/>
            <rFont val="Tahoma"/>
            <family val="2"/>
          </rPr>
          <t xml:space="preserve">
This was reported as Revenue from Intermediate Sources. Revenue Received from CCSD for Special Education.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Adam Drost</author>
  </authors>
  <commentList>
    <comment ref="G127" authorId="0" shapeId="0" xr:uid="{8507FD10-4BDE-4C2D-9F25-EA99C9B22CE4}">
      <text>
        <r>
          <rPr>
            <b/>
            <sz val="9"/>
            <color indexed="81"/>
            <rFont val="Tahoma"/>
            <family val="2"/>
          </rPr>
          <t>Adam Drost:</t>
        </r>
        <r>
          <rPr>
            <sz val="9"/>
            <color indexed="81"/>
            <rFont val="Tahoma"/>
            <family val="2"/>
          </rPr>
          <t xml:space="preserve">
Intent is to provide the charter with the same per pupil adjustment that is received by other public schools in that attendance area.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Adam Drost</author>
  </authors>
  <commentList>
    <comment ref="V6" authorId="0" shapeId="0" xr:uid="{1399707F-1FC4-41AC-9CF2-426DECC5DFCF}">
      <text>
        <r>
          <rPr>
            <b/>
            <sz val="9"/>
            <color indexed="81"/>
            <rFont val="Tahoma"/>
            <family val="2"/>
          </rPr>
          <t>Adam Drost:</t>
        </r>
        <r>
          <rPr>
            <sz val="9"/>
            <color indexed="81"/>
            <rFont val="Tahoma"/>
            <family val="2"/>
          </rPr>
          <t xml:space="preserve">
Per LCB Legal, once a school district/charter is on PCFP, they cannot change to hold harmless.  This provides a check for the assignment in the prior fiscal year.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Adam Drost</author>
  </authors>
  <commentList>
    <comment ref="Y7" authorId="0" shapeId="0" xr:uid="{CEEE93C2-2E6F-4E1A-922C-4184570D1199}">
      <text>
        <r>
          <rPr>
            <b/>
            <sz val="9"/>
            <color indexed="81"/>
            <rFont val="Tahoma"/>
            <family val="2"/>
          </rPr>
          <t>Adam Drost:</t>
        </r>
        <r>
          <rPr>
            <sz val="9"/>
            <color indexed="81"/>
            <rFont val="Tahoma"/>
            <family val="2"/>
          </rPr>
          <t xml:space="preserve">
Per LCB Legal, once a school district/charter is on PCFP, they cannot change to hold harmless.  This provides a check for the assignment in the prior fiscal year.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Drost, Adam</author>
    <author>Adam Drost</author>
  </authors>
  <commentList>
    <comment ref="K8" authorId="0" shapeId="0" xr:uid="{BB8E634E-AD2A-4820-98EF-4DA738FB280F}">
      <text>
        <r>
          <rPr>
            <b/>
            <sz val="9"/>
            <color indexed="81"/>
            <rFont val="Tahoma"/>
            <charset val="1"/>
          </rPr>
          <t>Drost, Adam:</t>
        </r>
        <r>
          <rPr>
            <sz val="9"/>
            <color indexed="81"/>
            <rFont val="Tahoma"/>
            <charset val="1"/>
          </rPr>
          <t xml:space="preserve">
5/5/2023: Updated distance education enrollment with information provided by James Kirkpatrick.</t>
        </r>
      </text>
    </comment>
    <comment ref="E26" authorId="1" shapeId="0" xr:uid="{737F0D64-314F-4F9B-BD24-0830CA1E7AC7}">
      <text>
        <r>
          <rPr>
            <b/>
            <sz val="9"/>
            <color indexed="81"/>
            <rFont val="Tahoma"/>
            <family val="2"/>
          </rPr>
          <t>Adam Drost:</t>
        </r>
        <r>
          <rPr>
            <sz val="9"/>
            <color indexed="81"/>
            <rFont val="Tahoma"/>
            <family val="2"/>
          </rPr>
          <t xml:space="preserve">
These amounts include Davidson Academy, which is broken out beginning in Tab 2.9.</t>
        </r>
      </text>
    </comment>
    <comment ref="E27" authorId="1" shapeId="0" xr:uid="{751FB180-FA41-4238-9366-DD739C3E507F}">
      <text>
        <r>
          <rPr>
            <b/>
            <sz val="9"/>
            <color indexed="81"/>
            <rFont val="Tahoma"/>
            <family val="2"/>
          </rPr>
          <t>Adam Drost:</t>
        </r>
        <r>
          <rPr>
            <sz val="9"/>
            <color indexed="81"/>
            <rFont val="Tahoma"/>
            <family val="2"/>
          </rPr>
          <t xml:space="preserve">
These amounts include Davidson Academy, which is broken out beginning in Tab 2.9.</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Adam Drost</author>
  </authors>
  <commentList>
    <comment ref="J14" authorId="0" shapeId="0" xr:uid="{85D45291-630A-48DA-83F0-A8B661368888}">
      <text>
        <r>
          <rPr>
            <b/>
            <sz val="9"/>
            <color indexed="81"/>
            <rFont val="Tahoma"/>
            <family val="2"/>
          </rPr>
          <t>Adam Drost:</t>
        </r>
        <r>
          <rPr>
            <sz val="9"/>
            <color indexed="81"/>
            <rFont val="Tahoma"/>
            <family val="2"/>
          </rPr>
          <t xml:space="preserve">
Taxation information from May 2021.  These projections are the tax on net proceeds and do not include the proceeds from the 75-cent rate apply to royalties.  That is why the amount is lower than FY 2022 projections.  However, this information was used to share out NPM.</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Adam Drost</author>
    <author>James L. Kirkpatrick</author>
  </authors>
  <commentList>
    <comment ref="F7" authorId="0" shapeId="0" xr:uid="{D2AAFFA5-0C0C-43FB-A641-DB001FEBAD12}">
      <text>
        <r>
          <rPr>
            <b/>
            <sz val="9"/>
            <color indexed="81"/>
            <rFont val="Tahoma"/>
            <family val="2"/>
          </rPr>
          <t>Adam Drost:</t>
        </r>
        <r>
          <rPr>
            <sz val="9"/>
            <color indexed="81"/>
            <rFont val="Tahoma"/>
            <family val="2"/>
          </rPr>
          <t xml:space="preserve">
Applies compounding interest to reflect increases from FY 2020 to FY 2022 (two year period)</t>
        </r>
      </text>
    </comment>
    <comment ref="F9" authorId="1" shapeId="0" xr:uid="{E45E4C81-DDC1-4105-8657-4F12DF451329}">
      <text>
        <r>
          <rPr>
            <b/>
            <sz val="9"/>
            <color indexed="81"/>
            <rFont val="Tahoma"/>
            <family val="2"/>
          </rPr>
          <t>James L. Kirkpatrick:</t>
        </r>
        <r>
          <rPr>
            <sz val="9"/>
            <color indexed="81"/>
            <rFont val="Tahoma"/>
            <family val="2"/>
          </rPr>
          <t xml:space="preserve">
Special Transportation costs for district is included in the actual transportation costs that are used to calculated the 4 year average allocations.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Drost, Adam</author>
    <author>Adam Drost</author>
  </authors>
  <commentList>
    <comment ref="D51" authorId="0" shapeId="0" xr:uid="{5A5DEA2D-11BD-4AA6-97C4-6345784F4633}">
      <text>
        <r>
          <rPr>
            <b/>
            <sz val="9"/>
            <color indexed="81"/>
            <rFont val="Tahoma"/>
            <charset val="1"/>
          </rPr>
          <t>Drost, Adam:</t>
        </r>
        <r>
          <rPr>
            <sz val="9"/>
            <color indexed="81"/>
            <rFont val="Tahoma"/>
            <charset val="1"/>
          </rPr>
          <t xml:space="preserve">
5/5/2023: This attendance area had an adjustment for the online school, which was remvoed. </t>
        </r>
      </text>
    </comment>
    <comment ref="G127" authorId="1" shapeId="0" xr:uid="{0D9E6F64-364A-46CF-9AE0-76EA6B3D2651}">
      <text>
        <r>
          <rPr>
            <b/>
            <sz val="9"/>
            <color indexed="81"/>
            <rFont val="Tahoma"/>
            <family val="2"/>
          </rPr>
          <t>Adam Drost:</t>
        </r>
        <r>
          <rPr>
            <sz val="9"/>
            <color indexed="81"/>
            <rFont val="Tahoma"/>
            <family val="2"/>
          </rPr>
          <t xml:space="preserve">
Intent is to provide the charter with the same per pupil adjustment that is received by other public schools in that attendance area.</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Adam Drost</author>
  </authors>
  <commentList>
    <comment ref="V6" authorId="0" shapeId="0" xr:uid="{15282611-CCB1-4DFC-98E2-07BFC034598E}">
      <text>
        <r>
          <rPr>
            <b/>
            <sz val="9"/>
            <color indexed="81"/>
            <rFont val="Tahoma"/>
            <family val="2"/>
          </rPr>
          <t>Adam Drost:</t>
        </r>
        <r>
          <rPr>
            <sz val="9"/>
            <color indexed="81"/>
            <rFont val="Tahoma"/>
            <family val="2"/>
          </rPr>
          <t xml:space="preserve">
Per LCB Legal, once a school district/charter is on PCFP, they cannot change to hold harmless.  This provides a check for the assignment in the prior fiscal year.</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Adam Drost</author>
  </authors>
  <commentList>
    <comment ref="K3" authorId="0" shapeId="0" xr:uid="{00DDEACD-0D3C-4029-B3FD-B8DC3A93D8FD}">
      <text>
        <r>
          <rPr>
            <b/>
            <sz val="9"/>
            <color indexed="81"/>
            <rFont val="Tahoma"/>
            <family val="2"/>
          </rPr>
          <t>Adam Drost:</t>
        </r>
        <r>
          <rPr>
            <sz val="9"/>
            <color indexed="81"/>
            <rFont val="Tahoma"/>
            <family val="2"/>
          </rPr>
          <t xml:space="preserve">
Taken from Cell V34 of Tab 3.2a.</t>
        </r>
      </text>
    </comment>
    <comment ref="Y7" authorId="0" shapeId="0" xr:uid="{3BB8D3BD-9005-4502-ACA1-2FE3295B6DFA}">
      <text>
        <r>
          <rPr>
            <b/>
            <sz val="9"/>
            <color indexed="81"/>
            <rFont val="Tahoma"/>
            <family val="2"/>
          </rPr>
          <t>Adam Drost:</t>
        </r>
        <r>
          <rPr>
            <sz val="9"/>
            <color indexed="81"/>
            <rFont val="Tahoma"/>
            <family val="2"/>
          </rPr>
          <t xml:space="preserve">
Per LCB Legal, once a school district/charter is on PCFP, they cannot change to hold harmless.  This provides a check for the assignment in the prior fiscal year.</t>
        </r>
      </text>
    </comment>
  </commentList>
</comments>
</file>

<file path=xl/sharedStrings.xml><?xml version="1.0" encoding="utf-8"?>
<sst xmlns="http://schemas.openxmlformats.org/spreadsheetml/2006/main" count="5809" uniqueCount="1886">
  <si>
    <t>Total</t>
  </si>
  <si>
    <t>Churchill</t>
  </si>
  <si>
    <t>Clark</t>
  </si>
  <si>
    <t>Douglas</t>
  </si>
  <si>
    <t>Elko</t>
  </si>
  <si>
    <t>Esmeralda</t>
  </si>
  <si>
    <t>Eureka</t>
  </si>
  <si>
    <t>Humboldt</t>
  </si>
  <si>
    <t>Lander</t>
  </si>
  <si>
    <t>Lincoln</t>
  </si>
  <si>
    <t>Lyon</t>
  </si>
  <si>
    <t>Mineral</t>
  </si>
  <si>
    <t>Nye</t>
  </si>
  <si>
    <t>Carson City</t>
  </si>
  <si>
    <t>Pershing</t>
  </si>
  <si>
    <t>Storey</t>
  </si>
  <si>
    <t>Washoe</t>
  </si>
  <si>
    <t>White Pine</t>
  </si>
  <si>
    <t>Carson</t>
  </si>
  <si>
    <t>Per Pupil</t>
  </si>
  <si>
    <t>At-Risk</t>
  </si>
  <si>
    <t>Enrollment</t>
  </si>
  <si>
    <t>Democracy Prep</t>
  </si>
  <si>
    <t>Sports Leadership and Management Academy</t>
  </si>
  <si>
    <t>Equipo Academy</t>
  </si>
  <si>
    <t>Mater Academy</t>
  </si>
  <si>
    <t>Leadership Academy of Nevada</t>
  </si>
  <si>
    <t>Learning Bridge</t>
  </si>
  <si>
    <t>Honors Academy of Literature</t>
  </si>
  <si>
    <t>Pinecrest Academy of Nevada</t>
  </si>
  <si>
    <t>Somerset Academy</t>
  </si>
  <si>
    <t>Discovery Charter</t>
  </si>
  <si>
    <t>Oasis Academy</t>
  </si>
  <si>
    <t>Elko Institute for Academic Achievement</t>
  </si>
  <si>
    <t>Quest Academy</t>
  </si>
  <si>
    <t>Imagine School Mountain View</t>
  </si>
  <si>
    <t>Silver Sands Montessori</t>
  </si>
  <si>
    <t>Nevada State High School</t>
  </si>
  <si>
    <t>Nevada Connections Academy</t>
  </si>
  <si>
    <t>Nevada Virtual Academy</t>
  </si>
  <si>
    <t>Coral Academy of Science Las Vegas</t>
  </si>
  <si>
    <t>100 Academy Of Excellence</t>
  </si>
  <si>
    <t>Academy For Career Education</t>
  </si>
  <si>
    <t>Bailey Charter School</t>
  </si>
  <si>
    <t>Beacon Academy</t>
  </si>
  <si>
    <t>Carson Montessori</t>
  </si>
  <si>
    <t>Coral Academy Washoe</t>
  </si>
  <si>
    <t>Davidson Academy</t>
  </si>
  <si>
    <t>Delta Academy</t>
  </si>
  <si>
    <t>Doral Academy of Northern Nevada</t>
  </si>
  <si>
    <t>enCompass Academy</t>
  </si>
  <si>
    <t>Explore Knowledge Academy</t>
  </si>
  <si>
    <t>Founders Academy of Las Vegas</t>
  </si>
  <si>
    <t>Futuro Academy Elementary</t>
  </si>
  <si>
    <t>High Desert Montessori</t>
  </si>
  <si>
    <t>Innovations Int'l Charter</t>
  </si>
  <si>
    <t>Legacy Traditional Schools</t>
  </si>
  <si>
    <t>Mariposa Dual Language Academy</t>
  </si>
  <si>
    <t>Mater Academy of Northern Nevada</t>
  </si>
  <si>
    <t>Odyssey Charter Schools</t>
  </si>
  <si>
    <t>Rainbow Dreams Academy</t>
  </si>
  <si>
    <t>Sierra Nevada Academy Charter</t>
  </si>
  <si>
    <t>Transportation</t>
  </si>
  <si>
    <t>Charter Total</t>
  </si>
  <si>
    <t>Piggott Academy ES</t>
  </si>
  <si>
    <t>Crestwood ES</t>
  </si>
  <si>
    <t>Early Childhood</t>
  </si>
  <si>
    <t>Sunrise Acres ES</t>
  </si>
  <si>
    <t>Twin Lakes ES</t>
  </si>
  <si>
    <t>Vegas Verdes ES</t>
  </si>
  <si>
    <t>Stanford ES</t>
  </si>
  <si>
    <t>Valley HS</t>
  </si>
  <si>
    <t>Sunrise Mountain HS</t>
  </si>
  <si>
    <t>Desert Oasis HS</t>
  </si>
  <si>
    <t>Mountain View ES</t>
  </si>
  <si>
    <t>Early Childhood ES</t>
  </si>
  <si>
    <t>Doral Academy</t>
  </si>
  <si>
    <t>Table of Contents</t>
  </si>
  <si>
    <t>Amount</t>
  </si>
  <si>
    <t>Notes</t>
  </si>
  <si>
    <t>[3]</t>
  </si>
  <si>
    <t>[4]</t>
  </si>
  <si>
    <t>Crosscheck</t>
  </si>
  <si>
    <t>Total Funding Allocations</t>
  </si>
  <si>
    <t>Charter Schools</t>
  </si>
  <si>
    <t>Effective Weights</t>
  </si>
  <si>
    <t>Totals</t>
  </si>
  <si>
    <t>School District</t>
  </si>
  <si>
    <t>Funding</t>
  </si>
  <si>
    <t>Total School Districts</t>
  </si>
  <si>
    <t xml:space="preserve">Total </t>
  </si>
  <si>
    <t>Nevada Prep</t>
  </si>
  <si>
    <t>Available</t>
  </si>
  <si>
    <t>Allocated</t>
  </si>
  <si>
    <t>Remaining</t>
  </si>
  <si>
    <t>Baseline English</t>
  </si>
  <si>
    <t>Learner Funding</t>
  </si>
  <si>
    <t>Baseline At-Risk</t>
  </si>
  <si>
    <t>Student Funding</t>
  </si>
  <si>
    <t>Baseline GATE</t>
  </si>
  <si>
    <t>Funding Per Pupil</t>
  </si>
  <si>
    <t>English</t>
  </si>
  <si>
    <t>Talented</t>
  </si>
  <si>
    <t>Learners</t>
  </si>
  <si>
    <t xml:space="preserve">Gifted &amp; </t>
  </si>
  <si>
    <t xml:space="preserve">Gifted and </t>
  </si>
  <si>
    <t>K12 Education</t>
  </si>
  <si>
    <t>Al Seeliger Elementary</t>
  </si>
  <si>
    <t>Bordewich/Bray Elementary</t>
  </si>
  <si>
    <t>Carson High School</t>
  </si>
  <si>
    <t>Carson Middle School</t>
  </si>
  <si>
    <t>Eagle Valley Middle School</t>
  </si>
  <si>
    <t>Edith W. Fritsch Elementary</t>
  </si>
  <si>
    <t>Empire Elementary</t>
  </si>
  <si>
    <t>Fremont Elementary</t>
  </si>
  <si>
    <t>Mark Twain Elementary</t>
  </si>
  <si>
    <t>Pioneer High</t>
  </si>
  <si>
    <t>Churchill County High School</t>
  </si>
  <si>
    <t>Churchill County Middle School</t>
  </si>
  <si>
    <t>E C Best Elementary</t>
  </si>
  <si>
    <t>Lahontan Elementary School</t>
  </si>
  <si>
    <t>Northside Early Learning Center</t>
  </si>
  <si>
    <t>Adams, Kirk ES</t>
  </si>
  <si>
    <t>Adcock, O K ES</t>
  </si>
  <si>
    <t>Advanced Technologies Academy HS</t>
  </si>
  <si>
    <t>Alamo, Tony ES</t>
  </si>
  <si>
    <t>Allen, Dean LaMar ES</t>
  </si>
  <si>
    <t>Antonello, Lee ES</t>
  </si>
  <si>
    <t>Arbor View HS</t>
  </si>
  <si>
    <t>Bailey, Dr William H MS</t>
  </si>
  <si>
    <t>Bailey, Sister Robert Joseph ES</t>
  </si>
  <si>
    <t>Bartlett, Selma F ES</t>
  </si>
  <si>
    <t>Basic Academy of Int'l Studies HS</t>
  </si>
  <si>
    <t>Bass, John C ES</t>
  </si>
  <si>
    <t>Batterman, Kathy L ES</t>
  </si>
  <si>
    <t>Beatty, John R ES</t>
  </si>
  <si>
    <t>Becker, Ernest MS</t>
  </si>
  <si>
    <t>Beckley, Will ES</t>
  </si>
  <si>
    <t>Bell, Rex ES</t>
  </si>
  <si>
    <t>Bendorf, Patricia A ES</t>
  </si>
  <si>
    <t>Bennett, William G ES</t>
  </si>
  <si>
    <t>Berkley, Shelley ES</t>
  </si>
  <si>
    <t>Bilbray, James ES</t>
  </si>
  <si>
    <t>Blue Diamond ES</t>
  </si>
  <si>
    <t>Bonanza HS</t>
  </si>
  <si>
    <t>Bonner, John W ES</t>
  </si>
  <si>
    <t>Booker, Kermit R Sr ES</t>
  </si>
  <si>
    <t>Boulder City HS</t>
  </si>
  <si>
    <t>Bowler, Grant ES</t>
  </si>
  <si>
    <t>Bowler, Joseph L ES</t>
  </si>
  <si>
    <t>Bozarth, Henry &amp; Evelyn ES</t>
  </si>
  <si>
    <t>Bracken, Walter ES</t>
  </si>
  <si>
    <t>Bridger, Jim MS</t>
  </si>
  <si>
    <t>Brinley, J Harold MS</t>
  </si>
  <si>
    <t>Brookman, Eileen B ES</t>
  </si>
  <si>
    <t>Brown, B Mahlon JHS</t>
  </si>
  <si>
    <t>Bruner, Lucile ES</t>
  </si>
  <si>
    <t>Bryan, Richard H ES</t>
  </si>
  <si>
    <t>Bryan, Roger M ES</t>
  </si>
  <si>
    <t>Bunker, Berkeley L ES</t>
  </si>
  <si>
    <t>Burk Horizon-Southwest Sunset HS</t>
  </si>
  <si>
    <t>Burkholder, Lyal MS</t>
  </si>
  <si>
    <t>Cadwallader, Ralph MS</t>
  </si>
  <si>
    <t>Cahlan, Marion ES</t>
  </si>
  <si>
    <t>Cambeiro, Arturo ES</t>
  </si>
  <si>
    <t>Canarelli, Lawrence &amp; Heidi MS</t>
  </si>
  <si>
    <t>Cannon, Helen C JHS</t>
  </si>
  <si>
    <t>Canyon Springs HS</t>
  </si>
  <si>
    <t>Carl, Kay ES</t>
  </si>
  <si>
    <t>Cartwright, Roberta C ES</t>
  </si>
  <si>
    <t>Cashman, James MS</t>
  </si>
  <si>
    <t>Centennial HS</t>
  </si>
  <si>
    <t>Chaparral HS</t>
  </si>
  <si>
    <t>Cheyenne HS</t>
  </si>
  <si>
    <t>Christensen, M J ES</t>
  </si>
  <si>
    <t>Cimarron-Memorial HS</t>
  </si>
  <si>
    <t>Clark County Detention Ctr J-SHS</t>
  </si>
  <si>
    <t>Clark, Ed W HS</t>
  </si>
  <si>
    <t>College of So NV HS East</t>
  </si>
  <si>
    <t>College of So NV HS South</t>
  </si>
  <si>
    <t>College of So NV HS West</t>
  </si>
  <si>
    <t>Conners, Eileen ES</t>
  </si>
  <si>
    <t>Coronado HS</t>
  </si>
  <si>
    <t>Cortez, Manuel J ES</t>
  </si>
  <si>
    <t>Cortney, Francis H JHS</t>
  </si>
  <si>
    <t>Cowan Academic Center J-SHS</t>
  </si>
  <si>
    <t>Cowan Sunset Southeast HS</t>
  </si>
  <si>
    <t>Cox, Clyde C ES</t>
  </si>
  <si>
    <t>Cox, David M ES</t>
  </si>
  <si>
    <t>Cozine, Steve and Linda ES</t>
  </si>
  <si>
    <t>Craig, Lois ES</t>
  </si>
  <si>
    <t>Cram, Brian &amp; Teri MS</t>
  </si>
  <si>
    <t>Culley, Paul E ES</t>
  </si>
  <si>
    <t>Cunningham, Cynthia ES</t>
  </si>
  <si>
    <t>Dailey, Jack ES</t>
  </si>
  <si>
    <t>Darnell, Marshall C ES</t>
  </si>
  <si>
    <t>Dearing, Laura ES</t>
  </si>
  <si>
    <t>Decker, C H ES</t>
  </si>
  <si>
    <t>Del Sol Academy of Performing Arts HS</t>
  </si>
  <si>
    <t>Derfelt, Herbert A ES</t>
  </si>
  <si>
    <t>Desert Pines HS</t>
  </si>
  <si>
    <t>Desert Rose HS</t>
  </si>
  <si>
    <t>Desert Willow J-SHS</t>
  </si>
  <si>
    <t>Deskin, Ruthe ES</t>
  </si>
  <si>
    <t>Detwiler, Ollie ES</t>
  </si>
  <si>
    <t>Diaz, Ruben P ES</t>
  </si>
  <si>
    <t>Dickens, D L Dusty ES</t>
  </si>
  <si>
    <t>Diskin, P A ES</t>
  </si>
  <si>
    <t>Dondero, Harvey N ES</t>
  </si>
  <si>
    <t>Dooley, John ES</t>
  </si>
  <si>
    <t>Duncan, Ruby ES</t>
  </si>
  <si>
    <t>Durango HS</t>
  </si>
  <si>
    <t>Earl, Ira J ES</t>
  </si>
  <si>
    <t>Earl, Marion B ES</t>
  </si>
  <si>
    <t>East Career and Technical Academy HS</t>
  </si>
  <si>
    <t>Edwards, Elbert ES</t>
  </si>
  <si>
    <t>Eisenberg, Dorothy ES</t>
  </si>
  <si>
    <t>Eldorado HS</t>
  </si>
  <si>
    <t>Elizondo, Raul P ES</t>
  </si>
  <si>
    <t>Escobedo, Edmundo Eddie Sr MS</t>
  </si>
  <si>
    <t>Faiss, Wilbur &amp; Theresa MS</t>
  </si>
  <si>
    <t>Ferron, William E ES</t>
  </si>
  <si>
    <t>Fertitta, Victoria MS</t>
  </si>
  <si>
    <t>Findlay, Clifford O MS</t>
  </si>
  <si>
    <t>Fine, Mark L ES</t>
  </si>
  <si>
    <t>Fitzgerald, H P ES</t>
  </si>
  <si>
    <t>Fong, Wing and Lilly ES</t>
  </si>
  <si>
    <t>Foothill HS</t>
  </si>
  <si>
    <t>Forbuss, Robert L ES</t>
  </si>
  <si>
    <t>Fremont, John C Professional Dev MS</t>
  </si>
  <si>
    <t>French, Doris ES</t>
  </si>
  <si>
    <t>Frias, Charles &amp; Phyllis ES</t>
  </si>
  <si>
    <t>Galloway, Fay ES</t>
  </si>
  <si>
    <t>Garehime, Edith ES</t>
  </si>
  <si>
    <t>Garrett, Elton M JHS</t>
  </si>
  <si>
    <t>Garside, Frank F JHS</t>
  </si>
  <si>
    <t>Gehring, Roger D Acad of Science &amp; Technology ES</t>
  </si>
  <si>
    <t>Gibson, James ES</t>
  </si>
  <si>
    <t>Gibson, Robert O MS</t>
  </si>
  <si>
    <t>Gilbert, CVT ES</t>
  </si>
  <si>
    <t>Givens, Linda Rankin ES</t>
  </si>
  <si>
    <t>Global Community HS</t>
  </si>
  <si>
    <t>Goldfarb, Daniel ES</t>
  </si>
  <si>
    <t>Goodsprings ES</t>
  </si>
  <si>
    <t>Goolsby, Judy &amp; John L ES</t>
  </si>
  <si>
    <t>Goynes, Theron H &amp; Naomi D ES</t>
  </si>
  <si>
    <t>Gragson, Oran K ES</t>
  </si>
  <si>
    <t>Gray, R Guild ES</t>
  </si>
  <si>
    <t>Green Valley HS</t>
  </si>
  <si>
    <t>Greenspun, Barbara &amp; Hank JHS</t>
  </si>
  <si>
    <t>Griffith, E W ES</t>
  </si>
  <si>
    <t>Guinn, Kenny C MS</t>
  </si>
  <si>
    <t>Guy, Addeliar D III ES</t>
  </si>
  <si>
    <t>Hancock, Doris ES</t>
  </si>
  <si>
    <t>Harmon, Harley ES</t>
  </si>
  <si>
    <t>Harney, Kathleen &amp; Tim MS</t>
  </si>
  <si>
    <t>Harris, George E ES</t>
  </si>
  <si>
    <t>Hayden, Don E ES</t>
  </si>
  <si>
    <t>Hayes, Keith C &amp; Karen W ES</t>
  </si>
  <si>
    <t>Heard, Lomie G ES, A Marzano Academy</t>
  </si>
  <si>
    <t>Heckethorn, Howard E ES</t>
  </si>
  <si>
    <t>Herr, Helen ES</t>
  </si>
  <si>
    <t>Herron, Fay ES</t>
  </si>
  <si>
    <t>Hewetson, Halle ES</t>
  </si>
  <si>
    <t>Hickey, Liliam Lujan ES</t>
  </si>
  <si>
    <t>Hill, Charlotte ES</t>
  </si>
  <si>
    <t>Hinman, Edna F ES</t>
  </si>
  <si>
    <t>Hoggard, Mabel ES</t>
  </si>
  <si>
    <t>Hollingsworth, Howard ES</t>
  </si>
  <si>
    <t>Hughes, Charles Arthur MS</t>
  </si>
  <si>
    <t>Hummel, John R ES</t>
  </si>
  <si>
    <t>Hyde Park MS</t>
  </si>
  <si>
    <t>Indian Springs ES</t>
  </si>
  <si>
    <t>Indian Springs HS</t>
  </si>
  <si>
    <t>Indian Springs MS</t>
  </si>
  <si>
    <t>Iverson, Mervin ES</t>
  </si>
  <si>
    <t>Jacobson, Walter ES</t>
  </si>
  <si>
    <t>Jeffers, Jay W ES</t>
  </si>
  <si>
    <t>Johnson, Walter JHS Academy of Int'l Studies</t>
  </si>
  <si>
    <t>Johnston, Carroll M MS</t>
  </si>
  <si>
    <t>Jones Blackhurst, Jan L ES</t>
  </si>
  <si>
    <t>Juvenile Detention 6-12 J-SHS</t>
  </si>
  <si>
    <t>Jydstrup, Helen ES</t>
  </si>
  <si>
    <t>Kahre, Marc ES</t>
  </si>
  <si>
    <t>Katz, Edythe &amp; Lloyd ES</t>
  </si>
  <si>
    <t>Keller, Charlotte &amp; Jerry ES</t>
  </si>
  <si>
    <t>Keller, Duane D MS</t>
  </si>
  <si>
    <t>Kelly, Matt ES</t>
  </si>
  <si>
    <t>Kesterson, Lorna J ES</t>
  </si>
  <si>
    <t>Kim, Frank ES</t>
  </si>
  <si>
    <t>King Jr , Martin Luther ES</t>
  </si>
  <si>
    <t>King, Martha P ES</t>
  </si>
  <si>
    <t>Knudson, K O MS</t>
  </si>
  <si>
    <t>Lake, Robert E ES</t>
  </si>
  <si>
    <t>Lamping, Frank ES</t>
  </si>
  <si>
    <t>Las Vegas Academy of the Arts HS</t>
  </si>
  <si>
    <t>Las Vegas HS</t>
  </si>
  <si>
    <t>Laughlin J-SHS</t>
  </si>
  <si>
    <t>Lawrence, Clifford J JHS</t>
  </si>
  <si>
    <t>Leavitt, Justice Myron E MS</t>
  </si>
  <si>
    <t>Legacy HS</t>
  </si>
  <si>
    <t>Liberty HS</t>
  </si>
  <si>
    <t>Lied STEM Academy MS</t>
  </si>
  <si>
    <t>Lincoln ES</t>
  </si>
  <si>
    <t>Long, Walter V ES</t>
  </si>
  <si>
    <t>Lowman, Mary &amp; Zel ES</t>
  </si>
  <si>
    <t>Lummis, William ES</t>
  </si>
  <si>
    <t>Lundy, Earl B ES</t>
  </si>
  <si>
    <t>Lunt, Robert ES</t>
  </si>
  <si>
    <t>Lynch, Ann ES</t>
  </si>
  <si>
    <t>Lyon, Mack MS</t>
  </si>
  <si>
    <t>Mack, Jerome MS</t>
  </si>
  <si>
    <t>Mack, Nate ES</t>
  </si>
  <si>
    <t>Mackey, Jo ES</t>
  </si>
  <si>
    <t>Manch, J E ES</t>
  </si>
  <si>
    <t>Mannion, Jack &amp; Terry MS</t>
  </si>
  <si>
    <t>Martin, Roy W MS</t>
  </si>
  <si>
    <t>Martinez, Reynaldo L ES</t>
  </si>
  <si>
    <t>Mathis, Dr. Beverly S ES</t>
  </si>
  <si>
    <t>May, Ernest ES</t>
  </si>
  <si>
    <t>McCall, Quannah ES</t>
  </si>
  <si>
    <t>McCaw, Gordon ES</t>
  </si>
  <si>
    <t>McDoniel, Estes M ES</t>
  </si>
  <si>
    <t>McMillan, James B ES</t>
  </si>
  <si>
    <t>McWilliams, J T ES</t>
  </si>
  <si>
    <t>Mendoza, John F ES</t>
  </si>
  <si>
    <t>Miley Achievement Center ES</t>
  </si>
  <si>
    <t>Miley Achievement Ctr J-SHS</t>
  </si>
  <si>
    <t>Miller, Bob MS</t>
  </si>
  <si>
    <t>Miller, John F ES</t>
  </si>
  <si>
    <t>Miller, Sandy Searles ES</t>
  </si>
  <si>
    <t>Mission High School</t>
  </si>
  <si>
    <t>Mitchell, Andrew ES</t>
  </si>
  <si>
    <t>Moapa Valley HS</t>
  </si>
  <si>
    <t>Mojave HS</t>
  </si>
  <si>
    <t>Molasky, Irwin &amp; Susan JHS</t>
  </si>
  <si>
    <t>Monaco, Mario C &amp; JoAnne MS</t>
  </si>
  <si>
    <t>Moore, William K ES</t>
  </si>
  <si>
    <t>Morris Sunset HS</t>
  </si>
  <si>
    <t>Morrow, Sue H ES</t>
  </si>
  <si>
    <t>Neal, Joseph M ES</t>
  </si>
  <si>
    <t>Newton, Ulis ES</t>
  </si>
  <si>
    <t>Northwest Career-Technical Academy HS</t>
  </si>
  <si>
    <t>NV Learning Academy J-SHS</t>
  </si>
  <si>
    <t>NW Career-Technical Academy ES</t>
  </si>
  <si>
    <t>O Roarke, Thomas ES</t>
  </si>
  <si>
    <t>Ober, D'Vorre &amp; Hal ES</t>
  </si>
  <si>
    <t>O'Callaghan, Mike MS i3 Learn Academy</t>
  </si>
  <si>
    <t>Orr, William E MS</t>
  </si>
  <si>
    <t>Palo Verde HS</t>
  </si>
  <si>
    <t>Paradise Prof Dev ES</t>
  </si>
  <si>
    <t>Park, John S ES</t>
  </si>
  <si>
    <t>Parson, Claude &amp; Stella ES</t>
  </si>
  <si>
    <t>Perkins, Dr Claude G ES</t>
  </si>
  <si>
    <t>Perkins, Ute ES</t>
  </si>
  <si>
    <t>Petersen, Dean ES</t>
  </si>
  <si>
    <t>Peterson Academic Center J-SHS</t>
  </si>
  <si>
    <t>Pittman, Vail ES</t>
  </si>
  <si>
    <t>Priest, Richard C ES</t>
  </si>
  <si>
    <t>Rancho HS</t>
  </si>
  <si>
    <t>Red Rock ES</t>
  </si>
  <si>
    <t>Reed, Doris M ES</t>
  </si>
  <si>
    <t>Reedom, Carolyn S ES</t>
  </si>
  <si>
    <t>Reid, Harry ES</t>
  </si>
  <si>
    <t>Rhodes, Betsy ES</t>
  </si>
  <si>
    <t>Ries, Aldeane Comito ES</t>
  </si>
  <si>
    <t>Roberts, Aggie ES</t>
  </si>
  <si>
    <t>Robison, Dell H MS</t>
  </si>
  <si>
    <t>Rogers, Lucille S ES</t>
  </si>
  <si>
    <t>Rogich, Sig MS</t>
  </si>
  <si>
    <t>Ronnow, C C ES</t>
  </si>
  <si>
    <t>Ronzone, Bertha ES</t>
  </si>
  <si>
    <t>Roundy, Dr C Owen ES</t>
  </si>
  <si>
    <t>Rowe, Lewis E ES</t>
  </si>
  <si>
    <t>Rundle, Richard ES</t>
  </si>
  <si>
    <t>Sandy Valley ES</t>
  </si>
  <si>
    <t>Sandy Valley J-SHS</t>
  </si>
  <si>
    <t>Saville, Anthony MS</t>
  </si>
  <si>
    <t>Sawyer, Grant MS</t>
  </si>
  <si>
    <t>Scherkenbach, William &amp; Mary ES</t>
  </si>
  <si>
    <t>Schofield, Jack Lund MS</t>
  </si>
  <si>
    <t>Schorr, Steve ES</t>
  </si>
  <si>
    <t>Scott, Jesse D ES</t>
  </si>
  <si>
    <t>Sedway, Marvin M MS</t>
  </si>
  <si>
    <t>Sewell, C T ES</t>
  </si>
  <si>
    <t>Shadow Ridge HS</t>
  </si>
  <si>
    <t>Sierra Vista HS</t>
  </si>
  <si>
    <t>Silverado HS</t>
  </si>
  <si>
    <t>Silvestri, Charles JHS</t>
  </si>
  <si>
    <t>Simmons, Eva G ES</t>
  </si>
  <si>
    <t>Smalley, James E &amp; A Rae ES</t>
  </si>
  <si>
    <t>Smith, Hal ES</t>
  </si>
  <si>
    <t>Smith, Helen M ES</t>
  </si>
  <si>
    <t>Smith, J D MS</t>
  </si>
  <si>
    <t>Snyder, Don &amp; Dee ES</t>
  </si>
  <si>
    <t>Snyder, William E ES</t>
  </si>
  <si>
    <t>South Academic Center J-SHS</t>
  </si>
  <si>
    <t>Southeast Career Technical Academy HS</t>
  </si>
  <si>
    <t>Southwest Career &amp; Technical Academy HS</t>
  </si>
  <si>
    <t>Spring Mountain J-SHS</t>
  </si>
  <si>
    <t>Spring Valley HS</t>
  </si>
  <si>
    <t>Squires, C P ES</t>
  </si>
  <si>
    <t>Staton, Ethel W ES</t>
  </si>
  <si>
    <t>Steele, Judith D ES</t>
  </si>
  <si>
    <t>Stevens, Josh ES</t>
  </si>
  <si>
    <t>Stewart, Helen J ES</t>
  </si>
  <si>
    <t>Stuckey, Evelyn ES</t>
  </si>
  <si>
    <t>Summit View Youth J-SHS</t>
  </si>
  <si>
    <t>Swainston, Theron L MS</t>
  </si>
  <si>
    <t>Tanaka, Wayne N ES</t>
  </si>
  <si>
    <t>Tarkanian, Lois &amp; Jerry MS</t>
  </si>
  <si>
    <t>Tarr, Sheila Academy of Int'l Studies ES</t>
  </si>
  <si>
    <t>Tartan, John ES</t>
  </si>
  <si>
    <t>Tate, Myrtle ES</t>
  </si>
  <si>
    <t>Taylor, Glen C ES</t>
  </si>
  <si>
    <t>Taylor, Robert L ES</t>
  </si>
  <si>
    <t>Thiriot, Joseph E ES</t>
  </si>
  <si>
    <t>Thomas, Ruby S ES</t>
  </si>
  <si>
    <t>Thompson, Sandra L ES</t>
  </si>
  <si>
    <t>Thorpe, Jim ES</t>
  </si>
  <si>
    <t>Tobler, R E ES</t>
  </si>
  <si>
    <t>Tomiyasu, Bill Y ES</t>
  </si>
  <si>
    <t>Treem, Harriet ES</t>
  </si>
  <si>
    <t>Triggs, Vincent L ES</t>
  </si>
  <si>
    <t>Twitchell, Neil C ES</t>
  </si>
  <si>
    <t>Ullom, J M ES</t>
  </si>
  <si>
    <t>Vanderburg, John ES</t>
  </si>
  <si>
    <t>Variety ES</t>
  </si>
  <si>
    <t>Variety J-SHS</t>
  </si>
  <si>
    <t>Vassiliadis, Billy &amp; Rosemary ES</t>
  </si>
  <si>
    <t>Veterans Tribute CTA HS</t>
  </si>
  <si>
    <t>Virgin Valley ES</t>
  </si>
  <si>
    <t>Virgin Valley HS</t>
  </si>
  <si>
    <t>Von Tobel, Ed MS</t>
  </si>
  <si>
    <t>Walker, J Marlan Int'l School ES</t>
  </si>
  <si>
    <t>Wallin, Shirley &amp; Bill ES</t>
  </si>
  <si>
    <t>Ward, Gene ES</t>
  </si>
  <si>
    <t>Ward, Kitty McDonough ES</t>
  </si>
  <si>
    <t>Warren, Rose ES</t>
  </si>
  <si>
    <t>Wasden, Howard ES</t>
  </si>
  <si>
    <t>Watson, Fredric W ES</t>
  </si>
  <si>
    <t>Webb, Del E MS</t>
  </si>
  <si>
    <t>Wengert, Cyril ES</t>
  </si>
  <si>
    <t>West Career &amp; Technical Academy HS</t>
  </si>
  <si>
    <t>West Prep ES</t>
  </si>
  <si>
    <t>West Preparatory Institute J-SHS</t>
  </si>
  <si>
    <t>Western HS</t>
  </si>
  <si>
    <t>White, Thurman Academy of the Arts MS</t>
  </si>
  <si>
    <t>Whitney ES</t>
  </si>
  <si>
    <t>Wiener, Jr , Louis ES</t>
  </si>
  <si>
    <t>Wilhelm, Elizabeth ES</t>
  </si>
  <si>
    <t>Williams, Tom ES</t>
  </si>
  <si>
    <t>Williams, Wendell ES</t>
  </si>
  <si>
    <t>Wolfe, Eva ES</t>
  </si>
  <si>
    <t>Wolff, Elise L ES</t>
  </si>
  <si>
    <t>Woodbury, C W MS</t>
  </si>
  <si>
    <t>Woolley, Gwendolyn ES</t>
  </si>
  <si>
    <t>Wright, William V ES</t>
  </si>
  <si>
    <t>Wynn, Elaine ES</t>
  </si>
  <si>
    <t>ASPIRE Academy High School</t>
  </si>
  <si>
    <t>C. C. Meneley Elementary School</t>
  </si>
  <si>
    <t>Carson Valley Middle School</t>
  </si>
  <si>
    <t>Douglas High School</t>
  </si>
  <si>
    <t>G. L. Scarselli Elementary School</t>
  </si>
  <si>
    <t>Gardnerville Elementary School</t>
  </si>
  <si>
    <t>George Whittell High School</t>
  </si>
  <si>
    <t>Jacks Valley Elementary School</t>
  </si>
  <si>
    <t>Jacobsen High School</t>
  </si>
  <si>
    <t>Minden Elementary School</t>
  </si>
  <si>
    <t>Pau Wa Lu Middle School</t>
  </si>
  <si>
    <t>Pinon Hills Elementary School</t>
  </si>
  <si>
    <t>Zephyr Cove Elementary School</t>
  </si>
  <si>
    <t>Adobe Middle School</t>
  </si>
  <si>
    <t>Carlin Elementary School</t>
  </si>
  <si>
    <t>Carlin High School</t>
  </si>
  <si>
    <t>Carlin Jr High School</t>
  </si>
  <si>
    <t>Elko High School</t>
  </si>
  <si>
    <t>Flagview Intermediate School</t>
  </si>
  <si>
    <t>Grammar School #2</t>
  </si>
  <si>
    <t>Independence Valley Elementary School</t>
  </si>
  <si>
    <t>Jackpot Elementary School</t>
  </si>
  <si>
    <t>Jackpot High School</t>
  </si>
  <si>
    <t>Jackpot Jr High School</t>
  </si>
  <si>
    <t>Mound Valley Elementary School</t>
  </si>
  <si>
    <t>Mountain View Elementary School</t>
  </si>
  <si>
    <t>Northeastern Nevada Virtual Academy</t>
  </si>
  <si>
    <t>Northside Elementary School</t>
  </si>
  <si>
    <t>Owyhee Elementary School</t>
  </si>
  <si>
    <t>Owyhee High School</t>
  </si>
  <si>
    <t>Owyhee Jr High School</t>
  </si>
  <si>
    <t>Ruby Valley Elementary School</t>
  </si>
  <si>
    <t>Sage Elementary School</t>
  </si>
  <si>
    <t>Southside Elementary School</t>
  </si>
  <si>
    <t>Spring Creek Elementary School</t>
  </si>
  <si>
    <t>Spring Creek High School</t>
  </si>
  <si>
    <t>Spring Creek Middle School</t>
  </si>
  <si>
    <t>Wells Elementary School</t>
  </si>
  <si>
    <t>Wells High School</t>
  </si>
  <si>
    <t>Wells Jr High School</t>
  </si>
  <si>
    <t>West Wendover Elementary School</t>
  </si>
  <si>
    <t>West Wendover High School</t>
  </si>
  <si>
    <t>West Wendover Middle School</t>
  </si>
  <si>
    <t>Dyer Elementary School</t>
  </si>
  <si>
    <t>Goldfield Elementary School</t>
  </si>
  <si>
    <t>Silver Peak Elementary School</t>
  </si>
  <si>
    <t>Crescent Valley Elementary</t>
  </si>
  <si>
    <t>Eureka County High School</t>
  </si>
  <si>
    <t>Eureka Elementary School</t>
  </si>
  <si>
    <t>Albert M. Lowry High School</t>
  </si>
  <si>
    <t>Denio</t>
  </si>
  <si>
    <t>French Ford Middle School</t>
  </si>
  <si>
    <t>Grass Valley Elementary</t>
  </si>
  <si>
    <t>Kings River</t>
  </si>
  <si>
    <t>McDermitt Elementary</t>
  </si>
  <si>
    <t>McDermitt High School</t>
  </si>
  <si>
    <t>McDermitt Junior High School</t>
  </si>
  <si>
    <t>Orovada School</t>
  </si>
  <si>
    <t>Paradise Valley School</t>
  </si>
  <si>
    <t>Sonoma Heights Elementary</t>
  </si>
  <si>
    <t>Winnemucca Grammar School</t>
  </si>
  <si>
    <t>Winnemucca Junior High School</t>
  </si>
  <si>
    <t>Austin Combined Schools</t>
  </si>
  <si>
    <t>Battle Mountain Elementary School</t>
  </si>
  <si>
    <t>Battle Mountain High School</t>
  </si>
  <si>
    <t>Eleanor Lemaire Junior High School</t>
  </si>
  <si>
    <t>C O Bastian High School</t>
  </si>
  <si>
    <t>Caliente Elementary School</t>
  </si>
  <si>
    <t>Lincoln County High School</t>
  </si>
  <si>
    <t>Meadow Valley Middle School</t>
  </si>
  <si>
    <t>Pahranagat Valley Elementary School</t>
  </si>
  <si>
    <t>Pahranagat Valley High School</t>
  </si>
  <si>
    <t>Pahranagat Valley Middle School</t>
  </si>
  <si>
    <t>Panaca Elementary School</t>
  </si>
  <si>
    <t>Pioche Elementary School</t>
  </si>
  <si>
    <t>Cottonwood Elementary School</t>
  </si>
  <si>
    <t>Dayton Elementary School</t>
  </si>
  <si>
    <t>Dayton High School</t>
  </si>
  <si>
    <t>Dayton Intermediate School</t>
  </si>
  <si>
    <t>Eagle Ridge High School</t>
  </si>
  <si>
    <t>East Valley Elementary School</t>
  </si>
  <si>
    <t>Fernley Elementary School</t>
  </si>
  <si>
    <t>Fernley High School</t>
  </si>
  <si>
    <t>Fernley Intermediate School</t>
  </si>
  <si>
    <t>Riverview Elementary School</t>
  </si>
  <si>
    <t>Silver Stage Elementary School</t>
  </si>
  <si>
    <t>Silver Stage High School</t>
  </si>
  <si>
    <t>Silver Stage Middle School</t>
  </si>
  <si>
    <t>Silverland Middle School</t>
  </si>
  <si>
    <t>Smith Valley Schools</t>
  </si>
  <si>
    <t>Sutro Elementary School</t>
  </si>
  <si>
    <t>Yerington Elementary School</t>
  </si>
  <si>
    <t>Yerington High School</t>
  </si>
  <si>
    <t>Yerington Intermediate School</t>
  </si>
  <si>
    <t>Hawthorne Elementary</t>
  </si>
  <si>
    <t>Hawthorne Junior High</t>
  </si>
  <si>
    <t>Mineral County High School</t>
  </si>
  <si>
    <t>Schurz Elementary</t>
  </si>
  <si>
    <t>Amargosa Valley Elementary School</t>
  </si>
  <si>
    <t>Amargosa Valley Middle School</t>
  </si>
  <si>
    <t>Beatty Elementary School</t>
  </si>
  <si>
    <t>Beatty High School</t>
  </si>
  <si>
    <t>Beatty Middle School</t>
  </si>
  <si>
    <t>Duckwater Elementary School</t>
  </si>
  <si>
    <t>Floyd Elementary School</t>
  </si>
  <si>
    <t>Gabbs Elementary School</t>
  </si>
  <si>
    <t>Gabbs High School</t>
  </si>
  <si>
    <t>Gabbs Middle School</t>
  </si>
  <si>
    <t>Hafen Elementary School</t>
  </si>
  <si>
    <t>J G Johnson Elementary School</t>
  </si>
  <si>
    <t>Manse Elementary School</t>
  </si>
  <si>
    <t>Pahrump Valley High School</t>
  </si>
  <si>
    <t>Pathways Elementary School</t>
  </si>
  <si>
    <t>Pathways High School</t>
  </si>
  <si>
    <t>Pathways Middle School</t>
  </si>
  <si>
    <t>Rosemary Clarke Middle School</t>
  </si>
  <si>
    <t>Round Mountain Elementary School</t>
  </si>
  <si>
    <t>Round Mountain High School</t>
  </si>
  <si>
    <t>Round Mountain Middle School</t>
  </si>
  <si>
    <t>Tonopah Elementary School</t>
  </si>
  <si>
    <t>Tonopah High School</t>
  </si>
  <si>
    <t>Tonopah Middle School</t>
  </si>
  <si>
    <t>Imlay Elementary School</t>
  </si>
  <si>
    <t>Lovelock Elementary School</t>
  </si>
  <si>
    <t>Pershing County High School</t>
  </si>
  <si>
    <t>Pershing County Middle School</t>
  </si>
  <si>
    <t>Hillside Elementary School</t>
  </si>
  <si>
    <t>Hugh Gallagher Elementary School</t>
  </si>
  <si>
    <t>Virginia City High School</t>
  </si>
  <si>
    <t>Virginia City Middle School</t>
  </si>
  <si>
    <t>Baker Elementary</t>
  </si>
  <si>
    <t>David E Norman Elementary</t>
  </si>
  <si>
    <t>Lund Elementary</t>
  </si>
  <si>
    <t>Lund High School</t>
  </si>
  <si>
    <t>McGill Elementary</t>
  </si>
  <si>
    <t>Steptoe Valley High School</t>
  </si>
  <si>
    <t>White Pine High School</t>
  </si>
  <si>
    <t>White Pine Middle School</t>
  </si>
  <si>
    <t>PCFM Resources:</t>
  </si>
  <si>
    <t>Statewide Base</t>
  </si>
  <si>
    <t>Adjusted Base Funding Amount</t>
  </si>
  <si>
    <t>Total Auxiliary Services</t>
  </si>
  <si>
    <t>County</t>
  </si>
  <si>
    <t>Nevada Department of Education</t>
  </si>
  <si>
    <t>Freedom Classical Academy</t>
  </si>
  <si>
    <t>Nevada State High School-Meadowwood</t>
  </si>
  <si>
    <t>Barber, Shirley A ES</t>
  </si>
  <si>
    <t>Divich, Kenneth ES</t>
  </si>
  <si>
    <t>Ellis, Robert &amp; Sandy ES</t>
  </si>
  <si>
    <t>Ortwein, Dennis ES</t>
  </si>
  <si>
    <t>ALT School</t>
  </si>
  <si>
    <t>ACADEMY OF ARTS CAREERS &amp; TECH</t>
  </si>
  <si>
    <t>AGNES RISLEY ELEMENTARY</t>
  </si>
  <si>
    <t>ALICE MAXWELL ELEMENTARY</t>
  </si>
  <si>
    <t>ALICE SMITH ELEMENTARY</t>
  </si>
  <si>
    <t>ALYCE TAYLOR ELEMENTARY</t>
  </si>
  <si>
    <t>ANDERSON ELEMENTARY</t>
  </si>
  <si>
    <t>ARCHIE CLAYTON PRE-A.P. ACADEMY</t>
  </si>
  <si>
    <t>BERNICE MATHEWS ELEMENTARY</t>
  </si>
  <si>
    <t>BILLINGHURST MIDDLE SCHOOL</t>
  </si>
  <si>
    <t>BROWN ELEMENTARY</t>
  </si>
  <si>
    <t>BUD BEASLEY ELEMENTARY</t>
  </si>
  <si>
    <t>CAUGHLIN RANCH ELEMENTARY</t>
  </si>
  <si>
    <t>COLD SPRINGS MIDDLE SCHOOL</t>
  </si>
  <si>
    <t>DAMONTE RANCH HIGH SCHOOL</t>
  </si>
  <si>
    <t>DARREL SWOPE MIDDLE SCHOOL</t>
  </si>
  <si>
    <t>DESERT HEIGHTS ELEMENTARY</t>
  </si>
  <si>
    <t>DONNER SPRINGS ELEMENTARY</t>
  </si>
  <si>
    <t>DOROTHY LEMELSON S.T.E.M. ACADEMY ES</t>
  </si>
  <si>
    <t>DOUBLE DIAMOND ELEMENTARY</t>
  </si>
  <si>
    <t>E. OTIS VAUGHN MIDDLE SCHOOL</t>
  </si>
  <si>
    <t>EARL WOOSTER HIGH SCHOOL</t>
  </si>
  <si>
    <t>ECHO LODER ELEMENTARY SCHOOL</t>
  </si>
  <si>
    <t>EDWARD C. REED HIGH SCHOOL</t>
  </si>
  <si>
    <t>EDWARD L. PINE MIDDLE SCHOOL</t>
  </si>
  <si>
    <t>EDWIN S. DODSON ELEMENTARY</t>
  </si>
  <si>
    <t>ELIZABETH LENZ ELEMENTARY</t>
  </si>
  <si>
    <t>ELMCREST ELEMENTARY</t>
  </si>
  <si>
    <t>ESTHER BENNETT ELEMENTARY</t>
  </si>
  <si>
    <t>FLORENCE DRAKE ELEMENTARY</t>
  </si>
  <si>
    <t>FRED W. TRANER MIDDLE SCHOOL</t>
  </si>
  <si>
    <t>GALENA HIGH SCHOOL</t>
  </si>
  <si>
    <t>GEORGE L. DILWORTH S.T.E.M ACADEMY</t>
  </si>
  <si>
    <t>GEORGE WESTERGARD ELEMENTARY</t>
  </si>
  <si>
    <t>GERLACH K-12 SCHOOL</t>
  </si>
  <si>
    <t>GLENN DUNCAN S.T.E.M. ACADEMY</t>
  </si>
  <si>
    <t>GRACE WARNER ELEMENTARY</t>
  </si>
  <si>
    <t>GREENBRAE ELEMENTARY</t>
  </si>
  <si>
    <t>HIDDEN VALLEY ELEMENTARY</t>
  </si>
  <si>
    <t>HUFFAKER ELEMENTARY</t>
  </si>
  <si>
    <t>HUNTER LAKE ELEMENTARY</t>
  </si>
  <si>
    <t>INCLINE ELEMENTARY</t>
  </si>
  <si>
    <t>INCLINE HIGH SCHOOL</t>
  </si>
  <si>
    <t>INCLINE MIDDLE SCHOOL</t>
  </si>
  <si>
    <t>INNOVATIONS HIGH SCHOOL</t>
  </si>
  <si>
    <t>JERRY WHITEHEAD ELEMENTARY</t>
  </si>
  <si>
    <t>JESSE HALL ELEMENTARY SCHOOL</t>
  </si>
  <si>
    <t>JESSIE BECK ELEMENTARY</t>
  </si>
  <si>
    <t>KATE SMITH ELEMENTARY</t>
  </si>
  <si>
    <t>KATHERINE DUNN ELEMENTARY</t>
  </si>
  <si>
    <t>KENDYL DEPOALI MIDDLE SCHOOL</t>
  </si>
  <si>
    <t>LEMMON VALLEY ELEMENTARY</t>
  </si>
  <si>
    <t>LENA JUNIPER ELEMENTARY</t>
  </si>
  <si>
    <t>LIBBY BOOTH ELEMENTARY</t>
  </si>
  <si>
    <t>LINCOLN PARK ELEMENTARY</t>
  </si>
  <si>
    <t>LLOYD DIEDRICHSEN ELEMENTARY</t>
  </si>
  <si>
    <t>LOIS ALLEN ELEMENTARY</t>
  </si>
  <si>
    <t>LOU MENDIVE MIDDLE SCHOOL</t>
  </si>
  <si>
    <t>MAMIE TOWLES ELEMENTARY</t>
  </si>
  <si>
    <t>MARVIN MOSS ELEMENTARY</t>
  </si>
  <si>
    <t>MARVIN PICOLLO ELEMENTARY</t>
  </si>
  <si>
    <t>MIGUEL SEPULVEDA ELEMENTARY SCHOOL</t>
  </si>
  <si>
    <t>MOUNT ROSE K-8 ACADEMY OF LANGUAGES</t>
  </si>
  <si>
    <t>NANCY GOMES ELEMENTARY</t>
  </si>
  <si>
    <t>NATCHEZ ELEMENTARY</t>
  </si>
  <si>
    <t>NORTH STAR ONLINE SCHOOL</t>
  </si>
  <si>
    <t>NORTH VALLEYS HIGH SCHOOL</t>
  </si>
  <si>
    <t>Out of State</t>
  </si>
  <si>
    <t>PEAVINE ELEMENTARY</t>
  </si>
  <si>
    <t>PLEASANT VALLEY ELEMENTARY</t>
  </si>
  <si>
    <t>PROCTER R. HUG HIGH SCHOOL</t>
  </si>
  <si>
    <t>RENO HIGH SCHOOL</t>
  </si>
  <si>
    <t>RITA CANNAN ELEMENTARY</t>
  </si>
  <si>
    <t>ROBERT MCQUEEN HIGH SCHOOL</t>
  </si>
  <si>
    <t>ROBERT MITCHELL ELEMENTARY</t>
  </si>
  <si>
    <t>ROGER CORBETT ELEMENTARY</t>
  </si>
  <si>
    <t>ROLLAN MELTON ELEMENTARY</t>
  </si>
  <si>
    <t>ROY GOMM ELEMENTARY</t>
  </si>
  <si>
    <t>SARAH WINNEMUCCA ELEMENTARY</t>
  </si>
  <si>
    <t>SILVER LAKE ELEMENTARY</t>
  </si>
  <si>
    <t>SMITHRIDGE S.T.E.M. ACADEMY</t>
  </si>
  <si>
    <t>SPANISH SPRINGS ELEMENTARY</t>
  </si>
  <si>
    <t>SPANISH SPRINGS HIGH SCHOOL</t>
  </si>
  <si>
    <t>SPARKS HIGH SCHOOL</t>
  </si>
  <si>
    <t>SPARKS MIDDLE SCHOOL</t>
  </si>
  <si>
    <t>STEAD ELEMENTARY</t>
  </si>
  <si>
    <t>SUN VALLEY ELEMENTARY</t>
  </si>
  <si>
    <t>TED HUNSBERGER ELEMENTARY</t>
  </si>
  <si>
    <t>TMCC MAGNET SCHOOL</t>
  </si>
  <si>
    <t>TURNING POINT</t>
  </si>
  <si>
    <t>VAN GORDER ELEMENTARY</t>
  </si>
  <si>
    <t>VERDI ELEMENTARY</t>
  </si>
  <si>
    <t>VETERANS MEMORIAL S.T.E.M. ACADEMY</t>
  </si>
  <si>
    <t>VIRGINIA PALMER ELEMENTARY</t>
  </si>
  <si>
    <t>WASHOE INSPIRE ACADEMY</t>
  </si>
  <si>
    <t>WILLIAM OBRIEN S.T.E.M. ACADEMY</t>
  </si>
  <si>
    <t>YVONNE SHAW MIDDLE SCHOOL</t>
  </si>
  <si>
    <t xml:space="preserve">School District </t>
  </si>
  <si>
    <t>District Name</t>
  </si>
  <si>
    <t>Modeled Fiscal Year</t>
  </si>
  <si>
    <t>% of Total</t>
  </si>
  <si>
    <t>Adjusted Base</t>
  </si>
  <si>
    <t>Cell References</t>
  </si>
  <si>
    <t>Section References</t>
  </si>
  <si>
    <t>Funds Available for Allocation</t>
  </si>
  <si>
    <t>Funds Allocated by the Active Schedule</t>
  </si>
  <si>
    <t>Funds Available for Subsequent Allocations</t>
  </si>
  <si>
    <t>Note</t>
  </si>
  <si>
    <t>District #</t>
  </si>
  <si>
    <t>DOHQ#</t>
  </si>
  <si>
    <t>All</t>
  </si>
  <si>
    <t xml:space="preserve">Alpine Academy </t>
  </si>
  <si>
    <t xml:space="preserve">Nevada Rise </t>
  </si>
  <si>
    <t>Total Charter Schools</t>
  </si>
  <si>
    <t>SCHOOL DISTRICT SCHOOL ENROLLMENT SUMMARY</t>
  </si>
  <si>
    <t>Abston, Sandra B ES</t>
  </si>
  <si>
    <t>Jenkins, Earl N ES</t>
  </si>
  <si>
    <t>Liberty Peak Elementary School</t>
  </si>
  <si>
    <t>Mt Charleston Elementary School</t>
  </si>
  <si>
    <t>DESERT SKIES MIDDLE SCHOOL</t>
  </si>
  <si>
    <t>NICK POULAKIDAS ELEMENTARY SCHOOL</t>
  </si>
  <si>
    <t>SKY RANCH MIDDLE SCHOOL</t>
  </si>
  <si>
    <t>Total School District Schools</t>
  </si>
  <si>
    <t>Early Childhood Center</t>
  </si>
  <si>
    <t>[1]</t>
  </si>
  <si>
    <t>[2]</t>
  </si>
  <si>
    <t>Net Change</t>
  </si>
  <si>
    <t>[5]</t>
  </si>
  <si>
    <t>Per Pupil Funding</t>
  </si>
  <si>
    <t>Yes</t>
  </si>
  <si>
    <t>[6]</t>
  </si>
  <si>
    <t>Charter School</t>
  </si>
  <si>
    <t xml:space="preserve">Statewide </t>
  </si>
  <si>
    <t xml:space="preserve">Adjusted </t>
  </si>
  <si>
    <t>Base Per Pupil</t>
  </si>
  <si>
    <t>School</t>
  </si>
  <si>
    <t xml:space="preserve">Adjusted Base </t>
  </si>
  <si>
    <t>No</t>
  </si>
  <si>
    <t>Minimum District Size</t>
  </si>
  <si>
    <t>Maximum District Size</t>
  </si>
  <si>
    <t>Size Adjustment Constant</t>
  </si>
  <si>
    <t>Size Adjustment Enrollment Coefficient</t>
  </si>
  <si>
    <t>Formula to Be Applied</t>
  </si>
  <si>
    <t>(-.000001735*enrollment) + 1.0868</t>
  </si>
  <si>
    <t>(-0.281*ln(enrollment)) + 3.4</t>
  </si>
  <si>
    <t>25.003*(enrollment^-0.791)</t>
  </si>
  <si>
    <t>APA Final Recommendation (Single Small School and Small District Adjustment Factor)</t>
  </si>
  <si>
    <t>Attendance Area</t>
  </si>
  <si>
    <t>Fallon</t>
  </si>
  <si>
    <t>Las Vegas</t>
  </si>
  <si>
    <t>Blue Diamond</t>
  </si>
  <si>
    <t>Boulder City</t>
  </si>
  <si>
    <t>Goodsprings</t>
  </si>
  <si>
    <t>Indian Springs</t>
  </si>
  <si>
    <t>Laughlin</t>
  </si>
  <si>
    <t>Lundy</t>
  </si>
  <si>
    <t>Mesquite</t>
  </si>
  <si>
    <t>Moapa Valley</t>
  </si>
  <si>
    <t>Sandy Valley</t>
  </si>
  <si>
    <t>Searchlight</t>
  </si>
  <si>
    <t>Gardnerville/Minden</t>
  </si>
  <si>
    <t>Zephyr Cove</t>
  </si>
  <si>
    <t>Carlin</t>
  </si>
  <si>
    <t>Independence</t>
  </si>
  <si>
    <t>Jackpot</t>
  </si>
  <si>
    <t>Mound Valley</t>
  </si>
  <si>
    <t>Owyhee</t>
  </si>
  <si>
    <t>Ruby Valley</t>
  </si>
  <si>
    <t>Spring Creek</t>
  </si>
  <si>
    <t>Wells</t>
  </si>
  <si>
    <t>West Wendover</t>
  </si>
  <si>
    <t>Silver Peak</t>
  </si>
  <si>
    <t>Dyer</t>
  </si>
  <si>
    <t>Goldfield</t>
  </si>
  <si>
    <t>Crescent Valley</t>
  </si>
  <si>
    <t>Paradise Valley</t>
  </si>
  <si>
    <t>Austin</t>
  </si>
  <si>
    <t>Battle Mountain</t>
  </si>
  <si>
    <t>Caliente</t>
  </si>
  <si>
    <t>Alamo</t>
  </si>
  <si>
    <t>Panaca</t>
  </si>
  <si>
    <t>Pioche</t>
  </si>
  <si>
    <t>Fernley</t>
  </si>
  <si>
    <t>Dayton</t>
  </si>
  <si>
    <t>Silver Springs</t>
  </si>
  <si>
    <t>Yerington</t>
  </si>
  <si>
    <t>Hawthorne</t>
  </si>
  <si>
    <t>Amargosa Valley</t>
  </si>
  <si>
    <t>Beatty</t>
  </si>
  <si>
    <t>Duckwater</t>
  </si>
  <si>
    <t>Pahrump</t>
  </si>
  <si>
    <t>Gabbs</t>
  </si>
  <si>
    <t>Round Mountain</t>
  </si>
  <si>
    <t>Tonopah</t>
  </si>
  <si>
    <t>Imlay</t>
  </si>
  <si>
    <t>Lovelock</t>
  </si>
  <si>
    <t>Hillside</t>
  </si>
  <si>
    <t>Virginia City</t>
  </si>
  <si>
    <t>Reno/Sparks</t>
  </si>
  <si>
    <t>Stead</t>
  </si>
  <si>
    <t>Ely</t>
  </si>
  <si>
    <t>McGill</t>
  </si>
  <si>
    <t xml:space="preserve">District </t>
  </si>
  <si>
    <t>Jacobsen</t>
  </si>
  <si>
    <t>Montello</t>
  </si>
  <si>
    <t>McDermitt</t>
  </si>
  <si>
    <t>Orovada</t>
  </si>
  <si>
    <t>Winnemucca</t>
  </si>
  <si>
    <t>Lander County</t>
  </si>
  <si>
    <t>Smith Valley</t>
  </si>
  <si>
    <t>Schurz</t>
  </si>
  <si>
    <t xml:space="preserve">Pershing </t>
  </si>
  <si>
    <t>Bordertown</t>
  </si>
  <si>
    <t>Gerlach</t>
  </si>
  <si>
    <t>Incline Village</t>
  </si>
  <si>
    <t>Verdi</t>
  </si>
  <si>
    <t>Wadsworth</t>
  </si>
  <si>
    <t>Baker</t>
  </si>
  <si>
    <t>Lund</t>
  </si>
  <si>
    <t>Clark Total</t>
  </si>
  <si>
    <t>Douglas Total</t>
  </si>
  <si>
    <t>Elko Total</t>
  </si>
  <si>
    <t>Esmerelda Total</t>
  </si>
  <si>
    <t>Eureka Total</t>
  </si>
  <si>
    <t>Lander Total</t>
  </si>
  <si>
    <t>Humboldt Total</t>
  </si>
  <si>
    <t>Lyon Total</t>
  </si>
  <si>
    <t>Mineral Total</t>
  </si>
  <si>
    <t>Nye Total</t>
  </si>
  <si>
    <t>Pershing Total</t>
  </si>
  <si>
    <t>Storey Total</t>
  </si>
  <si>
    <t>Washoe Total</t>
  </si>
  <si>
    <t>Pleasant Valley</t>
  </si>
  <si>
    <t>White Pine Total</t>
  </si>
  <si>
    <t>All School Districts</t>
  </si>
  <si>
    <t xml:space="preserve">White Pine </t>
  </si>
  <si>
    <t>Signature Preparatory</t>
  </si>
  <si>
    <t>Numa Elementary School-Includes Out of State</t>
  </si>
  <si>
    <t>Denio - Includes Child Find</t>
  </si>
  <si>
    <t>RGL</t>
  </si>
  <si>
    <t>District Enrollment</t>
  </si>
  <si>
    <t>Adjustment 2</t>
  </si>
  <si>
    <t>Adjustment 1</t>
  </si>
  <si>
    <t>Tab 2.4</t>
  </si>
  <si>
    <t>Enrollment by  Attendance Area</t>
  </si>
  <si>
    <t>Adjusted Per Pupil Amount</t>
  </si>
  <si>
    <t>Statewide Base            Per Pupil Amount</t>
  </si>
  <si>
    <t>Tab 1.2</t>
  </si>
  <si>
    <t>Tab 2.2</t>
  </si>
  <si>
    <t>Total Statewide</t>
  </si>
  <si>
    <t xml:space="preserve"> Base Funding</t>
  </si>
  <si>
    <t xml:space="preserve">Combined Total </t>
  </si>
  <si>
    <t>English Learners Percent of Total Enrollment</t>
  </si>
  <si>
    <t>At-risk Percent of Total Enrollment</t>
  </si>
  <si>
    <t>Gifted and Talented Percent of Total Enrollment</t>
  </si>
  <si>
    <t>English Learners Total Enrollment</t>
  </si>
  <si>
    <t>At-Risk Student Total Enrollment</t>
  </si>
  <si>
    <t>Not Also Special Education</t>
  </si>
  <si>
    <t>Weighted</t>
  </si>
  <si>
    <t>Tab 2.3</t>
  </si>
  <si>
    <t>State English Learner Funding</t>
  </si>
  <si>
    <t>State At-Risk Student Funding</t>
  </si>
  <si>
    <t>State Gifted and Talented Funding</t>
  </si>
  <si>
    <t>Total Enrollment from prior year:</t>
  </si>
  <si>
    <t>Total Distant Education Enrollment from prior year:</t>
  </si>
  <si>
    <t>Total Enrollment for current year:</t>
  </si>
  <si>
    <t>State Gifted and Talented Funding identified for current year:</t>
  </si>
  <si>
    <t>Increase/(Decrease)</t>
  </si>
  <si>
    <t>% of Growth</t>
  </si>
  <si>
    <t>Source</t>
  </si>
  <si>
    <t>Calculation or Source of Data</t>
  </si>
  <si>
    <t>= G / C</t>
  </si>
  <si>
    <t>Tab 1.3</t>
  </si>
  <si>
    <t xml:space="preserve">Cell E11 </t>
  </si>
  <si>
    <t>Column D13:D29</t>
  </si>
  <si>
    <t>= H / C</t>
  </si>
  <si>
    <t>= D * E</t>
  </si>
  <si>
    <t>Total Pupil Centered Funding Revenue Sources</t>
  </si>
  <si>
    <t>1.4 Total Revenue</t>
  </si>
  <si>
    <t>Revenues</t>
  </si>
  <si>
    <t xml:space="preserve">Esmerelda </t>
  </si>
  <si>
    <t>Gifted and Talented Total Enrollment</t>
  </si>
  <si>
    <t>Initial English Learner Per Pupil Funding</t>
  </si>
  <si>
    <t>Initial At-Risk Student Per Pupil Funding</t>
  </si>
  <si>
    <t>Initial Gifted and Talented Per Pupil Funding</t>
  </si>
  <si>
    <t>Allocation</t>
  </si>
  <si>
    <t xml:space="preserve">Auxiliary </t>
  </si>
  <si>
    <t>Tab 2.9</t>
  </si>
  <si>
    <t>Tab 1.1</t>
  </si>
  <si>
    <t>= C * D</t>
  </si>
  <si>
    <t>= F / C</t>
  </si>
  <si>
    <t>Total Gifted and Talented Enrollment from prior year:</t>
  </si>
  <si>
    <t>Total At-Risk Enrollment from prior year:</t>
  </si>
  <si>
    <t>Total English Learner Enrollment from prior year:</t>
  </si>
  <si>
    <t>State At-Risk Funding identified for current year:</t>
  </si>
  <si>
    <t>K-12 Statewide Base Per Pupil identified for current year:</t>
  </si>
  <si>
    <t>K-12 Statewide Base Per Pupil from prior year:</t>
  </si>
  <si>
    <t>State English Learner Funding identified for current year:</t>
  </si>
  <si>
    <t>Gifted and Talented Enrollment for current year:</t>
  </si>
  <si>
    <t>Distant Education Enrollment for current year:</t>
  </si>
  <si>
    <t>At-Risk Enrollment for current year:</t>
  </si>
  <si>
    <t>English Learner Enrollment for current year:</t>
  </si>
  <si>
    <t>Total District Size Adjustments:</t>
  </si>
  <si>
    <t>= F + G + H</t>
  </si>
  <si>
    <t>= D + I + M</t>
  </si>
  <si>
    <t>Total Funding</t>
  </si>
  <si>
    <t>Tab 2.1</t>
  </si>
  <si>
    <t>= D + E + F</t>
  </si>
  <si>
    <t>= G * H</t>
  </si>
  <si>
    <t>= K * L</t>
  </si>
  <si>
    <t>Food Services</t>
  </si>
  <si>
    <t>Pupil Centered Funding Plan Inputs</t>
  </si>
  <si>
    <t>Pupil Centered Funding Plan Calculations</t>
  </si>
  <si>
    <t>Pupil Centered Funding Plan Results</t>
  </si>
  <si>
    <t>STATEWIDE PROJECTED ENROLLMENT SUMMARY</t>
  </si>
  <si>
    <t>CHARTER SCHOOL PROJECTED ENROLLMENT SUMMARY</t>
  </si>
  <si>
    <t>Pupil Centered Funding Plan Revenue Sources</t>
  </si>
  <si>
    <t>District Size         Adjustment Factor</t>
  </si>
  <si>
    <t>District Size Adjustment Amount</t>
  </si>
  <si>
    <t>District Size</t>
  </si>
  <si>
    <t xml:space="preserve">Base </t>
  </si>
  <si>
    <t>PCFP Resources:</t>
  </si>
  <si>
    <t xml:space="preserve"> English Learners (EL) - Initial Weighted Allocations</t>
  </si>
  <si>
    <t>At-Risk Student (At-Risk) - Initial Weighted Allocations</t>
  </si>
  <si>
    <t>Gifted and Talented Education (GATE) - Initial Weighted Allocations</t>
  </si>
  <si>
    <t>Per Pupil Rate</t>
  </si>
  <si>
    <t>= Cell D11</t>
  </si>
  <si>
    <t>= Cell H11</t>
  </si>
  <si>
    <t>= Cell L11</t>
  </si>
  <si>
    <t>Tab 2.9.1</t>
  </si>
  <si>
    <t>Explore Academy</t>
  </si>
  <si>
    <t>Pinecrest Academy of Northern Nevada</t>
  </si>
  <si>
    <t>Cell C8</t>
  </si>
  <si>
    <t>District and Charter Summary</t>
  </si>
  <si>
    <t>Charter Schools Detail</t>
  </si>
  <si>
    <t>N/A</t>
  </si>
  <si>
    <t>Acceleration Academy</t>
  </si>
  <si>
    <t>Mackey, Jo MS</t>
  </si>
  <si>
    <t>Thompson, Tyrone ES</t>
  </si>
  <si>
    <t>Esmeralda Virtual High School</t>
  </si>
  <si>
    <t>Early Childhood Education PK</t>
  </si>
  <si>
    <t>Data Source References</t>
  </si>
  <si>
    <t>Data Sources:</t>
  </si>
  <si>
    <t xml:space="preserve">Net Proceeds of Minerals </t>
  </si>
  <si>
    <t>Total NPM</t>
  </si>
  <si>
    <t>Per Pupil Amount</t>
  </si>
  <si>
    <t xml:space="preserve"> Adjusted Base </t>
  </si>
  <si>
    <t>Final</t>
  </si>
  <si>
    <t>Cross Checks</t>
  </si>
  <si>
    <t>CIVICA Nevada Career &amp; Collegiate Academy</t>
  </si>
  <si>
    <t>Sage Collegiate Academy</t>
  </si>
  <si>
    <t>Eagle Charter School</t>
  </si>
  <si>
    <t>TEACH Las Vegas</t>
  </si>
  <si>
    <t>Special Transport</t>
  </si>
  <si>
    <t>for NDE use only; not part of the PCFP model</t>
  </si>
  <si>
    <t xml:space="preserve"> </t>
  </si>
  <si>
    <t>K-12 PCFP Revenue from Prior year:</t>
  </si>
  <si>
    <t>K-12 PCFP Revenue identified for current year:</t>
  </si>
  <si>
    <t>Initial Weights:</t>
  </si>
  <si>
    <t xml:space="preserve"> Revised Initial Weights:</t>
  </si>
  <si>
    <t>Enrollment (projected)</t>
  </si>
  <si>
    <t>cross check: SD enrollment</t>
  </si>
  <si>
    <t>cross check: Charter enrollment</t>
  </si>
  <si>
    <t>cross check: DE enrollment</t>
  </si>
  <si>
    <t>Total K-12 Education Revenue Sources to be Distributed Through the Pupil-Centered Funding Plan</t>
  </si>
  <si>
    <t>State Categorical Grant Awards</t>
  </si>
  <si>
    <t>Local Revenue  Received</t>
  </si>
  <si>
    <t>Baseline Amount that Districts and Charter Schools May Not Go Below Unless Revenues Decline</t>
  </si>
  <si>
    <t xml:space="preserve">PCFP does not allocate Auxiliary Services on a per pupil basis. </t>
  </si>
  <si>
    <t>Per pupil funding amount provided as FYI only.</t>
  </si>
  <si>
    <t>added per LCB (4-9-21)</t>
  </si>
  <si>
    <t>Calcs based on rows 7-9</t>
  </si>
  <si>
    <t>Initial</t>
  </si>
  <si>
    <t xml:space="preserve">Initial </t>
  </si>
  <si>
    <t>At-Risk Student Count</t>
  </si>
  <si>
    <t>GATE Student Count</t>
  </si>
  <si>
    <t>Not Also English Learner</t>
  </si>
  <si>
    <t>English Learner Student Count</t>
  </si>
  <si>
    <t>GATE</t>
  </si>
  <si>
    <t>Are Net Proceeds greater than the Hold Harmless Amount? (Y/N)</t>
  </si>
  <si>
    <t>Are Net Proceeds greater than the Current Year PCFP Allocation? (Y/N)</t>
  </si>
  <si>
    <t>Projected Revenue: 
Net Proceeds of Minerals 
(Tab 1.3)</t>
  </si>
  <si>
    <t>Consideration of Net Proceeds of Minerals:  Funding Due to Host County?</t>
  </si>
  <si>
    <t>Spec  Transport</t>
  </si>
  <si>
    <t xml:space="preserve">Include Inflation for </t>
  </si>
  <si>
    <t>Base Transportation?</t>
  </si>
  <si>
    <t>Inflation Adjustment</t>
  </si>
  <si>
    <t>= D x Cell F7</t>
  </si>
  <si>
    <t>Prior Year Actual</t>
  </si>
  <si>
    <t>Food Services Four Year Average</t>
  </si>
  <si>
    <t>Average</t>
  </si>
  <si>
    <t>Data Source:</t>
  </si>
  <si>
    <t>Transportation Four Year Average:</t>
  </si>
  <si>
    <t>2019 NRS 387 Report</t>
  </si>
  <si>
    <t>2020 NRS 387 Report</t>
  </si>
  <si>
    <t>Data Source: (Rev Code 5200)</t>
  </si>
  <si>
    <t xml:space="preserve">for NDE purposes only; not part of the PCFP model </t>
  </si>
  <si>
    <t>= G x Cell H7</t>
  </si>
  <si>
    <t>SFY 2020 Baseline Total              Revenue Received</t>
  </si>
  <si>
    <t>Prior Year adjusted Baseline</t>
  </si>
  <si>
    <t xml:space="preserve">Nevada Cost of Education Index (NCEI) Adjustment </t>
  </si>
  <si>
    <t>NCEI</t>
  </si>
  <si>
    <t>LCB Adjustments</t>
  </si>
  <si>
    <t>CY 2020 Collections by Taxation</t>
  </si>
  <si>
    <t>FY 2020</t>
  </si>
  <si>
    <t>GENERAL FUND APPROPRIATION</t>
  </si>
  <si>
    <t>Local Funding in the Special Education Fund in FY 2020</t>
  </si>
  <si>
    <t>Fed Funding in Spec Ed</t>
  </si>
  <si>
    <t>State Funding in Spec Ed</t>
  </si>
  <si>
    <t>Opening Balance</t>
  </si>
  <si>
    <t>Fed Funding in Special Education Fund</t>
  </si>
  <si>
    <t>State Funding 
in Special Education Fund</t>
  </si>
  <si>
    <t>Tab 2.1.1</t>
  </si>
  <si>
    <t>Spec Ed Local</t>
  </si>
  <si>
    <t>Special Education Enrollment 
(FY 2020)</t>
  </si>
  <si>
    <t>Ending
Balance</t>
  </si>
  <si>
    <t>FY 2020
Enrollment</t>
  </si>
  <si>
    <t>Funding for those School Districts/Charter Schools on PCFP Per Pupil</t>
  </si>
  <si>
    <t>New NV Funding Plan</t>
  </si>
  <si>
    <t xml:space="preserve">Zoom </t>
  </si>
  <si>
    <t>Victory</t>
  </si>
  <si>
    <t>FY 2020 Hold Harmless Base Funding</t>
  </si>
  <si>
    <t>Special Ed</t>
  </si>
  <si>
    <t>Tab 3.2a Funded Level</t>
  </si>
  <si>
    <t>Less Reduction</t>
  </si>
  <si>
    <t>Reduced Funding Level</t>
  </si>
  <si>
    <t xml:space="preserve">Per Pupil </t>
  </si>
  <si>
    <t>Difference Between Opening and Ending Balance</t>
  </si>
  <si>
    <t>Reduction ($):</t>
  </si>
  <si>
    <t>Reduction (%):</t>
  </si>
  <si>
    <t>Initial Designation</t>
  </si>
  <si>
    <t>Prior to Proportional</t>
  </si>
  <si>
    <t>Funding Reduction</t>
  </si>
  <si>
    <t>Charter Schools (All)</t>
  </si>
  <si>
    <t>Avg Per Pupil</t>
  </si>
  <si>
    <t>Amt Based on</t>
  </si>
  <si>
    <t>Total Spec</t>
  </si>
  <si>
    <t>Adjustment Amount Per Pupil Based on Public School Area</t>
  </si>
  <si>
    <t>Designation</t>
  </si>
  <si>
    <t>Entities on PCFP:</t>
  </si>
  <si>
    <t>FY 2020 Funding Levels</t>
  </si>
  <si>
    <t>Nutrition</t>
  </si>
  <si>
    <t>Size Adjustment Consistent with Other Public Schools in the Area Where the Charter Operates</t>
  </si>
  <si>
    <t>These amounts may change when the hold harmless provision is applied on Tab 3.2b</t>
  </si>
  <si>
    <t>Comparison of PCFP vs FY 2020 Funding Received/Awarded</t>
  </si>
  <si>
    <t>Calculated PCFP Allocation 
(Current Year PCFP Allocation)</t>
  </si>
  <si>
    <t xml:space="preserve">Change </t>
  </si>
  <si>
    <t>Compared to</t>
  </si>
  <si>
    <t>FY 2020 Funding</t>
  </si>
  <si>
    <t>Prior Year</t>
  </si>
  <si>
    <t>=(E * (G - 1))</t>
  </si>
  <si>
    <t>Tab 2.8 / 1.4</t>
  </si>
  <si>
    <t>Tab 3.2 * K3</t>
  </si>
  <si>
    <t>E / Tab 2.9</t>
  </si>
  <si>
    <t>Difference from Revenue</t>
  </si>
  <si>
    <t>Total for PCFP/Hold Harmless:</t>
  </si>
  <si>
    <t>Reduction Needed to Balance to Revenue</t>
  </si>
  <si>
    <t>% Reduction</t>
  </si>
  <si>
    <t>Total Reduction</t>
  </si>
  <si>
    <t>Net %</t>
  </si>
  <si>
    <t>Original FY 2020 Baseline Revenues Received</t>
  </si>
  <si>
    <t>Mid Biennium</t>
  </si>
  <si>
    <t xml:space="preserve">Change in </t>
  </si>
  <si>
    <t xml:space="preserve">Gifted  and </t>
  </si>
  <si>
    <t>Increase</t>
  </si>
  <si>
    <t>(Decrease)</t>
  </si>
  <si>
    <t>Summary of Charter Schools</t>
  </si>
  <si>
    <t xml:space="preserve">FY 23 Adjusted </t>
  </si>
  <si>
    <t xml:space="preserve">LO1 </t>
  </si>
  <si>
    <t xml:space="preserve">Approved </t>
  </si>
  <si>
    <t xml:space="preserve"> Adjusted </t>
  </si>
  <si>
    <t>Adjusted</t>
  </si>
  <si>
    <t>LO1</t>
  </si>
  <si>
    <t>= C - B</t>
  </si>
  <si>
    <t>Tab 2.6</t>
  </si>
  <si>
    <t>= E x F</t>
  </si>
  <si>
    <t>= G x H9</t>
  </si>
  <si>
    <t>Districts</t>
  </si>
  <si>
    <t>Pupils</t>
  </si>
  <si>
    <t>Difference</t>
  </si>
  <si>
    <t>Approved</t>
  </si>
  <si>
    <t>Allocations</t>
  </si>
  <si>
    <t>Legislatively</t>
  </si>
  <si>
    <t>LO1 Reduction</t>
  </si>
  <si>
    <t>= U x V</t>
  </si>
  <si>
    <t>= M x N</t>
  </si>
  <si>
    <t>Column K</t>
  </si>
  <si>
    <t>Column S</t>
  </si>
  <si>
    <t>= K - J</t>
  </si>
  <si>
    <t>= S - R</t>
  </si>
  <si>
    <t>= O x P9</t>
  </si>
  <si>
    <t>= W x X9</t>
  </si>
  <si>
    <t>= Column C</t>
  </si>
  <si>
    <t xml:space="preserve">Share of Adjusted </t>
  </si>
  <si>
    <t>Adjustment to</t>
  </si>
  <si>
    <t>Auxiliary</t>
  </si>
  <si>
    <t>Local</t>
  </si>
  <si>
    <t>Special</t>
  </si>
  <si>
    <t>Education</t>
  </si>
  <si>
    <t>Turn on</t>
  </si>
  <si>
    <t>Adjustment?</t>
  </si>
  <si>
    <t>Charter</t>
  </si>
  <si>
    <t>Did the charter school open after FY 2020?</t>
  </si>
  <si>
    <t>PCFP Funding Status</t>
  </si>
  <si>
    <t>Final Funding</t>
  </si>
  <si>
    <t>FY 2020 Baseline</t>
  </si>
  <si>
    <t>PCFP</t>
  </si>
  <si>
    <t>Prior Year Final Funding Designation</t>
  </si>
  <si>
    <t>Summary of PCFP allocations after distribution of excess funding</t>
  </si>
  <si>
    <t>Sum of G - L</t>
  </si>
  <si>
    <t>Will the School District or Charter School be funded by the PCFP?</t>
  </si>
  <si>
    <t>=F11+L11+Q11+S11</t>
  </si>
  <si>
    <t>= U / Tab 2.9</t>
  </si>
  <si>
    <t>Pre-PCFP Revenue Inputs and Assumptions</t>
  </si>
  <si>
    <t>Estimated Increase/(Decrease)</t>
  </si>
  <si>
    <t>Percentage of Increase/-Decrease</t>
  </si>
  <si>
    <t>1) Revenue Growth</t>
  </si>
  <si>
    <t>2) Inflation Growth</t>
  </si>
  <si>
    <t>Weighted Multiplier</t>
  </si>
  <si>
    <t>Projections</t>
  </si>
  <si>
    <t>Inflation Growth Amount</t>
  </si>
  <si>
    <t>Inputs</t>
  </si>
  <si>
    <t>Weight</t>
  </si>
  <si>
    <t>Results</t>
  </si>
  <si>
    <t>Prior Year Data Inputs</t>
  </si>
  <si>
    <t>Modeled Year Data Outputs</t>
  </si>
  <si>
    <t xml:space="preserve"> Validated Enrollment</t>
  </si>
  <si>
    <t>NDE PCFP model summary of modification and enhancements</t>
  </si>
  <si>
    <t>Funding Prior to Reductions</t>
  </si>
  <si>
    <t>Funding After Reductions</t>
  </si>
  <si>
    <t>Total Charter School Size Adjustments:</t>
  </si>
  <si>
    <t>Prior Year Weighted Multiplier: English Learner</t>
  </si>
  <si>
    <t>Prior Year Weighted Multiplier: At-Risk</t>
  </si>
  <si>
    <t>Prior Year Weighted Multiplier: Gifted and Talented</t>
  </si>
  <si>
    <t>4 year Average</t>
  </si>
  <si>
    <t>4 Year Average</t>
  </si>
  <si>
    <t>Cross Referenced or Linked Cell</t>
  </si>
  <si>
    <t>Plan Inputs</t>
  </si>
  <si>
    <t>Calculated Assumptions</t>
  </si>
  <si>
    <t>Charter Name</t>
  </si>
  <si>
    <t>School Name</t>
  </si>
  <si>
    <t>Auxiliary Services Allocations (Transportation and Food Service) (Year 1)</t>
  </si>
  <si>
    <t>Statewide Base Per Pupil Funding for School Districts and Charter Schools (Year 1)</t>
  </si>
  <si>
    <t>District Size Adjustment by Attendance Area (Year 1)</t>
  </si>
  <si>
    <t>Nevada Cost of Education Index (NCEI) for School Districts and Charter Schools (Year 1)</t>
  </si>
  <si>
    <t>Adjusted Base Funding Summary for School Districts and Charter Schools (Year 1)</t>
  </si>
  <si>
    <t>Weighted Funding for School Districts and Charter Schools (Year 1)</t>
  </si>
  <si>
    <t>Allocation of Excess Revenues (Year 1)</t>
  </si>
  <si>
    <t>Comparison of PCFP with FY 2020 Baseline (Year 1)</t>
  </si>
  <si>
    <t>Final Results, Allocation of K12 Education Funding, After Proportional FY 2020 Baseline Reductions (Year 1)</t>
  </si>
  <si>
    <t>PCFP Mid Biennial Weighted Adjustment (Year 2)</t>
  </si>
  <si>
    <t>1.1</t>
  </si>
  <si>
    <t>1.2</t>
  </si>
  <si>
    <t>1.3</t>
  </si>
  <si>
    <t>1.4</t>
  </si>
  <si>
    <t>1.0</t>
  </si>
  <si>
    <t>2.0</t>
  </si>
  <si>
    <t xml:space="preserve"> Pupil Centered Funding Plan Calculations (Green Tabs)</t>
  </si>
  <si>
    <t>2.1</t>
  </si>
  <si>
    <t>2.2</t>
  </si>
  <si>
    <t>2.3</t>
  </si>
  <si>
    <t>2.4</t>
  </si>
  <si>
    <t>2.5</t>
  </si>
  <si>
    <t>2.6</t>
  </si>
  <si>
    <t>2.7</t>
  </si>
  <si>
    <t>2.8</t>
  </si>
  <si>
    <t>2.9</t>
  </si>
  <si>
    <t>3.0</t>
  </si>
  <si>
    <t xml:space="preserve"> Pupil Centered Funding Plan Results After application of Hold Harmless (Blue Tabs)</t>
  </si>
  <si>
    <t>3.1a</t>
  </si>
  <si>
    <t>Initial Results, Allocation of K12 Education Funding, Prior to Proportional FY 2020 Baseline Reductions (Year 1)</t>
  </si>
  <si>
    <t>Total Spec Ed</t>
  </si>
  <si>
    <t>Food Services?</t>
  </si>
  <si>
    <t>Services</t>
  </si>
  <si>
    <t xml:space="preserve">Less Proportional </t>
  </si>
  <si>
    <t>English Learner Targeted Multiplier:</t>
  </si>
  <si>
    <t>At-Risk Targeted Multiplier:</t>
  </si>
  <si>
    <t>GATE Targeted Multiplier:</t>
  </si>
  <si>
    <t>Targeted Multiplier</t>
  </si>
  <si>
    <t xml:space="preserve">Commission on School Funding Recommended Targeted Multipliers </t>
  </si>
  <si>
    <t>GFO Adjustments</t>
  </si>
  <si>
    <t>Special Education, Local Funding for Special Education (Year 1)</t>
  </si>
  <si>
    <t>Adjusted Base Funding Summary for School Districts and Charter Schools (Year 2)</t>
  </si>
  <si>
    <t>Initial Results, Allocation of K12 Education Funding, Prior to Proportional FY 2020 Baseline Reductions (Year 2)</t>
  </si>
  <si>
    <t>Final Results, Allocation of K12 Education Funding, After Proportional FY 2020 Baseline Reductions (Year 2)</t>
  </si>
  <si>
    <t>2341 Comstock Dr, North Las Vegas, NV 89032</t>
  </si>
  <si>
    <t>2800 Vassar St, Reno, NV 89502</t>
  </si>
  <si>
    <t>605 Boxington Way Ste 112, Sparks, NV 89434</t>
  </si>
  <si>
    <t>6000 W Oakey Blvd, Las Vegas, NV 89146</t>
  </si>
  <si>
    <t>Address</t>
  </si>
  <si>
    <t>210 Gentry Way, Reno, NV 89502</t>
  </si>
  <si>
    <t>7360 West Flamingo Road Las Vegas, NV 89147</t>
  </si>
  <si>
    <t>2263 Mouton Dr, Carson City, NV 89706</t>
  </si>
  <si>
    <t>1501 E Carey Ave, North Las Vegas, NV 89030</t>
  </si>
  <si>
    <t>8185 Tamarus St, Las Vegas, NV 89123</t>
  </si>
  <si>
    <t>1350 E 9th St, Reno, NV 89512 </t>
  </si>
  <si>
    <t>1164 N, Reno, NV 89503</t>
  </si>
  <si>
    <t>818 W Brooks Ave, North Las Vegas, NV 89030</t>
  </si>
  <si>
    <t>1201 W Lake Mead Blvd, Las Vegas, NV 89106</t>
  </si>
  <si>
    <t>3975 S Sandhill Rd, Las Vegas, NV 89121</t>
  </si>
  <si>
    <t>9625 W Saddle Ave, Las Vegas, NV 89147</t>
  </si>
  <si>
    <t>3725 Butch Cassidy Dr, Reno, NV 89511</t>
  </si>
  <si>
    <t>999A Locust St NE, Salem, OR 97301</t>
  </si>
  <si>
    <t>1031 Railroad St Ste 107, Elko, NV 89801</t>
  </si>
  <si>
    <t>1300 Foster Dr, Reno, NV 89509</t>
  </si>
  <si>
    <t>4131 E Bonanza Rd. Las Vegas, NV 89110</t>
  </si>
  <si>
    <t>5871 Mountain Vista St, Las Vegas, NV 89120</t>
  </si>
  <si>
    <t>920 N. Lamb Boulevard, Las Vegas, Nevada 89110</t>
  </si>
  <si>
    <t>777 E Ann Rd North, Las Vegas, NV 89081</t>
  </si>
  <si>
    <t>5730 W Alexander Rd, Las Vegas, NV 89130</t>
  </si>
  <si>
    <t>4660 North Rancho, Las Vegas, NV 89130</t>
  </si>
  <si>
    <t>4220 S. Maryland Parkway, Building B, Las Vegas, NV 89119</t>
  </si>
  <si>
    <t>2590 Orovada St, Reno, NV 89512</t>
  </si>
  <si>
    <t>195 N Arlington Ave, Reno, NV 89501</t>
  </si>
  <si>
    <t>6610 Grand Montecito Pkwy, Las Vegas, NV 89149</t>
  </si>
  <si>
    <t>1600 E Oakey Blvd, Las Vegas, NV 89104</t>
  </si>
  <si>
    <t>7495 W Azure Dr Ste 120, Las Vegas, NV 89130</t>
  </si>
  <si>
    <t>505 S Pioche Hwy, Ely, NV 89301-3156</t>
  </si>
  <si>
    <t>7077 W Wigwam Ave, Las Vegas, NV 89113</t>
  </si>
  <si>
    <t>Results, Final Allocations after the FY 2020 Baseline Adjustments (Year 2)</t>
  </si>
  <si>
    <t>Reno</t>
  </si>
  <si>
    <t>3875 Glen Street, Reno, NV 89502</t>
  </si>
  <si>
    <t>3445 Mountain Vista, Las Vegas, NV 89121</t>
  </si>
  <si>
    <t xml:space="preserve">2680 E 9th St, Reno, NV 89512 </t>
  </si>
  <si>
    <t>555 Double Eagle Ct Ste 2000, Reno, NV 89521</t>
  </si>
  <si>
    <t>2525 Emerson Ave Las Vegas, NV 89121</t>
  </si>
  <si>
    <t>7530 Longley Lane, Suite 103 Reno, NV 89115</t>
  </si>
  <si>
    <t>303 South Water Street, Suite 120 Henderson, NV 89015</t>
  </si>
  <si>
    <t>4801 S. Sandhill Road, Las Vegas, NV 89121</t>
  </si>
  <si>
    <t>920 West Williams Avenue, Fallon, NV 89406</t>
  </si>
  <si>
    <t>2251 S. Jones Blvd. Las Vegas, NV 89146</t>
  </si>
  <si>
    <t>1150 Silent Sparrow Dr. Sparks, NV 89441</t>
  </si>
  <si>
    <t>1360 S Boulder Hwy, Henderson, NV 89015</t>
  </si>
  <si>
    <t>7550 W Alexander Rd, Las Vegas, NV 89129</t>
  </si>
  <si>
    <t>District</t>
  </si>
  <si>
    <t>Las Vegas (includes N.Las Vegas, Henderson)</t>
  </si>
  <si>
    <t>Attendance Areas</t>
  </si>
  <si>
    <t>950 W Lake Mead Blvd, Las Vegas, NV 89106</t>
  </si>
  <si>
    <t>10303 Songsparrow Ct, Las Vegas, NV 89135</t>
  </si>
  <si>
    <t>13880 Stead Blvd, Reno, NV 89506</t>
  </si>
  <si>
    <t>498 S Boulder Hwy, Henderson, NV 89015</t>
  </si>
  <si>
    <t>1841 Whitney Mesa Dr, Henderson, NV 89014</t>
  </si>
  <si>
    <t>385 W. Centennial Parkway, North Las Vegas, NV 89084</t>
  </si>
  <si>
    <t>4660 N. Rancho Drive, Las Vegas, NV 89130</t>
  </si>
  <si>
    <t>Enrollment Growth Amount</t>
  </si>
  <si>
    <t>UNIVERSITY SCHOOL PROJECTED ENROLLMENT SUMMARY</t>
  </si>
  <si>
    <t>Total University Schools</t>
  </si>
  <si>
    <t>University Schools</t>
  </si>
  <si>
    <t>Statewide</t>
  </si>
  <si>
    <t>University School</t>
  </si>
  <si>
    <t>University Schools Detail</t>
  </si>
  <si>
    <t>Charter funded prior to FY 2020</t>
  </si>
  <si>
    <t>Charter funded After FY 2020</t>
  </si>
  <si>
    <t>Charter Schools (Combined)</t>
  </si>
  <si>
    <t>FY 2020 Baseline Revenue Received (All Years)</t>
  </si>
  <si>
    <t>Auxiliary Services Calculations (Transportation and Food Service) (Year 1)</t>
  </si>
  <si>
    <t>Statewide Base Per Pupil Funding Calculations for School Districts and Charter Schools (Year 1)</t>
  </si>
  <si>
    <t>District Size Adjustment by Attendance Area Calculations (Year 1)</t>
  </si>
  <si>
    <t>Nevada Cost of Education Index (NCEI) Calculations for School Districts and Charter Schools (Year 1)</t>
  </si>
  <si>
    <t>Weighted Funding Calculations for School Districts and Charter Schools (Year 1)</t>
  </si>
  <si>
    <t>Budgeted Enrollment Projections (Year 1)</t>
  </si>
  <si>
    <t>Budgeted Revenue Projections (Year 1)</t>
  </si>
  <si>
    <t>Assumptions Controls (Year 1)</t>
  </si>
  <si>
    <t>Comparison of PCFP allocations with FY 2020 Baseline (Year 1)</t>
  </si>
  <si>
    <t xml:space="preserve"> Pupil Centered Funding Plan Results (Blue Tabs)</t>
  </si>
  <si>
    <t>Year 1 Pupil Centered Funding Plan Inputs (Red Tabs)</t>
  </si>
  <si>
    <t>Year 2 Pupil Centered Funding Plan Inputs (Red Tabs)</t>
  </si>
  <si>
    <t>3.1b</t>
  </si>
  <si>
    <t>4.0</t>
  </si>
  <si>
    <t>Pupil-Centered Funding Plan Allocation Summary for Year 1 and Year 2</t>
  </si>
  <si>
    <t>Pupil Centered Funding Plan Summary</t>
  </si>
  <si>
    <t>5.0</t>
  </si>
  <si>
    <t>6.0</t>
  </si>
  <si>
    <t>7.0</t>
  </si>
  <si>
    <t>7.1a</t>
  </si>
  <si>
    <t>7.1b</t>
  </si>
  <si>
    <t>8.0</t>
  </si>
  <si>
    <t>Budgeted Revenue Projections  (Year 2)</t>
  </si>
  <si>
    <t>Budgeted Enrollment Projections (Year 2)</t>
  </si>
  <si>
    <t>Auxiliary Services Calculations (Transportation and Food Service) (Year 2)</t>
  </si>
  <si>
    <t>Local Special Education Funding Calculations  (Year 2)</t>
  </si>
  <si>
    <t>Local Special Education Funding Calculations (Year 1)</t>
  </si>
  <si>
    <t>Statewide Base Per Pupil Funding Calculations for School Districts and Charter Schools (Year 2)</t>
  </si>
  <si>
    <t>District Size Adjustment by Attendance Area Calculations (Year 2)</t>
  </si>
  <si>
    <t>Nevada Cost of Education Index (NCEI) Calculations for School Districts and Charter Schools (Year 2)</t>
  </si>
  <si>
    <t>Weighted Funding Calculations for School Districts and Charter Schools (Year 2)</t>
  </si>
  <si>
    <t>Comparison of PCFP allocations with FY 2020 Baseline (Year 2)</t>
  </si>
  <si>
    <t>Pupil Centered Funding Plan Adjustments</t>
  </si>
  <si>
    <t>PCFP Year 2 Weighted Adjustments</t>
  </si>
  <si>
    <t>Budgeted Enrollments</t>
  </si>
  <si>
    <t>Budgeted Revenues</t>
  </si>
  <si>
    <t>Total Pupil Centered Funding Budgeted Allocations</t>
  </si>
  <si>
    <t>PCFP Budgeted Revenue verses Projected Allocation Cross Check:</t>
  </si>
  <si>
    <t xml:space="preserve">*State DSA                  Basic Support               Payments       </t>
  </si>
  <si>
    <t>Notes:</t>
  </si>
  <si>
    <t>Updated 5.13.2022</t>
  </si>
  <si>
    <t>2021 NRS 387 Report</t>
  </si>
  <si>
    <t>Auxiliary Education Services Funding (Level B), After Reduction</t>
  </si>
  <si>
    <t>Local Special Education Funding (Level B1), After Reduction</t>
  </si>
  <si>
    <t>Adjusted Base Per Pupil K-12 Education Allocations (Level C&amp;D), After Reduction</t>
  </si>
  <si>
    <t>English Learner Initial Allocations, After Reduction</t>
  </si>
  <si>
    <t>At-Risk Learner Initial Allocations, After Reduction</t>
  </si>
  <si>
    <t>Gifted and Talented Initial Allocations, After Reduction</t>
  </si>
  <si>
    <t>Total Weighed Program Allocations (Level E), After Reduction</t>
  </si>
  <si>
    <t>Total Pupil Centered Funding Budgeted Allocations, After Reduction</t>
  </si>
  <si>
    <t>Statewide Base PP Funding, After Red</t>
  </si>
  <si>
    <t>Tab 1.1 X Tab 1.2</t>
  </si>
  <si>
    <t>Tab 5.1 X Tab 5.2</t>
  </si>
  <si>
    <t>Tab 5.3</t>
  </si>
  <si>
    <t>Total Revenue</t>
  </si>
  <si>
    <t>Tab 7.1b</t>
  </si>
  <si>
    <t>Projected Allocations</t>
  </si>
  <si>
    <t>University Total</t>
  </si>
  <si>
    <t>Strong Start Academy</t>
  </si>
  <si>
    <t>Young Women's Leadership Academy</t>
  </si>
  <si>
    <t>Battle Born Academy</t>
  </si>
  <si>
    <t>Cactus Park</t>
  </si>
  <si>
    <t>Opened after FY 2020</t>
  </si>
  <si>
    <t>[2] SB 543, Section 9.6:  Rate of Inflation:  percentage of change in the Consumer Price Index for All Urban Consumers, West Region (All Items), as published by the US Dept of Labor for the immediately preceding calendar year. As attached to the budget.</t>
  </si>
  <si>
    <t>NEBS Adjustments</t>
  </si>
  <si>
    <t xml:space="preserve">Amplus (Formerly American Preparatory Academy) </t>
  </si>
  <si>
    <t>Brown, Hannah Marie ES</t>
  </si>
  <si>
    <t>Gunderson, Barry and June MS</t>
  </si>
  <si>
    <t>Nevada Learning Academy ES</t>
  </si>
  <si>
    <t>Toland, Helen Anderson Intl Academy</t>
  </si>
  <si>
    <t xml:space="preserve">Douglas Nevada Online </t>
  </si>
  <si>
    <t>Montello Elementary School</t>
  </si>
  <si>
    <t>JOHN BOHACH ELEMENTARY SCHOOL</t>
  </si>
  <si>
    <t>MARCE HERZ MIDDLE SCHOOL</t>
  </si>
  <si>
    <t>MICHAEL INSKEEP ELEMENTARY SCHOOL</t>
  </si>
  <si>
    <t>Girls Athletic Leadership Schools</t>
  </si>
  <si>
    <t>[6] FY 2023 total enrollment was reprojected based on updated FY 2022 actual total enrollment.</t>
  </si>
  <si>
    <t>**TRANSFER FROM PERMANENT FUNDS</t>
  </si>
  <si>
    <t>Targeted Weights</t>
  </si>
  <si>
    <t>Commission on School Funding Recommended Targeted Weights</t>
  </si>
  <si>
    <t>= C+E</t>
  </si>
  <si>
    <t>FY 2024
Enrollment</t>
  </si>
  <si>
    <t xml:space="preserve">*State DSA Basic Support Payment totals were updated to reflect the correct DSA payments in FY 2020 </t>
  </si>
  <si>
    <t>Size Adjustment consistent with other public schools in the Attendance Area Where the charter operates</t>
  </si>
  <si>
    <t>Adjustment amount per pupil based on Attendance Area</t>
  </si>
  <si>
    <t>Virtual Schools-NDE used the total enrollment to account for students attending a virtual school based on audited FY 2022 4th quarter Average Daily Enrollment.</t>
  </si>
  <si>
    <t>Total Enrollment is based on the audited FY 2022 4th quarter Average Daily Enrollment with an estimated grow of .10 for FY 2023, FY 2024 and FY 2025.</t>
  </si>
  <si>
    <t xml:space="preserve">English Learner, Not Also Special Education 
(actual count day data) </t>
  </si>
  <si>
    <t>NOTES:</t>
  </si>
  <si>
    <t>[1] Targeted Multipliers:  Recommended by the CSF during their April 17, 2020 meeting and formally recommended to Gov and Leg in July 15, 2020 letter; CSF targeted weight for GATE was .14.</t>
  </si>
  <si>
    <t>1095 Fielders St., Henderson, NV 89011</t>
  </si>
  <si>
    <t>Addresses</t>
  </si>
  <si>
    <t>24 and 25</t>
  </si>
  <si>
    <t xml:space="preserve">Average for </t>
  </si>
  <si>
    <t>Assumption Control (Year 2)</t>
  </si>
  <si>
    <t>FY2023</t>
  </si>
  <si>
    <t>FY 23 to FY 24 Increase/(Decrease)</t>
  </si>
  <si>
    <t>FY 2024</t>
  </si>
  <si>
    <t>FY 24 to FY 25 Increase/(Decrease)</t>
  </si>
  <si>
    <t xml:space="preserve">FUNDED </t>
  </si>
  <si>
    <t xml:space="preserve">BY </t>
  </si>
  <si>
    <t>TAB 6.9</t>
  </si>
  <si>
    <t>Modified CPI using 2020 to 2021 annual CPI data points</t>
  </si>
  <si>
    <t>Added note for Special Transportation in the auxiliary services tab.</t>
  </si>
  <si>
    <t>Corrected Tabs 2.9 and 6.9 formula comparing PCFP current allocation to the FY 2020 Baseline.</t>
  </si>
  <si>
    <t>Enrollment  
FT in Distance Ed, 
(projected)</t>
  </si>
  <si>
    <t>Modified tab 1.2 so district online (Distance Ed) counts are represented in the district summary.</t>
  </si>
  <si>
    <t>FY 22</t>
  </si>
  <si>
    <t>FY 23</t>
  </si>
  <si>
    <t>Biennium total</t>
  </si>
  <si>
    <t xml:space="preserve">Total General Fund </t>
  </si>
  <si>
    <t xml:space="preserve">	BAL FWD FROM PREVIOUS YEAR (PROCEEDS OF MINERALS (NPM) - (Received in prior year for expenditure in current year)</t>
  </si>
  <si>
    <t>NET PROCEEDS OF MINERALS (NPM) - (Received in current year for expenditure in future year)</t>
  </si>
  <si>
    <t>Added validation points on tabs 3.1b and 7.1b to identify discrepancies between the per pupil FY 2020 baseline and the total funding FY 2020 baseline. How to address baseline discrepancies identified is pending LCB legal analysis.</t>
  </si>
  <si>
    <t>Cat 08</t>
  </si>
  <si>
    <t>Cat 12</t>
  </si>
  <si>
    <t>Cat 13</t>
  </si>
  <si>
    <t>Cat 14</t>
  </si>
  <si>
    <t>Cat 09</t>
  </si>
  <si>
    <t>NEBS Input:</t>
  </si>
  <si>
    <t>Cat 10</t>
  </si>
  <si>
    <t>Cat 11</t>
  </si>
  <si>
    <t>In NEBS: Moved the transfer to Education Stabilization Account from FY25 to the Work Program year.</t>
  </si>
  <si>
    <t>Updated tab 1.2, cell A40, to Carson City.</t>
  </si>
  <si>
    <t>Prior Year State English Learner Funding Leg Approved</t>
  </si>
  <si>
    <t>Prior Year State At-Risk Student Funding Leg Approved</t>
  </si>
  <si>
    <t>Prior Year State Gifted and Talented Funding Leg Approved</t>
  </si>
  <si>
    <t>Actual Total Enrollment from prior year:</t>
  </si>
  <si>
    <t>Distant Education Enrollment</t>
  </si>
  <si>
    <t>Total Enrollment less Distant Education</t>
  </si>
  <si>
    <t>Statewide Base Total for Distant Education</t>
  </si>
  <si>
    <t>Statewide Base Per pupil Funding</t>
  </si>
  <si>
    <t xml:space="preserve">Total Statewide base less Distant Education </t>
  </si>
  <si>
    <t>NCEI, Using CWI All Workers for Wages, and RPP “Goods” for Non-wages</t>
  </si>
  <si>
    <t>=(D * E)</t>
  </si>
  <si>
    <t>=Tab 1.2 - E</t>
  </si>
  <si>
    <t>Enrollment by  Attendance Area less Distant Education Students</t>
  </si>
  <si>
    <t>Reset all model inputs (weighted multipliers and Statewide base per pupil amount) to the prior year inputs not the outputs.</t>
  </si>
  <si>
    <t>FY 2020 Revenues Received/Awarded 
 (PCFP FY 2020 Baseline Amount)</t>
  </si>
  <si>
    <t>PCFP   Per Pupil</t>
  </si>
  <si>
    <t>PCFP    FY 2020 Baseline Per Pupil</t>
  </si>
  <si>
    <t>Funding for those School Districts/Charter Schools on the FY 2020 Baseline Per Pupil Amount</t>
  </si>
  <si>
    <t>Funding for those School Districts/Charter Schools on PCFP Per Pupil Amount</t>
  </si>
  <si>
    <t>Gifts and Donations of Unclaimed Property Proceeds</t>
  </si>
  <si>
    <t>Increase SWB by:</t>
  </si>
  <si>
    <t>PY Data Input</t>
  </si>
  <si>
    <t>PY Actual Allocated</t>
  </si>
  <si>
    <t>Tab 2.7</t>
  </si>
  <si>
    <t xml:space="preserve">Tab 5.1 </t>
  </si>
  <si>
    <t>Tab 5.1</t>
  </si>
  <si>
    <t>Prior Year State English Learner Funding Allocated</t>
  </si>
  <si>
    <t>Prior Year State At-Risk Student Allocated</t>
  </si>
  <si>
    <t>Prior Year State Gifted and Talented Funding Allocated</t>
  </si>
  <si>
    <t>Tab 6.7</t>
  </si>
  <si>
    <t>Weighted Enrollment based on validated October 1, 2022 count day data</t>
  </si>
  <si>
    <t>Unduplicated weighted enrollment sorted order of precedence is IEP, EL, At-Risk and GATE</t>
  </si>
  <si>
    <t>Allocation of Residual Revenue (Year 1)</t>
  </si>
  <si>
    <t>Manual redistribution of residual revenue back into the Statewide Base (SWB).</t>
  </si>
  <si>
    <t>Allocation of Residual Revenue (Year 2)</t>
  </si>
  <si>
    <t>Tab 3.1a Funded Level</t>
  </si>
  <si>
    <t>Tab 5.2</t>
  </si>
  <si>
    <t>= D * G</t>
  </si>
  <si>
    <t>Tab 6.3</t>
  </si>
  <si>
    <t>=(H * (G - 1))</t>
  </si>
  <si>
    <t>Tab 6.4</t>
  </si>
  <si>
    <t>Tab 6.5</t>
  </si>
  <si>
    <t>Tab 6.6</t>
  </si>
  <si>
    <t>Tab 6.1</t>
  </si>
  <si>
    <t>Tab 6.2</t>
  </si>
  <si>
    <t>Tab 7.1a * K3</t>
  </si>
  <si>
    <t>F / Tab 6.9</t>
  </si>
  <si>
    <t>= U / Tab 6.9</t>
  </si>
  <si>
    <t>Tab 6.9</t>
  </si>
  <si>
    <t>Tab 6.8 / 1.4</t>
  </si>
  <si>
    <t>Tab 6.1 / 1.4</t>
  </si>
  <si>
    <t>= M + N + O</t>
  </si>
  <si>
    <t>Are Net Proceeds greater than the FY 2020 Baseline Amount? (Y/N)</t>
  </si>
  <si>
    <t>Funding for those School Districts/Charter Schools at the FY 2020 Baseline Per Pupil Rate</t>
  </si>
  <si>
    <t>PCFP FY 2020 Baseline Per Pupil Amount</t>
  </si>
  <si>
    <t>FY 2020 Revenues Received/Awarded 
 (FY 2020 Baseline Funding)</t>
  </si>
  <si>
    <t>PCFP           Per Pupil Amount</t>
  </si>
  <si>
    <t>2022 NRS 387 Report</t>
  </si>
  <si>
    <t>Total                Spec Ed Fund 
Resources               Per FY 2022
NRS 387.300 Report</t>
  </si>
  <si>
    <t>Local Funding in the School District/Charter School Special Education Fund in FY 2022</t>
  </si>
  <si>
    <t>Tab 3.1a</t>
  </si>
  <si>
    <t>Tab 3.1b</t>
  </si>
  <si>
    <t>Tab 7.1a</t>
  </si>
  <si>
    <t>Amounts are not adjusted for inflation or enrollment growth</t>
  </si>
  <si>
    <t>Data Source: FY 2019; FY 2020, FY 2021 and FY 2022 - 387 reports</t>
  </si>
  <si>
    <t>Tab 2.8</t>
  </si>
  <si>
    <t>Remaining residual funding in year 2</t>
  </si>
  <si>
    <t>Updated the weighted enrollment using 10/1/2022 data</t>
  </si>
  <si>
    <t>Updated "source" references in year two of the model.</t>
  </si>
  <si>
    <t>Updated model revenues based on the projections provided by GFO</t>
  </si>
  <si>
    <t>Updated the weighted multipliers to fully fund the EL (.50), At-risk (.30) and GATE (.12) based on CSF recommendations</t>
  </si>
  <si>
    <t>Formula updated in cell G42 on tabs 2.4 &amp; 6.4, to calculate the attendance area amount for the Montello attendance area in Elko County.</t>
  </si>
  <si>
    <t>SWB Validation</t>
  </si>
  <si>
    <t>1095 Fielders St. Henderson, NV 89011</t>
  </si>
  <si>
    <t xml:space="preserve">Compared to </t>
  </si>
  <si>
    <t>FY2023 PCFP</t>
  </si>
  <si>
    <t>Model</t>
  </si>
  <si>
    <t>Budget Account Line Item Data by Decision Unit</t>
  </si>
  <si>
    <t>R/E Check Data:</t>
  </si>
  <si>
    <t>Date:</t>
  </si>
  <si>
    <t>12/17/22 9:53 PM</t>
  </si>
  <si>
    <t>Budget Period:</t>
  </si>
  <si>
    <t>2023-2025 Biennium (FY24-25)</t>
  </si>
  <si>
    <t>Budget Account:</t>
  </si>
  <si>
    <t>2609 NDE - PUPIL-CENTERED FUNDING PLAN ACCOUNT</t>
  </si>
  <si>
    <t>Version:</t>
  </si>
  <si>
    <t>G01 GOVERNOR RECOMMENDS</t>
  </si>
  <si>
    <t>Cat</t>
  </si>
  <si>
    <t>GL</t>
  </si>
  <si>
    <t>Description</t>
  </si>
  <si>
    <t>Actual</t>
  </si>
  <si>
    <t>WP</t>
  </si>
  <si>
    <t>B000</t>
  </si>
  <si>
    <t>M101</t>
  </si>
  <si>
    <t>M150</t>
  </si>
  <si>
    <t>Yr 1 Total</t>
  </si>
  <si>
    <t>Yr 2 Total</t>
  </si>
  <si>
    <t>Grand Total</t>
  </si>
  <si>
    <t>00</t>
  </si>
  <si>
    <t>APPROPRIATION CONTROL</t>
  </si>
  <si>
    <t>BALANCE FORWARD FROM PREVIOUS YEAR</t>
  </si>
  <si>
    <t>BALANCE FORWARD TO NEW YEAR</t>
  </si>
  <si>
    <t>NET PROCEEDS MINERALS - STATE</t>
  </si>
  <si>
    <t>GOLD AND SILVER TAX</t>
  </si>
  <si>
    <t>MV GOVERNMENTAL SERVICES TAX COMMISSIONS</t>
  </si>
  <si>
    <t>EXCISE TAX RETAIL</t>
  </si>
  <si>
    <t>SCHOOL SUPPORT TAX</t>
  </si>
  <si>
    <t>ANNUAL SLOT TAX</t>
  </si>
  <si>
    <t>AB 579 TRANSIENT LODGING TAX</t>
  </si>
  <si>
    <t>UNIVERSAL ENERGY CHARGE</t>
  </si>
  <si>
    <t>FED MINERAL LEASING ACT REV</t>
  </si>
  <si>
    <t>GEOTHERMAL TAX</t>
  </si>
  <si>
    <t>FRANCHISE FEES</t>
  </si>
  <si>
    <t>NET PROCEEDS OF MINERALS</t>
  </si>
  <si>
    <t>FINES/FORFEITURES/PENALTIES</t>
  </si>
  <si>
    <t>FINES</t>
  </si>
  <si>
    <t>PRIOR YEAR REFUNDS</t>
  </si>
  <si>
    <t>GIFTS AND DONATIONS</t>
  </si>
  <si>
    <t>TREASURER'S INTEREST DISTRIB</t>
  </si>
  <si>
    <t>TRANS FROM UNCLAIMED PROPERTY</t>
  </si>
  <si>
    <t>TRANS FROM PETRLM DISCHRG TRST</t>
  </si>
  <si>
    <t>TRANSFER FROM TAXATION</t>
  </si>
  <si>
    <t>TRANSFER FROM PERMANENT FUNDS</t>
  </si>
  <si>
    <t xml:space="preserve"> 00  Total</t>
  </si>
  <si>
    <t>08</t>
  </si>
  <si>
    <t>7438</t>
  </si>
  <si>
    <t>PROFESSIONAL SERVICES-H</t>
  </si>
  <si>
    <t>8600</t>
  </si>
  <si>
    <t>AID FOR EDUCATION AND TRAINING</t>
  </si>
  <si>
    <t>8601</t>
  </si>
  <si>
    <t>CARSON CITY SCHOOL DISTRICT</t>
  </si>
  <si>
    <t>8602</t>
  </si>
  <si>
    <t>CHURCHILL CO SCHOOL DISTRICT</t>
  </si>
  <si>
    <t>8603</t>
  </si>
  <si>
    <t>CLARK CO SCHOOL DISTRICT</t>
  </si>
  <si>
    <t>8604</t>
  </si>
  <si>
    <t>DOUGLAS CO SCHOOL DISTRICT</t>
  </si>
  <si>
    <t>8605</t>
  </si>
  <si>
    <t>ELKO CO SCHOOL DISTRICT</t>
  </si>
  <si>
    <t>8606</t>
  </si>
  <si>
    <t>ESMERALDA CO SCHOOL DISTRICT</t>
  </si>
  <si>
    <t>8607</t>
  </si>
  <si>
    <t>EUREKA CO SCHOOL DISTRICT</t>
  </si>
  <si>
    <t>8608</t>
  </si>
  <si>
    <t>HUMBOLDT CO SCHOOL DISTRICT</t>
  </si>
  <si>
    <t>8609</t>
  </si>
  <si>
    <t>LANDER CO SCHOOL DISTRICT</t>
  </si>
  <si>
    <t>8610</t>
  </si>
  <si>
    <t>LINCOLN CO SCHOOL DISTRICT</t>
  </si>
  <si>
    <t>8611</t>
  </si>
  <si>
    <t>LYON CO SCHOOL DISTRICT</t>
  </si>
  <si>
    <t>8612</t>
  </si>
  <si>
    <t>MINERAL CO SCHOOL DISTRICT</t>
  </si>
  <si>
    <t>8613</t>
  </si>
  <si>
    <t>NYE CO SCHOOL DISTRICT</t>
  </si>
  <si>
    <t>8614</t>
  </si>
  <si>
    <t>PERSHING CO SCHOOL DISTRICT</t>
  </si>
  <si>
    <t>8615</t>
  </si>
  <si>
    <t>STOREY CO SCHOOL DISTRICT</t>
  </si>
  <si>
    <t>8616</t>
  </si>
  <si>
    <t>WASHOE CO SCHOOL DISTRICT</t>
  </si>
  <si>
    <t>8617</t>
  </si>
  <si>
    <t>WHITE PINE CO SCHOOL DISTRICT</t>
  </si>
  <si>
    <t>8620</t>
  </si>
  <si>
    <t>PRIVATE SCHOOLS/TRAINING INSTI</t>
  </si>
  <si>
    <t>8621</t>
  </si>
  <si>
    <t>CHARTER-HIGH DESERT MONTESSORI</t>
  </si>
  <si>
    <t>8622</t>
  </si>
  <si>
    <t>CHARTER-CORAL ACADEMY</t>
  </si>
  <si>
    <t>8623</t>
  </si>
  <si>
    <t>CHARTER-NEVADA LEADERSHIP</t>
  </si>
  <si>
    <t>8624</t>
  </si>
  <si>
    <t>CHARTER-ACADEMY FOR CAREER EDU</t>
  </si>
  <si>
    <t>8625</t>
  </si>
  <si>
    <t>CHARTER-SIERRA CREST ACADEMY</t>
  </si>
  <si>
    <t>8627</t>
  </si>
  <si>
    <t>CHARTER-WASHOE TEAM ACADEMY</t>
  </si>
  <si>
    <t>8628</t>
  </si>
  <si>
    <t>CHARTER-CLARK TEAM ACADEMY</t>
  </si>
  <si>
    <t>8629</t>
  </si>
  <si>
    <t>CHARTER-TRANSITIONS SCHOOL</t>
  </si>
  <si>
    <t>8630</t>
  </si>
  <si>
    <t>AID OR GRANTS TO SCHOOLS</t>
  </si>
  <si>
    <t>8631</t>
  </si>
  <si>
    <t>CHARTER-ODYSSEY ELEMENTARY</t>
  </si>
  <si>
    <t>8632</t>
  </si>
  <si>
    <t>CHARTER-BAILEY</t>
  </si>
  <si>
    <t>8633</t>
  </si>
  <si>
    <t>CHARTER-SIERRA NEVADA ACADEMY</t>
  </si>
  <si>
    <t>8637</t>
  </si>
  <si>
    <t>CHARTER-ODYSSEY SECONDARY</t>
  </si>
  <si>
    <t>8638</t>
  </si>
  <si>
    <t>CHARTER-EXPLORE KNOWLEDGE ACAD</t>
  </si>
  <si>
    <t>8639</t>
  </si>
  <si>
    <t>CHARTER-MARIPOSA ACADEMY</t>
  </si>
  <si>
    <t>8659</t>
  </si>
  <si>
    <t>CHARTER - CIVICA</t>
  </si>
  <si>
    <t>8660</t>
  </si>
  <si>
    <t>CHARTER-RAINSHADOW SCHOOL</t>
  </si>
  <si>
    <t>8661</t>
  </si>
  <si>
    <t>CHARTER - NV STATE HIGH SCHOOL</t>
  </si>
  <si>
    <t>8662</t>
  </si>
  <si>
    <t>CHARTER - EVOLUTIONS</t>
  </si>
  <si>
    <t>8663</t>
  </si>
  <si>
    <t>CHARTER - CARSON MONTESSORI</t>
  </si>
  <si>
    <t>8665</t>
  </si>
  <si>
    <t>CHARTER-INNOVATIONS INTERNATNL</t>
  </si>
  <si>
    <t>8666</t>
  </si>
  <si>
    <t>CHARTER-RAINBOW DREAMS</t>
  </si>
  <si>
    <t>8667</t>
  </si>
  <si>
    <t>CHARTER-EPERANZA BILINGUAL</t>
  </si>
  <si>
    <t>8668</t>
  </si>
  <si>
    <t>CHARTER-E TECHS</t>
  </si>
  <si>
    <t>8669</t>
  </si>
  <si>
    <t>CHARTER-100 ACADEMY OF EXCELLENCE</t>
  </si>
  <si>
    <t>8670</t>
  </si>
  <si>
    <t>CHARTER-WESTCARE</t>
  </si>
  <si>
    <t>8671</t>
  </si>
  <si>
    <t>CHARTER - BEACON ACADEMY</t>
  </si>
  <si>
    <t>8672</t>
  </si>
  <si>
    <t>CHARTER - IMAGINE SCHOOL IN VALLEY</t>
  </si>
  <si>
    <t>8673</t>
  </si>
  <si>
    <t>CHARTER - ELKO INSTITUTE</t>
  </si>
  <si>
    <t>8674</t>
  </si>
  <si>
    <t>CHARTER - SILVER SANDS MONTESS</t>
  </si>
  <si>
    <t>8675</t>
  </si>
  <si>
    <t>CHARTER - ALPINE ACADEMY</t>
  </si>
  <si>
    <t>8677</t>
  </si>
  <si>
    <t>CHARTER-SOMERSET ACADEMY</t>
  </si>
  <si>
    <t>8678</t>
  </si>
  <si>
    <t>CHARTER-LEARNING BRIDGE</t>
  </si>
  <si>
    <t>8679</t>
  </si>
  <si>
    <t>CHARTER-DORAL</t>
  </si>
  <si>
    <t>8680</t>
  </si>
  <si>
    <t>CHARTER-FOUNDERS ACADEMY</t>
  </si>
  <si>
    <t>8681</t>
  </si>
  <si>
    <t>CHARTER - OTHER SCHOOLS</t>
  </si>
  <si>
    <t>8682</t>
  </si>
  <si>
    <t>CHARTER-MATER</t>
  </si>
  <si>
    <t>8683</t>
  </si>
  <si>
    <t>CHARTER - SCHOOL</t>
  </si>
  <si>
    <t>8684</t>
  </si>
  <si>
    <t>CHARTER-EQUIPO ACADEMY CS</t>
  </si>
  <si>
    <t>8685</t>
  </si>
  <si>
    <t>CHARTER/SLAM</t>
  </si>
  <si>
    <t>8686</t>
  </si>
  <si>
    <t>CHARTER - AMER LEADRSHP ACAD NLV</t>
  </si>
  <si>
    <t>8687</t>
  </si>
  <si>
    <t>CHARTER - FUTURO ACADEMY</t>
  </si>
  <si>
    <t>8688</t>
  </si>
  <si>
    <t>CHARTER - DEMOCRACY PREP</t>
  </si>
  <si>
    <t>8689</t>
  </si>
  <si>
    <t>CHARTER - DORAL NORTH</t>
  </si>
  <si>
    <t>8690</t>
  </si>
  <si>
    <t>CHARTER - MATER NORTH</t>
  </si>
  <si>
    <t>8691</t>
  </si>
  <si>
    <t>CHARTER - NVSTATE HS II SUNRISE</t>
  </si>
  <si>
    <t>8692</t>
  </si>
  <si>
    <t>CHARTER - NV RISE ACADEMY</t>
  </si>
  <si>
    <t>8693</t>
  </si>
  <si>
    <t>CHARTER - NV ST HS III MEADOWOOD</t>
  </si>
  <si>
    <t>8694</t>
  </si>
  <si>
    <t>CHARTER - NV PREP</t>
  </si>
  <si>
    <t>8695</t>
  </si>
  <si>
    <t>CHARTER - NV ST HS II SUNRISE</t>
  </si>
  <si>
    <t>8696</t>
  </si>
  <si>
    <t>CHARTER-GIRLS ATH LEADERSHIP</t>
  </si>
  <si>
    <t>8697</t>
  </si>
  <si>
    <t>CHARTER-EXPLORE ACADEMY</t>
  </si>
  <si>
    <t>8698</t>
  </si>
  <si>
    <t>CHARTER-PINECREST ACADEMY NO NV</t>
  </si>
  <si>
    <t>8699</t>
  </si>
  <si>
    <t>CHARTER-TEACH LAS VEGAS</t>
  </si>
  <si>
    <t xml:space="preserve"> 08  Total</t>
  </si>
  <si>
    <t>09</t>
  </si>
  <si>
    <t xml:space="preserve"> 09  Total</t>
  </si>
  <si>
    <t>10</t>
  </si>
  <si>
    <t xml:space="preserve"> 10  Total</t>
  </si>
  <si>
    <t>11</t>
  </si>
  <si>
    <t xml:space="preserve"> 11  Total</t>
  </si>
  <si>
    <t>12</t>
  </si>
  <si>
    <t>8651</t>
  </si>
  <si>
    <t>INTERGOVERNMENTAL OTHER</t>
  </si>
  <si>
    <t xml:space="preserve"> 12  Total</t>
  </si>
  <si>
    <t>13</t>
  </si>
  <si>
    <t xml:space="preserve"> 13  Total</t>
  </si>
  <si>
    <t>14</t>
  </si>
  <si>
    <t xml:space="preserve"> 14  Total</t>
  </si>
  <si>
    <t>25</t>
  </si>
  <si>
    <t xml:space="preserve"> 25  Total</t>
  </si>
  <si>
    <t>32</t>
  </si>
  <si>
    <t>9027</t>
  </si>
  <si>
    <t>TRANS TO EDUCATION</t>
  </si>
  <si>
    <t xml:space="preserve"> 32  Total</t>
  </si>
  <si>
    <t>85</t>
  </si>
  <si>
    <t>9178</t>
  </si>
  <si>
    <t>RESERVE - BAL FWD TO SUBSEQUENT FY</t>
  </si>
  <si>
    <t xml:space="preserve"> 85  Total</t>
  </si>
  <si>
    <t>86</t>
  </si>
  <si>
    <t xml:space="preserve"> 86  Total</t>
  </si>
  <si>
    <t>Allocation of residual revenue to the Statewide Base</t>
  </si>
  <si>
    <t>6) Weighted Multiplier Determination</t>
  </si>
  <si>
    <t>7) Projected Revenue</t>
  </si>
  <si>
    <t>[4] At-risk enrollment is now based on the new At-risk definition approved by the State Board of Education.  The At-risk weight was increased from .03 in FY 2023 to .30 for FY 2024 and FY 2025.</t>
  </si>
  <si>
    <t>Enrollment Growth</t>
  </si>
  <si>
    <t>5) Enrollment Growth</t>
  </si>
  <si>
    <t>3) Inflationary Growth Adjustment</t>
  </si>
  <si>
    <t>Federal CPI - Inflationary Value Per Pupil</t>
  </si>
  <si>
    <t>Inflationary Value Per Pupil</t>
  </si>
  <si>
    <t>4) Statewide Base Funding including residual funding for | FY2024</t>
  </si>
  <si>
    <t>Total for PCFP/2020 Baseline:</t>
  </si>
  <si>
    <t>Per Pupil Rate of Change from FY24</t>
  </si>
  <si>
    <t>Tab 6.8</t>
  </si>
  <si>
    <t>FY 2025
Enrollment</t>
  </si>
  <si>
    <t>Tab 2.8 / 2.9</t>
  </si>
  <si>
    <t>Tab 6.8 / 6.9</t>
  </si>
  <si>
    <t>ROUND(IF(D17="PCFP",'2.8 Alloc of Residual Rev. YR1'!G19,'2.9 PCFP Funding Comparison YR1'!I13*'2.9 PCFP Funding Comparison YR1'!D13),2)</t>
  </si>
  <si>
    <t>FY24</t>
  </si>
  <si>
    <t>FY25</t>
  </si>
  <si>
    <t>At-Risk, 
Not Also Special Education or English Learner (actual count day data)</t>
  </si>
  <si>
    <t>GATE, 
Not Also Special Education or English Learner or At-Risk
(actual count day data)</t>
  </si>
  <si>
    <t>FY 2023 December 2022 Revised Consensus Forecast</t>
  </si>
  <si>
    <t>Adj Base Per Pupil Funding After Red</t>
  </si>
  <si>
    <t>Year 2</t>
  </si>
  <si>
    <t>Year 1</t>
  </si>
  <si>
    <t>[1] The initial SWB/P funding amount is from the (FY 23 PCFP) final statewide base per pupil amount after the reduction adjustment was applied.</t>
  </si>
  <si>
    <t>PY Data Output [1]</t>
  </si>
  <si>
    <t>[5] Nevada Cost of Education Index, Version as of 8.5.22, including a floor of 1.0 for districts below 1.0.  Data Source for NCEI CWI: Contractor Chris Stoddard. Data Source for NCEI RPP: U.S. Department of Labor and Statistics</t>
  </si>
  <si>
    <t>STATE EDUCATION FUNDING SOURCE FORECASTS FOR FY 2023, FY 2024, AND FY 2025 - BUDGET DIVISION/FISCAL ANALYSIS DIVISION DECEMBER 2022 CONSENSUS</t>
  </si>
  <si>
    <t>FY 2022 ACTUAL AND FY 2023, FY 2024, &amp; FY 2025 DECEMBER 2022 FORECAST</t>
  </si>
  <si>
    <t>2021-23 Biennium (FY 2022 &amp; FY 2023)</t>
  </si>
  <si>
    <t>2023-25 Biennium (FY 2024 &amp; FY 2025)</t>
  </si>
  <si>
    <t>Biennium Difference:  
2023-25 Biennium less 
2021-23 Biennium</t>
  </si>
  <si>
    <t>Paragraph of Subsection 2 of NRS 387.1212</t>
  </si>
  <si>
    <t>NRS Reference for Revenue Source</t>
  </si>
  <si>
    <t>BA 2609 GL</t>
  </si>
  <si>
    <t>FY 2022</t>
  </si>
  <si>
    <t>FY 2023</t>
  </si>
  <si>
    <t>2021-23 Biennium</t>
  </si>
  <si>
    <t>FY 2025</t>
  </si>
  <si>
    <t>2023-25 Biennium</t>
  </si>
  <si>
    <t>Reversions</t>
  </si>
  <si>
    <t>Beginning Cash</t>
  </si>
  <si>
    <t>Prior Year Refunds</t>
  </si>
  <si>
    <t>387.1212, Sub. 2, (a)</t>
  </si>
  <si>
    <t>Interest from the Permanent School Fund</t>
  </si>
  <si>
    <t>387.1212, Sub. 2, (b)</t>
  </si>
  <si>
    <t>State 3% Room Tax</t>
  </si>
  <si>
    <t>387.1212, Sub. 2, (c)</t>
  </si>
  <si>
    <t>Property Tax - 75-cent Operating Rate for Schools (total 75-cent rate amount)</t>
  </si>
  <si>
    <t>387.1212, Sub. 2, (d)</t>
  </si>
  <si>
    <t>120A.610</t>
  </si>
  <si>
    <t>Expired/abandoned gift certificates (unredeemed/uncharged value portion)</t>
  </si>
  <si>
    <t>387.1212, Sub. 2, (e)</t>
  </si>
  <si>
    <t>Proceeds from the Sale of Forfeited Property</t>
  </si>
  <si>
    <t>387.1212, Sub. 2, (f)</t>
  </si>
  <si>
    <t>278C.250</t>
  </si>
  <si>
    <t>Proceeds from the Tax Increment Areas</t>
  </si>
  <si>
    <t>387.1212, Sub. 2, (g)</t>
  </si>
  <si>
    <t>Lease of Federal Lands</t>
  </si>
  <si>
    <t>387.1212, Sub. 2, (h)</t>
  </si>
  <si>
    <t>387.1212, Sub. 2, (i)</t>
  </si>
  <si>
    <t>Distribution of Excess Sales Tax Proceeds Pledged for a Project by a County Pursuant to the Provisions Established in NRS 271.650 Authorizing a County Whose Population is Less Than 700,000 to Pledge Up to 75% of Sales Tax for Certain Projects in Support of Economic Development and Tourism</t>
  </si>
  <si>
    <t>387.1212, Sub. 2, (j)</t>
  </si>
  <si>
    <t xml:space="preserve">Distribution of Excess Sales Tax Proceeds Pledged for a Project by a County Pursuant to the Provisions Established in NRS 271A.070 Authorizing a County to Create a Tourism Improvement District (TID) and Pledge Up to 75% of Sales Tax Proceeds in the TID for Certain Projects in Support of Economic Development and Tourism.  This is also generally referred to as the STAR Bonds. </t>
  </si>
  <si>
    <t>387.1212, Sub. 2, (k)</t>
  </si>
  <si>
    <t>Net Proceeds of Minerals Collections Attributable to State Portion</t>
  </si>
  <si>
    <t>387.1212, Sub. 2, (l)</t>
  </si>
  <si>
    <t>Net Proceeds of Minerals Collections Attributable to 75-Cent Property Tax Rate</t>
  </si>
  <si>
    <t>387.1212, Sub. 2, (m)</t>
  </si>
  <si>
    <t>372A.290</t>
  </si>
  <si>
    <t>15% Wholesale Excise Tax on marijuana sold by cultivation establishments</t>
  </si>
  <si>
    <t>387.1212, Sub. 2,(q)</t>
  </si>
  <si>
    <t>678B.390</t>
  </si>
  <si>
    <t>Medical/Adult Use Marijuana Establishments - Application Fees, Initial and Renewal License Fees, and Agent Card Fees</t>
  </si>
  <si>
    <t>387.1212,  Sub. 2, (n)</t>
  </si>
  <si>
    <t>10% Retail Excise Tax on marijuana sold by retail marijuana establishments</t>
  </si>
  <si>
    <t>387.1212, Sub. 2, (o)</t>
  </si>
  <si>
    <t>Local School Support Tax (LSST)</t>
  </si>
  <si>
    <t>387.1212, Sub. 2, (p)</t>
  </si>
  <si>
    <t>445B.640</t>
  </si>
  <si>
    <t>Proceeds from Penalties Related to Program for Control of Air Pollution Violations</t>
  </si>
  <si>
    <t>387.1212, Sub. 2, (r)</t>
  </si>
  <si>
    <t>Annual Slot Tax</t>
  </si>
  <si>
    <t>387.1212, Sub. 2, (s)</t>
  </si>
  <si>
    <t>GST - School District Allocation: Portion Allocated Based on 75-cent Property Tax Operating Rate</t>
  </si>
  <si>
    <t>387.1212, Sub. 2, (t)</t>
  </si>
  <si>
    <t>Portion of annual boat registration fees - NDOW (NRS 488.075)</t>
  </si>
  <si>
    <t>387.1212, Sub. 2, (u)</t>
  </si>
  <si>
    <t>Franchise Fee of 2% on Net Profits of a Business Granted a Franchise to Operate Electric Light, Heat, and Power Lines in a County</t>
  </si>
  <si>
    <t>387.1212, Sub. 2, (v)</t>
  </si>
  <si>
    <t>387.1212, Sub. 2, (w)</t>
  </si>
  <si>
    <t>Franchise Fee of 2% of Net Profits for Granting an Extension of the Franchise to a Business to Operate Electric Light, Heat, and Power Lines in a County</t>
  </si>
  <si>
    <t>387.1212, Sub 2., (x)</t>
  </si>
  <si>
    <t>363D.290</t>
  </si>
  <si>
    <t>Tax on Gross Revenue of Gold and Silver Mining Businesses</t>
  </si>
  <si>
    <t>387.1212, Sub. 1</t>
  </si>
  <si>
    <t>Interest Income on Revenue in the SEF - Excluding General Fund Appropriation</t>
  </si>
  <si>
    <t>None</t>
  </si>
  <si>
    <t>Transfer Prior Year Revenue - FY22 4th Qtr SEF Interest</t>
  </si>
  <si>
    <t>120A.645</t>
  </si>
  <si>
    <t>387.1212, Sub. 2, (y)</t>
  </si>
  <si>
    <t>General Fund Appropriation</t>
  </si>
  <si>
    <t>TOTAL - ALL ITEMS</t>
  </si>
  <si>
    <t>TOTAL - REVENUE SOURCES: EXCLUDES GENERAL FUND APPROPRIATION, REVERSIONS, BEGINNING CASH, AND PRIOR YEAR REFUNDS</t>
  </si>
  <si>
    <t>TOTAL - FUNDING SOURCES WITH GENERAL FUND APPROPRIATION EXCLUDING REVERSIONS, BEGINNING CASH, AND PRIOR YEAR REFUNDS</t>
  </si>
  <si>
    <t>15% Wholesale Marijuana Excise Tax - BA 4207</t>
  </si>
  <si>
    <t>All Other Marijuana Revenue Sources - BA 4207</t>
  </si>
  <si>
    <t>Marijuana Revenues: TOTAL</t>
  </si>
  <si>
    <t>Model Check</t>
  </si>
  <si>
    <t>Per Pupil Change from FY23</t>
  </si>
  <si>
    <t>FY23 Amount</t>
  </si>
  <si>
    <t>Change</t>
  </si>
  <si>
    <t>Download the BADU from NEBS/BASN</t>
  </si>
  <si>
    <t>Copy the Actual, WP, and B000 columns, and paste as values into this spreadsheet. Do not copy and paste over the M150 columns, Yr 1 Total, or Yr 2 Total column.</t>
  </si>
  <si>
    <t>Directions for use of this tab to update NEBS/BASN utilizing M150 as the balancing mechanism:</t>
  </si>
  <si>
    <t>Modified PCFP General fund appropriations for FY 24 and 25 to be 50% of the base biennium total.</t>
  </si>
  <si>
    <t>Modified tab 1.1 - Inflationary Growth Adjustments to be calculated using prior year enrollment.</t>
  </si>
  <si>
    <t>Per GFO Request, updated model to allow for manual adjustment to the statewide base.  Tab 2.8</t>
  </si>
  <si>
    <t xml:space="preserve"> [2] Weight for GATE set to .12 per Legislature</t>
  </si>
  <si>
    <t>NEBS Total</t>
  </si>
  <si>
    <t>FY2024 Total</t>
  </si>
  <si>
    <t>FY2025 Total</t>
  </si>
  <si>
    <t>FY2022 Total</t>
  </si>
  <si>
    <t>FY2023 Total</t>
  </si>
  <si>
    <t xml:space="preserve">FY21-23 </t>
  </si>
  <si>
    <t>Biennium Total</t>
  </si>
  <si>
    <t xml:space="preserve">FY23-25 </t>
  </si>
  <si>
    <t>Biennium</t>
  </si>
  <si>
    <t>%</t>
  </si>
  <si>
    <t xml:space="preserve">Biennium </t>
  </si>
  <si>
    <t>$</t>
  </si>
  <si>
    <t>Update the total forumula's that were pasted over.</t>
  </si>
  <si>
    <t>Corrected Attendance area adjustment (Tab 6.4) Sierra Nevada Academy</t>
  </si>
  <si>
    <t>Set NCEI to 1.000 for all Districts (Tab 1.1/5.1)</t>
  </si>
  <si>
    <t>Charter School Sponsor Special Education Transfers (SD1951)</t>
  </si>
  <si>
    <t>BAL FWD FROM PREVIOUS YEAR (Excess Revenue From Education Stabilization Account Above 15%)</t>
  </si>
  <si>
    <t>Without Excess</t>
  </si>
  <si>
    <t>Rooted Charter School</t>
  </si>
  <si>
    <t>Southern Nevada Trade High School</t>
  </si>
  <si>
    <t>Added Dept. of Agriculture - Agriculture Fines revenues (Tab 1.3/5.3)</t>
  </si>
  <si>
    <t>Added BAL FWD FROM PREVIOUS YEAR (Excess Revenue From Education Stabilization Account Above 15%) (Tab 1.3/5.3)</t>
  </si>
  <si>
    <t>Adjust GL 2501 two account for the BAL FWD of (Excess Revenue From Education Stabilization Account Above 15%) (Tab 1.3/5.3)</t>
  </si>
  <si>
    <t>Adjust weighted multipliers to .45 EL, .35 At-risk, and .12 GATE (Tab 1.1/5.1)</t>
  </si>
  <si>
    <t>Added Rooted and Southern Nevada Trade Charter Schools (all tabs)</t>
  </si>
  <si>
    <t>Updated Auxiliary services (Tab 2.1/6.1)</t>
  </si>
  <si>
    <t>Updated Local Special Education (Tab 2.2/6.2)</t>
  </si>
  <si>
    <r>
      <t xml:space="preserve">Added RGL for Forfeiture of Property change from RGL 4152 to RGL </t>
    </r>
    <r>
      <rPr>
        <b/>
        <sz val="24"/>
        <color theme="0"/>
        <rFont val="Arial Narrow"/>
        <family val="2"/>
      </rPr>
      <t>4411</t>
    </r>
    <r>
      <rPr>
        <sz val="24"/>
        <color theme="0"/>
        <rFont val="Arial Narrow"/>
        <family val="2"/>
      </rPr>
      <t xml:space="preserve">? and Transfer from Unclaimed Property change from RGL 4621 to RGL </t>
    </r>
    <r>
      <rPr>
        <b/>
        <sz val="24"/>
        <color theme="0"/>
        <rFont val="Arial Narrow"/>
        <family val="2"/>
      </rPr>
      <t>4412</t>
    </r>
    <r>
      <rPr>
        <sz val="24"/>
        <color theme="0"/>
        <rFont val="Arial Narrow"/>
        <family val="2"/>
      </rPr>
      <t>?  Both GLs are present on Tabs 1.3/5.3</t>
    </r>
  </si>
  <si>
    <t>Tab 2.9/5.9 and 3.1a/7.1a corrections</t>
  </si>
  <si>
    <t>K-5</t>
  </si>
  <si>
    <t>New Charter Projection</t>
  </si>
  <si>
    <t>9-10</t>
  </si>
  <si>
    <t>New Charter, estimated enrollment</t>
  </si>
  <si>
    <t>Projected Growth</t>
  </si>
  <si>
    <t>School Closing at year-end (5/19/2023) letter dated 4/26/2023 GEMS</t>
  </si>
  <si>
    <t>Central Technical Training Academy</t>
  </si>
  <si>
    <t>Southeast Career Technical Academy PK</t>
  </si>
  <si>
    <t>Duckwater Middle School</t>
  </si>
  <si>
    <t>STATE EDUCATION FUNDING SOURCE FORECASTS FOR FY 2023, FY 2024, AND FY 2025 - BUDGET DIVISION/FISCAL ANALYSIS DIVISION MAY 2023 CONSENSUS</t>
  </si>
  <si>
    <t>FY 2022 ACTUAL AND FY 2023, FY 2024, &amp; FY 2025 MAY 2023 FORECAST</t>
  </si>
  <si>
    <t>Original increase</t>
  </si>
  <si>
    <t>Added Increase</t>
  </si>
  <si>
    <t>NDE updated total enrollment</t>
  </si>
  <si>
    <t>NDE updated revenues based on Consensus projections from 5/2/2023</t>
  </si>
  <si>
    <t>[3] Weighed Funding  multipliers were increased to meet the recommended weights by the Commission on School Funding.</t>
  </si>
  <si>
    <t>Total FY 2020 Categorical</t>
  </si>
  <si>
    <t>Revised Tabs 3.1a and 7.1a, Column E, to include 2020 baseline district funding on the FY2020 per pupil funding multiplied by the projected enrollment for those districts.</t>
  </si>
  <si>
    <t>Added an column to account for Special Education transfers from district to charters (Tab 2.2/6.2)</t>
  </si>
  <si>
    <t>NDE recommends using the Gov Rec enrollment totals adjusted for new charter schools.  Two other enrollment projections were shared.</t>
  </si>
  <si>
    <t>Entities on FY 2020 Baseline:</t>
  </si>
  <si>
    <t>Not Also At-Risk</t>
  </si>
  <si>
    <t>GFO/LCB Fiscal consensus revenue forecast updated on 5/4/2023</t>
  </si>
  <si>
    <t>RECREATIONAL MARIJUANA RETAIL TAX</t>
  </si>
  <si>
    <t>GOVERNMENTAL SERVICES TAX</t>
  </si>
  <si>
    <t>LOCAL SCHOOL SUPPORT TAX</t>
  </si>
  <si>
    <t>ROOM TAX REVENUE</t>
  </si>
  <si>
    <t>PROPERTY TAX</t>
  </si>
  <si>
    <t>FEDERAL MINERAL LEASING ACT REVENUE</t>
  </si>
  <si>
    <t>NET PROCEEDS OF MINERALS (NPM) - (Received in prior year for expenditure in current year)</t>
  </si>
  <si>
    <t>PROCEEDS FROM SALE OF FORFEITED PROPERTY</t>
  </si>
  <si>
    <t>TREASURER'S INTEREST DISTRIBUTION</t>
  </si>
  <si>
    <t>BOAT REGISTRATION FEES (NRS 488.075)</t>
  </si>
  <si>
    <t>TRANSFER FROM CANNABIS COMPLIANCE BOARD</t>
  </si>
  <si>
    <t>GIFTS AND DONATIONS OF UNCLAIMED PROPERTY PROCEEDS</t>
  </si>
  <si>
    <t>DEPARTMENT OF AGRICULTURE - AGRICULTURE FINES</t>
  </si>
  <si>
    <t>LESS RESERVE - (NPM RECEIVED IN CURRENT YEAR FOR EXPENDITURE IN FOLLOWING FISCAL YEAR)</t>
  </si>
  <si>
    <t>FOR NDE USE: DEMONSTRATE IMPACT OF ADDING GENERAL FUND OR OTHER REVENUE</t>
  </si>
  <si>
    <t>NET PROCEEDS OF MINERALS (NPM) - STATE</t>
  </si>
  <si>
    <t>Updated distance education enrollment with data provided by NDE.</t>
  </si>
  <si>
    <t>Corrected the YR 2 attendance area adjustment for Esmeralda County, Dyer (Tab 2.4, Cell D51) so it matches the YR 1 calculation.</t>
  </si>
  <si>
    <t>= L + M + N</t>
  </si>
  <si>
    <t>= G + H + I</t>
  </si>
  <si>
    <t>= C / C33</t>
  </si>
  <si>
    <t>= D * C6</t>
  </si>
  <si>
    <t>= C+ E</t>
  </si>
  <si>
    <t>= S - Tab 2.9</t>
  </si>
  <si>
    <t>= E + J + O + Q</t>
  </si>
  <si>
    <t xml:space="preserve"> S - Tab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</si>
</sst>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000_);_(* \(#,##0.000\);_(* &quot;-&quot;??_);_(@_)"/>
    <numFmt numFmtId="167" formatCode="&quot;$&quot;#,##0\ ;\(&quot;$&quot;#,##0\)"/>
    <numFmt numFmtId="168" formatCode="[$-409]mmmm\ d\,\ yyyy;@"/>
    <numFmt numFmtId="169" formatCode="_(* #,##0.00_);_(* \(#,##0.00\);_(* \-??_);_(@_)"/>
    <numFmt numFmtId="170" formatCode="_(\$* #,##0.00_);_(\$* \(#,##0.00\);_(\$* \-??_);_(@_)"/>
    <numFmt numFmtId="171" formatCode="_ * #,##0.00_ ;_ * \-#,##0.00_ ;_ * \-??_ ;_ @_ "/>
    <numFmt numFmtId="172" formatCode="&quot;$&quot;#,##0"/>
    <numFmt numFmtId="173" formatCode="0.0%"/>
    <numFmt numFmtId="174" formatCode="0.00\x"/>
    <numFmt numFmtId="175" formatCode="_(* #,##0.00000_);_(* \(#,##0.00000\);_(* &quot;-&quot;??_);_(@_)"/>
    <numFmt numFmtId="176" formatCode="00"/>
    <numFmt numFmtId="177" formatCode="0.000"/>
    <numFmt numFmtId="178" formatCode="_(* #,##0.000000_);_(* \(#,##0.000000\);_(* &quot;-&quot;??_);_(@_)"/>
    <numFmt numFmtId="179" formatCode="_(* #,##0.0000000000_);_(* \(#,##0.0000000000\);_(* &quot;-&quot;??_);_(@_)"/>
    <numFmt numFmtId="180" formatCode="_(* #,##0.000_);_(* \(#,##0.000\);_(* &quot;-&quot;???_);_(@_)"/>
    <numFmt numFmtId="181" formatCode="#,##0.000_);\(#,##0.000\)"/>
    <numFmt numFmtId="182" formatCode="0.0000%"/>
    <numFmt numFmtId="183" formatCode="0.00_);[Red]\(0.00\)"/>
    <numFmt numFmtId="184" formatCode="_(&quot;$&quot;* #,##0.000000000000_);_(&quot;$&quot;* \(#,##0.000000000000\);_(&quot;$&quot;* &quot;-&quot;??_);_(@_)"/>
    <numFmt numFmtId="185" formatCode="_(&quot;$&quot;* #,##0.000_);_(&quot;$&quot;* \(#,##0.000\);_(&quot;$&quot;* &quot;-&quot;???_);_(@_)"/>
    <numFmt numFmtId="186" formatCode="_(* #,##0.00_);_(* \(#,##0.00\);_(* &quot;-&quot;???_);_(@_)"/>
    <numFmt numFmtId="187" formatCode="_(&quot;$&quot;* #,##0_);[Red]_(&quot;$&quot;* \(#,##0\);_(&quot;$&quot;* &quot;-&quot;??_);_(@_)"/>
    <numFmt numFmtId="188" formatCode="_(&quot;$&quot;* #,##0.0000_);_(&quot;$&quot;* \(#,##0.0000\);_(&quot;$&quot;* &quot;-&quot;??_);_(@_)"/>
  </numFmts>
  <fonts count="113" x14ac:knownFonts="1">
    <font>
      <sz val="11"/>
      <color theme="1"/>
      <name val="Calibri"/>
      <family val="2"/>
      <scheme val="minor"/>
    </font>
    <font>
      <sz val="11"/>
      <color theme="1"/>
      <name val="Arial Narrow"/>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Times New Roman"/>
      <family val="1"/>
    </font>
    <font>
      <sz val="18"/>
      <name val="Times New Roman"/>
      <family val="1"/>
    </font>
    <font>
      <sz val="8"/>
      <name val="Times New Roman"/>
      <family val="1"/>
    </font>
    <font>
      <u/>
      <sz val="10"/>
      <color indexed="12"/>
      <name val="Arial"/>
      <family val="2"/>
    </font>
    <font>
      <sz val="12"/>
      <name val="Helv"/>
    </font>
    <font>
      <sz val="10"/>
      <name val="Helv"/>
    </font>
    <font>
      <i/>
      <sz val="10"/>
      <color rgb="FF7F7F7F"/>
      <name val="Arial"/>
      <family val="2"/>
    </font>
    <font>
      <b/>
      <sz val="11"/>
      <color theme="3"/>
      <name val="Arial"/>
      <family val="2"/>
    </font>
    <font>
      <sz val="11"/>
      <color indexed="8"/>
      <name val="Calibri"/>
      <family val="2"/>
    </font>
    <font>
      <sz val="10"/>
      <name val="Courier"/>
      <family val="3"/>
    </font>
    <font>
      <sz val="10"/>
      <color indexed="10"/>
      <name val="Arial"/>
      <family val="2"/>
    </font>
    <font>
      <b/>
      <sz val="11"/>
      <color indexed="62"/>
      <name val="Arial"/>
      <family val="2"/>
    </font>
    <font>
      <sz val="11"/>
      <color indexed="10"/>
      <name val="Calibri"/>
      <family val="2"/>
    </font>
    <font>
      <sz val="12"/>
      <color indexed="8"/>
      <name val="Verdana"/>
      <family val="2"/>
    </font>
    <font>
      <sz val="10"/>
      <color indexed="8"/>
      <name val="Arial"/>
      <family val="2"/>
    </font>
    <font>
      <b/>
      <sz val="15"/>
      <color indexed="62"/>
      <name val="Calibri"/>
      <family val="2"/>
    </font>
    <font>
      <b/>
      <sz val="13"/>
      <color indexed="62"/>
      <name val="Calibri"/>
      <family val="2"/>
    </font>
    <font>
      <b/>
      <sz val="11"/>
      <color indexed="62"/>
      <name val="Calibri"/>
      <family val="2"/>
    </font>
    <font>
      <b/>
      <sz val="18"/>
      <color indexed="62"/>
      <name val="Cambria"/>
      <family val="2"/>
    </font>
    <font>
      <sz val="10"/>
      <name val="Arial"/>
      <family val="2"/>
      <charset val="1"/>
    </font>
    <font>
      <b/>
      <sz val="10"/>
      <color indexed="8"/>
      <name val="Arial"/>
      <family val="2"/>
    </font>
    <font>
      <b/>
      <sz val="11"/>
      <color indexed="10"/>
      <name val="Calibri"/>
      <family val="2"/>
      <scheme val="minor"/>
    </font>
    <font>
      <b/>
      <sz val="15"/>
      <color indexed="62"/>
      <name val="Calibri"/>
      <family val="2"/>
      <scheme val="minor"/>
    </font>
    <font>
      <b/>
      <sz val="13"/>
      <color indexed="62"/>
      <name val="Calibri"/>
      <family val="2"/>
      <scheme val="minor"/>
    </font>
    <font>
      <b/>
      <sz val="11"/>
      <color indexed="62"/>
      <name val="Calibri"/>
      <family val="2"/>
      <scheme val="minor"/>
    </font>
    <font>
      <u/>
      <sz val="10"/>
      <color rgb="FF0000FF"/>
      <name val="Arial"/>
      <family val="2"/>
      <charset val="1"/>
    </font>
    <font>
      <sz val="11"/>
      <color indexed="10"/>
      <name val="Calibri"/>
      <family val="2"/>
      <scheme val="minor"/>
    </font>
    <font>
      <sz val="11"/>
      <color indexed="19"/>
      <name val="Calibri"/>
      <family val="2"/>
      <scheme val="minor"/>
    </font>
    <font>
      <b/>
      <sz val="18"/>
      <color indexed="62"/>
      <name val="Cambria"/>
      <family val="2"/>
      <scheme val="major"/>
    </font>
    <font>
      <b/>
      <sz val="10"/>
      <color indexed="39"/>
      <name val="Arial"/>
      <family val="2"/>
    </font>
    <font>
      <b/>
      <sz val="12"/>
      <color indexed="8"/>
      <name val="Arial"/>
      <family val="2"/>
    </font>
    <font>
      <sz val="10"/>
      <color indexed="39"/>
      <name val="Arial"/>
      <family val="2"/>
    </font>
    <font>
      <sz val="19"/>
      <color indexed="48"/>
      <name val="Arial"/>
      <family val="2"/>
    </font>
    <font>
      <u/>
      <sz val="10"/>
      <color theme="10"/>
      <name val="Arial"/>
      <family val="2"/>
    </font>
    <font>
      <sz val="11"/>
      <name val="Arial Narrow"/>
      <family val="2"/>
    </font>
    <font>
      <b/>
      <sz val="11"/>
      <color theme="1"/>
      <name val="Arial Narrow"/>
      <family val="2"/>
    </font>
    <font>
      <b/>
      <u/>
      <sz val="11"/>
      <color theme="1"/>
      <name val="Arial Narrow"/>
      <family val="2"/>
    </font>
    <font>
      <sz val="11"/>
      <color theme="0" tint="-0.249977111117893"/>
      <name val="Arial Narrow"/>
      <family val="2"/>
    </font>
    <font>
      <u val="singleAccounting"/>
      <sz val="11"/>
      <color theme="1"/>
      <name val="Arial Narrow"/>
      <family val="2"/>
    </font>
    <font>
      <b/>
      <sz val="11"/>
      <color rgb="FFFF0000"/>
      <name val="Arial Narrow"/>
      <family val="2"/>
    </font>
    <font>
      <i/>
      <sz val="11"/>
      <color theme="1"/>
      <name val="Arial Narrow"/>
      <family val="2"/>
    </font>
    <font>
      <b/>
      <sz val="11"/>
      <color indexed="8"/>
      <name val="Arial Narrow"/>
      <family val="2"/>
    </font>
    <font>
      <b/>
      <i/>
      <sz val="11"/>
      <color rgb="FFFF0000"/>
      <name val="Arial Narrow"/>
      <family val="2"/>
    </font>
    <font>
      <sz val="11"/>
      <color theme="0" tint="-0.34998626667073579"/>
      <name val="Arial Narrow"/>
      <family val="2"/>
    </font>
    <font>
      <sz val="11"/>
      <color indexed="8"/>
      <name val="Arial Narrow"/>
      <family val="2"/>
    </font>
    <font>
      <b/>
      <sz val="11"/>
      <color theme="0" tint="-0.34998626667073579"/>
      <name val="Arial Narrow"/>
      <family val="2"/>
    </font>
    <font>
      <b/>
      <sz val="11"/>
      <name val="Arial Narrow"/>
      <family val="2"/>
    </font>
    <font>
      <sz val="11"/>
      <color theme="3"/>
      <name val="Arial Narrow"/>
      <family val="2"/>
    </font>
    <font>
      <b/>
      <sz val="32"/>
      <color theme="0"/>
      <name val="Arial Narrow"/>
      <family val="2"/>
    </font>
    <font>
      <sz val="32"/>
      <color theme="0"/>
      <name val="Arial Narrow"/>
      <family val="2"/>
    </font>
    <font>
      <b/>
      <sz val="40"/>
      <color theme="4" tint="0.79998168889431442"/>
      <name val="Arial Narrow"/>
      <family val="2"/>
    </font>
    <font>
      <sz val="40"/>
      <color theme="4" tint="0.79998168889431442"/>
      <name val="Arial Narrow"/>
      <family val="2"/>
    </font>
    <font>
      <b/>
      <sz val="11"/>
      <color theme="0"/>
      <name val="Arial Narrow"/>
      <family val="2"/>
    </font>
    <font>
      <sz val="11"/>
      <color theme="0"/>
      <name val="Arial Narrow"/>
      <family val="2"/>
    </font>
    <font>
      <b/>
      <i/>
      <sz val="11"/>
      <color theme="1"/>
      <name val="Arial Narrow"/>
      <family val="2"/>
    </font>
    <font>
      <u val="singleAccounting"/>
      <sz val="11"/>
      <color theme="0" tint="-0.34998626667073579"/>
      <name val="Arial Narrow"/>
      <family val="2"/>
    </font>
    <font>
      <i/>
      <sz val="11"/>
      <color theme="0" tint="-0.34998626667073579"/>
      <name val="Arial Narrow"/>
      <family val="2"/>
    </font>
    <font>
      <sz val="11"/>
      <name val="Calibri"/>
      <family val="2"/>
      <scheme val="minor"/>
    </font>
    <font>
      <u/>
      <sz val="11"/>
      <color theme="10"/>
      <name val="Calibri"/>
      <family val="2"/>
      <scheme val="minor"/>
    </font>
    <font>
      <sz val="8"/>
      <name val="Calibri"/>
      <family val="2"/>
      <scheme val="minor"/>
    </font>
    <font>
      <sz val="11"/>
      <color rgb="FFFF0000"/>
      <name val="Arial Narrow"/>
      <family val="2"/>
    </font>
    <font>
      <b/>
      <sz val="8"/>
      <color theme="1"/>
      <name val="Calibri"/>
      <family val="2"/>
      <scheme val="minor"/>
    </font>
    <font>
      <u/>
      <sz val="11"/>
      <color theme="1"/>
      <name val="Arial Narrow"/>
      <family val="2"/>
    </font>
    <font>
      <sz val="24"/>
      <color theme="0"/>
      <name val="Arial Narrow"/>
      <family val="2"/>
    </font>
    <font>
      <sz val="11"/>
      <color theme="0" tint="-4.9989318521683403E-2"/>
      <name val="Arial Narrow"/>
      <family val="2"/>
    </font>
    <font>
      <sz val="24"/>
      <color rgb="FFFFFF00"/>
      <name val="Arial Narrow"/>
      <family val="2"/>
    </font>
    <font>
      <i/>
      <sz val="11"/>
      <name val="Arial Narrow"/>
      <family val="2"/>
    </font>
    <font>
      <b/>
      <sz val="11"/>
      <color rgb="FFFF0000"/>
      <name val="Calibri"/>
      <family val="2"/>
      <scheme val="minor"/>
    </font>
    <font>
      <b/>
      <i/>
      <sz val="11"/>
      <color rgb="FF000000"/>
      <name val="Arial Narrow"/>
      <family val="2"/>
    </font>
    <font>
      <sz val="9"/>
      <color indexed="81"/>
      <name val="Tahoma"/>
      <family val="2"/>
    </font>
    <font>
      <b/>
      <sz val="9"/>
      <color indexed="81"/>
      <name val="Tahoma"/>
      <family val="2"/>
    </font>
    <font>
      <u/>
      <sz val="24"/>
      <color theme="0"/>
      <name val="Arial Narrow"/>
      <family val="2"/>
    </font>
    <font>
      <b/>
      <sz val="14"/>
      <color theme="1"/>
      <name val="Arial"/>
      <family val="2"/>
    </font>
    <font>
      <b/>
      <sz val="11"/>
      <name val="Calibri"/>
      <family val="2"/>
      <scheme val="minor"/>
    </font>
    <font>
      <i/>
      <sz val="11"/>
      <color theme="0" tint="-4.9989318521683403E-2"/>
      <name val="Arial Narrow"/>
      <family val="2"/>
    </font>
    <font>
      <b/>
      <sz val="11"/>
      <color theme="9"/>
      <name val="Arial Narrow"/>
      <family val="2"/>
    </font>
    <font>
      <sz val="11"/>
      <color theme="9"/>
      <name val="Arial Narrow"/>
      <family val="2"/>
    </font>
    <font>
      <b/>
      <sz val="11"/>
      <color theme="9" tint="-0.249977111117893"/>
      <name val="Arial Narrow"/>
      <family val="2"/>
    </font>
    <font>
      <sz val="11"/>
      <color theme="9" tint="-0.249977111117893"/>
      <name val="Arial Narrow"/>
      <family val="2"/>
    </font>
    <font>
      <b/>
      <sz val="12"/>
      <color theme="1"/>
      <name val="Arial Narrow"/>
      <family val="2"/>
    </font>
    <font>
      <strike/>
      <sz val="11"/>
      <color theme="1"/>
      <name val="Arial Narrow"/>
      <family val="2"/>
    </font>
    <font>
      <sz val="11"/>
      <color theme="0" tint="-0.14999847407452621"/>
      <name val="Arial Narrow"/>
      <family val="2"/>
    </font>
    <font>
      <sz val="10"/>
      <name val="Arial"/>
      <family val="2"/>
    </font>
    <font>
      <sz val="8"/>
      <name val="Arial"/>
      <family val="2"/>
    </font>
    <font>
      <b/>
      <sz val="10"/>
      <name val="Arial"/>
      <family val="2"/>
    </font>
    <font>
      <b/>
      <strike/>
      <sz val="11"/>
      <color theme="1"/>
      <name val="Arial Narrow"/>
      <family val="2"/>
    </font>
    <font>
      <sz val="12"/>
      <color theme="1"/>
      <name val="Arial"/>
      <family val="2"/>
    </font>
    <font>
      <b/>
      <sz val="9"/>
      <color theme="1"/>
      <name val="Arial"/>
      <family val="2"/>
    </font>
    <font>
      <sz val="8"/>
      <color theme="1"/>
      <name val="Arial"/>
      <family val="2"/>
    </font>
    <font>
      <b/>
      <sz val="8"/>
      <color theme="1"/>
      <name val="Arial"/>
      <family val="2"/>
    </font>
    <font>
      <b/>
      <sz val="24"/>
      <color theme="0"/>
      <name val="Arial Narrow"/>
      <family val="2"/>
    </font>
    <font>
      <sz val="9"/>
      <color indexed="81"/>
      <name val="Tahoma"/>
      <charset val="1"/>
    </font>
    <font>
      <b/>
      <sz val="9"/>
      <color indexed="81"/>
      <name val="Tahoma"/>
      <charset val="1"/>
    </font>
  </fonts>
  <fills count="8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10"/>
      </patternFill>
    </fill>
    <fill>
      <patternFill patternType="solid">
        <fgColor indexed="46"/>
      </patternFill>
    </fill>
    <fill>
      <patternFill patternType="solid">
        <fgColor indexed="9"/>
      </patternFill>
    </fill>
    <fill>
      <patternFill patternType="solid">
        <fgColor indexed="40"/>
      </patternFill>
    </fill>
    <fill>
      <patternFill patternType="solid">
        <fgColor indexed="52"/>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15"/>
      </patternFill>
    </fill>
    <fill>
      <patternFill patternType="solid">
        <fgColor rgb="FFFFFFCC"/>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4" tint="-0.24994659260841701"/>
        <bgColor indexed="64"/>
      </patternFill>
    </fill>
    <fill>
      <patternFill patternType="solid">
        <fgColor rgb="FFFFB7B7"/>
        <bgColor indexed="64"/>
      </patternFill>
    </fill>
    <fill>
      <patternFill patternType="solid">
        <fgColor theme="6" tint="-0.249977111117893"/>
        <bgColor indexed="64"/>
      </patternFill>
    </fill>
    <fill>
      <patternFill patternType="solid">
        <fgColor theme="3"/>
        <bgColor indexed="64"/>
      </patternFill>
    </fill>
    <fill>
      <patternFill patternType="solid">
        <fgColor rgb="FFFFB9B9"/>
        <bgColor indexed="64"/>
      </patternFill>
    </fill>
    <fill>
      <patternFill patternType="solid">
        <fgColor theme="0" tint="-0.34998626667073579"/>
        <bgColor indexed="64"/>
      </patternFill>
    </fill>
    <fill>
      <patternFill patternType="solid">
        <fgColor rgb="FFFFFF00"/>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5" tint="0.59999389629810485"/>
        <bgColor indexed="64"/>
      </patternFill>
    </fill>
    <fill>
      <patternFill patternType="darkGray">
        <bgColor rgb="FFFFFFCC"/>
      </patternFill>
    </fill>
    <fill>
      <patternFill patternType="solid">
        <fgColor theme="0" tint="-0.249977111117893"/>
        <bgColor indexed="64"/>
      </patternFill>
    </fill>
    <fill>
      <patternFill patternType="solid">
        <fgColor rgb="FF00B0F0"/>
        <bgColor indexed="64"/>
      </patternFill>
    </fill>
    <fill>
      <patternFill patternType="solid">
        <fgColor theme="2" tint="-0.499984740745262"/>
        <bgColor indexed="64"/>
      </patternFill>
    </fill>
    <fill>
      <patternFill patternType="darkGray"/>
    </fill>
    <fill>
      <patternFill patternType="darkGray">
        <bgColor theme="0" tint="-0.14999847407452621"/>
      </patternFill>
    </fill>
    <fill>
      <patternFill patternType="darkGray">
        <bgColor theme="0" tint="-4.9989318521683403E-2"/>
      </patternFill>
    </fill>
    <fill>
      <patternFill patternType="solid">
        <fgColor theme="7" tint="0.59999389629810485"/>
        <bgColor indexed="64"/>
      </patternFill>
    </fill>
    <fill>
      <patternFill patternType="solid">
        <fgColor rgb="FF92D050"/>
        <bgColor indexed="64"/>
      </patternFill>
    </fill>
    <fill>
      <patternFill patternType="solid">
        <fgColor theme="9" tint="0.79998168889431442"/>
        <bgColor indexed="64"/>
      </patternFill>
    </fill>
    <fill>
      <patternFill patternType="solid">
        <fgColor theme="6" tint="0.39997558519241921"/>
        <bgColor indexed="64"/>
      </patternFill>
    </fill>
  </fills>
  <borders count="15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style="double">
        <color indexed="8"/>
      </top>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medium">
        <color auto="1"/>
      </top>
      <bottom style="medium">
        <color auto="1"/>
      </bottom>
      <diagonal/>
    </border>
    <border>
      <left/>
      <right/>
      <top/>
      <bottom style="thin">
        <color auto="1"/>
      </bottom>
      <diagonal/>
    </border>
    <border>
      <left/>
      <right/>
      <top/>
      <bottom style="thick">
        <color auto="1"/>
      </bottom>
      <diagonal/>
    </border>
    <border>
      <left style="double">
        <color theme="0" tint="-0.499984740745262"/>
      </left>
      <right style="double">
        <color theme="0" tint="-0.499984740745262"/>
      </right>
      <top style="double">
        <color theme="0" tint="-0.499984740745262"/>
      </top>
      <bottom style="double">
        <color theme="0" tint="-0.499984740745262"/>
      </bottom>
      <diagonal/>
    </border>
    <border>
      <left/>
      <right/>
      <top/>
      <bottom style="medium">
        <color auto="1"/>
      </bottom>
      <diagonal/>
    </border>
    <border>
      <left/>
      <right/>
      <top style="thick">
        <color auto="1"/>
      </top>
      <bottom/>
      <diagonal/>
    </border>
    <border>
      <left/>
      <right/>
      <top/>
      <bottom style="double">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double">
        <color theme="0" tint="-0.34998626667073579"/>
      </left>
      <right style="double">
        <color theme="0" tint="-0.34998626667073579"/>
      </right>
      <top style="double">
        <color theme="0" tint="-0.34998626667073579"/>
      </top>
      <bottom style="double">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double">
        <color theme="0" tint="-0.499984740745262"/>
      </left>
      <right style="double">
        <color theme="0" tint="-0.499984740745262"/>
      </right>
      <top style="double">
        <color theme="0" tint="-0.499984740745262"/>
      </top>
      <bottom style="double">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auto="1"/>
      </bottom>
      <diagonal/>
    </border>
    <border>
      <left/>
      <right style="thin">
        <color indexed="64"/>
      </right>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auto="1"/>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auto="1"/>
      </left>
      <right style="double">
        <color auto="1"/>
      </right>
      <top style="double">
        <color auto="1"/>
      </top>
      <bottom style="double">
        <color auto="1"/>
      </bottom>
      <diagonal/>
    </border>
    <border>
      <left style="double">
        <color theme="1"/>
      </left>
      <right style="double">
        <color theme="1"/>
      </right>
      <top style="double">
        <color theme="1"/>
      </top>
      <bottom style="double">
        <color theme="1"/>
      </bottom>
      <diagonal/>
    </border>
    <border>
      <left style="double">
        <color theme="0" tint="-0.14996795556505021"/>
      </left>
      <right style="double">
        <color theme="0" tint="-0.14996795556505021"/>
      </right>
      <top style="double">
        <color theme="0" tint="-0.14996795556505021"/>
      </top>
      <bottom style="double">
        <color theme="0" tint="-0.14996795556505021"/>
      </bottom>
      <diagonal/>
    </border>
    <border>
      <left style="double">
        <color theme="0" tint="-0.499984740745262"/>
      </left>
      <right style="thin">
        <color indexed="64"/>
      </right>
      <top/>
      <bottom style="thin">
        <color indexed="64"/>
      </bottom>
      <diagonal/>
    </border>
    <border>
      <left style="thin">
        <color indexed="64"/>
      </left>
      <right style="thin">
        <color indexed="64"/>
      </right>
      <top style="double">
        <color auto="1"/>
      </top>
      <bottom style="double">
        <color auto="1"/>
      </bottom>
      <diagonal/>
    </border>
    <border>
      <left/>
      <right/>
      <top style="medium">
        <color indexed="64"/>
      </top>
      <bottom style="medium">
        <color indexed="64"/>
      </bottom>
      <diagonal/>
    </border>
    <border>
      <left/>
      <right style="thin">
        <color indexed="64"/>
      </right>
      <top style="double">
        <color auto="1"/>
      </top>
      <bottom style="double">
        <color auto="1"/>
      </bottom>
      <diagonal/>
    </border>
    <border>
      <left style="double">
        <color auto="1"/>
      </left>
      <right/>
      <top style="double">
        <color auto="1"/>
      </top>
      <bottom style="double">
        <color auto="1"/>
      </bottom>
      <diagonal/>
    </border>
    <border>
      <left style="double">
        <color auto="1"/>
      </left>
      <right style="double">
        <color auto="1"/>
      </right>
      <top/>
      <bottom style="double">
        <color auto="1"/>
      </bottom>
      <diagonal/>
    </border>
    <border>
      <left style="double">
        <color auto="1"/>
      </left>
      <right style="thin">
        <color indexed="64"/>
      </right>
      <top style="double">
        <color auto="1"/>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uble">
        <color auto="1"/>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double">
        <color theme="1"/>
      </left>
      <right style="double">
        <color theme="1"/>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uble">
        <color auto="1"/>
      </right>
      <top/>
      <bottom style="double">
        <color indexed="64"/>
      </bottom>
      <diagonal/>
    </border>
    <border>
      <left style="medium">
        <color indexed="64"/>
      </left>
      <right/>
      <top style="medium">
        <color indexed="64"/>
      </top>
      <bottom/>
      <diagonal/>
    </border>
    <border>
      <left/>
      <right style="double">
        <color theme="1"/>
      </right>
      <top style="double">
        <color theme="1"/>
      </top>
      <bottom style="double">
        <color theme="1"/>
      </bottom>
      <diagonal/>
    </border>
    <border>
      <left style="double">
        <color theme="1"/>
      </left>
      <right style="double">
        <color theme="1"/>
      </right>
      <top/>
      <bottom style="double">
        <color theme="1"/>
      </bottom>
      <diagonal/>
    </border>
    <border>
      <left style="thin">
        <color indexed="64"/>
      </left>
      <right style="thin">
        <color indexed="64"/>
      </right>
      <top style="thin">
        <color indexed="64"/>
      </top>
      <bottom style="double">
        <color theme="1"/>
      </bottom>
      <diagonal/>
    </border>
    <border>
      <left/>
      <right/>
      <top style="double">
        <color theme="0" tint="-0.499984740745262"/>
      </top>
      <bottom/>
      <diagonal/>
    </border>
    <border>
      <left style="double">
        <color theme="0" tint="-0.499984740745262"/>
      </left>
      <right style="double">
        <color theme="0" tint="-0.499984740745262"/>
      </right>
      <top/>
      <bottom style="double">
        <color theme="0" tint="-0.499984740745262"/>
      </bottom>
      <diagonal/>
    </border>
    <border>
      <left style="medium">
        <color indexed="64"/>
      </left>
      <right style="thin">
        <color indexed="64"/>
      </right>
      <top style="thin">
        <color indexed="64"/>
      </top>
      <bottom style="thin">
        <color indexed="64"/>
      </bottom>
      <diagonal/>
    </border>
    <border>
      <left style="double">
        <color auto="1"/>
      </left>
      <right/>
      <top style="double">
        <color auto="1"/>
      </top>
      <bottom/>
      <diagonal/>
    </border>
    <border>
      <left style="double">
        <color auto="1"/>
      </left>
      <right/>
      <top/>
      <bottom style="double">
        <color auto="1"/>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style="double">
        <color auto="1"/>
      </bottom>
      <diagonal/>
    </border>
    <border>
      <left/>
      <right style="double">
        <color theme="0" tint="-0.499984740745262"/>
      </right>
      <top/>
      <bottom style="thin">
        <color indexed="64"/>
      </bottom>
      <diagonal/>
    </border>
    <border>
      <left style="thin">
        <color indexed="64"/>
      </left>
      <right style="thin">
        <color indexed="64"/>
      </right>
      <top/>
      <bottom style="double">
        <color auto="1"/>
      </bottom>
      <diagonal/>
    </border>
    <border>
      <left style="thin">
        <color indexed="64"/>
      </left>
      <right style="thin">
        <color indexed="64"/>
      </right>
      <top style="thin">
        <color indexed="64"/>
      </top>
      <bottom style="double">
        <color indexed="64"/>
      </bottom>
      <diagonal/>
    </border>
    <border>
      <left/>
      <right/>
      <top style="double">
        <color auto="1"/>
      </top>
      <bottom style="double">
        <color auto="1"/>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right style="thin">
        <color indexed="64"/>
      </right>
      <top style="thin">
        <color indexed="64"/>
      </top>
      <bottom style="double">
        <color theme="1"/>
      </bottom>
      <diagonal/>
    </border>
    <border>
      <left style="double">
        <color theme="1"/>
      </left>
      <right style="thin">
        <color indexed="64"/>
      </right>
      <top style="double">
        <color theme="1"/>
      </top>
      <bottom style="double">
        <color theme="1"/>
      </bottom>
      <diagonal/>
    </border>
    <border>
      <left style="double">
        <color theme="1"/>
      </left>
      <right style="thin">
        <color indexed="64"/>
      </right>
      <top style="double">
        <color theme="1"/>
      </top>
      <bottom style="thin">
        <color indexed="64"/>
      </bottom>
      <diagonal/>
    </border>
    <border>
      <left/>
      <right style="double">
        <color theme="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thin">
        <color indexed="64"/>
      </left>
      <right/>
      <top style="thin">
        <color indexed="64"/>
      </top>
      <bottom style="thin">
        <color theme="0" tint="-0.34998626667073579"/>
      </bottom>
      <diagonal/>
    </border>
    <border>
      <left style="medium">
        <color auto="1"/>
      </left>
      <right style="thin">
        <color auto="1"/>
      </right>
      <top style="thin">
        <color indexed="64"/>
      </top>
      <bottom style="thin">
        <color theme="0" tint="-0.34998626667073579"/>
      </bottom>
      <diagonal/>
    </border>
    <border>
      <left style="thin">
        <color auto="1"/>
      </left>
      <right style="thin">
        <color auto="1"/>
      </right>
      <top style="thin">
        <color indexed="64"/>
      </top>
      <bottom style="thin">
        <color theme="0" tint="-0.34998626667073579"/>
      </bottom>
      <diagonal/>
    </border>
    <border>
      <left style="thin">
        <color indexed="64"/>
      </left>
      <right style="medium">
        <color auto="1"/>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diagonal/>
    </border>
    <border>
      <left/>
      <right style="double">
        <color auto="1"/>
      </right>
      <top style="double">
        <color auto="1"/>
      </top>
      <bottom style="double">
        <color auto="1"/>
      </bottom>
      <diagonal/>
    </border>
  </borders>
  <cellStyleXfs count="33031">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9" fillId="0" borderId="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44" fontId="19" fillId="0" borderId="0" applyFont="0" applyFill="0" applyBorder="0" applyAlignment="0" applyProtection="0"/>
    <xf numFmtId="9" fontId="19" fillId="0" borderId="0" applyFont="0" applyFill="0" applyBorder="0" applyAlignment="0" applyProtection="0"/>
    <xf numFmtId="0" fontId="19" fillId="0" borderId="0"/>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3" fontId="20" fillId="0" borderId="0" applyFont="0" applyFill="0" applyBorder="0" applyAlignment="0" applyProtection="0"/>
    <xf numFmtId="0" fontId="20" fillId="0" borderId="0" applyFont="0" applyFill="0" applyBorder="0" applyAlignment="0" applyProtection="0"/>
    <xf numFmtId="167" fontId="20" fillId="0" borderId="0" applyFont="0" applyFill="0" applyBorder="0" applyAlignment="0" applyProtection="0"/>
    <xf numFmtId="2" fontId="20"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0" fillId="0" borderId="11" applyNumberFormat="0" applyFont="0" applyFill="0" applyAlignment="0" applyProtection="0"/>
    <xf numFmtId="0" fontId="19" fillId="0" borderId="0"/>
    <xf numFmtId="43" fontId="19" fillId="0" borderId="0" applyFont="0" applyFill="0" applyBorder="0" applyAlignment="0" applyProtection="0"/>
    <xf numFmtId="3" fontId="20" fillId="0" borderId="0" applyFont="0" applyFill="0" applyBorder="0" applyAlignment="0" applyProtection="0"/>
    <xf numFmtId="167" fontId="20" fillId="0" borderId="0" applyFont="0" applyFill="0" applyBorder="0" applyAlignment="0" applyProtection="0"/>
    <xf numFmtId="0" fontId="20" fillId="0" borderId="0" applyFont="0" applyFill="0" applyBorder="0" applyAlignment="0" applyProtection="0"/>
    <xf numFmtId="2" fontId="20"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9" fontId="19" fillId="0" borderId="0" applyFont="0" applyFill="0" applyBorder="0" applyAlignment="0" applyProtection="0"/>
    <xf numFmtId="0" fontId="20" fillId="0" borderId="11" applyNumberFormat="0" applyFont="0" applyFill="0" applyAlignment="0" applyProtection="0"/>
    <xf numFmtId="0" fontId="19" fillId="0" borderId="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1" fillId="0" borderId="0" applyNumberFormat="0" applyFill="0" applyBorder="0" applyAlignment="0" applyProtection="0"/>
    <xf numFmtId="168" fontId="22" fillId="0" borderId="0" applyNumberFormat="0" applyFill="0" applyBorder="0" applyAlignment="0" applyProtection="0"/>
    <xf numFmtId="168" fontId="2" fillId="0" borderId="0"/>
    <xf numFmtId="168" fontId="2" fillId="0" borderId="0"/>
    <xf numFmtId="168" fontId="20" fillId="0" borderId="0" applyFont="0" applyFill="0" applyBorder="0" applyAlignment="0" applyProtection="0"/>
    <xf numFmtId="168" fontId="19" fillId="0" borderId="0"/>
    <xf numFmtId="168" fontId="23" fillId="0" borderId="0" applyNumberFormat="0" applyFill="0" applyBorder="0" applyAlignment="0" applyProtection="0">
      <alignment vertical="top"/>
      <protection locked="0"/>
    </xf>
    <xf numFmtId="168" fontId="20" fillId="0" borderId="11" applyNumberFormat="0" applyFont="0" applyFill="0" applyAlignment="0" applyProtection="0"/>
    <xf numFmtId="168" fontId="2" fillId="0" borderId="0"/>
    <xf numFmtId="168" fontId="19" fillId="0" borderId="0"/>
    <xf numFmtId="0" fontId="2" fillId="0" borderId="0"/>
    <xf numFmtId="0" fontId="2" fillId="0" borderId="0"/>
    <xf numFmtId="0" fontId="2" fillId="0" borderId="0"/>
    <xf numFmtId="0" fontId="2" fillId="0" borderId="0"/>
    <xf numFmtId="168" fontId="19" fillId="0" borderId="0"/>
    <xf numFmtId="168"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 fillId="0" borderId="0"/>
    <xf numFmtId="0" fontId="2" fillId="0" borderId="0"/>
    <xf numFmtId="44" fontId="19" fillId="0" borderId="0" applyFont="0" applyFill="0" applyBorder="0" applyAlignment="0" applyProtection="0"/>
    <xf numFmtId="0" fontId="2" fillId="0" borderId="0"/>
    <xf numFmtId="0" fontId="2" fillId="0" borderId="0"/>
    <xf numFmtId="0" fontId="19" fillId="0" borderId="0"/>
    <xf numFmtId="9" fontId="19" fillId="0" borderId="0" applyFont="0" applyFill="0" applyBorder="0" applyAlignment="0" applyProtection="0"/>
    <xf numFmtId="0" fontId="19" fillId="0" borderId="0"/>
    <xf numFmtId="0" fontId="2" fillId="0" borderId="0"/>
    <xf numFmtId="0" fontId="24" fillId="0" borderId="0"/>
    <xf numFmtId="0" fontId="24" fillId="0" borderId="0"/>
    <xf numFmtId="44" fontId="19" fillId="0" borderId="0" applyFont="0" applyFill="0" applyBorder="0" applyAlignment="0" applyProtection="0"/>
    <xf numFmtId="0" fontId="22" fillId="0" borderId="0" applyNumberFormat="0" applyFill="0" applyBorder="0" applyAlignment="0" applyProtection="0"/>
    <xf numFmtId="43" fontId="19" fillId="0" borderId="0" applyFont="0" applyFill="0" applyBorder="0" applyAlignment="0" applyProtection="0"/>
    <xf numFmtId="2" fontId="20" fillId="0" borderId="0" applyFont="0" applyFill="0" applyBorder="0" applyAlignment="0" applyProtection="0"/>
    <xf numFmtId="43" fontId="19" fillId="0" borderId="0" applyFont="0" applyFill="0" applyBorder="0" applyAlignment="0" applyProtection="0"/>
    <xf numFmtId="0" fontId="20" fillId="0" borderId="11" applyNumberFormat="0" applyFont="0" applyFill="0" applyAlignment="0" applyProtection="0"/>
    <xf numFmtId="0" fontId="19" fillId="0" borderId="0"/>
    <xf numFmtId="0" fontId="21" fillId="0" borderId="0" applyNumberFormat="0" applyFill="0" applyBorder="0" applyAlignment="0" applyProtection="0"/>
    <xf numFmtId="0" fontId="20" fillId="0" borderId="0" applyFont="0" applyFill="0" applyBorder="0" applyAlignment="0" applyProtection="0"/>
    <xf numFmtId="44" fontId="19" fillId="0" borderId="0" applyFont="0" applyFill="0" applyBorder="0" applyAlignment="0" applyProtection="0"/>
    <xf numFmtId="0" fontId="27" fillId="0" borderId="3" applyNumberFormat="0" applyFill="0" applyAlignment="0" applyProtection="0"/>
    <xf numFmtId="9"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3" fontId="20" fillId="0" borderId="0" applyFont="0" applyFill="0" applyBorder="0" applyAlignment="0" applyProtection="0"/>
    <xf numFmtId="0" fontId="26" fillId="0" borderId="0" applyNumberFormat="0" applyFill="0" applyBorder="0" applyAlignment="0" applyProtection="0"/>
    <xf numFmtId="167" fontId="20" fillId="0" borderId="0" applyFont="0" applyFill="0" applyBorder="0" applyAlignment="0" applyProtection="0"/>
    <xf numFmtId="0" fontId="24" fillId="0" borderId="0"/>
    <xf numFmtId="0" fontId="24" fillId="0" borderId="0"/>
    <xf numFmtId="0" fontId="19" fillId="0" borderId="0"/>
    <xf numFmtId="0" fontId="19" fillId="0" borderId="0"/>
    <xf numFmtId="41" fontId="25" fillId="0" borderId="0"/>
    <xf numFmtId="37" fontId="24"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168"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0" fontId="20" fillId="0" borderId="11" applyNumberFormat="0" applyFont="0" applyFill="0" applyAlignment="0" applyProtection="0"/>
    <xf numFmtId="43" fontId="19" fillId="0" borderId="0" applyFont="0" applyFill="0" applyBorder="0" applyAlignment="0" applyProtection="0"/>
    <xf numFmtId="9" fontId="1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7"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2" fillId="15"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19" fillId="0" borderId="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1"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0" fontId="41" fillId="46" borderId="4" applyNumberForma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9" fontId="3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3" fontId="20"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1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1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19" fillId="0" borderId="0" applyFont="0" applyFill="0" applyBorder="0" applyAlignment="0" applyProtection="0"/>
    <xf numFmtId="44" fontId="28" fillId="0" borderId="0" applyFont="0" applyFill="0" applyBorder="0" applyAlignment="0" applyProtection="0"/>
    <xf numFmtId="44" fontId="19" fillId="0" borderId="0" applyFont="0" applyFill="0" applyBorder="0" applyAlignment="0" applyProtection="0"/>
    <xf numFmtId="170" fontId="39" fillId="0" borderId="0"/>
    <xf numFmtId="170" fontId="39" fillId="0" borderId="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1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19" fillId="0" borderId="0" applyFont="0" applyFill="0" applyBorder="0" applyAlignment="0" applyProtection="0"/>
    <xf numFmtId="167" fontId="20" fillId="0" borderId="0" applyFont="0" applyFill="0" applyBorder="0" applyAlignment="0" applyProtection="0"/>
    <xf numFmtId="0" fontId="20" fillId="0" borderId="0" applyFont="0" applyFill="0" applyBorder="0" applyAlignment="0" applyProtection="0"/>
    <xf numFmtId="2" fontId="20" fillId="0" borderId="0" applyFont="0" applyFill="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21" fillId="0" borderId="0" applyNumberFormat="0" applyFill="0" applyBorder="0" applyAlignment="0" applyProtection="0"/>
    <xf numFmtId="168" fontId="21" fillId="0" borderId="0" applyNumberFormat="0" applyFill="0" applyBorder="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42"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21" fillId="0" borderId="0" applyNumberFormat="0" applyFill="0" applyBorder="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168" fontId="22" fillId="0" borderId="0" applyNumberFormat="0" applyFill="0" applyBorder="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43"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22" fillId="0" borderId="0" applyNumberFormat="0" applyFill="0" applyBorder="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44" fillId="0" borderId="14" applyNumberFormat="0" applyFill="0" applyAlignment="0" applyProtection="0"/>
    <xf numFmtId="0" fontId="31"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4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45" fillId="0" borderId="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10" fillId="39" borderId="4" applyNumberFormat="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46"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2" fillId="0" borderId="0"/>
    <xf numFmtId="0" fontId="29"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applyNumberFormat="0" applyFill="0" applyBorder="0" applyProtection="0">
      <alignment vertical="top"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19" fillId="0" borderId="0"/>
    <xf numFmtId="0" fontId="29" fillId="0" borderId="0"/>
    <xf numFmtId="0" fontId="19" fillId="0" borderId="0"/>
    <xf numFmtId="0" fontId="19" fillId="0" borderId="0"/>
    <xf numFmtId="0" fontId="19" fillId="0" borderId="0"/>
    <xf numFmtId="0" fontId="24" fillId="0" borderId="0"/>
    <xf numFmtId="0" fontId="19" fillId="0" borderId="0"/>
    <xf numFmtId="0" fontId="19" fillId="0" borderId="0"/>
    <xf numFmtId="0" fontId="28" fillId="0" borderId="0"/>
    <xf numFmtId="0" fontId="19" fillId="0" borderId="0"/>
    <xf numFmtId="0" fontId="33" fillId="0" borderId="0" applyNumberFormat="0" applyFill="0" applyBorder="0" applyProtection="0">
      <alignment vertical="top" wrapText="1"/>
    </xf>
    <xf numFmtId="0" fontId="33" fillId="0" borderId="0" applyNumberFormat="0" applyFill="0" applyBorder="0" applyProtection="0">
      <alignment vertical="top" wrapText="1"/>
    </xf>
    <xf numFmtId="0" fontId="33" fillId="0" borderId="0" applyNumberFormat="0" applyFill="0" applyBorder="0" applyProtection="0">
      <alignment vertical="top" wrapText="1"/>
    </xf>
    <xf numFmtId="0" fontId="19" fillId="0" borderId="0" applyFill="0"/>
    <xf numFmtId="0" fontId="29" fillId="0" borderId="0"/>
    <xf numFmtId="168" fontId="2"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0" fontId="2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9" fillId="0" borderId="0"/>
    <xf numFmtId="0" fontId="2" fillId="0" borderId="0"/>
    <xf numFmtId="0" fontId="29" fillId="0" borderId="0"/>
    <xf numFmtId="0" fontId="19" fillId="0" borderId="0"/>
    <xf numFmtId="0" fontId="29" fillId="0" borderId="0"/>
    <xf numFmtId="0" fontId="2" fillId="0" borderId="0"/>
    <xf numFmtId="0" fontId="29" fillId="0" borderId="0"/>
    <xf numFmtId="168" fontId="19" fillId="0" borderId="0"/>
    <xf numFmtId="0" fontId="29" fillId="0" borderId="0"/>
    <xf numFmtId="0" fontId="19" fillId="0" borderId="0"/>
    <xf numFmtId="0" fontId="29" fillId="0" borderId="0"/>
    <xf numFmtId="0" fontId="29" fillId="0" borderId="0"/>
    <xf numFmtId="0" fontId="2"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0" fontId="11" fillId="46" borderId="5"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39" fillId="0" borderId="0"/>
    <xf numFmtId="9" fontId="39" fillId="0" borderId="0"/>
    <xf numFmtId="9" fontId="1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71" fontId="39" fillId="0" borderId="0"/>
    <xf numFmtId="0" fontId="38" fillId="0" borderId="0" applyNumberFormat="0" applyFill="0" applyBorder="0" applyAlignment="0" applyProtection="0"/>
    <xf numFmtId="0" fontId="38" fillId="0" borderId="0" applyNumberFormat="0" applyFill="0" applyBorder="0" applyAlignment="0" applyProtection="0"/>
    <xf numFmtId="0" fontId="4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20" fillId="0" borderId="11" applyNumberFormat="0" applyFon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18" fillId="9"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9" borderId="0" applyNumberFormat="0" applyBorder="0" applyAlignment="0" applyProtection="0"/>
    <xf numFmtId="0" fontId="8" fillId="3" borderId="0" applyNumberFormat="0" applyBorder="0" applyAlignment="0" applyProtection="0"/>
    <xf numFmtId="0" fontId="12" fillId="6" borderId="4"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7" fillId="2" borderId="0" applyNumberFormat="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10" fillId="5" borderId="4" applyNumberFormat="0" applyAlignment="0" applyProtection="0"/>
    <xf numFmtId="0" fontId="13" fillId="0" borderId="6" applyNumberFormat="0" applyFill="0" applyAlignment="0" applyProtection="0"/>
    <xf numFmtId="0" fontId="9" fillId="4" borderId="0" applyNumberFormat="0" applyBorder="0" applyAlignment="0" applyProtection="0"/>
    <xf numFmtId="0" fontId="2" fillId="0" borderId="0"/>
    <xf numFmtId="0" fontId="2" fillId="8" borderId="8" applyNumberFormat="0" applyFont="0" applyAlignment="0" applyProtection="0"/>
    <xf numFmtId="0" fontId="11" fillId="6" borderId="5" applyNumberFormat="0" applyAlignment="0" applyProtection="0"/>
    <xf numFmtId="9" fontId="2" fillId="0" borderId="0" applyFont="0" applyFill="0" applyBorder="0" applyAlignment="0" applyProtection="0"/>
    <xf numFmtId="0" fontId="3" fillId="0" borderId="0" applyNumberFormat="0" applyFill="0" applyBorder="0" applyAlignment="0" applyProtection="0"/>
    <xf numFmtId="0" fontId="17" fillId="0" borderId="9" applyNumberFormat="0" applyFill="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19" fillId="0" borderId="0"/>
    <xf numFmtId="0" fontId="19" fillId="0" borderId="0"/>
    <xf numFmtId="0" fontId="2" fillId="0" borderId="0"/>
    <xf numFmtId="0" fontId="19" fillId="0" borderId="0"/>
    <xf numFmtId="0" fontId="19" fillId="0" borderId="0"/>
    <xf numFmtId="0" fontId="19" fillId="0" borderId="0"/>
    <xf numFmtId="9" fontId="19" fillId="0" borderId="0" applyFont="0" applyFill="0" applyBorder="0" applyAlignment="0" applyProtection="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18" fillId="38"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0" fontId="18" fillId="34" borderId="0" applyNumberFormat="0" applyBorder="0" applyAlignment="0" applyProtection="0"/>
    <xf numFmtId="0" fontId="18" fillId="38" borderId="0" applyNumberFormat="0" applyBorder="0" applyAlignment="0" applyProtection="0"/>
    <xf numFmtId="0" fontId="18" fillId="35" borderId="0" applyNumberFormat="0" applyBorder="0" applyAlignment="0" applyProtection="0"/>
    <xf numFmtId="0" fontId="18" fillId="42"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8" fillId="45" borderId="0" applyNumberFormat="0" applyBorder="0" applyAlignment="0" applyProtection="0"/>
    <xf numFmtId="0" fontId="41" fillId="46" borderId="4" applyNumberFormat="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4" fontId="1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7" fillId="38" borderId="0" applyNumberFormat="0" applyBorder="0" applyAlignment="0" applyProtection="0"/>
    <xf numFmtId="168" fontId="21" fillId="0" borderId="0" applyNumberFormat="0" applyFill="0" applyBorder="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0" fontId="35" fillId="0" borderId="12" applyNumberFormat="0" applyFill="0" applyAlignment="0" applyProtection="0"/>
    <xf numFmtId="168" fontId="22" fillId="0" borderId="0" applyNumberFormat="0" applyFill="0" applyBorder="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0" fillId="39" borderId="4" applyNumberFormat="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47" fillId="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9"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168"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168" fontId="19" fillId="0" borderId="0"/>
    <xf numFmtId="168" fontId="19" fillId="0" borderId="0"/>
    <xf numFmtId="168" fontId="19" fillId="0" borderId="0"/>
    <xf numFmtId="0" fontId="2"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1" fillId="46" borderId="5" applyNumberFormat="0" applyAlignment="0" applyProtection="0"/>
    <xf numFmtId="9" fontId="1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168" fontId="21" fillId="0" borderId="0" applyNumberForma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 fillId="0" borderId="0"/>
    <xf numFmtId="168" fontId="19" fillId="0" borderId="0"/>
    <xf numFmtId="0" fontId="2" fillId="0" borderId="0"/>
    <xf numFmtId="0" fontId="27" fillId="0" borderId="3" applyNumberFormat="0" applyFill="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4" fontId="19"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168" fontId="22" fillId="0" borderId="0" applyNumberFormat="0" applyFill="0" applyBorder="0" applyAlignment="0" applyProtection="0"/>
    <xf numFmtId="0" fontId="2" fillId="0" borderId="0"/>
    <xf numFmtId="0" fontId="2" fillId="0" borderId="0"/>
    <xf numFmtId="0" fontId="2" fillId="0" borderId="0"/>
    <xf numFmtId="0" fontId="2" fillId="0" borderId="0"/>
    <xf numFmtId="168" fontId="19" fillId="0" borderId="0"/>
    <xf numFmtId="9" fontId="19" fillId="0" borderId="0" applyFont="0" applyFill="0" applyBorder="0" applyAlignment="0" applyProtection="0"/>
    <xf numFmtId="168" fontId="20" fillId="0" borderId="11" applyNumberFormat="0" applyFont="0" applyFill="0" applyAlignment="0" applyProtection="0"/>
    <xf numFmtId="43" fontId="19" fillId="0" borderId="0" applyFont="0" applyFill="0" applyBorder="0" applyAlignment="0" applyProtection="0"/>
    <xf numFmtId="0" fontId="2" fillId="0" borderId="0"/>
    <xf numFmtId="168" fontId="19" fillId="0" borderId="0"/>
    <xf numFmtId="0" fontId="2" fillId="37"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9"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43" fontId="2" fillId="0" borderId="0" applyFont="0" applyFill="0" applyBorder="0" applyAlignment="0" applyProtection="0"/>
    <xf numFmtId="0" fontId="2" fillId="36" borderId="0" applyNumberFormat="0" applyBorder="0" applyAlignment="0" applyProtection="0"/>
    <xf numFmtId="0" fontId="2" fillId="35" borderId="0" applyNumberFormat="0" applyBorder="0" applyAlignment="0" applyProtection="0"/>
    <xf numFmtId="44" fontId="2" fillId="0" borderId="0" applyFont="0" applyFill="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15"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0" borderId="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8" borderId="8" applyNumberFormat="0" applyFont="0" applyAlignment="0" applyProtection="0"/>
    <xf numFmtId="0" fontId="2" fillId="38" borderId="0" applyNumberFormat="0" applyBorder="0" applyAlignment="0" applyProtection="0"/>
    <xf numFmtId="9"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3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43" fontId="2" fillId="0" borderId="0" applyFont="0" applyFill="0" applyBorder="0" applyAlignment="0" applyProtection="0"/>
    <xf numFmtId="0" fontId="2" fillId="36" borderId="0" applyNumberFormat="0" applyBorder="0" applyAlignment="0" applyProtection="0"/>
    <xf numFmtId="44" fontId="2" fillId="0" borderId="0" applyFont="0" applyFill="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0" borderId="0"/>
    <xf numFmtId="0" fontId="2" fillId="36" borderId="0" applyNumberFormat="0" applyBorder="0" applyAlignment="0" applyProtection="0"/>
    <xf numFmtId="0" fontId="2" fillId="8" borderId="8" applyNumberFormat="0" applyFont="0" applyAlignment="0" applyProtection="0"/>
    <xf numFmtId="0" fontId="2" fillId="39"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36" borderId="0" applyNumberFormat="0" applyBorder="0" applyAlignment="0" applyProtection="0"/>
    <xf numFmtId="0" fontId="2" fillId="0" borderId="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9"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36" borderId="0" applyNumberFormat="0" applyBorder="0" applyAlignment="0" applyProtection="0"/>
    <xf numFmtId="44" fontId="2" fillId="0" borderId="0" applyFont="0" applyFill="0" applyBorder="0" applyAlignment="0" applyProtection="0"/>
    <xf numFmtId="0" fontId="2" fillId="38" borderId="0" applyNumberFormat="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4" fillId="0" borderId="1" applyNumberFormat="0" applyFill="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7" fillId="0" borderId="9" applyNumberFormat="0" applyFill="0" applyAlignment="0" applyProtection="0"/>
    <xf numFmtId="0" fontId="5" fillId="0" borderId="2" applyNumberFormat="0" applyFill="0" applyAlignment="0" applyProtection="0"/>
    <xf numFmtId="43" fontId="2" fillId="0" borderId="0" applyFont="0" applyFill="0" applyBorder="0" applyAlignment="0" applyProtection="0"/>
    <xf numFmtId="0" fontId="2" fillId="10"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43" fontId="2" fillId="0" borderId="0" applyFont="0" applyFill="0" applyBorder="0" applyAlignment="0" applyProtection="0"/>
    <xf numFmtId="0" fontId="2" fillId="38" borderId="0" applyNumberFormat="0" applyBorder="0" applyAlignment="0" applyProtection="0"/>
    <xf numFmtId="44" fontId="2" fillId="0" borderId="0" applyFont="0" applyFill="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0" borderId="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39" borderId="0" applyNumberFormat="0" applyBorder="0" applyAlignment="0" applyProtection="0"/>
    <xf numFmtId="0" fontId="2" fillId="0" borderId="0"/>
    <xf numFmtId="168" fontId="2" fillId="0" borderId="0"/>
    <xf numFmtId="0" fontId="2" fillId="0" borderId="0"/>
    <xf numFmtId="168" fontId="2" fillId="0" borderId="0"/>
    <xf numFmtId="0" fontId="2" fillId="38"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10"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0"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2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10"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22"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26"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15"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14"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15"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14"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7"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1" borderId="0" applyNumberFormat="0" applyBorder="0" applyAlignment="0" applyProtection="0"/>
    <xf numFmtId="0" fontId="2" fillId="35"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22"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2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19"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15"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0"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9" borderId="0" applyNumberFormat="0" applyBorder="0" applyAlignment="0" applyProtection="0"/>
    <xf numFmtId="0" fontId="2" fillId="3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2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7" borderId="0" applyNumberFormat="0" applyBorder="0" applyAlignment="0" applyProtection="0"/>
    <xf numFmtId="0" fontId="2" fillId="38" borderId="0" applyNumberFormat="0" applyBorder="0" applyAlignment="0" applyProtection="0"/>
    <xf numFmtId="0" fontId="2" fillId="2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18" fillId="12" borderId="0" applyNumberFormat="0" applyBorder="0" applyAlignment="0" applyProtection="0"/>
    <xf numFmtId="0" fontId="18" fillId="38" borderId="0" applyNumberFormat="0" applyBorder="0" applyAlignment="0" applyProtection="0"/>
    <xf numFmtId="0" fontId="18" fillId="16" borderId="0" applyNumberFormat="0" applyBorder="0" applyAlignment="0" applyProtection="0"/>
    <xf numFmtId="0" fontId="18" fillId="40" borderId="0" applyNumberFormat="0" applyBorder="0" applyAlignment="0" applyProtection="0"/>
    <xf numFmtId="0" fontId="18" fillId="20" borderId="0" applyNumberFormat="0" applyBorder="0" applyAlignment="0" applyProtection="0"/>
    <xf numFmtId="0" fontId="18" fillId="41" borderId="0" applyNumberFormat="0" applyBorder="0" applyAlignment="0" applyProtection="0"/>
    <xf numFmtId="0" fontId="18" fillId="24" borderId="0" applyNumberFormat="0" applyBorder="0" applyAlignment="0" applyProtection="0"/>
    <xf numFmtId="0" fontId="18" fillId="34" borderId="0" applyNumberFormat="0" applyBorder="0" applyAlignment="0" applyProtection="0"/>
    <xf numFmtId="0" fontId="18" fillId="28" borderId="0" applyNumberFormat="0" applyBorder="0" applyAlignment="0" applyProtection="0"/>
    <xf numFmtId="0" fontId="18" fillId="38" borderId="0" applyNumberFormat="0" applyBorder="0" applyAlignment="0" applyProtection="0"/>
    <xf numFmtId="0" fontId="18" fillId="32" borderId="0" applyNumberFormat="0" applyBorder="0" applyAlignment="0" applyProtection="0"/>
    <xf numFmtId="0" fontId="18" fillId="35" borderId="0" applyNumberFormat="0" applyBorder="0" applyAlignment="0" applyProtection="0"/>
    <xf numFmtId="0" fontId="18" fillId="9" borderId="0" applyNumberFormat="0" applyBorder="0" applyAlignment="0" applyProtection="0"/>
    <xf numFmtId="0" fontId="18" fillId="42" borderId="0" applyNumberFormat="0" applyBorder="0" applyAlignment="0" applyProtection="0"/>
    <xf numFmtId="0" fontId="18" fillId="13" borderId="0" applyNumberFormat="0" applyBorder="0" applyAlignment="0" applyProtection="0"/>
    <xf numFmtId="0" fontId="18" fillId="40" borderId="0" applyNumberFormat="0" applyBorder="0" applyAlignment="0" applyProtection="0"/>
    <xf numFmtId="0" fontId="18" fillId="17" borderId="0" applyNumberFormat="0" applyBorder="0" applyAlignment="0" applyProtection="0"/>
    <xf numFmtId="0" fontId="18" fillId="41" borderId="0" applyNumberFormat="0" applyBorder="0" applyAlignment="0" applyProtection="0"/>
    <xf numFmtId="0" fontId="18" fillId="21" borderId="0" applyNumberFormat="0" applyBorder="0" applyAlignment="0" applyProtection="0"/>
    <xf numFmtId="0" fontId="18" fillId="43" borderId="0" applyNumberFormat="0" applyBorder="0" applyAlignment="0" applyProtection="0"/>
    <xf numFmtId="0" fontId="18" fillId="29" borderId="0" applyNumberFormat="0" applyBorder="0" applyAlignment="0" applyProtection="0"/>
    <xf numFmtId="0" fontId="18" fillId="44" borderId="0" applyNumberFormat="0" applyBorder="0" applyAlignment="0" applyProtection="0"/>
    <xf numFmtId="0" fontId="8" fillId="3" borderId="0" applyNumberFormat="0" applyBorder="0" applyAlignment="0" applyProtection="0"/>
    <xf numFmtId="0" fontId="8" fillId="45" borderId="0" applyNumberFormat="0" applyBorder="0" applyAlignment="0" applyProtection="0"/>
    <xf numFmtId="0" fontId="12" fillId="6" borderId="4" applyNumberFormat="0" applyAlignment="0" applyProtection="0"/>
    <xf numFmtId="0" fontId="41" fillId="46" borderId="4" applyNumberForma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9" fontId="39" fillId="0" borderId="0"/>
    <xf numFmtId="43" fontId="19" fillId="0" borderId="0" applyFont="0" applyFill="0" applyBorder="0" applyAlignment="0" applyProtection="0"/>
    <xf numFmtId="169" fontId="39" fillId="0" borderId="0"/>
    <xf numFmtId="44" fontId="19" fillId="0" borderId="0" applyFont="0" applyFill="0" applyBorder="0" applyAlignment="0" applyProtection="0"/>
    <xf numFmtId="170" fontId="39" fillId="0" borderId="0"/>
    <xf numFmtId="44" fontId="19" fillId="0" borderId="0" applyFont="0" applyFill="0" applyBorder="0" applyAlignment="0" applyProtection="0"/>
    <xf numFmtId="44" fontId="19" fillId="0" borderId="0" applyFont="0" applyFill="0" applyBorder="0" applyAlignment="0" applyProtection="0"/>
    <xf numFmtId="44" fontId="28" fillId="0" borderId="0" applyFont="0" applyFill="0" applyBorder="0" applyAlignment="0" applyProtection="0"/>
    <xf numFmtId="44" fontId="2" fillId="0" borderId="0" applyFont="0" applyFill="0" applyBorder="0" applyAlignment="0" applyProtection="0"/>
    <xf numFmtId="44" fontId="28" fillId="0" borderId="0" applyFont="0" applyFill="0" applyBorder="0" applyAlignment="0" applyProtection="0"/>
    <xf numFmtId="44" fontId="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1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19"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70" fontId="39" fillId="0" borderId="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7" fillId="2" borderId="0" applyNumberFormat="0" applyBorder="0" applyAlignment="0" applyProtection="0"/>
    <xf numFmtId="0" fontId="7" fillId="38" borderId="0" applyNumberFormat="0" applyBorder="0" applyAlignment="0" applyProtection="0"/>
    <xf numFmtId="0" fontId="42" fillId="0" borderId="12" applyNumberFormat="0" applyFill="0" applyAlignment="0" applyProtection="0"/>
    <xf numFmtId="0" fontId="35" fillId="0" borderId="12" applyNumberFormat="0" applyFill="0" applyAlignment="0" applyProtection="0"/>
    <xf numFmtId="0" fontId="4" fillId="0" borderId="1" applyNumberFormat="0" applyFill="0" applyAlignment="0" applyProtection="0"/>
    <xf numFmtId="0" fontId="35" fillId="0" borderId="12" applyNumberFormat="0" applyFill="0" applyAlignment="0" applyProtection="0"/>
    <xf numFmtId="0" fontId="43" fillId="0" borderId="13" applyNumberFormat="0" applyFill="0" applyAlignment="0" applyProtection="0"/>
    <xf numFmtId="0" fontId="36" fillId="0" borderId="13" applyNumberFormat="0" applyFill="0" applyAlignment="0" applyProtection="0"/>
    <xf numFmtId="0" fontId="5" fillId="0" borderId="2" applyNumberFormat="0" applyFill="0" applyAlignment="0" applyProtection="0"/>
    <xf numFmtId="0" fontId="36" fillId="0" borderId="13" applyNumberFormat="0" applyFill="0" applyAlignment="0" applyProtection="0"/>
    <xf numFmtId="0" fontId="37" fillId="0" borderId="14" applyNumberFormat="0" applyFill="0" applyAlignment="0" applyProtection="0"/>
    <xf numFmtId="0" fontId="44" fillId="0" borderId="14" applyNumberFormat="0" applyFill="0" applyAlignment="0" applyProtection="0"/>
    <xf numFmtId="0" fontId="37" fillId="0" borderId="14" applyNumberFormat="0" applyFill="0" applyAlignment="0" applyProtection="0"/>
    <xf numFmtId="0" fontId="6" fillId="0" borderId="3" applyNumberFormat="0" applyFill="0" applyAlignment="0" applyProtection="0"/>
    <xf numFmtId="0" fontId="37" fillId="0" borderId="0" applyNumberFormat="0" applyFill="0" applyBorder="0" applyAlignment="0" applyProtection="0"/>
    <xf numFmtId="0" fontId="44" fillId="0" borderId="0" applyNumberFormat="0" applyFill="0" applyBorder="0" applyAlignment="0" applyProtection="0"/>
    <xf numFmtId="0" fontId="37" fillId="0" borderId="0" applyNumberFormat="0" applyFill="0" applyBorder="0" applyAlignment="0" applyProtection="0"/>
    <xf numFmtId="0" fontId="6" fillId="0" borderId="0" applyNumberFormat="0" applyFill="0" applyBorder="0" applyAlignment="0" applyProtection="0"/>
    <xf numFmtId="0" fontId="10" fillId="5" borderId="4" applyNumberFormat="0" applyAlignment="0" applyProtection="0"/>
    <xf numFmtId="0" fontId="10" fillId="39" borderId="4" applyNumberFormat="0" applyAlignment="0" applyProtection="0"/>
    <xf numFmtId="0" fontId="32" fillId="0" borderId="15" applyNumberFormat="0" applyFill="0" applyAlignment="0" applyProtection="0"/>
    <xf numFmtId="0" fontId="46" fillId="0" borderId="15" applyNumberFormat="0" applyFill="0" applyAlignment="0" applyProtection="0"/>
    <xf numFmtId="0" fontId="32" fillId="0" borderId="15" applyNumberFormat="0" applyFill="0" applyAlignment="0" applyProtection="0"/>
    <xf numFmtId="0" fontId="13" fillId="0" borderId="6" applyNumberFormat="0" applyFill="0" applyAlignment="0" applyProtection="0"/>
    <xf numFmtId="0" fontId="9" fillId="4" borderId="0" applyNumberFormat="0" applyBorder="0" applyAlignment="0" applyProtection="0"/>
    <xf numFmtId="0" fontId="47" fillId="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applyNumberFormat="0" applyFill="0" applyBorder="0" applyProtection="0">
      <alignment vertical="top" wrapText="1"/>
    </xf>
    <xf numFmtId="0" fontId="2" fillId="0" borderId="0"/>
    <xf numFmtId="0" fontId="39" fillId="0" borderId="0"/>
    <xf numFmtId="0" fontId="2" fillId="0" borderId="0"/>
    <xf numFmtId="0" fontId="19" fillId="0" borderId="0"/>
    <xf numFmtId="0" fontId="19" fillId="0" borderId="0"/>
    <xf numFmtId="0" fontId="19" fillId="0" borderId="0"/>
    <xf numFmtId="0" fontId="19" fillId="0" borderId="0"/>
    <xf numFmtId="0" fontId="33" fillId="0" borderId="0" applyNumberFormat="0" applyFill="0" applyBorder="0" applyProtection="0">
      <alignment vertical="top" wrapText="1"/>
    </xf>
    <xf numFmtId="0" fontId="39" fillId="0" borderId="0"/>
    <xf numFmtId="0" fontId="33" fillId="0" borderId="0" applyNumberFormat="0" applyFill="0" applyBorder="0" applyProtection="0">
      <alignment vertical="top" wrapText="1"/>
    </xf>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19" fillId="0" borderId="0"/>
    <xf numFmtId="0" fontId="19"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19" fillId="0" borderId="0"/>
    <xf numFmtId="0" fontId="19" fillId="0" borderId="0"/>
    <xf numFmtId="0" fontId="2" fillId="0" borderId="0"/>
    <xf numFmtId="0" fontId="2" fillId="0" borderId="0"/>
    <xf numFmtId="0" fontId="19" fillId="0" borderId="0"/>
    <xf numFmtId="0" fontId="19"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1" fillId="6" borderId="5" applyNumberFormat="0" applyAlignment="0" applyProtection="0"/>
    <xf numFmtId="0" fontId="11" fillId="46" borderId="5" applyNumberFormat="0" applyAlignment="0" applyProtection="0"/>
    <xf numFmtId="9" fontId="28"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9"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39" fillId="0" borderId="0"/>
    <xf numFmtId="9" fontId="19" fillId="0" borderId="0" applyFont="0" applyFill="0" applyBorder="0" applyAlignment="0" applyProtection="0"/>
    <xf numFmtId="0" fontId="38" fillId="0" borderId="0" applyNumberFormat="0" applyFill="0" applyBorder="0" applyAlignment="0" applyProtection="0"/>
    <xf numFmtId="0" fontId="48" fillId="0" borderId="0" applyNumberFormat="0" applyFill="0" applyBorder="0" applyAlignment="0" applyProtection="0"/>
    <xf numFmtId="0" fontId="38" fillId="0" borderId="0" applyNumberFormat="0" applyFill="0" applyBorder="0" applyAlignment="0" applyProtection="0"/>
    <xf numFmtId="0" fontId="3" fillId="0" borderId="0" applyNumberFormat="0" applyFill="0" applyBorder="0" applyAlignment="0" applyProtection="0"/>
    <xf numFmtId="0" fontId="17" fillId="0" borderId="9" applyNumberFormat="0" applyFill="0" applyAlignment="0" applyProtection="0"/>
    <xf numFmtId="0" fontId="17" fillId="0" borderId="16" applyNumberFormat="0" applyFill="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10"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168"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10"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168" fontId="2" fillId="0" borderId="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18" fillId="38"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0" fontId="18" fillId="34" borderId="0" applyNumberFormat="0" applyBorder="0" applyAlignment="0" applyProtection="0"/>
    <xf numFmtId="0" fontId="18" fillId="38" borderId="0" applyNumberFormat="0" applyBorder="0" applyAlignment="0" applyProtection="0"/>
    <xf numFmtId="0" fontId="18" fillId="35" borderId="0" applyNumberFormat="0" applyBorder="0" applyAlignment="0" applyProtection="0"/>
    <xf numFmtId="0" fontId="18" fillId="42"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8" fillId="45" borderId="0" applyNumberFormat="0" applyBorder="0" applyAlignment="0" applyProtection="0"/>
    <xf numFmtId="0" fontId="41" fillId="46" borderId="4" applyNumberFormat="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7" fillId="38" borderId="0" applyNumberFormat="0" applyBorder="0" applyAlignment="0" applyProtection="0"/>
    <xf numFmtId="0" fontId="35"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36"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37"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37"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0" fillId="39" borderId="4" applyNumberFormat="0" applyAlignment="0" applyProtection="0"/>
    <xf numFmtId="0" fontId="32"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7" fillId="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1" fillId="46" borderId="5" applyNumberForma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3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7" fillId="0" borderId="16" applyNumberFormat="0" applyFill="0" applyAlignment="0" applyProtection="0"/>
    <xf numFmtId="0" fontId="17" fillId="0" borderId="1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168" fontId="2" fillId="0" borderId="0"/>
    <xf numFmtId="44" fontId="2" fillId="0" borderId="0" applyFont="0" applyFill="0" applyBorder="0" applyAlignment="0" applyProtection="0"/>
    <xf numFmtId="43" fontId="2" fillId="0" borderId="0" applyFont="0" applyFill="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10"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168"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10"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168"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1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5" fontId="19" fillId="0" borderId="0" applyFont="0" applyFill="0" applyBorder="0" applyAlignment="0" applyProtection="0"/>
    <xf numFmtId="0" fontId="19" fillId="0" borderId="0" applyFont="0" applyFill="0" applyBorder="0" applyAlignment="0" applyProtection="0"/>
    <xf numFmtId="2" fontId="19" fillId="0" borderId="0" applyFont="0" applyFill="0" applyBorder="0" applyAlignment="0" applyProtection="0"/>
    <xf numFmtId="0" fontId="2" fillId="0" borderId="0"/>
    <xf numFmtId="0" fontId="2" fillId="0" borderId="0"/>
    <xf numFmtId="0" fontId="2" fillId="0" borderId="0"/>
    <xf numFmtId="0" fontId="19" fillId="0" borderId="0"/>
    <xf numFmtId="0" fontId="19" fillId="0" borderId="0">
      <alignment vertical="top"/>
    </xf>
    <xf numFmtId="168" fontId="2" fillId="0" borderId="0"/>
    <xf numFmtId="0" fontId="2" fillId="0" borderId="0"/>
    <xf numFmtId="168" fontId="2" fillId="0" borderId="0"/>
    <xf numFmtId="168" fontId="2" fillId="0" borderId="0"/>
    <xf numFmtId="0" fontId="19" fillId="0" borderId="0">
      <alignment vertical="top"/>
    </xf>
    <xf numFmtId="0" fontId="2" fillId="0" borderId="0"/>
    <xf numFmtId="0" fontId="2" fillId="0" borderId="0"/>
    <xf numFmtId="0" fontId="2" fillId="0" borderId="0"/>
    <xf numFmtId="0" fontId="19"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0" fillId="39" borderId="17" applyNumberFormat="0" applyProtection="0">
      <alignment vertical="center"/>
    </xf>
    <xf numFmtId="4" fontId="49" fillId="39" borderId="17" applyNumberFormat="0" applyProtection="0">
      <alignment vertical="center"/>
    </xf>
    <xf numFmtId="4" fontId="40" fillId="39" borderId="17" applyNumberFormat="0" applyProtection="0">
      <alignment horizontal="left" vertical="center" indent="1"/>
    </xf>
    <xf numFmtId="0" fontId="40" fillId="39" borderId="17" applyNumberFormat="0" applyProtection="0">
      <alignment horizontal="left" vertical="top" indent="1"/>
    </xf>
    <xf numFmtId="4" fontId="40" fillId="47" borderId="0" applyNumberFormat="0" applyProtection="0">
      <alignment horizontal="left" vertical="center" indent="1"/>
    </xf>
    <xf numFmtId="4" fontId="34" fillId="34" borderId="17" applyNumberFormat="0" applyProtection="0">
      <alignment horizontal="right" vertical="center"/>
    </xf>
    <xf numFmtId="4" fontId="34" fillId="35" borderId="17" applyNumberFormat="0" applyProtection="0">
      <alignment horizontal="right" vertical="center"/>
    </xf>
    <xf numFmtId="4" fontId="34" fillId="44" borderId="17" applyNumberFormat="0" applyProtection="0">
      <alignment horizontal="right" vertical="center"/>
    </xf>
    <xf numFmtId="4" fontId="34" fillId="41" borderId="17" applyNumberFormat="0" applyProtection="0">
      <alignment horizontal="right" vertical="center"/>
    </xf>
    <xf numFmtId="4" fontId="34" fillId="48" borderId="17" applyNumberFormat="0" applyProtection="0">
      <alignment horizontal="right" vertical="center"/>
    </xf>
    <xf numFmtId="4" fontId="34" fillId="40" borderId="17" applyNumberFormat="0" applyProtection="0">
      <alignment horizontal="right" vertical="center"/>
    </xf>
    <xf numFmtId="4" fontId="34" fillId="49" borderId="17" applyNumberFormat="0" applyProtection="0">
      <alignment horizontal="right" vertical="center"/>
    </xf>
    <xf numFmtId="4" fontId="34" fillId="50" borderId="17" applyNumberFormat="0" applyProtection="0">
      <alignment horizontal="right" vertical="center"/>
    </xf>
    <xf numFmtId="4" fontId="34" fillId="51" borderId="17" applyNumberFormat="0" applyProtection="0">
      <alignment horizontal="right" vertical="center"/>
    </xf>
    <xf numFmtId="4" fontId="40" fillId="52" borderId="18" applyNumberFormat="0" applyProtection="0">
      <alignment horizontal="left" vertical="center" indent="1"/>
    </xf>
    <xf numFmtId="4" fontId="34" fillId="53" borderId="0" applyNumberFormat="0" applyProtection="0">
      <alignment horizontal="left" vertical="center" indent="1"/>
    </xf>
    <xf numFmtId="4" fontId="50" fillId="43" borderId="0" applyNumberFormat="0" applyProtection="0">
      <alignment horizontal="left" vertical="center" indent="1"/>
    </xf>
    <xf numFmtId="4" fontId="34" fillId="47" borderId="17" applyNumberFormat="0" applyProtection="0">
      <alignment horizontal="right" vertical="center"/>
    </xf>
    <xf numFmtId="4" fontId="34" fillId="53" borderId="0" applyNumberFormat="0" applyProtection="0">
      <alignment horizontal="left" vertical="center" indent="1"/>
    </xf>
    <xf numFmtId="4" fontId="34" fillId="47" borderId="0" applyNumberFormat="0" applyProtection="0">
      <alignment horizontal="left" vertical="center" indent="1"/>
    </xf>
    <xf numFmtId="0" fontId="19" fillId="43" borderId="17" applyNumberFormat="0" applyProtection="0">
      <alignment horizontal="left" vertical="center" indent="1"/>
    </xf>
    <xf numFmtId="0" fontId="19" fillId="43" borderId="17" applyNumberFormat="0" applyProtection="0">
      <alignment horizontal="left" vertical="top" indent="1"/>
    </xf>
    <xf numFmtId="0" fontId="19" fillId="47" borderId="17" applyNumberFormat="0" applyProtection="0">
      <alignment horizontal="left" vertical="center" indent="1"/>
    </xf>
    <xf numFmtId="0" fontId="19" fillId="47" borderId="17" applyNumberFormat="0" applyProtection="0">
      <alignment horizontal="left" vertical="top" indent="1"/>
    </xf>
    <xf numFmtId="0" fontId="19" fillId="33" borderId="17" applyNumberFormat="0" applyProtection="0">
      <alignment horizontal="left" vertical="center" indent="1"/>
    </xf>
    <xf numFmtId="0" fontId="19" fillId="33" borderId="17" applyNumberFormat="0" applyProtection="0">
      <alignment horizontal="left" vertical="top" indent="1"/>
    </xf>
    <xf numFmtId="0" fontId="19" fillId="53" borderId="17" applyNumberFormat="0" applyProtection="0">
      <alignment horizontal="left" vertical="center" indent="1"/>
    </xf>
    <xf numFmtId="0" fontId="19" fillId="53" borderId="17" applyNumberFormat="0" applyProtection="0">
      <alignment horizontal="left" vertical="top" indent="1"/>
    </xf>
    <xf numFmtId="0" fontId="19" fillId="46" borderId="10" applyNumberFormat="0">
      <protection locked="0"/>
    </xf>
    <xf numFmtId="4" fontId="34" fillId="36" borderId="17" applyNumberFormat="0" applyProtection="0">
      <alignment vertical="center"/>
    </xf>
    <xf numFmtId="4" fontId="51" fillId="36" borderId="17" applyNumberFormat="0" applyProtection="0">
      <alignment vertical="center"/>
    </xf>
    <xf numFmtId="4" fontId="34" fillId="36" borderId="17" applyNumberFormat="0" applyProtection="0">
      <alignment horizontal="left" vertical="center" indent="1"/>
    </xf>
    <xf numFmtId="0" fontId="34" fillId="36" borderId="17" applyNumberFormat="0" applyProtection="0">
      <alignment horizontal="left" vertical="top" indent="1"/>
    </xf>
    <xf numFmtId="4" fontId="34" fillId="53" borderId="17" applyNumberFormat="0" applyProtection="0">
      <alignment horizontal="right" vertical="center"/>
    </xf>
    <xf numFmtId="4" fontId="51" fillId="53" borderId="17" applyNumberFormat="0" applyProtection="0">
      <alignment horizontal="right" vertical="center"/>
    </xf>
    <xf numFmtId="4" fontId="34" fillId="47" borderId="17" applyNumberFormat="0" applyProtection="0">
      <alignment horizontal="left" vertical="center" indent="1"/>
    </xf>
    <xf numFmtId="0" fontId="34" fillId="47" borderId="17" applyNumberFormat="0" applyProtection="0">
      <alignment horizontal="left" vertical="top" indent="1"/>
    </xf>
    <xf numFmtId="4" fontId="52" fillId="54" borderId="0" applyNumberFormat="0" applyProtection="0">
      <alignment horizontal="left" vertical="center" indent="1"/>
    </xf>
    <xf numFmtId="4" fontId="30" fillId="53" borderId="17" applyNumberFormat="0" applyProtection="0">
      <alignment horizontal="right" vertical="center"/>
    </xf>
    <xf numFmtId="0" fontId="38" fillId="0" borderId="0" applyNumberForma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20" fillId="0" borderId="0" applyFont="0" applyFill="0" applyBorder="0" applyAlignment="0" applyProtection="0"/>
    <xf numFmtId="2" fontId="20" fillId="0" borderId="0" applyFont="0" applyFill="0" applyBorder="0" applyAlignment="0" applyProtection="0"/>
    <xf numFmtId="167" fontId="20" fillId="0" borderId="0" applyFont="0" applyFill="0" applyBorder="0" applyAlignment="0" applyProtection="0"/>
    <xf numFmtId="0" fontId="21" fillId="0" borderId="0" applyNumberFormat="0" applyFill="0" applyBorder="0" applyAlignment="0" applyProtection="0"/>
    <xf numFmtId="0" fontId="2" fillId="0" borderId="0"/>
    <xf numFmtId="44" fontId="19" fillId="0" borderId="0" applyFont="0" applyFill="0" applyBorder="0" applyAlignment="0" applyProtection="0"/>
    <xf numFmtId="9" fontId="19" fillId="0" borderId="0" applyFont="0" applyFill="0" applyBorder="0" applyAlignment="0" applyProtection="0"/>
    <xf numFmtId="3" fontId="20" fillId="0" borderId="0" applyFont="0" applyFill="0" applyBorder="0" applyAlignment="0" applyProtection="0"/>
    <xf numFmtId="0" fontId="22" fillId="0" borderId="0" applyNumberFormat="0" applyFill="0" applyBorder="0" applyAlignment="0" applyProtection="0"/>
    <xf numFmtId="0" fontId="20" fillId="0" borderId="11" applyNumberFormat="0" applyFon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3" fontId="20" fillId="0" borderId="0" applyFont="0" applyFill="0" applyBorder="0" applyAlignment="0" applyProtection="0"/>
    <xf numFmtId="44" fontId="19" fillId="0" borderId="0" applyFont="0" applyFill="0" applyBorder="0" applyAlignment="0" applyProtection="0"/>
    <xf numFmtId="170" fontId="39" fillId="0" borderId="0"/>
    <xf numFmtId="44" fontId="19" fillId="0" borderId="0" applyFont="0" applyFill="0" applyBorder="0" applyAlignment="0" applyProtection="0"/>
    <xf numFmtId="167" fontId="20" fillId="0" borderId="0" applyFont="0" applyFill="0" applyBorder="0" applyAlignment="0" applyProtection="0"/>
    <xf numFmtId="0" fontId="20" fillId="0" borderId="0" applyFont="0" applyFill="0" applyBorder="0" applyAlignment="0" applyProtection="0"/>
    <xf numFmtId="2" fontId="20" fillId="0" borderId="0" applyFont="0" applyFill="0" applyBorder="0" applyAlignment="0" applyProtection="0"/>
    <xf numFmtId="0" fontId="35" fillId="0" borderId="12" applyNumberFormat="0" applyFill="0" applyAlignment="0" applyProtection="0"/>
    <xf numFmtId="0" fontId="36" fillId="0" borderId="13" applyNumberFormat="0" applyFill="0" applyAlignment="0" applyProtection="0"/>
    <xf numFmtId="0" fontId="31" fillId="0" borderId="14" applyNumberFormat="0" applyFill="0" applyAlignment="0" applyProtection="0"/>
    <xf numFmtId="0" fontId="29" fillId="0" borderId="0"/>
    <xf numFmtId="0" fontId="19" fillId="0" borderId="0"/>
    <xf numFmtId="0" fontId="28" fillId="0" borderId="0"/>
    <xf numFmtId="0" fontId="29" fillId="0" borderId="0"/>
    <xf numFmtId="0" fontId="29" fillId="0" borderId="0"/>
    <xf numFmtId="0" fontId="29" fillId="0" borderId="0"/>
    <xf numFmtId="0" fontId="29" fillId="0" borderId="0"/>
    <xf numFmtId="0" fontId="19" fillId="0" borderId="0"/>
    <xf numFmtId="9" fontId="19" fillId="0" borderId="0" applyFont="0" applyFill="0" applyBorder="0" applyAlignment="0" applyProtection="0"/>
    <xf numFmtId="9" fontId="39" fillId="0" borderId="0"/>
    <xf numFmtId="9" fontId="19" fillId="0" borderId="0" applyFont="0" applyFill="0" applyBorder="0" applyAlignment="0" applyProtection="0"/>
    <xf numFmtId="9" fontId="28" fillId="0" borderId="0" applyFont="0" applyFill="0" applyBorder="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16" applyNumberFormat="0" applyFill="0" applyAlignment="0" applyProtection="0"/>
    <xf numFmtId="0" fontId="17" fillId="0" borderId="9" applyNumberFormat="0" applyFill="0" applyAlignment="0" applyProtection="0"/>
    <xf numFmtId="44" fontId="19" fillId="0" borderId="0" applyFont="0" applyFill="0" applyBorder="0" applyAlignment="0" applyProtection="0"/>
    <xf numFmtId="43" fontId="19" fillId="0" borderId="0" applyFont="0" applyFill="0" applyBorder="0" applyAlignment="0" applyProtection="0"/>
    <xf numFmtId="0" fontId="2" fillId="0" borderId="0"/>
    <xf numFmtId="168" fontId="19" fillId="0" borderId="0"/>
    <xf numFmtId="0" fontId="2" fillId="0" borderId="0"/>
    <xf numFmtId="0" fontId="2" fillId="8" borderId="8" applyNumberFormat="0" applyFont="0" applyAlignment="0" applyProtection="0"/>
    <xf numFmtId="9" fontId="2" fillId="0" borderId="0" applyFont="0" applyFill="0" applyBorder="0" applyAlignment="0" applyProtection="0"/>
    <xf numFmtId="0" fontId="19" fillId="0" borderId="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4"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8"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10" borderId="0" applyNumberFormat="0" applyBorder="0" applyAlignment="0" applyProtection="0"/>
    <xf numFmtId="0" fontId="2" fillId="11" borderId="0" applyNumberFormat="0" applyBorder="0" applyAlignment="0" applyProtection="0"/>
    <xf numFmtId="0" fontId="19" fillId="0" borderId="0"/>
    <xf numFmtId="0" fontId="19" fillId="0" borderId="0"/>
    <xf numFmtId="0" fontId="2" fillId="14" borderId="0" applyNumberFormat="0" applyBorder="0" applyAlignment="0" applyProtection="0"/>
    <xf numFmtId="0" fontId="19" fillId="0" borderId="0"/>
    <xf numFmtId="0" fontId="19" fillId="0" borderId="0"/>
    <xf numFmtId="0" fontId="2" fillId="18" borderId="0" applyNumberFormat="0" applyBorder="0" applyAlignment="0" applyProtection="0"/>
    <xf numFmtId="0" fontId="2" fillId="19" borderId="0" applyNumberFormat="0" applyBorder="0" applyAlignment="0" applyProtection="0"/>
    <xf numFmtId="0" fontId="19" fillId="0" borderId="0"/>
    <xf numFmtId="0" fontId="19" fillId="0" borderId="0"/>
    <xf numFmtId="0" fontId="2" fillId="22" borderId="0" applyNumberFormat="0" applyBorder="0" applyAlignment="0" applyProtection="0"/>
    <xf numFmtId="0" fontId="2" fillId="23" borderId="0" applyNumberFormat="0" applyBorder="0" applyAlignment="0" applyProtection="0"/>
    <xf numFmtId="0" fontId="19" fillId="0" borderId="0"/>
    <xf numFmtId="0" fontId="2" fillId="27" borderId="0" applyNumberFormat="0" applyBorder="0" applyAlignment="0" applyProtection="0"/>
    <xf numFmtId="0" fontId="19" fillId="0" borderId="0"/>
    <xf numFmtId="0" fontId="19" fillId="0" borderId="0"/>
    <xf numFmtId="0" fontId="2" fillId="30" borderId="0" applyNumberFormat="0" applyBorder="0" applyAlignment="0" applyProtection="0"/>
    <xf numFmtId="0" fontId="2" fillId="31" borderId="0" applyNumberFormat="0" applyBorder="0" applyAlignment="0" applyProtection="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15" borderId="0" applyNumberFormat="0" applyBorder="0" applyAlignment="0" applyProtection="0"/>
    <xf numFmtId="0" fontId="19" fillId="0" borderId="0"/>
    <xf numFmtId="0" fontId="2" fillId="2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9" fillId="0" borderId="0"/>
    <xf numFmtId="0" fontId="19"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168"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9" fillId="0" borderId="0"/>
    <xf numFmtId="0" fontId="2" fillId="0" borderId="0"/>
    <xf numFmtId="0" fontId="2" fillId="37"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9"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43" fontId="2" fillId="0" borderId="0" applyFont="0" applyFill="0" applyBorder="0" applyAlignment="0" applyProtection="0"/>
    <xf numFmtId="0" fontId="2" fillId="36" borderId="0" applyNumberFormat="0" applyBorder="0" applyAlignment="0" applyProtection="0"/>
    <xf numFmtId="0" fontId="2" fillId="35" borderId="0" applyNumberFormat="0" applyBorder="0" applyAlignment="0" applyProtection="0"/>
    <xf numFmtId="44" fontId="2" fillId="0" borderId="0" applyFont="0" applyFill="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15"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0" borderId="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8" borderId="8" applyNumberFormat="0" applyFont="0" applyAlignment="0" applyProtection="0"/>
    <xf numFmtId="0" fontId="2" fillId="38" borderId="0" applyNumberFormat="0" applyBorder="0" applyAlignment="0" applyProtection="0"/>
    <xf numFmtId="9"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3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43" fontId="2" fillId="0" borderId="0" applyFont="0" applyFill="0" applyBorder="0" applyAlignment="0" applyProtection="0"/>
    <xf numFmtId="0" fontId="2" fillId="36" borderId="0" applyNumberFormat="0" applyBorder="0" applyAlignment="0" applyProtection="0"/>
    <xf numFmtId="44" fontId="2" fillId="0" borderId="0" applyFont="0" applyFill="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0" borderId="0"/>
    <xf numFmtId="0" fontId="2" fillId="36" borderId="0" applyNumberFormat="0" applyBorder="0" applyAlignment="0" applyProtection="0"/>
    <xf numFmtId="0" fontId="2" fillId="8" borderId="8" applyNumberFormat="0" applyFont="0" applyAlignment="0" applyProtection="0"/>
    <xf numFmtId="0" fontId="2" fillId="39"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36" borderId="0" applyNumberFormat="0" applyBorder="0" applyAlignment="0" applyProtection="0"/>
    <xf numFmtId="0" fontId="2" fillId="0" borderId="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9"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36" borderId="0" applyNumberFormat="0" applyBorder="0" applyAlignment="0" applyProtection="0"/>
    <xf numFmtId="44" fontId="2" fillId="0" borderId="0" applyFont="0" applyFill="0" applyBorder="0" applyAlignment="0" applyProtection="0"/>
    <xf numFmtId="0" fontId="2" fillId="38" borderId="0" applyNumberFormat="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10"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43" fontId="2" fillId="0" borderId="0" applyFont="0" applyFill="0" applyBorder="0" applyAlignment="0" applyProtection="0"/>
    <xf numFmtId="0" fontId="2" fillId="38" borderId="0" applyNumberFormat="0" applyBorder="0" applyAlignment="0" applyProtection="0"/>
    <xf numFmtId="44" fontId="2" fillId="0" borderId="0" applyFont="0" applyFill="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0" borderId="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39" borderId="0" applyNumberFormat="0" applyBorder="0" applyAlignment="0" applyProtection="0"/>
    <xf numFmtId="0" fontId="2" fillId="0" borderId="0"/>
    <xf numFmtId="168" fontId="2" fillId="0" borderId="0"/>
    <xf numFmtId="0" fontId="2" fillId="0" borderId="0"/>
    <xf numFmtId="168" fontId="2" fillId="0" borderId="0"/>
    <xf numFmtId="0" fontId="2" fillId="38"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10"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0"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2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0"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10"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22" borderId="0" applyNumberFormat="0" applyBorder="0" applyAlignment="0" applyProtection="0"/>
    <xf numFmtId="0" fontId="2" fillId="33" borderId="0" applyNumberFormat="0" applyBorder="0" applyAlignment="0" applyProtection="0"/>
    <xf numFmtId="0" fontId="2" fillId="10"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11"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26"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15"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14"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15"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14"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7"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1" borderId="0" applyNumberFormat="0" applyBorder="0" applyAlignment="0" applyProtection="0"/>
    <xf numFmtId="0" fontId="2" fillId="35" borderId="0" applyNumberFormat="0" applyBorder="0" applyAlignment="0" applyProtection="0"/>
    <xf numFmtId="0" fontId="2" fillId="1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1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22"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2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19"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9"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15"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0"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9" borderId="0" applyNumberFormat="0" applyBorder="0" applyAlignment="0" applyProtection="0"/>
    <xf numFmtId="0" fontId="2" fillId="3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1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2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2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7" borderId="0" applyNumberFormat="0" applyBorder="0" applyAlignment="0" applyProtection="0"/>
    <xf numFmtId="0" fontId="2" fillId="38" borderId="0" applyNumberFormat="0" applyBorder="0" applyAlignment="0" applyProtection="0"/>
    <xf numFmtId="0" fontId="2" fillId="2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2" fillId="0" borderId="0" applyFont="0" applyFill="0" applyBorder="0" applyAlignment="0" applyProtection="0"/>
    <xf numFmtId="0" fontId="19" fillId="0" borderId="0"/>
    <xf numFmtId="43" fontId="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4" fontId="2" fillId="0" borderId="0" applyFont="0" applyFill="0" applyBorder="0" applyAlignment="0" applyProtection="0"/>
    <xf numFmtId="0" fontId="19"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10"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168"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10"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168" fontId="2" fillId="0" borderId="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168" fontId="2" fillId="0" borderId="0"/>
    <xf numFmtId="44" fontId="2" fillId="0" borderId="0" applyFont="0" applyFill="0" applyBorder="0" applyAlignment="0" applyProtection="0"/>
    <xf numFmtId="43" fontId="2" fillId="0" borderId="0" applyFont="0" applyFill="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10"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168"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0" fontId="2" fillId="10"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0" fontId="2" fillId="14" borderId="0" applyNumberFormat="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0" fontId="2" fillId="0" borderId="0"/>
    <xf numFmtId="168" fontId="2" fillId="0" borderId="0"/>
    <xf numFmtId="0" fontId="2" fillId="0" borderId="0"/>
    <xf numFmtId="168"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9"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168" fontId="2" fillId="0" borderId="0"/>
    <xf numFmtId="0"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8" borderId="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8" borderId="8"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8" borderId="8" applyNumberFormat="0" applyFont="0" applyAlignment="0" applyProtection="0"/>
    <xf numFmtId="0" fontId="19" fillId="0" borderId="0"/>
    <xf numFmtId="0" fontId="2"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2" fillId="8" borderId="8" applyNumberFormat="0" applyFont="0" applyAlignment="0" applyProtection="0"/>
    <xf numFmtId="9" fontId="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29" fillId="0" borderId="0"/>
    <xf numFmtId="43" fontId="28" fillId="0" borderId="0" applyFont="0" applyFill="0" applyBorder="0" applyAlignment="0" applyProtection="0"/>
    <xf numFmtId="0" fontId="2"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43" fontId="19" fillId="0" borderId="0" applyFont="0" applyFill="0" applyBorder="0" applyAlignment="0" applyProtection="0"/>
    <xf numFmtId="0" fontId="2" fillId="0" borderId="0"/>
    <xf numFmtId="0" fontId="2" fillId="0" borderId="0"/>
    <xf numFmtId="0" fontId="2" fillId="0" borderId="0"/>
    <xf numFmtId="0" fontId="2" fillId="0" borderId="0"/>
    <xf numFmtId="37" fontId="29"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4" fillId="0" borderId="0"/>
    <xf numFmtId="0" fontId="2" fillId="0" borderId="0"/>
    <xf numFmtId="0" fontId="2" fillId="0" borderId="0"/>
    <xf numFmtId="0" fontId="2" fillId="0" borderId="0"/>
    <xf numFmtId="0" fontId="2" fillId="0" borderId="0"/>
    <xf numFmtId="168" fontId="2" fillId="0" borderId="0"/>
    <xf numFmtId="0" fontId="24" fillId="0" borderId="0"/>
    <xf numFmtId="4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0" fontId="2" fillId="0" borderId="0"/>
    <xf numFmtId="0" fontId="2" fillId="0" borderId="0"/>
    <xf numFmtId="0" fontId="2" fillId="0" borderId="0"/>
    <xf numFmtId="0" fontId="2" fillId="0" borderId="0"/>
    <xf numFmtId="168" fontId="2" fillId="0" borderId="0"/>
    <xf numFmtId="9" fontId="2" fillId="0" borderId="0" applyFont="0" applyFill="0" applyBorder="0" applyAlignment="0" applyProtection="0"/>
    <xf numFmtId="43" fontId="2" fillId="0" borderId="0" applyFont="0" applyFill="0" applyBorder="0" applyAlignment="0" applyProtection="0"/>
    <xf numFmtId="0" fontId="19" fillId="0" borderId="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8" fillId="25" borderId="0" applyNumberFormat="0" applyBorder="0" applyAlignment="0" applyProtection="0"/>
    <xf numFmtId="0" fontId="53" fillId="0" borderId="0" applyNumberFormat="0" applyFill="0" applyBorder="0" applyAlignment="0" applyProtection="0"/>
    <xf numFmtId="0" fontId="78" fillId="0" borderId="0" applyNumberFormat="0" applyFill="0" applyBorder="0" applyAlignment="0" applyProtection="0"/>
    <xf numFmtId="44" fontId="102" fillId="0" borderId="0" applyNumberFormat="0" applyFont="0" applyFill="0" applyBorder="0" applyAlignment="0" applyProtection="0"/>
    <xf numFmtId="0" fontId="106" fillId="0" borderId="0"/>
  </cellStyleXfs>
  <cellXfs count="1660">
    <xf numFmtId="0" fontId="0" fillId="0" borderId="0" xfId="0"/>
    <xf numFmtId="44" fontId="0" fillId="0" borderId="0" xfId="0" applyNumberFormat="1"/>
    <xf numFmtId="43" fontId="0" fillId="0" borderId="0" xfId="0" applyNumberFormat="1"/>
    <xf numFmtId="0" fontId="17" fillId="0" borderId="0" xfId="0" applyFont="1"/>
    <xf numFmtId="0" fontId="55" fillId="0" borderId="0" xfId="0" applyFont="1"/>
    <xf numFmtId="0" fontId="55" fillId="0" borderId="0" xfId="0" applyFont="1" applyAlignment="1">
      <alignment horizontal="center"/>
    </xf>
    <xf numFmtId="0" fontId="55" fillId="0" borderId="21" xfId="0" applyFont="1" applyBorder="1" applyAlignment="1">
      <alignment horizontal="center" wrapText="1"/>
    </xf>
    <xf numFmtId="164" fontId="55" fillId="0" borderId="0" xfId="2" applyNumberFormat="1" applyFont="1"/>
    <xf numFmtId="0" fontId="55" fillId="0" borderId="21" xfId="0" applyFont="1" applyBorder="1" applyAlignment="1">
      <alignment wrapText="1"/>
    </xf>
    <xf numFmtId="164" fontId="55" fillId="0" borderId="0" xfId="0" applyNumberFormat="1" applyFont="1"/>
    <xf numFmtId="0" fontId="1" fillId="0" borderId="0" xfId="0" applyFont="1"/>
    <xf numFmtId="164" fontId="1" fillId="0" borderId="0" xfId="2" applyNumberFormat="1" applyFont="1"/>
    <xf numFmtId="164" fontId="1" fillId="0" borderId="0" xfId="0" applyNumberFormat="1" applyFont="1"/>
    <xf numFmtId="0" fontId="1" fillId="0" borderId="0" xfId="0" applyFont="1" applyAlignment="1">
      <alignment horizontal="right"/>
    </xf>
    <xf numFmtId="0" fontId="1" fillId="0" borderId="21" xfId="0" applyFont="1" applyBorder="1"/>
    <xf numFmtId="44" fontId="1" fillId="0" borderId="0" xfId="0" applyNumberFormat="1" applyFont="1"/>
    <xf numFmtId="44" fontId="55" fillId="0" borderId="0" xfId="2" applyFont="1"/>
    <xf numFmtId="0" fontId="55" fillId="0" borderId="0" xfId="0" applyFont="1" applyAlignment="1">
      <alignment horizontal="right"/>
    </xf>
    <xf numFmtId="164" fontId="55" fillId="0" borderId="0" xfId="2" applyNumberFormat="1" applyFont="1" applyAlignment="1">
      <alignment horizontal="right"/>
    </xf>
    <xf numFmtId="0" fontId="64" fillId="0" borderId="0" xfId="0" applyFont="1"/>
    <xf numFmtId="173" fontId="1" fillId="0" borderId="0" xfId="3" applyNumberFormat="1" applyFont="1"/>
    <xf numFmtId="0" fontId="56" fillId="0" borderId="0" xfId="0" applyFont="1" applyAlignment="1">
      <alignment horizontal="center"/>
    </xf>
    <xf numFmtId="165" fontId="1" fillId="0" borderId="0" xfId="1" applyNumberFormat="1" applyFont="1"/>
    <xf numFmtId="165" fontId="55" fillId="0" borderId="0" xfId="1" applyNumberFormat="1" applyFont="1" applyAlignment="1">
      <alignment horizontal="right"/>
    </xf>
    <xf numFmtId="43" fontId="55" fillId="0" borderId="0" xfId="1" applyFont="1" applyAlignment="1">
      <alignment horizontal="right"/>
    </xf>
    <xf numFmtId="165" fontId="55" fillId="0" borderId="0" xfId="1" applyNumberFormat="1" applyFont="1"/>
    <xf numFmtId="166" fontId="55" fillId="0" borderId="0" xfId="1" applyNumberFormat="1" applyFont="1" applyAlignment="1">
      <alignment horizontal="right"/>
    </xf>
    <xf numFmtId="166" fontId="1" fillId="0" borderId="0" xfId="1" applyNumberFormat="1" applyFont="1"/>
    <xf numFmtId="10" fontId="1" fillId="0" borderId="0" xfId="3" applyNumberFormat="1" applyFont="1"/>
    <xf numFmtId="164" fontId="1" fillId="0" borderId="0" xfId="2" applyNumberFormat="1" applyFont="1" applyFill="1"/>
    <xf numFmtId="0" fontId="55" fillId="0" borderId="0" xfId="0" applyFont="1" applyAlignment="1">
      <alignment horizontal="left"/>
    </xf>
    <xf numFmtId="0" fontId="1" fillId="0" borderId="23" xfId="0" applyFont="1" applyBorder="1"/>
    <xf numFmtId="43" fontId="55" fillId="0" borderId="23" xfId="1" applyFont="1" applyBorder="1" applyAlignment="1">
      <alignment horizontal="right"/>
    </xf>
    <xf numFmtId="165" fontId="55" fillId="0" borderId="23" xfId="1" applyNumberFormat="1" applyFont="1" applyBorder="1" applyAlignment="1">
      <alignment horizontal="right"/>
    </xf>
    <xf numFmtId="0" fontId="67" fillId="61" borderId="0" xfId="0" applyFont="1" applyFill="1"/>
    <xf numFmtId="0" fontId="68" fillId="61" borderId="0" xfId="0" applyFont="1" applyFill="1" applyAlignment="1">
      <alignment horizontal="centerContinuous"/>
    </xf>
    <xf numFmtId="0" fontId="69" fillId="61" borderId="0" xfId="0" applyFont="1" applyFill="1" applyAlignment="1">
      <alignment horizontal="centerContinuous"/>
    </xf>
    <xf numFmtId="0" fontId="69" fillId="61" borderId="0" xfId="0" applyFont="1" applyFill="1"/>
    <xf numFmtId="0" fontId="1" fillId="0" borderId="0" xfId="0" applyFont="1" applyAlignment="1">
      <alignment horizontal="left"/>
    </xf>
    <xf numFmtId="0" fontId="17" fillId="0" borderId="20" xfId="0" applyFont="1" applyBorder="1" applyAlignment="1">
      <alignment horizontal="center"/>
    </xf>
    <xf numFmtId="0" fontId="1" fillId="0" borderId="0" xfId="0" applyFont="1" applyAlignment="1">
      <alignment horizontal="center"/>
    </xf>
    <xf numFmtId="0" fontId="54" fillId="0" borderId="0" xfId="0" applyFont="1"/>
    <xf numFmtId="165" fontId="54" fillId="0" borderId="0" xfId="1" applyNumberFormat="1" applyFont="1" applyFill="1"/>
    <xf numFmtId="164" fontId="54" fillId="0" borderId="0" xfId="0" applyNumberFormat="1" applyFont="1"/>
    <xf numFmtId="164" fontId="55" fillId="0" borderId="0" xfId="2" applyNumberFormat="1" applyFont="1" applyFill="1"/>
    <xf numFmtId="0" fontId="70" fillId="61" borderId="0" xfId="0" applyFont="1" applyFill="1" applyAlignment="1">
      <alignment horizontal="centerContinuous"/>
    </xf>
    <xf numFmtId="0" fontId="71" fillId="61" borderId="0" xfId="0" applyFont="1" applyFill="1" applyAlignment="1">
      <alignment horizontal="centerContinuous"/>
    </xf>
    <xf numFmtId="0" fontId="71" fillId="61" borderId="0" xfId="0" applyFont="1" applyFill="1"/>
    <xf numFmtId="0" fontId="0" fillId="55" borderId="22" xfId="0" applyFill="1" applyBorder="1"/>
    <xf numFmtId="0" fontId="0" fillId="58" borderId="22" xfId="0" applyFill="1" applyBorder="1"/>
    <xf numFmtId="164" fontId="1" fillId="58" borderId="22" xfId="2" applyNumberFormat="1" applyFont="1" applyFill="1" applyBorder="1"/>
    <xf numFmtId="164" fontId="1" fillId="62" borderId="22" xfId="2" applyNumberFormat="1" applyFont="1" applyFill="1" applyBorder="1"/>
    <xf numFmtId="164" fontId="1" fillId="57" borderId="22" xfId="2" applyNumberFormat="1" applyFont="1" applyFill="1" applyBorder="1"/>
    <xf numFmtId="164" fontId="1" fillId="56" borderId="22" xfId="2" applyNumberFormat="1" applyFont="1" applyFill="1" applyBorder="1"/>
    <xf numFmtId="164" fontId="1" fillId="55" borderId="22" xfId="2" applyNumberFormat="1" applyFont="1" applyFill="1" applyBorder="1"/>
    <xf numFmtId="0" fontId="54" fillId="59" borderId="0" xfId="0" applyFont="1" applyFill="1"/>
    <xf numFmtId="0" fontId="1" fillId="63" borderId="0" xfId="0" applyFont="1" applyFill="1"/>
    <xf numFmtId="0" fontId="1" fillId="64" borderId="0" xfId="0" applyFont="1" applyFill="1"/>
    <xf numFmtId="0" fontId="1" fillId="0" borderId="26" xfId="0" applyFont="1" applyBorder="1"/>
    <xf numFmtId="0" fontId="1" fillId="0" borderId="24" xfId="0" applyFont="1" applyBorder="1"/>
    <xf numFmtId="0" fontId="1" fillId="0" borderId="27" xfId="0" applyFont="1" applyBorder="1"/>
    <xf numFmtId="0" fontId="1" fillId="0" borderId="28" xfId="0" applyFont="1" applyBorder="1"/>
    <xf numFmtId="0" fontId="1" fillId="0" borderId="29" xfId="0" applyFont="1" applyBorder="1"/>
    <xf numFmtId="0" fontId="1" fillId="0" borderId="30" xfId="0" applyFont="1" applyBorder="1"/>
    <xf numFmtId="0" fontId="1" fillId="0" borderId="31" xfId="0" applyFont="1" applyBorder="1"/>
    <xf numFmtId="165" fontId="1" fillId="0" borderId="0" xfId="0" applyNumberFormat="1" applyFont="1"/>
    <xf numFmtId="0" fontId="65" fillId="0" borderId="0" xfId="0" applyFont="1" applyAlignment="1">
      <alignment horizontal="centerContinuous"/>
    </xf>
    <xf numFmtId="165" fontId="63" fillId="0" borderId="0" xfId="1" applyNumberFormat="1" applyFont="1"/>
    <xf numFmtId="165" fontId="63" fillId="0" borderId="0" xfId="0" applyNumberFormat="1" applyFont="1"/>
    <xf numFmtId="165" fontId="75" fillId="0" borderId="0" xfId="1" applyNumberFormat="1" applyFont="1"/>
    <xf numFmtId="165" fontId="75" fillId="0" borderId="0" xfId="0" applyNumberFormat="1" applyFont="1"/>
    <xf numFmtId="165" fontId="76" fillId="0" borderId="0" xfId="0" applyNumberFormat="1" applyFont="1"/>
    <xf numFmtId="4" fontId="55" fillId="0" borderId="21" xfId="0" applyNumberFormat="1" applyFont="1" applyBorder="1" applyAlignment="1">
      <alignment horizontal="right" wrapText="1"/>
    </xf>
    <xf numFmtId="165" fontId="1" fillId="0" borderId="0" xfId="1" applyNumberFormat="1" applyFont="1" applyFill="1" applyBorder="1"/>
    <xf numFmtId="165" fontId="58" fillId="0" borderId="0" xfId="1" applyNumberFormat="1" applyFont="1" applyFill="1" applyBorder="1"/>
    <xf numFmtId="4" fontId="1" fillId="0" borderId="0" xfId="0" applyNumberFormat="1" applyFont="1"/>
    <xf numFmtId="173" fontId="1" fillId="0" borderId="0" xfId="3" applyNumberFormat="1" applyFont="1" applyFill="1" applyBorder="1"/>
    <xf numFmtId="165" fontId="65" fillId="0" borderId="0" xfId="0" applyNumberFormat="1" applyFont="1"/>
    <xf numFmtId="44" fontId="73" fillId="61" borderId="0" xfId="2" applyFont="1" applyFill="1"/>
    <xf numFmtId="165" fontId="1" fillId="55" borderId="22" xfId="1" applyNumberFormat="1" applyFont="1" applyFill="1" applyBorder="1"/>
    <xf numFmtId="175" fontId="1" fillId="55" borderId="22" xfId="1" applyNumberFormat="1" applyFont="1" applyFill="1" applyBorder="1"/>
    <xf numFmtId="178" fontId="1" fillId="55" borderId="22" xfId="1" applyNumberFormat="1" applyFont="1" applyFill="1" applyBorder="1"/>
    <xf numFmtId="179" fontId="1" fillId="55" borderId="22" xfId="1" applyNumberFormat="1" applyFont="1" applyFill="1" applyBorder="1"/>
    <xf numFmtId="43" fontId="1" fillId="0" borderId="0" xfId="1" applyFont="1"/>
    <xf numFmtId="43" fontId="1" fillId="0" borderId="0" xfId="0" applyNumberFormat="1" applyFont="1" applyAlignment="1">
      <alignment horizontal="center"/>
    </xf>
    <xf numFmtId="165" fontId="55" fillId="0" borderId="0" xfId="0" applyNumberFormat="1" applyFont="1" applyAlignment="1">
      <alignment horizontal="center"/>
    </xf>
    <xf numFmtId="43" fontId="55" fillId="0" borderId="0" xfId="0" applyNumberFormat="1" applyFont="1"/>
    <xf numFmtId="0" fontId="78" fillId="0" borderId="0" xfId="33028"/>
    <xf numFmtId="0" fontId="1" fillId="0" borderId="0" xfId="0" applyFont="1" applyAlignment="1">
      <alignment wrapText="1"/>
    </xf>
    <xf numFmtId="43" fontId="1" fillId="60" borderId="22" xfId="1" applyFont="1" applyFill="1" applyBorder="1"/>
    <xf numFmtId="0" fontId="66" fillId="0" borderId="0" xfId="0" applyFont="1"/>
    <xf numFmtId="4" fontId="54" fillId="0" borderId="0" xfId="0" applyNumberFormat="1" applyFont="1"/>
    <xf numFmtId="43" fontId="55" fillId="0" borderId="0" xfId="0" applyNumberFormat="1" applyFont="1" applyAlignment="1">
      <alignment horizontal="right"/>
    </xf>
    <xf numFmtId="44" fontId="1" fillId="0" borderId="0" xfId="2" applyFont="1" applyFill="1" applyBorder="1" applyAlignment="1"/>
    <xf numFmtId="0" fontId="55" fillId="0" borderId="0" xfId="0" applyFont="1" applyAlignment="1">
      <alignment wrapText="1"/>
    </xf>
    <xf numFmtId="0" fontId="55" fillId="0" borderId="0" xfId="0" applyFont="1" applyAlignment="1">
      <alignment horizontal="right" wrapText="1"/>
    </xf>
    <xf numFmtId="0" fontId="55" fillId="0" borderId="0" xfId="0" applyFont="1" applyAlignment="1">
      <alignment horizontal="center" wrapText="1"/>
    </xf>
    <xf numFmtId="44" fontId="1" fillId="0" borderId="0" xfId="0" applyNumberFormat="1" applyFont="1" applyAlignment="1">
      <alignment horizontal="center"/>
    </xf>
    <xf numFmtId="0" fontId="1" fillId="0" borderId="0" xfId="0" applyFont="1" applyAlignment="1">
      <alignment horizontal="left" wrapText="1"/>
    </xf>
    <xf numFmtId="0" fontId="55" fillId="0" borderId="23" xfId="0" applyFont="1" applyBorder="1"/>
    <xf numFmtId="0" fontId="55" fillId="0" borderId="23" xfId="0" applyFont="1" applyBorder="1" applyAlignment="1">
      <alignment horizontal="right" wrapText="1"/>
    </xf>
    <xf numFmtId="0" fontId="1" fillId="0" borderId="0" xfId="0" applyFont="1" applyAlignment="1">
      <alignment vertical="center"/>
    </xf>
    <xf numFmtId="44" fontId="55" fillId="0" borderId="0" xfId="2" applyFont="1" applyFill="1" applyBorder="1" applyAlignment="1"/>
    <xf numFmtId="0" fontId="1" fillId="0" borderId="0" xfId="0" applyFont="1" applyAlignment="1">
      <alignment horizontal="left" vertical="center" wrapText="1"/>
    </xf>
    <xf numFmtId="0" fontId="55" fillId="0" borderId="23" xfId="0" applyFont="1" applyBorder="1" applyAlignment="1">
      <alignment wrapText="1"/>
    </xf>
    <xf numFmtId="0" fontId="1" fillId="0" borderId="23" xfId="0" applyFont="1" applyBorder="1" applyAlignment="1">
      <alignment horizontal="center" vertical="center" wrapText="1"/>
    </xf>
    <xf numFmtId="0" fontId="54" fillId="0" borderId="0" xfId="0" applyFont="1" applyAlignment="1">
      <alignment wrapText="1"/>
    </xf>
    <xf numFmtId="10" fontId="1" fillId="0" borderId="0" xfId="3" applyNumberFormat="1" applyFont="1" applyBorder="1"/>
    <xf numFmtId="0" fontId="55" fillId="0" borderId="41" xfId="0" applyFont="1" applyBorder="1" applyAlignment="1">
      <alignment horizontal="right" wrapText="1"/>
    </xf>
    <xf numFmtId="173" fontId="1" fillId="56" borderId="38" xfId="3" applyNumberFormat="1" applyFont="1" applyFill="1" applyBorder="1"/>
    <xf numFmtId="173" fontId="1" fillId="56" borderId="39" xfId="3" applyNumberFormat="1" applyFont="1" applyFill="1" applyBorder="1"/>
    <xf numFmtId="173" fontId="1" fillId="60" borderId="38" xfId="3" applyNumberFormat="1" applyFont="1" applyFill="1" applyBorder="1"/>
    <xf numFmtId="173" fontId="1" fillId="60" borderId="39" xfId="3" applyNumberFormat="1" applyFont="1" applyFill="1" applyBorder="1"/>
    <xf numFmtId="164" fontId="1" fillId="57" borderId="43" xfId="2" applyNumberFormat="1" applyFont="1" applyFill="1" applyBorder="1"/>
    <xf numFmtId="0" fontId="1" fillId="0" borderId="38" xfId="0" applyFont="1" applyBorder="1"/>
    <xf numFmtId="164" fontId="1" fillId="0" borderId="0" xfId="2" applyNumberFormat="1" applyFont="1" applyBorder="1"/>
    <xf numFmtId="164" fontId="55" fillId="0" borderId="45" xfId="2" applyNumberFormat="1" applyFont="1" applyBorder="1" applyAlignment="1">
      <alignment horizontal="right"/>
    </xf>
    <xf numFmtId="164" fontId="55" fillId="0" borderId="0" xfId="2" applyNumberFormat="1" applyFont="1" applyBorder="1" applyAlignment="1">
      <alignment horizontal="right"/>
    </xf>
    <xf numFmtId="164" fontId="55" fillId="0" borderId="46" xfId="2" applyNumberFormat="1" applyFont="1" applyBorder="1" applyAlignment="1">
      <alignment horizontal="right"/>
    </xf>
    <xf numFmtId="43" fontId="55" fillId="0" borderId="0" xfId="1" applyFont="1" applyBorder="1" applyAlignment="1">
      <alignment horizontal="right"/>
    </xf>
    <xf numFmtId="43" fontId="55" fillId="0" borderId="46" xfId="1" applyFont="1" applyBorder="1" applyAlignment="1">
      <alignment horizontal="right"/>
    </xf>
    <xf numFmtId="164" fontId="55" fillId="0" borderId="0" xfId="2" applyNumberFormat="1" applyFont="1" applyBorder="1"/>
    <xf numFmtId="164" fontId="55" fillId="0" borderId="20" xfId="2" applyNumberFormat="1" applyFont="1" applyBorder="1"/>
    <xf numFmtId="0" fontId="55" fillId="0" borderId="45" xfId="0" applyFont="1" applyBorder="1" applyAlignment="1">
      <alignment horizontal="right"/>
    </xf>
    <xf numFmtId="0" fontId="55" fillId="0" borderId="46" xfId="0" applyFont="1" applyBorder="1" applyAlignment="1">
      <alignment horizontal="right"/>
    </xf>
    <xf numFmtId="164" fontId="1" fillId="0" borderId="45" xfId="2" applyNumberFormat="1" applyFont="1" applyBorder="1"/>
    <xf numFmtId="164" fontId="1" fillId="0" borderId="46" xfId="2" applyNumberFormat="1" applyFont="1" applyBorder="1"/>
    <xf numFmtId="164" fontId="55" fillId="0" borderId="51" xfId="2" applyNumberFormat="1" applyFont="1" applyBorder="1" applyAlignment="1">
      <alignment horizontal="right"/>
    </xf>
    <xf numFmtId="0" fontId="1" fillId="0" borderId="51" xfId="0" applyFont="1" applyBorder="1"/>
    <xf numFmtId="0" fontId="55" fillId="0" borderId="38" xfId="0" applyFont="1" applyBorder="1"/>
    <xf numFmtId="164" fontId="1" fillId="0" borderId="51" xfId="2" applyNumberFormat="1" applyFont="1" applyBorder="1"/>
    <xf numFmtId="165" fontId="55" fillId="0" borderId="45" xfId="1" applyNumberFormat="1" applyFont="1" applyBorder="1" applyAlignment="1">
      <alignment horizontal="right"/>
    </xf>
    <xf numFmtId="0" fontId="1" fillId="0" borderId="45" xfId="0" applyFont="1" applyBorder="1"/>
    <xf numFmtId="43" fontId="1" fillId="0" borderId="19" xfId="1" quotePrefix="1" applyFont="1" applyBorder="1" applyAlignment="1">
      <alignment horizontal="center" vertical="center"/>
    </xf>
    <xf numFmtId="0" fontId="1" fillId="0" borderId="0" xfId="0" applyFont="1" applyAlignment="1">
      <alignment horizontal="center" vertical="center"/>
    </xf>
    <xf numFmtId="0" fontId="55" fillId="0" borderId="19" xfId="0" applyFont="1" applyBorder="1" applyAlignment="1">
      <alignment vertical="center"/>
    </xf>
    <xf numFmtId="43" fontId="1" fillId="0" borderId="0" xfId="0" applyNumberFormat="1" applyFont="1"/>
    <xf numFmtId="0" fontId="78" fillId="0" borderId="0" xfId="33028" applyFill="1" applyBorder="1" applyAlignment="1">
      <alignment horizontal="center"/>
    </xf>
    <xf numFmtId="43" fontId="1" fillId="0" borderId="19" xfId="1" applyFont="1" applyBorder="1" applyAlignment="1">
      <alignment horizontal="center" vertical="center"/>
    </xf>
    <xf numFmtId="0" fontId="0" fillId="0" borderId="19" xfId="0" applyBorder="1" applyAlignment="1">
      <alignment horizontal="center" vertical="center"/>
    </xf>
    <xf numFmtId="0" fontId="55" fillId="0" borderId="38" xfId="0" applyFont="1" applyBorder="1" applyAlignment="1">
      <alignment horizontal="right"/>
    </xf>
    <xf numFmtId="166" fontId="1" fillId="0" borderId="45" xfId="1" applyNumberFormat="1" applyFont="1" applyBorder="1" applyAlignment="1">
      <alignment horizontal="right"/>
    </xf>
    <xf numFmtId="0" fontId="0" fillId="0" borderId="46" xfId="0" applyBorder="1"/>
    <xf numFmtId="0" fontId="1" fillId="0" borderId="46" xfId="0" applyFont="1" applyBorder="1"/>
    <xf numFmtId="165" fontId="1" fillId="0" borderId="45" xfId="1" applyNumberFormat="1" applyFont="1" applyBorder="1"/>
    <xf numFmtId="165" fontId="1" fillId="0" borderId="45" xfId="1" applyNumberFormat="1" applyFont="1" applyBorder="1" applyAlignment="1">
      <alignment horizontal="right"/>
    </xf>
    <xf numFmtId="44" fontId="1" fillId="0" borderId="0" xfId="2" applyFont="1" applyBorder="1"/>
    <xf numFmtId="164" fontId="1" fillId="0" borderId="46" xfId="0" applyNumberFormat="1" applyFont="1" applyBorder="1"/>
    <xf numFmtId="164" fontId="1" fillId="0" borderId="51" xfId="0" applyNumberFormat="1" applyFont="1" applyBorder="1"/>
    <xf numFmtId="164" fontId="55" fillId="0" borderId="34" xfId="0" applyNumberFormat="1" applyFont="1" applyBorder="1"/>
    <xf numFmtId="0" fontId="55" fillId="0" borderId="51" xfId="0" applyFont="1" applyBorder="1" applyAlignment="1">
      <alignment horizontal="right"/>
    </xf>
    <xf numFmtId="0" fontId="55" fillId="0" borderId="48" xfId="0" applyFont="1" applyBorder="1" applyAlignment="1">
      <alignment horizontal="right"/>
    </xf>
    <xf numFmtId="173" fontId="54" fillId="0" borderId="45" xfId="3" applyNumberFormat="1" applyFont="1" applyFill="1" applyBorder="1"/>
    <xf numFmtId="165" fontId="1" fillId="0" borderId="46" xfId="1" quotePrefix="1" applyNumberFormat="1" applyFont="1" applyBorder="1" applyAlignment="1">
      <alignment horizontal="center"/>
    </xf>
    <xf numFmtId="0" fontId="55" fillId="0" borderId="23" xfId="0" applyFont="1" applyBorder="1" applyAlignment="1">
      <alignment vertical="center" wrapText="1"/>
    </xf>
    <xf numFmtId="0" fontId="1" fillId="0" borderId="23" xfId="0" quotePrefix="1" applyFont="1" applyBorder="1" applyAlignment="1">
      <alignment horizontal="center" vertical="center" wrapText="1"/>
    </xf>
    <xf numFmtId="0" fontId="1" fillId="0" borderId="0" xfId="0" applyFont="1" applyAlignment="1">
      <alignment vertical="center" wrapText="1"/>
    </xf>
    <xf numFmtId="0" fontId="1" fillId="55" borderId="61" xfId="0" applyFont="1" applyFill="1" applyBorder="1"/>
    <xf numFmtId="177" fontId="1" fillId="55" borderId="61" xfId="0" applyNumberFormat="1" applyFont="1" applyFill="1" applyBorder="1"/>
    <xf numFmtId="0" fontId="1" fillId="0" borderId="19" xfId="0" applyFont="1" applyBorder="1" applyAlignment="1">
      <alignment horizontal="right" vertical="center"/>
    </xf>
    <xf numFmtId="0" fontId="1" fillId="0" borderId="23" xfId="0" applyFont="1" applyBorder="1" applyAlignment="1">
      <alignment horizontal="right" vertical="center"/>
    </xf>
    <xf numFmtId="0" fontId="55" fillId="0" borderId="0" xfId="0" applyFont="1" applyAlignment="1">
      <alignment vertical="center" wrapText="1"/>
    </xf>
    <xf numFmtId="0" fontId="1" fillId="0" borderId="0" xfId="0" applyFont="1" applyAlignment="1">
      <alignment horizontal="righ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quotePrefix="1" applyFont="1" applyAlignment="1">
      <alignment horizontal="center" vertical="center" wrapText="1"/>
    </xf>
    <xf numFmtId="0" fontId="1" fillId="0" borderId="49" xfId="0" applyFont="1" applyBorder="1" applyAlignment="1">
      <alignment horizontal="right"/>
    </xf>
    <xf numFmtId="164" fontId="1" fillId="0" borderId="20" xfId="2" applyNumberFormat="1" applyFont="1" applyBorder="1"/>
    <xf numFmtId="0" fontId="1" fillId="0" borderId="50" xfId="0" applyFont="1" applyBorder="1"/>
    <xf numFmtId="165" fontId="55" fillId="0" borderId="55" xfId="1" applyNumberFormat="1" applyFont="1" applyFill="1" applyBorder="1" applyAlignment="1">
      <alignment horizontal="centerContinuous"/>
    </xf>
    <xf numFmtId="0" fontId="55" fillId="0" borderId="0" xfId="0" applyFont="1" applyAlignment="1">
      <alignment horizontal="centerContinuous"/>
    </xf>
    <xf numFmtId="164" fontId="55" fillId="62" borderId="34" xfId="0" applyNumberFormat="1" applyFont="1" applyFill="1" applyBorder="1"/>
    <xf numFmtId="0" fontId="55" fillId="0" borderId="56" xfId="0" applyFont="1" applyBorder="1" applyAlignment="1">
      <alignment horizontal="centerContinuous"/>
    </xf>
    <xf numFmtId="0" fontId="55" fillId="0" borderId="57" xfId="0" applyFont="1" applyBorder="1" applyAlignment="1">
      <alignment horizontal="centerContinuous"/>
    </xf>
    <xf numFmtId="164" fontId="55" fillId="62" borderId="22" xfId="2" applyNumberFormat="1" applyFont="1" applyFill="1" applyBorder="1"/>
    <xf numFmtId="41" fontId="1" fillId="0" borderId="0" xfId="0" applyNumberFormat="1" applyFont="1"/>
    <xf numFmtId="0" fontId="55" fillId="0" borderId="33" xfId="0" applyFont="1" applyBorder="1" applyAlignment="1">
      <alignment horizontal="right"/>
    </xf>
    <xf numFmtId="0" fontId="55" fillId="0" borderId="44" xfId="0" applyFont="1" applyBorder="1" applyAlignment="1">
      <alignment horizontal="right"/>
    </xf>
    <xf numFmtId="0" fontId="55" fillId="0" borderId="52" xfId="0" applyFont="1" applyBorder="1" applyAlignment="1">
      <alignment horizontal="right"/>
    </xf>
    <xf numFmtId="0" fontId="55" fillId="0" borderId="47" xfId="0" applyFont="1" applyBorder="1" applyAlignment="1">
      <alignment horizontal="right"/>
    </xf>
    <xf numFmtId="174" fontId="1" fillId="0" borderId="0" xfId="2" applyNumberFormat="1" applyFont="1" applyBorder="1"/>
    <xf numFmtId="0" fontId="55" fillId="0" borderId="20" xfId="0" applyFont="1" applyBorder="1"/>
    <xf numFmtId="0" fontId="55" fillId="0" borderId="51" xfId="0" applyFont="1" applyBorder="1"/>
    <xf numFmtId="0" fontId="1" fillId="0" borderId="20" xfId="0" applyFont="1" applyBorder="1"/>
    <xf numFmtId="44" fontId="1" fillId="0" borderId="0" xfId="2" applyFont="1" applyFill="1" applyAlignment="1"/>
    <xf numFmtId="0" fontId="54" fillId="0" borderId="0" xfId="0" applyFont="1" applyAlignment="1">
      <alignment horizontal="right"/>
    </xf>
    <xf numFmtId="0" fontId="55" fillId="0" borderId="58" xfId="0" applyFont="1" applyBorder="1" applyAlignment="1">
      <alignment horizontal="center" wrapText="1"/>
    </xf>
    <xf numFmtId="0" fontId="55" fillId="0" borderId="59" xfId="0" applyFont="1" applyBorder="1" applyAlignment="1">
      <alignment wrapText="1"/>
    </xf>
    <xf numFmtId="0" fontId="55" fillId="0" borderId="59" xfId="0" applyFont="1" applyBorder="1" applyAlignment="1">
      <alignment horizontal="right" wrapText="1"/>
    </xf>
    <xf numFmtId="0" fontId="55" fillId="0" borderId="60" xfId="0" applyFont="1" applyBorder="1" applyAlignment="1">
      <alignment horizontal="right" wrapText="1"/>
    </xf>
    <xf numFmtId="0" fontId="55" fillId="0" borderId="49" xfId="0" applyFont="1" applyBorder="1" applyAlignment="1">
      <alignment horizontal="center"/>
    </xf>
    <xf numFmtId="0" fontId="1" fillId="0" borderId="45" xfId="0" applyFont="1" applyBorder="1" applyAlignment="1">
      <alignment horizontal="right"/>
    </xf>
    <xf numFmtId="44" fontId="1" fillId="0" borderId="46" xfId="2" applyFont="1" applyBorder="1"/>
    <xf numFmtId="44" fontId="1" fillId="0" borderId="50" xfId="2" applyFont="1" applyBorder="1"/>
    <xf numFmtId="44" fontId="1" fillId="0" borderId="51" xfId="2" applyFont="1" applyBorder="1"/>
    <xf numFmtId="0" fontId="1" fillId="0" borderId="49" xfId="0" applyFont="1" applyBorder="1"/>
    <xf numFmtId="0" fontId="1" fillId="0" borderId="34" xfId="0" applyFont="1" applyBorder="1"/>
    <xf numFmtId="0" fontId="1" fillId="0" borderId="20" xfId="0" applyFont="1" applyBorder="1" applyAlignment="1">
      <alignment horizontal="right"/>
    </xf>
    <xf numFmtId="0" fontId="1" fillId="0" borderId="51" xfId="0" applyFont="1" applyBorder="1" applyAlignment="1">
      <alignment horizontal="center"/>
    </xf>
    <xf numFmtId="0" fontId="1" fillId="0" borderId="45" xfId="0" applyFont="1" applyBorder="1" applyAlignment="1">
      <alignment horizontal="center"/>
    </xf>
    <xf numFmtId="0" fontId="55" fillId="0" borderId="66" xfId="0" applyFont="1" applyBorder="1"/>
    <xf numFmtId="164" fontId="1" fillId="0" borderId="20" xfId="2" applyNumberFormat="1" applyFont="1" applyFill="1" applyBorder="1"/>
    <xf numFmtId="41" fontId="55" fillId="0" borderId="0" xfId="0" applyNumberFormat="1" applyFont="1"/>
    <xf numFmtId="41" fontId="55" fillId="0" borderId="0" xfId="0" applyNumberFormat="1" applyFont="1" applyAlignment="1">
      <alignment horizontal="right"/>
    </xf>
    <xf numFmtId="0" fontId="1" fillId="0" borderId="53" xfId="0" applyFont="1" applyBorder="1" applyAlignment="1">
      <alignment horizontal="center"/>
    </xf>
    <xf numFmtId="0" fontId="1" fillId="0" borderId="54" xfId="0" applyFont="1" applyBorder="1" applyAlignment="1">
      <alignment horizontal="center"/>
    </xf>
    <xf numFmtId="177" fontId="1" fillId="0" borderId="0" xfId="0" applyNumberFormat="1" applyFont="1"/>
    <xf numFmtId="177" fontId="1" fillId="55" borderId="61" xfId="0" applyNumberFormat="1" applyFont="1" applyFill="1" applyBorder="1" applyAlignment="1">
      <alignment horizontal="center"/>
    </xf>
    <xf numFmtId="164" fontId="1" fillId="0" borderId="0" xfId="2" applyNumberFormat="1" applyFont="1" applyFill="1" applyBorder="1"/>
    <xf numFmtId="164" fontId="55" fillId="0" borderId="0" xfId="2" applyNumberFormat="1" applyFont="1" applyFill="1" applyBorder="1"/>
    <xf numFmtId="164" fontId="54" fillId="55" borderId="45" xfId="0" applyNumberFormat="1" applyFont="1" applyFill="1" applyBorder="1"/>
    <xf numFmtId="0" fontId="77" fillId="0" borderId="0" xfId="0" applyFont="1"/>
    <xf numFmtId="0" fontId="55" fillId="0" borderId="45" xfId="0" applyFont="1" applyBorder="1"/>
    <xf numFmtId="164" fontId="1" fillId="0" borderId="50" xfId="2" applyNumberFormat="1" applyFont="1" applyBorder="1"/>
    <xf numFmtId="44" fontId="1" fillId="0" borderId="45" xfId="2" applyFont="1" applyBorder="1"/>
    <xf numFmtId="164" fontId="1" fillId="0" borderId="45" xfId="2" applyNumberFormat="1" applyFont="1" applyFill="1" applyBorder="1"/>
    <xf numFmtId="0" fontId="17" fillId="0" borderId="0" xfId="0" applyFont="1" applyAlignment="1">
      <alignment horizontal="right"/>
    </xf>
    <xf numFmtId="0" fontId="0" fillId="0" borderId="0" xfId="0" applyAlignment="1">
      <alignment horizontal="right"/>
    </xf>
    <xf numFmtId="44" fontId="1" fillId="0" borderId="0" xfId="2" applyFont="1"/>
    <xf numFmtId="43" fontId="1" fillId="55" borderId="22" xfId="1" applyFont="1" applyFill="1" applyBorder="1"/>
    <xf numFmtId="43" fontId="54" fillId="55" borderId="22" xfId="1" applyFont="1" applyFill="1" applyBorder="1"/>
    <xf numFmtId="165" fontId="82" fillId="0" borderId="0" xfId="1" applyNumberFormat="1" applyFont="1" applyFill="1" applyBorder="1"/>
    <xf numFmtId="0" fontId="55" fillId="0" borderId="60" xfId="0" applyFont="1" applyBorder="1" applyAlignment="1">
      <alignment horizontal="left"/>
    </xf>
    <xf numFmtId="164" fontId="1" fillId="0" borderId="34" xfId="2" applyNumberFormat="1" applyFont="1" applyBorder="1"/>
    <xf numFmtId="164" fontId="1" fillId="0" borderId="34" xfId="0" applyNumberFormat="1" applyFont="1" applyBorder="1"/>
    <xf numFmtId="0" fontId="55" fillId="0" borderId="56" xfId="0" applyFont="1" applyBorder="1"/>
    <xf numFmtId="0" fontId="1" fillId="0" borderId="56" xfId="0" applyFont="1" applyBorder="1"/>
    <xf numFmtId="0" fontId="1" fillId="0" borderId="56" xfId="0" applyFont="1" applyBorder="1" applyAlignment="1">
      <alignment horizontal="right" vertical="center"/>
    </xf>
    <xf numFmtId="0" fontId="80" fillId="0" borderId="0" xfId="0" applyFont="1" applyAlignment="1">
      <alignment horizontal="center"/>
    </xf>
    <xf numFmtId="0" fontId="83" fillId="61" borderId="0" xfId="0" applyFont="1" applyFill="1"/>
    <xf numFmtId="0" fontId="72" fillId="0" borderId="0" xfId="0" applyFont="1"/>
    <xf numFmtId="0" fontId="73" fillId="0" borderId="0" xfId="0" applyFont="1"/>
    <xf numFmtId="0" fontId="0" fillId="0" borderId="51" xfId="0" applyBorder="1"/>
    <xf numFmtId="44" fontId="1" fillId="0" borderId="0" xfId="2" applyFont="1" applyFill="1" applyBorder="1" applyAlignment="1">
      <alignment vertical="center"/>
    </xf>
    <xf numFmtId="44" fontId="1" fillId="0" borderId="0" xfId="2" applyFont="1" applyFill="1" applyBorder="1" applyAlignment="1">
      <alignment horizontal="left" wrapText="1"/>
    </xf>
    <xf numFmtId="44" fontId="1" fillId="0" borderId="0" xfId="2" applyFont="1" applyFill="1" applyBorder="1" applyAlignment="1">
      <alignment horizontal="left" vertical="center" wrapText="1"/>
    </xf>
    <xf numFmtId="165" fontId="55" fillId="0" borderId="56" xfId="1" applyNumberFormat="1" applyFont="1" applyBorder="1"/>
    <xf numFmtId="0" fontId="1" fillId="67" borderId="0" xfId="0" applyFont="1" applyFill="1"/>
    <xf numFmtId="176" fontId="1" fillId="67" borderId="0" xfId="0" applyNumberFormat="1" applyFont="1" applyFill="1" applyAlignment="1">
      <alignment horizontal="center"/>
    </xf>
    <xf numFmtId="43" fontId="1" fillId="67" borderId="22" xfId="1" applyFont="1" applyFill="1" applyBorder="1"/>
    <xf numFmtId="41" fontId="1" fillId="0" borderId="0" xfId="2" applyNumberFormat="1" applyFont="1"/>
    <xf numFmtId="0" fontId="55" fillId="0" borderId="49" xfId="0" applyFont="1" applyBorder="1" applyAlignment="1">
      <alignment horizontal="right"/>
    </xf>
    <xf numFmtId="164" fontId="1" fillId="0" borderId="46" xfId="2" applyNumberFormat="1" applyFont="1" applyBorder="1" applyAlignment="1">
      <alignment horizontal="center"/>
    </xf>
    <xf numFmtId="0" fontId="1" fillId="0" borderId="46" xfId="0" applyFont="1" applyBorder="1" applyAlignment="1">
      <alignment horizontal="center"/>
    </xf>
    <xf numFmtId="164" fontId="1" fillId="0" borderId="0" xfId="2" applyNumberFormat="1" applyFont="1" applyBorder="1" applyAlignment="1">
      <alignment horizontal="center"/>
    </xf>
    <xf numFmtId="164" fontId="55" fillId="0" borderId="0" xfId="2" applyNumberFormat="1" applyFont="1" applyBorder="1" applyAlignment="1">
      <alignment horizontal="center"/>
    </xf>
    <xf numFmtId="164" fontId="58" fillId="0" borderId="0" xfId="2" applyNumberFormat="1" applyFont="1" applyBorder="1" applyAlignment="1">
      <alignment horizontal="center"/>
    </xf>
    <xf numFmtId="164" fontId="1" fillId="0" borderId="45" xfId="2" applyNumberFormat="1" applyFont="1" applyBorder="1" applyAlignment="1">
      <alignment horizontal="center"/>
    </xf>
    <xf numFmtId="164" fontId="73" fillId="66" borderId="0" xfId="2" applyNumberFormat="1" applyFont="1" applyFill="1" applyBorder="1" applyAlignment="1">
      <alignment horizontal="center"/>
    </xf>
    <xf numFmtId="164" fontId="73" fillId="66" borderId="46" xfId="2" applyNumberFormat="1" applyFont="1" applyFill="1" applyBorder="1" applyAlignment="1">
      <alignment horizontal="center"/>
    </xf>
    <xf numFmtId="164" fontId="1" fillId="0" borderId="20" xfId="2" applyNumberFormat="1" applyFont="1" applyBorder="1" applyAlignment="1">
      <alignment horizontal="center"/>
    </xf>
    <xf numFmtId="164" fontId="1" fillId="0" borderId="50" xfId="2" applyNumberFormat="1" applyFont="1" applyBorder="1" applyAlignment="1">
      <alignment horizontal="center"/>
    </xf>
    <xf numFmtId="0" fontId="73" fillId="0" borderId="0" xfId="0" applyFont="1" applyAlignment="1">
      <alignment horizontal="center"/>
    </xf>
    <xf numFmtId="6" fontId="1" fillId="0" borderId="51" xfId="0" applyNumberFormat="1" applyFont="1" applyBorder="1"/>
    <xf numFmtId="44" fontId="1" fillId="0" borderId="0" xfId="2" applyFont="1" applyFill="1" applyBorder="1"/>
    <xf numFmtId="164" fontId="1" fillId="55" borderId="65" xfId="2" applyNumberFormat="1" applyFont="1" applyFill="1" applyBorder="1"/>
    <xf numFmtId="164" fontId="1" fillId="0" borderId="0" xfId="2" applyNumberFormat="1" applyFont="1" applyFill="1" applyBorder="1" applyAlignment="1"/>
    <xf numFmtId="164" fontId="55" fillId="0" borderId="0" xfId="2" applyNumberFormat="1" applyFont="1" applyFill="1" applyBorder="1" applyAlignment="1"/>
    <xf numFmtId="0" fontId="85" fillId="61" borderId="0" xfId="0" applyFont="1" applyFill="1"/>
    <xf numFmtId="0" fontId="1" fillId="0" borderId="35" xfId="0" applyFont="1" applyBorder="1"/>
    <xf numFmtId="0" fontId="1" fillId="0" borderId="35" xfId="0" applyFont="1" applyBorder="1" applyAlignment="1">
      <alignment horizontal="right"/>
    </xf>
    <xf numFmtId="0" fontId="1" fillId="0" borderId="42" xfId="0" applyFont="1" applyBorder="1"/>
    <xf numFmtId="0" fontId="60" fillId="0" borderId="0" xfId="0" applyFont="1"/>
    <xf numFmtId="0" fontId="60" fillId="0" borderId="0" xfId="0" applyFont="1" applyAlignment="1">
      <alignment horizontal="right"/>
    </xf>
    <xf numFmtId="174" fontId="60" fillId="0" borderId="0" xfId="3" applyNumberFormat="1" applyFont="1" applyFill="1" applyBorder="1"/>
    <xf numFmtId="174" fontId="86" fillId="0" borderId="0" xfId="0" applyNumberFormat="1" applyFont="1"/>
    <xf numFmtId="174" fontId="60" fillId="0" borderId="0" xfId="0" applyNumberFormat="1" applyFont="1"/>
    <xf numFmtId="0" fontId="60" fillId="0" borderId="71" xfId="0" applyFont="1" applyBorder="1"/>
    <xf numFmtId="43" fontId="1" fillId="0" borderId="73" xfId="0" applyNumberFormat="1" applyFont="1" applyBorder="1"/>
    <xf numFmtId="0" fontId="60" fillId="0" borderId="37" xfId="0" applyFont="1" applyBorder="1"/>
    <xf numFmtId="0" fontId="60" fillId="0" borderId="35" xfId="0" applyFont="1" applyBorder="1"/>
    <xf numFmtId="43" fontId="1" fillId="0" borderId="36" xfId="1" applyFont="1" applyFill="1" applyBorder="1"/>
    <xf numFmtId="43" fontId="1" fillId="0" borderId="39" xfId="0" applyNumberFormat="1" applyFont="1" applyBorder="1"/>
    <xf numFmtId="0" fontId="88" fillId="0" borderId="0" xfId="0" applyFont="1"/>
    <xf numFmtId="0" fontId="55" fillId="0" borderId="75" xfId="0" applyFont="1" applyBorder="1" applyAlignment="1">
      <alignment horizontal="right"/>
    </xf>
    <xf numFmtId="41" fontId="60" fillId="0" borderId="45" xfId="2" applyNumberFormat="1" applyFont="1" applyBorder="1"/>
    <xf numFmtId="41" fontId="60" fillId="0" borderId="0" xfId="2" applyNumberFormat="1" applyFont="1" applyBorder="1"/>
    <xf numFmtId="41" fontId="60" fillId="0" borderId="51" xfId="2" applyNumberFormat="1" applyFont="1" applyBorder="1"/>
    <xf numFmtId="41" fontId="60" fillId="0" borderId="51" xfId="0" applyNumberFormat="1" applyFont="1" applyBorder="1"/>
    <xf numFmtId="0" fontId="1" fillId="0" borderId="0" xfId="0" quotePrefix="1" applyFont="1" applyAlignment="1">
      <alignment horizontal="center"/>
    </xf>
    <xf numFmtId="6" fontId="1" fillId="0" borderId="0" xfId="0" applyNumberFormat="1" applyFont="1"/>
    <xf numFmtId="0" fontId="54" fillId="0" borderId="51" xfId="0" applyFont="1" applyBorder="1"/>
    <xf numFmtId="0" fontId="54" fillId="0" borderId="51" xfId="0" quotePrefix="1" applyFont="1" applyBorder="1" applyAlignment="1">
      <alignment horizontal="center"/>
    </xf>
    <xf numFmtId="4" fontId="66" fillId="0" borderId="21" xfId="0" applyNumberFormat="1" applyFont="1" applyBorder="1" applyAlignment="1">
      <alignment horizontal="right" wrapText="1"/>
    </xf>
    <xf numFmtId="0" fontId="55" fillId="0" borderId="40" xfId="0" applyFont="1" applyBorder="1" applyAlignment="1">
      <alignment horizontal="right" wrapText="1"/>
    </xf>
    <xf numFmtId="0" fontId="55" fillId="0" borderId="66" xfId="0" applyFont="1" applyBorder="1" applyAlignment="1">
      <alignment horizontal="right" wrapText="1"/>
    </xf>
    <xf numFmtId="10" fontId="1" fillId="60" borderId="37" xfId="3" applyNumberFormat="1" applyFont="1" applyFill="1" applyBorder="1"/>
    <xf numFmtId="10" fontId="1" fillId="56" borderId="37" xfId="3" applyNumberFormat="1" applyFont="1" applyFill="1" applyBorder="1"/>
    <xf numFmtId="0" fontId="1" fillId="0" borderId="72" xfId="0" applyFont="1" applyBorder="1"/>
    <xf numFmtId="0" fontId="55" fillId="0" borderId="58" xfId="0" applyFont="1" applyBorder="1"/>
    <xf numFmtId="0" fontId="55" fillId="0" borderId="20" xfId="0" applyFont="1" applyBorder="1" applyAlignment="1">
      <alignment horizontal="right"/>
    </xf>
    <xf numFmtId="0" fontId="74" fillId="0" borderId="0" xfId="0" applyFont="1"/>
    <xf numFmtId="0" fontId="17" fillId="0" borderId="0" xfId="0" applyFont="1" applyAlignment="1">
      <alignment wrapText="1"/>
    </xf>
    <xf numFmtId="0" fontId="0" fillId="0" borderId="0" xfId="0" applyAlignment="1">
      <alignment wrapText="1"/>
    </xf>
    <xf numFmtId="0" fontId="60" fillId="0" borderId="0" xfId="0" applyFont="1" applyAlignment="1">
      <alignment horizontal="center" wrapText="1"/>
    </xf>
    <xf numFmtId="10" fontId="55" fillId="56" borderId="34" xfId="3" applyNumberFormat="1" applyFont="1" applyFill="1" applyBorder="1" applyAlignment="1">
      <alignment horizontal="center"/>
    </xf>
    <xf numFmtId="43" fontId="1" fillId="0" borderId="51" xfId="1" applyFont="1" applyBorder="1"/>
    <xf numFmtId="165" fontId="1" fillId="0" borderId="46" xfId="1" applyNumberFormat="1" applyFont="1" applyBorder="1"/>
    <xf numFmtId="0" fontId="83" fillId="61" borderId="0" xfId="0" applyFont="1" applyFill="1" applyAlignment="1">
      <alignment horizontal="left" indent="1"/>
    </xf>
    <xf numFmtId="0" fontId="91" fillId="61" borderId="0" xfId="0" applyFont="1" applyFill="1"/>
    <xf numFmtId="0" fontId="1" fillId="0" borderId="0" xfId="0" applyFont="1" applyAlignment="1">
      <alignment horizontal="centerContinuous"/>
    </xf>
    <xf numFmtId="0" fontId="0" fillId="0" borderId="45" xfId="0" applyBorder="1"/>
    <xf numFmtId="43" fontId="0" fillId="0" borderId="0" xfId="1" applyFont="1"/>
    <xf numFmtId="0" fontId="1" fillId="0" borderId="82" xfId="0" applyFont="1" applyBorder="1" applyAlignment="1">
      <alignment horizontal="right" vertical="center"/>
    </xf>
    <xf numFmtId="0" fontId="55" fillId="0" borderId="49" xfId="0" applyFont="1" applyBorder="1"/>
    <xf numFmtId="0" fontId="55" fillId="0" borderId="84" xfId="0" applyFont="1" applyBorder="1" applyAlignment="1">
      <alignment horizontal="right"/>
    </xf>
    <xf numFmtId="0" fontId="1" fillId="0" borderId="0" xfId="0" applyFont="1" applyAlignment="1">
      <alignment horizontal="right" wrapText="1"/>
    </xf>
    <xf numFmtId="0" fontId="1" fillId="0" borderId="86" xfId="0" applyFont="1" applyBorder="1"/>
    <xf numFmtId="0" fontId="62" fillId="0" borderId="0" xfId="0" applyFont="1" applyAlignment="1">
      <alignment horizontal="center"/>
    </xf>
    <xf numFmtId="165" fontId="0" fillId="0" borderId="0" xfId="1" applyNumberFormat="1" applyFont="1" applyAlignment="1">
      <alignment wrapText="1"/>
    </xf>
    <xf numFmtId="165" fontId="0" fillId="0" borderId="0" xfId="1" applyNumberFormat="1" applyFont="1"/>
    <xf numFmtId="165" fontId="0" fillId="0" borderId="0" xfId="1" applyNumberFormat="1" applyFont="1" applyBorder="1"/>
    <xf numFmtId="0" fontId="17" fillId="0" borderId="35" xfId="0" applyFont="1" applyBorder="1"/>
    <xf numFmtId="164" fontId="73" fillId="0" borderId="0" xfId="2" applyNumberFormat="1" applyFont="1" applyFill="1" applyBorder="1" applyAlignment="1">
      <alignment horizontal="center"/>
    </xf>
    <xf numFmtId="164" fontId="58" fillId="0" borderId="0" xfId="2" applyNumberFormat="1" applyFont="1" applyFill="1" applyBorder="1" applyAlignment="1">
      <alignment horizontal="center"/>
    </xf>
    <xf numFmtId="0" fontId="1" fillId="0" borderId="66" xfId="0" applyFont="1" applyBorder="1" applyAlignment="1">
      <alignment horizontal="right" vertical="center"/>
    </xf>
    <xf numFmtId="182" fontId="1" fillId="0" borderId="0" xfId="3" applyNumberFormat="1" applyFont="1"/>
    <xf numFmtId="10" fontId="1" fillId="67" borderId="87" xfId="3" applyNumberFormat="1" applyFont="1" applyFill="1" applyBorder="1"/>
    <xf numFmtId="43" fontId="54" fillId="67" borderId="22" xfId="1" applyFont="1" applyFill="1" applyBorder="1"/>
    <xf numFmtId="165" fontId="54" fillId="0" borderId="0" xfId="1" applyNumberFormat="1" applyFont="1" applyFill="1" applyBorder="1"/>
    <xf numFmtId="164" fontId="55" fillId="0" borderId="0" xfId="2" applyNumberFormat="1" applyFont="1" applyFill="1" applyBorder="1" applyAlignment="1">
      <alignment horizontal="center"/>
    </xf>
    <xf numFmtId="182" fontId="1" fillId="0" borderId="0" xfId="0" applyNumberFormat="1" applyFont="1"/>
    <xf numFmtId="0" fontId="1" fillId="0" borderId="38" xfId="0" applyFont="1" applyBorder="1" applyAlignment="1">
      <alignment horizontal="right" vertical="center"/>
    </xf>
    <xf numFmtId="0" fontId="55" fillId="0" borderId="71" xfId="0" applyFont="1" applyBorder="1"/>
    <xf numFmtId="0" fontId="55" fillId="0" borderId="72" xfId="0" applyFont="1" applyBorder="1"/>
    <xf numFmtId="0" fontId="55" fillId="0" borderId="89" xfId="0" applyFont="1" applyBorder="1" applyAlignment="1">
      <alignment horizontal="right"/>
    </xf>
    <xf numFmtId="0" fontId="55" fillId="0" borderId="90" xfId="0" applyFont="1" applyBorder="1" applyAlignment="1">
      <alignment horizontal="right"/>
    </xf>
    <xf numFmtId="0" fontId="55" fillId="0" borderId="91" xfId="0" applyFont="1" applyBorder="1" applyAlignment="1">
      <alignment horizontal="right"/>
    </xf>
    <xf numFmtId="0" fontId="55" fillId="0" borderId="72" xfId="0" applyFont="1" applyBorder="1" applyAlignment="1">
      <alignment horizontal="right"/>
    </xf>
    <xf numFmtId="0" fontId="55" fillId="0" borderId="35" xfId="0" applyFont="1" applyBorder="1"/>
    <xf numFmtId="0" fontId="55" fillId="0" borderId="37" xfId="0" applyFont="1" applyBorder="1"/>
    <xf numFmtId="0" fontId="55" fillId="0" borderId="40" xfId="0" applyFont="1" applyBorder="1"/>
    <xf numFmtId="0" fontId="92" fillId="0" borderId="0" xfId="0" applyFont="1" applyAlignment="1">
      <alignment horizontal="centerContinuous"/>
    </xf>
    <xf numFmtId="0" fontId="17" fillId="0" borderId="83" xfId="0" applyFont="1" applyBorder="1" applyAlignment="1">
      <alignment horizontal="centerContinuous"/>
    </xf>
    <xf numFmtId="0" fontId="0" fillId="0" borderId="86" xfId="0" applyBorder="1" applyAlignment="1">
      <alignment horizontal="centerContinuous"/>
    </xf>
    <xf numFmtId="3" fontId="0" fillId="0" borderId="45" xfId="0" applyNumberFormat="1" applyBorder="1"/>
    <xf numFmtId="3" fontId="0" fillId="0" borderId="0" xfId="0" applyNumberFormat="1"/>
    <xf numFmtId="0" fontId="0" fillId="0" borderId="77" xfId="0" applyBorder="1" applyAlignment="1">
      <alignment horizontal="centerContinuous"/>
    </xf>
    <xf numFmtId="0" fontId="17" fillId="0" borderId="80" xfId="0" applyFont="1" applyBorder="1" applyAlignment="1">
      <alignment horizontal="right" wrapText="1"/>
    </xf>
    <xf numFmtId="0" fontId="17" fillId="0" borderId="82" xfId="0" applyFont="1" applyBorder="1" applyAlignment="1">
      <alignment horizontal="right" wrapText="1"/>
    </xf>
    <xf numFmtId="0" fontId="17" fillId="0" borderId="78" xfId="0" applyFont="1" applyBorder="1" applyAlignment="1">
      <alignment horizontal="right" wrapText="1"/>
    </xf>
    <xf numFmtId="0" fontId="1" fillId="0" borderId="82" xfId="0" applyFont="1" applyBorder="1"/>
    <xf numFmtId="165" fontId="55" fillId="0" borderId="82" xfId="0" applyNumberFormat="1" applyFont="1" applyBorder="1" applyAlignment="1">
      <alignment horizontal="center" wrapText="1"/>
    </xf>
    <xf numFmtId="0" fontId="55" fillId="0" borderId="81" xfId="0" applyFont="1" applyBorder="1" applyAlignment="1">
      <alignment horizontal="centerContinuous" wrapText="1"/>
    </xf>
    <xf numFmtId="165" fontId="0" fillId="55" borderId="0" xfId="1" applyNumberFormat="1" applyFont="1" applyFill="1" applyBorder="1"/>
    <xf numFmtId="165" fontId="0" fillId="55" borderId="20" xfId="1" applyNumberFormat="1" applyFont="1" applyFill="1" applyBorder="1"/>
    <xf numFmtId="0" fontId="55" fillId="0" borderId="83" xfId="0" applyFont="1" applyBorder="1" applyAlignment="1">
      <alignment horizontal="center"/>
    </xf>
    <xf numFmtId="0" fontId="55" fillId="0" borderId="77" xfId="0" applyFont="1" applyBorder="1" applyAlignment="1">
      <alignment horizontal="center"/>
    </xf>
    <xf numFmtId="0" fontId="55" fillId="0" borderId="88" xfId="0" applyFont="1" applyBorder="1" applyAlignment="1">
      <alignment horizontal="center"/>
    </xf>
    <xf numFmtId="0" fontId="55" fillId="0" borderId="51" xfId="0" applyFont="1" applyBorder="1" applyAlignment="1">
      <alignment horizontal="right" wrapText="1"/>
    </xf>
    <xf numFmtId="41" fontId="1" fillId="0" borderId="51" xfId="0" applyNumberFormat="1" applyFont="1" applyBorder="1"/>
    <xf numFmtId="0" fontId="55" fillId="0" borderId="88" xfId="0" applyFont="1" applyBorder="1" applyAlignment="1">
      <alignment horizontal="right"/>
    </xf>
    <xf numFmtId="22" fontId="55" fillId="0" borderId="0" xfId="0" applyNumberFormat="1" applyFont="1" applyAlignment="1">
      <alignment horizontal="right"/>
    </xf>
    <xf numFmtId="44" fontId="55" fillId="0" borderId="0" xfId="2" applyFont="1" applyBorder="1"/>
    <xf numFmtId="0" fontId="17" fillId="0" borderId="86" xfId="0" applyFont="1" applyBorder="1" applyAlignment="1">
      <alignment horizontal="right"/>
    </xf>
    <xf numFmtId="0" fontId="59" fillId="0" borderId="0" xfId="0" applyFont="1" applyAlignment="1">
      <alignment horizontal="right"/>
    </xf>
    <xf numFmtId="8" fontId="1" fillId="0" borderId="0" xfId="2" applyNumberFormat="1" applyFont="1" applyBorder="1"/>
    <xf numFmtId="43" fontId="0" fillId="55" borderId="0" xfId="1" applyFont="1" applyFill="1" applyBorder="1"/>
    <xf numFmtId="40" fontId="0" fillId="0" borderId="0" xfId="0" applyNumberFormat="1"/>
    <xf numFmtId="8" fontId="60" fillId="0" borderId="45" xfId="2" applyNumberFormat="1" applyFont="1" applyBorder="1"/>
    <xf numFmtId="8" fontId="60" fillId="0" borderId="0" xfId="2" applyNumberFormat="1" applyFont="1" applyBorder="1"/>
    <xf numFmtId="8" fontId="60" fillId="0" borderId="46" xfId="2" applyNumberFormat="1" applyFont="1" applyBorder="1"/>
    <xf numFmtId="8" fontId="1" fillId="0" borderId="45" xfId="0" applyNumberFormat="1" applyFont="1" applyBorder="1"/>
    <xf numFmtId="8" fontId="1" fillId="0" borderId="0" xfId="0" applyNumberFormat="1" applyFont="1"/>
    <xf numFmtId="8" fontId="1" fillId="0" borderId="46" xfId="0" applyNumberFormat="1" applyFont="1" applyBorder="1"/>
    <xf numFmtId="0" fontId="66" fillId="0" borderId="46" xfId="0" applyFont="1" applyBorder="1" applyAlignment="1">
      <alignment horizontal="right"/>
    </xf>
    <xf numFmtId="0" fontId="55" fillId="0" borderId="86" xfId="0" applyFont="1" applyBorder="1" applyAlignment="1">
      <alignment horizontal="right"/>
    </xf>
    <xf numFmtId="0" fontId="55" fillId="0" borderId="77" xfId="0" applyFont="1" applyBorder="1" applyAlignment="1">
      <alignment horizontal="right"/>
    </xf>
    <xf numFmtId="14" fontId="17" fillId="0" borderId="20" xfId="0" applyNumberFormat="1" applyFont="1" applyBorder="1" applyAlignment="1">
      <alignment horizontal="right"/>
    </xf>
    <xf numFmtId="0" fontId="17" fillId="0" borderId="88" xfId="0" applyFont="1" applyBorder="1" applyAlignment="1">
      <alignment horizontal="right"/>
    </xf>
    <xf numFmtId="0" fontId="17" fillId="0" borderId="51" xfId="0" applyFont="1" applyBorder="1" applyAlignment="1">
      <alignment horizontal="right"/>
    </xf>
    <xf numFmtId="14" fontId="17" fillId="0" borderId="34" xfId="0" applyNumberFormat="1" applyFont="1" applyBorder="1" applyAlignment="1">
      <alignment horizontal="right"/>
    </xf>
    <xf numFmtId="0" fontId="17" fillId="0" borderId="20" xfId="0" applyFont="1" applyBorder="1" applyAlignment="1">
      <alignment horizontal="right"/>
    </xf>
    <xf numFmtId="0" fontId="87" fillId="0" borderId="34" xfId="0" applyFont="1" applyBorder="1" applyAlignment="1">
      <alignment horizontal="right"/>
    </xf>
    <xf numFmtId="14" fontId="17" fillId="0" borderId="34" xfId="0" quotePrefix="1" applyNumberFormat="1" applyFont="1" applyBorder="1" applyAlignment="1">
      <alignment horizontal="center"/>
    </xf>
    <xf numFmtId="0" fontId="55" fillId="0" borderId="83" xfId="0" applyFont="1" applyBorder="1" applyAlignment="1">
      <alignment horizontal="right"/>
    </xf>
    <xf numFmtId="8" fontId="1" fillId="0" borderId="51" xfId="2" applyNumberFormat="1" applyFont="1" applyBorder="1"/>
    <xf numFmtId="8" fontId="60" fillId="0" borderId="51" xfId="2" applyNumberFormat="1" applyFont="1" applyBorder="1"/>
    <xf numFmtId="8" fontId="1" fillId="0" borderId="51" xfId="0" applyNumberFormat="1" applyFont="1" applyBorder="1"/>
    <xf numFmtId="43" fontId="1" fillId="0" borderId="51" xfId="3" applyNumberFormat="1" applyFont="1" applyBorder="1"/>
    <xf numFmtId="8" fontId="1" fillId="0" borderId="51" xfId="3" applyNumberFormat="1" applyFont="1" applyBorder="1"/>
    <xf numFmtId="43" fontId="0" fillId="0" borderId="51" xfId="1" applyFont="1" applyFill="1" applyBorder="1"/>
    <xf numFmtId="43" fontId="0" fillId="0" borderId="51" xfId="0" applyNumberFormat="1" applyBorder="1"/>
    <xf numFmtId="2" fontId="0" fillId="0" borderId="51" xfId="0" applyNumberFormat="1" applyBorder="1"/>
    <xf numFmtId="43" fontId="60" fillId="0" borderId="51" xfId="1" applyFont="1" applyBorder="1"/>
    <xf numFmtId="0" fontId="93" fillId="0" borderId="83" xfId="0" applyFont="1" applyBorder="1" applyAlignment="1">
      <alignment horizontal="right"/>
    </xf>
    <xf numFmtId="0" fontId="17" fillId="0" borderId="45" xfId="0" applyFont="1" applyBorder="1" applyAlignment="1">
      <alignment horizontal="right"/>
    </xf>
    <xf numFmtId="0" fontId="17" fillId="0" borderId="34" xfId="0" applyFont="1" applyBorder="1" applyAlignment="1">
      <alignment horizontal="right"/>
    </xf>
    <xf numFmtId="0" fontId="17" fillId="0" borderId="49" xfId="0" applyFont="1" applyBorder="1" applyAlignment="1">
      <alignment horizontal="right"/>
    </xf>
    <xf numFmtId="0" fontId="93" fillId="0" borderId="20" xfId="0" applyFont="1" applyBorder="1" applyAlignment="1">
      <alignment horizontal="right"/>
    </xf>
    <xf numFmtId="10" fontId="17" fillId="0" borderId="34" xfId="0" applyNumberFormat="1" applyFont="1" applyBorder="1" applyAlignment="1">
      <alignment horizontal="right"/>
    </xf>
    <xf numFmtId="0" fontId="17" fillId="0" borderId="49" xfId="0" applyFont="1" applyBorder="1" applyAlignment="1">
      <alignment horizontal="center"/>
    </xf>
    <xf numFmtId="0" fontId="17" fillId="0" borderId="34" xfId="0" applyFont="1" applyBorder="1" applyAlignment="1">
      <alignment horizontal="center"/>
    </xf>
    <xf numFmtId="0" fontId="17" fillId="0" borderId="20" xfId="0" quotePrefix="1" applyFont="1" applyBorder="1" applyAlignment="1">
      <alignment horizontal="center"/>
    </xf>
    <xf numFmtId="0" fontId="17" fillId="0" borderId="34" xfId="0" quotePrefix="1" applyFont="1" applyBorder="1" applyAlignment="1">
      <alignment horizontal="center"/>
    </xf>
    <xf numFmtId="44" fontId="1" fillId="0" borderId="45" xfId="2" applyFont="1" applyFill="1" applyBorder="1"/>
    <xf numFmtId="44" fontId="60" fillId="0" borderId="45" xfId="2" applyFont="1" applyBorder="1"/>
    <xf numFmtId="44" fontId="60" fillId="0" borderId="0" xfId="2" applyFont="1" applyBorder="1"/>
    <xf numFmtId="44" fontId="60" fillId="0" borderId="51" xfId="2" applyFont="1" applyBorder="1"/>
    <xf numFmtId="0" fontId="66" fillId="0" borderId="45" xfId="0" applyFont="1" applyBorder="1" applyAlignment="1">
      <alignment horizontal="right"/>
    </xf>
    <xf numFmtId="0" fontId="59" fillId="0" borderId="50" xfId="0" applyFont="1" applyBorder="1" applyAlignment="1">
      <alignment horizontal="right"/>
    </xf>
    <xf numFmtId="43" fontId="1" fillId="0" borderId="0" xfId="1" applyFont="1" applyFill="1" applyBorder="1" applyAlignment="1"/>
    <xf numFmtId="164" fontId="55" fillId="0" borderId="80" xfId="2" applyNumberFormat="1" applyFont="1" applyBorder="1" applyAlignment="1">
      <alignment horizontal="left"/>
    </xf>
    <xf numFmtId="164" fontId="55" fillId="0" borderId="82" xfId="2" applyNumberFormat="1" applyFont="1" applyBorder="1" applyAlignment="1">
      <alignment horizontal="centerContinuous"/>
    </xf>
    <xf numFmtId="164" fontId="55" fillId="0" borderId="81" xfId="2" applyNumberFormat="1" applyFont="1" applyBorder="1" applyAlignment="1">
      <alignment horizontal="centerContinuous"/>
    </xf>
    <xf numFmtId="0" fontId="18" fillId="0" borderId="0" xfId="0" applyFont="1"/>
    <xf numFmtId="2" fontId="1" fillId="0" borderId="0" xfId="0" applyNumberFormat="1" applyFont="1"/>
    <xf numFmtId="0" fontId="55" fillId="0" borderId="80" xfId="0" applyFont="1" applyBorder="1" applyAlignment="1">
      <alignment horizontal="right" wrapText="1"/>
    </xf>
    <xf numFmtId="0" fontId="55" fillId="0" borderId="82" xfId="0" applyFont="1" applyBorder="1" applyAlignment="1">
      <alignment horizontal="right" wrapText="1"/>
    </xf>
    <xf numFmtId="165" fontId="55" fillId="0" borderId="82" xfId="0" applyNumberFormat="1" applyFont="1" applyBorder="1" applyAlignment="1">
      <alignment horizontal="right" wrapText="1"/>
    </xf>
    <xf numFmtId="2" fontId="55" fillId="0" borderId="0" xfId="0" applyNumberFormat="1" applyFont="1" applyAlignment="1">
      <alignment wrapText="1"/>
    </xf>
    <xf numFmtId="2" fontId="58" fillId="0" borderId="45" xfId="2" applyNumberFormat="1" applyFont="1" applyBorder="1" applyAlignment="1">
      <alignment wrapText="1"/>
    </xf>
    <xf numFmtId="2" fontId="58" fillId="0" borderId="0" xfId="2" applyNumberFormat="1" applyFont="1" applyBorder="1" applyAlignment="1">
      <alignment wrapText="1"/>
    </xf>
    <xf numFmtId="2" fontId="1" fillId="0" borderId="0" xfId="0" applyNumberFormat="1" applyFont="1" applyAlignment="1">
      <alignment wrapText="1"/>
    </xf>
    <xf numFmtId="2" fontId="1" fillId="0" borderId="46" xfId="2" applyNumberFormat="1" applyFont="1" applyBorder="1" applyAlignment="1">
      <alignment horizontal="center" wrapText="1"/>
    </xf>
    <xf numFmtId="2" fontId="58" fillId="0" borderId="45" xfId="2" applyNumberFormat="1" applyFont="1" applyBorder="1" applyAlignment="1">
      <alignment horizontal="center" wrapText="1"/>
    </xf>
    <xf numFmtId="2" fontId="58" fillId="0" borderId="0" xfId="2" applyNumberFormat="1" applyFont="1" applyBorder="1" applyAlignment="1">
      <alignment horizontal="center" wrapText="1"/>
    </xf>
    <xf numFmtId="2" fontId="1" fillId="0" borderId="0" xfId="2" applyNumberFormat="1" applyFont="1" applyBorder="1" applyAlignment="1">
      <alignment horizontal="center" wrapText="1"/>
    </xf>
    <xf numFmtId="2" fontId="55" fillId="0" borderId="0" xfId="0" applyNumberFormat="1" applyFont="1" applyAlignment="1">
      <alignment horizontal="right" wrapText="1"/>
    </xf>
    <xf numFmtId="0" fontId="1" fillId="55" borderId="61" xfId="0" applyFont="1" applyFill="1" applyBorder="1" applyAlignment="1">
      <alignment horizontal="center"/>
    </xf>
    <xf numFmtId="0" fontId="55" fillId="0" borderId="45" xfId="0" applyFont="1" applyBorder="1" applyAlignment="1">
      <alignment horizontal="center"/>
    </xf>
    <xf numFmtId="0" fontId="55" fillId="0" borderId="46" xfId="0" applyFont="1" applyBorder="1" applyAlignment="1">
      <alignment horizontal="center"/>
    </xf>
    <xf numFmtId="0" fontId="1" fillId="0" borderId="92" xfId="0" applyFont="1" applyBorder="1"/>
    <xf numFmtId="164" fontId="55" fillId="0" borderId="88" xfId="2" applyNumberFormat="1" applyFont="1" applyBorder="1" applyAlignment="1">
      <alignment horizontal="centerContinuous"/>
    </xf>
    <xf numFmtId="164" fontId="55" fillId="0" borderId="88" xfId="2" applyNumberFormat="1" applyFont="1" applyBorder="1" applyAlignment="1">
      <alignment horizontal="right"/>
    </xf>
    <xf numFmtId="0" fontId="55" fillId="0" borderId="80" xfId="0" applyFont="1" applyBorder="1"/>
    <xf numFmtId="0" fontId="1" fillId="0" borderId="78" xfId="0" applyFont="1" applyBorder="1" applyAlignment="1">
      <alignment horizontal="center"/>
    </xf>
    <xf numFmtId="0" fontId="55" fillId="0" borderId="82" xfId="0" applyFont="1" applyBorder="1"/>
    <xf numFmtId="164" fontId="55" fillId="0" borderId="82" xfId="2" applyNumberFormat="1" applyFont="1" applyBorder="1"/>
    <xf numFmtId="164" fontId="55" fillId="0" borderId="78" xfId="2" applyNumberFormat="1" applyFont="1" applyBorder="1"/>
    <xf numFmtId="0" fontId="1" fillId="0" borderId="80" xfId="0" applyFont="1" applyBorder="1"/>
    <xf numFmtId="0" fontId="1" fillId="0" borderId="78" xfId="0" applyFont="1" applyBorder="1"/>
    <xf numFmtId="10" fontId="55" fillId="0" borderId="0" xfId="3" applyNumberFormat="1" applyFont="1" applyBorder="1"/>
    <xf numFmtId="0" fontId="55" fillId="0" borderId="86" xfId="0" applyFont="1" applyBorder="1" applyAlignment="1">
      <alignment horizontal="center"/>
    </xf>
    <xf numFmtId="0" fontId="55" fillId="0" borderId="86" xfId="0" applyFont="1" applyBorder="1"/>
    <xf numFmtId="10" fontId="55" fillId="0" borderId="86" xfId="3" applyNumberFormat="1" applyFont="1" applyBorder="1"/>
    <xf numFmtId="0" fontId="55" fillId="0" borderId="20" xfId="0" applyFont="1" applyBorder="1" applyAlignment="1">
      <alignment horizontal="center"/>
    </xf>
    <xf numFmtId="10" fontId="55" fillId="0" borderId="20" xfId="3" applyNumberFormat="1" applyFont="1" applyBorder="1"/>
    <xf numFmtId="43" fontId="1" fillId="0" borderId="0" xfId="3" applyNumberFormat="1" applyFont="1" applyBorder="1"/>
    <xf numFmtId="184" fontId="1" fillId="0" borderId="0" xfId="0" applyNumberFormat="1" applyFont="1"/>
    <xf numFmtId="164" fontId="73" fillId="0" borderId="0" xfId="2" applyNumberFormat="1" applyFont="1" applyFill="1" applyBorder="1"/>
    <xf numFmtId="44" fontId="55" fillId="0" borderId="88" xfId="2" applyFont="1" applyBorder="1"/>
    <xf numFmtId="174" fontId="1" fillId="55" borderId="65" xfId="2" applyNumberFormat="1" applyFont="1" applyFill="1" applyBorder="1"/>
    <xf numFmtId="0" fontId="55" fillId="0" borderId="83" xfId="0" applyFont="1" applyBorder="1"/>
    <xf numFmtId="0" fontId="55" fillId="0" borderId="88" xfId="0" applyFont="1" applyBorder="1"/>
    <xf numFmtId="0" fontId="55" fillId="0" borderId="84" xfId="0" applyFont="1" applyBorder="1"/>
    <xf numFmtId="174" fontId="1" fillId="0" borderId="46" xfId="0" applyNumberFormat="1" applyFont="1" applyBorder="1"/>
    <xf numFmtId="0" fontId="0" fillId="0" borderId="50" xfId="0" applyBorder="1"/>
    <xf numFmtId="173" fontId="1" fillId="0" borderId="0" xfId="1" applyNumberFormat="1" applyFont="1" applyFill="1" applyBorder="1" applyAlignment="1"/>
    <xf numFmtId="0" fontId="1" fillId="0" borderId="20" xfId="0" applyFont="1" applyBorder="1" applyAlignment="1">
      <alignment horizontal="center"/>
    </xf>
    <xf numFmtId="40" fontId="1" fillId="0" borderId="0" xfId="0" applyNumberFormat="1" applyFont="1"/>
    <xf numFmtId="0" fontId="87" fillId="0" borderId="0" xfId="0" applyFont="1" applyAlignment="1">
      <alignment horizontal="center"/>
    </xf>
    <xf numFmtId="0" fontId="17" fillId="0" borderId="34" xfId="0" applyFont="1" applyBorder="1" applyAlignment="1">
      <alignment horizontal="right" wrapText="1"/>
    </xf>
    <xf numFmtId="165" fontId="55" fillId="0" borderId="80" xfId="1" applyNumberFormat="1" applyFont="1" applyFill="1" applyBorder="1" applyAlignment="1">
      <alignment horizontal="centerContinuous"/>
    </xf>
    <xf numFmtId="0" fontId="55" fillId="0" borderId="82" xfId="0" applyFont="1" applyBorder="1" applyAlignment="1">
      <alignment horizontal="centerContinuous"/>
    </xf>
    <xf numFmtId="0" fontId="55" fillId="0" borderId="81" xfId="0" applyFont="1" applyBorder="1" applyAlignment="1">
      <alignment horizontal="centerContinuous"/>
    </xf>
    <xf numFmtId="165" fontId="55" fillId="0" borderId="82" xfId="1" applyNumberFormat="1" applyFont="1" applyBorder="1"/>
    <xf numFmtId="0" fontId="1" fillId="55" borderId="0" xfId="0" applyFont="1" applyFill="1"/>
    <xf numFmtId="176" fontId="1" fillId="55" borderId="0" xfId="0" applyNumberFormat="1" applyFont="1" applyFill="1" applyAlignment="1">
      <alignment horizontal="center"/>
    </xf>
    <xf numFmtId="0" fontId="1" fillId="55" borderId="0" xfId="0" applyFont="1" applyFill="1" applyAlignment="1">
      <alignment horizontal="center"/>
    </xf>
    <xf numFmtId="10" fontId="1" fillId="60" borderId="35" xfId="3" applyNumberFormat="1" applyFont="1" applyFill="1" applyBorder="1"/>
    <xf numFmtId="173" fontId="1" fillId="60" borderId="0" xfId="3" applyNumberFormat="1" applyFont="1" applyFill="1" applyBorder="1"/>
    <xf numFmtId="173" fontId="1" fillId="60" borderId="36" xfId="3" applyNumberFormat="1" applyFont="1" applyFill="1" applyBorder="1"/>
    <xf numFmtId="0" fontId="54" fillId="55" borderId="45" xfId="0" applyFont="1" applyFill="1" applyBorder="1" applyAlignment="1">
      <alignment horizontal="center"/>
    </xf>
    <xf numFmtId="0" fontId="54" fillId="55" borderId="0" xfId="0" applyFont="1" applyFill="1"/>
    <xf numFmtId="164" fontId="1" fillId="67" borderId="70" xfId="2" applyNumberFormat="1" applyFont="1" applyFill="1" applyBorder="1"/>
    <xf numFmtId="0" fontId="86" fillId="69" borderId="25" xfId="0" applyFont="1" applyFill="1" applyBorder="1"/>
    <xf numFmtId="164" fontId="1" fillId="55" borderId="0" xfId="2" applyNumberFormat="1" applyFont="1" applyFill="1"/>
    <xf numFmtId="164" fontId="54" fillId="55" borderId="0" xfId="2" applyNumberFormat="1" applyFont="1" applyFill="1"/>
    <xf numFmtId="164" fontId="1" fillId="55" borderId="20" xfId="2" applyNumberFormat="1" applyFont="1" applyFill="1" applyBorder="1"/>
    <xf numFmtId="43" fontId="0" fillId="55" borderId="51" xfId="1" applyFont="1" applyFill="1" applyBorder="1"/>
    <xf numFmtId="43" fontId="0" fillId="55" borderId="34" xfId="1" applyFont="1" applyFill="1" applyBorder="1"/>
    <xf numFmtId="3" fontId="0" fillId="55" borderId="45" xfId="0" applyNumberFormat="1" applyFill="1" applyBorder="1"/>
    <xf numFmtId="3" fontId="0" fillId="55" borderId="0" xfId="0" applyNumberFormat="1" applyFill="1"/>
    <xf numFmtId="164" fontId="54" fillId="56" borderId="45" xfId="0" applyNumberFormat="1" applyFont="1" applyFill="1" applyBorder="1"/>
    <xf numFmtId="164" fontId="54" fillId="56" borderId="51" xfId="0" applyNumberFormat="1" applyFont="1" applyFill="1" applyBorder="1"/>
    <xf numFmtId="164" fontId="54" fillId="56" borderId="46" xfId="0" applyNumberFormat="1" applyFont="1" applyFill="1" applyBorder="1"/>
    <xf numFmtId="165" fontId="1" fillId="55" borderId="0" xfId="1" applyNumberFormat="1" applyFont="1" applyFill="1"/>
    <xf numFmtId="165" fontId="1" fillId="55" borderId="20" xfId="1" applyNumberFormat="1" applyFont="1" applyFill="1" applyBorder="1"/>
    <xf numFmtId="0" fontId="55" fillId="55" borderId="0" xfId="0" applyFont="1" applyFill="1"/>
    <xf numFmtId="164" fontId="1" fillId="68" borderId="45" xfId="2" applyNumberFormat="1" applyFont="1" applyFill="1" applyBorder="1"/>
    <xf numFmtId="43" fontId="78" fillId="0" borderId="0" xfId="33028" applyNumberFormat="1" applyBorder="1" applyAlignment="1">
      <alignment horizontal="right"/>
    </xf>
    <xf numFmtId="0" fontId="66" fillId="0" borderId="45" xfId="33028" applyFont="1" applyBorder="1" applyAlignment="1">
      <alignment horizontal="right"/>
    </xf>
    <xf numFmtId="0" fontId="66" fillId="0" borderId="51" xfId="33028" applyFont="1" applyBorder="1" applyAlignment="1">
      <alignment horizontal="right"/>
    </xf>
    <xf numFmtId="0" fontId="66" fillId="0" borderId="46" xfId="33028" applyFont="1" applyBorder="1" applyAlignment="1">
      <alignment horizontal="right"/>
    </xf>
    <xf numFmtId="0" fontId="55" fillId="0" borderId="82" xfId="0" applyFont="1" applyBorder="1" applyAlignment="1">
      <alignment horizontal="center"/>
    </xf>
    <xf numFmtId="0" fontId="1" fillId="0" borderId="82" xfId="0" applyFont="1" applyBorder="1" applyAlignment="1">
      <alignment horizontal="right"/>
    </xf>
    <xf numFmtId="0" fontId="0" fillId="0" borderId="82" xfId="0" applyBorder="1" applyAlignment="1">
      <alignment horizontal="center"/>
    </xf>
    <xf numFmtId="0" fontId="0" fillId="0" borderId="80" xfId="0" applyBorder="1" applyAlignment="1">
      <alignment horizontal="center"/>
    </xf>
    <xf numFmtId="0" fontId="0" fillId="0" borderId="78" xfId="0" applyBorder="1" applyAlignment="1">
      <alignment horizontal="center"/>
    </xf>
    <xf numFmtId="0" fontId="0" fillId="0" borderId="81" xfId="0" applyBorder="1" applyAlignment="1">
      <alignment horizontal="center"/>
    </xf>
    <xf numFmtId="0" fontId="1" fillId="0" borderId="82" xfId="0" quotePrefix="1" applyFont="1" applyBorder="1" applyAlignment="1">
      <alignment horizontal="center"/>
    </xf>
    <xf numFmtId="0" fontId="1" fillId="0" borderId="81" xfId="0" quotePrefix="1" applyFont="1" applyBorder="1" applyAlignment="1">
      <alignment horizontal="center"/>
    </xf>
    <xf numFmtId="43" fontId="78" fillId="0" borderId="82" xfId="33028" applyNumberFormat="1" applyBorder="1" applyAlignment="1">
      <alignment horizontal="center"/>
    </xf>
    <xf numFmtId="0" fontId="78" fillId="0" borderId="80" xfId="33028" applyBorder="1" applyAlignment="1">
      <alignment horizontal="center"/>
    </xf>
    <xf numFmtId="0" fontId="78" fillId="0" borderId="78" xfId="33028" applyBorder="1" applyAlignment="1">
      <alignment horizontal="center"/>
    </xf>
    <xf numFmtId="0" fontId="78" fillId="0" borderId="81" xfId="33028" applyBorder="1" applyAlignment="1">
      <alignment horizontal="center"/>
    </xf>
    <xf numFmtId="0" fontId="1" fillId="0" borderId="81" xfId="0" applyFont="1" applyBorder="1"/>
    <xf numFmtId="0" fontId="55" fillId="0" borderId="82" xfId="0" applyFont="1" applyBorder="1" applyAlignment="1">
      <alignment horizontal="center" vertical="center"/>
    </xf>
    <xf numFmtId="164" fontId="1" fillId="0" borderId="82" xfId="2" applyNumberFormat="1" applyFont="1" applyBorder="1" applyAlignment="1">
      <alignment horizontal="right" vertical="center"/>
    </xf>
    <xf numFmtId="0" fontId="0" fillId="0" borderId="80" xfId="0" applyBorder="1" applyAlignment="1">
      <alignment horizontal="center" vertical="center"/>
    </xf>
    <xf numFmtId="43" fontId="1" fillId="0" borderId="82" xfId="1" quotePrefix="1" applyFont="1" applyBorder="1" applyAlignment="1">
      <alignment horizontal="center" vertical="center"/>
    </xf>
    <xf numFmtId="43" fontId="1" fillId="0" borderId="81" xfId="1" quotePrefix="1" applyFont="1" applyBorder="1" applyAlignment="1">
      <alignment horizontal="center" vertical="center"/>
    </xf>
    <xf numFmtId="165" fontId="1" fillId="0" borderId="80" xfId="1" applyNumberFormat="1" applyFont="1" applyBorder="1"/>
    <xf numFmtId="164" fontId="55" fillId="65" borderId="81" xfId="2" applyNumberFormat="1" applyFont="1" applyFill="1" applyBorder="1"/>
    <xf numFmtId="0" fontId="1" fillId="0" borderId="82" xfId="0" applyFont="1" applyBorder="1" applyAlignment="1">
      <alignment vertical="center"/>
    </xf>
    <xf numFmtId="164" fontId="1" fillId="0" borderId="78" xfId="2" applyNumberFormat="1" applyFont="1" applyBorder="1" applyAlignment="1">
      <alignment horizontal="center" vertical="center"/>
    </xf>
    <xf numFmtId="164" fontId="1" fillId="0" borderId="78" xfId="2" quotePrefix="1" applyNumberFormat="1" applyFont="1" applyBorder="1" applyAlignment="1">
      <alignment horizontal="center" vertical="center"/>
    </xf>
    <xf numFmtId="164" fontId="1" fillId="0" borderId="80" xfId="2" quotePrefix="1" applyNumberFormat="1" applyFont="1" applyBorder="1" applyAlignment="1">
      <alignment horizontal="center" vertical="center"/>
    </xf>
    <xf numFmtId="164" fontId="1" fillId="0" borderId="82" xfId="2" applyNumberFormat="1" applyFont="1" applyBorder="1" applyAlignment="1">
      <alignment horizontal="center" vertical="center"/>
    </xf>
    <xf numFmtId="164" fontId="1" fillId="0" borderId="81" xfId="2" quotePrefix="1" applyNumberFormat="1" applyFont="1" applyBorder="1" applyAlignment="1">
      <alignment horizontal="center" vertical="center"/>
    </xf>
    <xf numFmtId="0" fontId="55" fillId="0" borderId="81" xfId="0" applyFont="1" applyBorder="1"/>
    <xf numFmtId="2" fontId="66" fillId="0" borderId="0" xfId="2" applyNumberFormat="1" applyFont="1" applyBorder="1" applyAlignment="1">
      <alignment horizontal="right" wrapText="1"/>
    </xf>
    <xf numFmtId="0" fontId="58" fillId="0" borderId="0" xfId="0" applyFont="1"/>
    <xf numFmtId="164" fontId="1" fillId="0" borderId="0" xfId="2" applyNumberFormat="1" applyFont="1" applyFill="1" applyBorder="1" applyAlignment="1">
      <alignment horizontal="center"/>
    </xf>
    <xf numFmtId="2" fontId="55" fillId="0" borderId="0" xfId="2" applyNumberFormat="1" applyFont="1" applyBorder="1" applyAlignment="1">
      <alignment horizontal="center" wrapText="1"/>
    </xf>
    <xf numFmtId="164" fontId="60" fillId="0" borderId="51" xfId="2" applyNumberFormat="1" applyFont="1" applyBorder="1"/>
    <xf numFmtId="164" fontId="1" fillId="0" borderId="78" xfId="2" applyNumberFormat="1" applyFont="1" applyBorder="1" applyAlignment="1">
      <alignment horizontal="center"/>
    </xf>
    <xf numFmtId="164" fontId="1" fillId="0" borderId="22" xfId="2" applyNumberFormat="1" applyFont="1" applyFill="1" applyBorder="1"/>
    <xf numFmtId="164" fontId="54" fillId="0" borderId="61" xfId="2" applyNumberFormat="1" applyFont="1" applyFill="1" applyBorder="1"/>
    <xf numFmtId="174" fontId="66" fillId="0" borderId="61" xfId="2" applyNumberFormat="1" applyFont="1" applyFill="1" applyBorder="1"/>
    <xf numFmtId="174" fontId="55" fillId="0" borderId="51" xfId="0" applyNumberFormat="1" applyFont="1" applyBorder="1" applyAlignment="1">
      <alignment horizontal="center"/>
    </xf>
    <xf numFmtId="174" fontId="55" fillId="0" borderId="51" xfId="2" applyNumberFormat="1" applyFont="1" applyFill="1" applyBorder="1"/>
    <xf numFmtId="0" fontId="55" fillId="0" borderId="51" xfId="0" applyFont="1" applyBorder="1" applyAlignment="1">
      <alignment horizontal="center"/>
    </xf>
    <xf numFmtId="44" fontId="66" fillId="0" borderId="61" xfId="2" applyFont="1" applyFill="1" applyBorder="1"/>
    <xf numFmtId="44" fontId="55" fillId="0" borderId="51" xfId="2" applyFont="1" applyFill="1" applyBorder="1"/>
    <xf numFmtId="164" fontId="55" fillId="0" borderId="51" xfId="0" applyNumberFormat="1" applyFont="1" applyBorder="1"/>
    <xf numFmtId="4" fontId="66" fillId="0" borderId="61" xfId="2" applyNumberFormat="1" applyFont="1" applyFill="1" applyBorder="1"/>
    <xf numFmtId="4" fontId="55" fillId="0" borderId="51" xfId="1" applyNumberFormat="1" applyFont="1" applyFill="1" applyBorder="1"/>
    <xf numFmtId="165" fontId="1" fillId="0" borderId="51" xfId="1" applyNumberFormat="1" applyFont="1" applyFill="1" applyBorder="1"/>
    <xf numFmtId="164" fontId="1" fillId="0" borderId="51" xfId="2" applyNumberFormat="1" applyFont="1" applyFill="1" applyBorder="1"/>
    <xf numFmtId="165" fontId="1" fillId="0" borderId="34" xfId="1" applyNumberFormat="1" applyFont="1" applyFill="1" applyBorder="1"/>
    <xf numFmtId="43" fontId="54" fillId="0" borderId="0" xfId="0" applyNumberFormat="1" applyFont="1"/>
    <xf numFmtId="164" fontId="54" fillId="0" borderId="45" xfId="0" applyNumberFormat="1" applyFont="1" applyBorder="1"/>
    <xf numFmtId="164" fontId="54" fillId="0" borderId="51" xfId="0" applyNumberFormat="1" applyFont="1" applyBorder="1"/>
    <xf numFmtId="164" fontId="66" fillId="0" borderId="32" xfId="2" applyNumberFormat="1" applyFont="1" applyFill="1" applyBorder="1"/>
    <xf numFmtId="165" fontId="1" fillId="0" borderId="0" xfId="1" applyNumberFormat="1" applyFont="1" applyFill="1"/>
    <xf numFmtId="165" fontId="66" fillId="0" borderId="63" xfId="0" applyNumberFormat="1" applyFont="1" applyBorder="1" applyAlignment="1">
      <alignment horizontal="center"/>
    </xf>
    <xf numFmtId="165" fontId="1" fillId="0" borderId="20" xfId="1" applyNumberFormat="1" applyFont="1" applyFill="1" applyBorder="1"/>
    <xf numFmtId="177" fontId="1" fillId="0" borderId="0" xfId="2" applyNumberFormat="1" applyFont="1" applyFill="1" applyBorder="1" applyAlignment="1">
      <alignment horizontal="center"/>
    </xf>
    <xf numFmtId="164" fontId="1" fillId="0" borderId="45" xfId="0" applyNumberFormat="1" applyFont="1" applyBorder="1"/>
    <xf numFmtId="164" fontId="1" fillId="0" borderId="49" xfId="0" applyNumberFormat="1" applyFont="1" applyBorder="1"/>
    <xf numFmtId="164" fontId="1" fillId="0" borderId="50" xfId="0" applyNumberFormat="1" applyFont="1" applyBorder="1"/>
    <xf numFmtId="174" fontId="1" fillId="0" borderId="20" xfId="2" applyNumberFormat="1" applyFont="1" applyFill="1" applyBorder="1"/>
    <xf numFmtId="37" fontId="1" fillId="0" borderId="0" xfId="2" applyNumberFormat="1" applyFont="1" applyFill="1" applyBorder="1"/>
    <xf numFmtId="165" fontId="1" fillId="0" borderId="45" xfId="1" applyNumberFormat="1" applyFont="1" applyFill="1" applyBorder="1"/>
    <xf numFmtId="165" fontId="1" fillId="0" borderId="49" xfId="1" applyNumberFormat="1" applyFont="1" applyFill="1" applyBorder="1"/>
    <xf numFmtId="164" fontId="1" fillId="0" borderId="34" xfId="2" applyNumberFormat="1" applyFont="1" applyFill="1" applyBorder="1"/>
    <xf numFmtId="164" fontId="1" fillId="0" borderId="49" xfId="2" applyNumberFormat="1" applyFont="1" applyFill="1" applyBorder="1"/>
    <xf numFmtId="0" fontId="1" fillId="0" borderId="51" xfId="2" applyNumberFormat="1" applyFont="1" applyFill="1" applyBorder="1" applyAlignment="1">
      <alignment horizontal="center"/>
    </xf>
    <xf numFmtId="164" fontId="1" fillId="60" borderId="0" xfId="2" applyNumberFormat="1" applyFont="1" applyFill="1"/>
    <xf numFmtId="0" fontId="1" fillId="60" borderId="0" xfId="0" applyFont="1" applyFill="1" applyAlignment="1">
      <alignment horizontal="center"/>
    </xf>
    <xf numFmtId="164" fontId="1" fillId="60" borderId="0" xfId="0" applyNumberFormat="1" applyFont="1" applyFill="1"/>
    <xf numFmtId="164" fontId="55" fillId="60" borderId="0" xfId="0" applyNumberFormat="1" applyFont="1" applyFill="1"/>
    <xf numFmtId="164" fontId="55" fillId="60" borderId="0" xfId="2" applyNumberFormat="1" applyFont="1" applyFill="1"/>
    <xf numFmtId="6" fontId="1" fillId="60" borderId="51" xfId="0" applyNumberFormat="1" applyFont="1" applyFill="1" applyBorder="1"/>
    <xf numFmtId="6" fontId="55" fillId="60" borderId="78" xfId="0" applyNumberFormat="1" applyFont="1" applyFill="1" applyBorder="1"/>
    <xf numFmtId="6" fontId="1" fillId="60" borderId="34" xfId="0" applyNumberFormat="1" applyFont="1" applyFill="1" applyBorder="1"/>
    <xf numFmtId="10" fontId="1" fillId="60" borderId="0" xfId="3" applyNumberFormat="1" applyFont="1" applyFill="1"/>
    <xf numFmtId="164" fontId="1" fillId="60" borderId="51" xfId="2" applyNumberFormat="1" applyFont="1" applyFill="1" applyBorder="1"/>
    <xf numFmtId="164" fontId="1" fillId="60" borderId="88" xfId="2" applyNumberFormat="1" applyFont="1" applyFill="1" applyBorder="1"/>
    <xf numFmtId="164" fontId="1" fillId="60" borderId="34" xfId="2" applyNumberFormat="1" applyFont="1" applyFill="1" applyBorder="1"/>
    <xf numFmtId="164" fontId="55" fillId="60" borderId="78" xfId="0" applyNumberFormat="1" applyFont="1" applyFill="1" applyBorder="1"/>
    <xf numFmtId="164" fontId="55" fillId="60" borderId="34" xfId="0" applyNumberFormat="1" applyFont="1" applyFill="1" applyBorder="1"/>
    <xf numFmtId="164" fontId="55" fillId="60" borderId="78" xfId="2" applyNumberFormat="1" applyFont="1" applyFill="1" applyBorder="1"/>
    <xf numFmtId="164" fontId="1" fillId="60" borderId="45" xfId="2" applyNumberFormat="1" applyFont="1" applyFill="1" applyBorder="1"/>
    <xf numFmtId="164" fontId="1" fillId="60" borderId="49" xfId="2" applyNumberFormat="1" applyFont="1" applyFill="1" applyBorder="1"/>
    <xf numFmtId="164" fontId="55" fillId="60" borderId="80" xfId="2" applyNumberFormat="1" applyFont="1" applyFill="1" applyBorder="1"/>
    <xf numFmtId="164" fontId="55" fillId="60" borderId="82" xfId="2" applyNumberFormat="1" applyFont="1" applyFill="1" applyBorder="1"/>
    <xf numFmtId="0" fontId="1" fillId="60" borderId="50" xfId="0" applyFont="1" applyFill="1" applyBorder="1"/>
    <xf numFmtId="164" fontId="1" fillId="60" borderId="0" xfId="2" applyNumberFormat="1" applyFont="1" applyFill="1" applyBorder="1"/>
    <xf numFmtId="164" fontId="55" fillId="60" borderId="49" xfId="0" applyNumberFormat="1" applyFont="1" applyFill="1" applyBorder="1"/>
    <xf numFmtId="164" fontId="55" fillId="60" borderId="20" xfId="0" applyNumberFormat="1" applyFont="1" applyFill="1" applyBorder="1"/>
    <xf numFmtId="164" fontId="55" fillId="60" borderId="34" xfId="2" applyNumberFormat="1" applyFont="1" applyFill="1" applyBorder="1"/>
    <xf numFmtId="0" fontId="1" fillId="60" borderId="51" xfId="0" applyFont="1" applyFill="1" applyBorder="1"/>
    <xf numFmtId="6" fontId="1" fillId="60" borderId="51" xfId="2" applyNumberFormat="1" applyFont="1" applyFill="1" applyBorder="1"/>
    <xf numFmtId="0" fontId="1" fillId="60" borderId="34" xfId="0" applyFont="1" applyFill="1" applyBorder="1"/>
    <xf numFmtId="164" fontId="1" fillId="60" borderId="20" xfId="2" applyNumberFormat="1" applyFont="1" applyFill="1" applyBorder="1"/>
    <xf numFmtId="164" fontId="1" fillId="60" borderId="34" xfId="0" applyNumberFormat="1" applyFont="1" applyFill="1" applyBorder="1"/>
    <xf numFmtId="164" fontId="55" fillId="60" borderId="45" xfId="2" applyNumberFormat="1" applyFont="1" applyFill="1" applyBorder="1"/>
    <xf numFmtId="6" fontId="55" fillId="60" borderId="34" xfId="2" applyNumberFormat="1" applyFont="1" applyFill="1" applyBorder="1"/>
    <xf numFmtId="164" fontId="1" fillId="60" borderId="51" xfId="0" applyNumberFormat="1" applyFont="1" applyFill="1" applyBorder="1"/>
    <xf numFmtId="10" fontId="1" fillId="60" borderId="0" xfId="0" applyNumberFormat="1" applyFont="1" applyFill="1"/>
    <xf numFmtId="164" fontId="1" fillId="60" borderId="46" xfId="2" applyNumberFormat="1" applyFont="1" applyFill="1" applyBorder="1" applyAlignment="1">
      <alignment horizontal="center"/>
    </xf>
    <xf numFmtId="10" fontId="55" fillId="60" borderId="0" xfId="3" applyNumberFormat="1" applyFont="1" applyFill="1" applyBorder="1" applyAlignment="1">
      <alignment horizontal="right" wrapText="1"/>
    </xf>
    <xf numFmtId="164" fontId="1" fillId="60" borderId="45" xfId="2" applyNumberFormat="1" applyFont="1" applyFill="1" applyBorder="1" applyAlignment="1">
      <alignment horizontal="center"/>
    </xf>
    <xf numFmtId="164" fontId="55" fillId="60" borderId="0" xfId="2" applyNumberFormat="1" applyFont="1" applyFill="1" applyBorder="1"/>
    <xf numFmtId="43" fontId="1" fillId="60" borderId="0" xfId="1" applyFont="1" applyFill="1"/>
    <xf numFmtId="165" fontId="1" fillId="60" borderId="0" xfId="0" applyNumberFormat="1" applyFont="1" applyFill="1"/>
    <xf numFmtId="43" fontId="55" fillId="60" borderId="0" xfId="0" applyNumberFormat="1" applyFont="1" applyFill="1"/>
    <xf numFmtId="0" fontId="1" fillId="60" borderId="0" xfId="0" applyFont="1" applyFill="1"/>
    <xf numFmtId="164" fontId="55" fillId="60" borderId="49" xfId="2" applyNumberFormat="1" applyFont="1" applyFill="1" applyBorder="1"/>
    <xf numFmtId="173" fontId="55" fillId="60" borderId="49" xfId="3" applyNumberFormat="1" applyFont="1" applyFill="1" applyBorder="1"/>
    <xf numFmtId="164" fontId="55" fillId="60" borderId="20" xfId="2" applyNumberFormat="1" applyFont="1" applyFill="1" applyBorder="1"/>
    <xf numFmtId="164" fontId="55" fillId="60" borderId="50" xfId="2" applyNumberFormat="1" applyFont="1" applyFill="1" applyBorder="1"/>
    <xf numFmtId="164" fontId="1" fillId="60" borderId="46" xfId="2" applyNumberFormat="1" applyFont="1" applyFill="1" applyBorder="1"/>
    <xf numFmtId="164" fontId="1" fillId="60" borderId="50" xfId="2" applyNumberFormat="1" applyFont="1" applyFill="1" applyBorder="1"/>
    <xf numFmtId="173" fontId="1" fillId="60" borderId="45" xfId="3" applyNumberFormat="1" applyFont="1" applyFill="1" applyBorder="1"/>
    <xf numFmtId="173" fontId="1" fillId="60" borderId="49" xfId="3" applyNumberFormat="1" applyFont="1" applyFill="1" applyBorder="1"/>
    <xf numFmtId="165" fontId="55" fillId="60" borderId="80" xfId="1" applyNumberFormat="1" applyFont="1" applyFill="1" applyBorder="1"/>
    <xf numFmtId="165" fontId="55" fillId="60" borderId="49" xfId="1" applyNumberFormat="1" applyFont="1" applyFill="1" applyBorder="1"/>
    <xf numFmtId="165" fontId="55" fillId="60" borderId="20" xfId="1" applyNumberFormat="1" applyFont="1" applyFill="1" applyBorder="1"/>
    <xf numFmtId="165" fontId="55" fillId="60" borderId="50" xfId="1" applyNumberFormat="1" applyFont="1" applyFill="1" applyBorder="1"/>
    <xf numFmtId="42" fontId="1" fillId="60" borderId="46" xfId="2" applyNumberFormat="1" applyFont="1" applyFill="1" applyBorder="1"/>
    <xf numFmtId="164" fontId="1" fillId="60" borderId="20" xfId="0" applyNumberFormat="1" applyFont="1" applyFill="1" applyBorder="1"/>
    <xf numFmtId="164" fontId="55" fillId="60" borderId="82" xfId="0" applyNumberFormat="1" applyFont="1" applyFill="1" applyBorder="1"/>
    <xf numFmtId="165" fontId="55" fillId="60" borderId="82" xfId="1" applyNumberFormat="1" applyFont="1" applyFill="1" applyBorder="1"/>
    <xf numFmtId="164" fontId="55" fillId="60" borderId="80" xfId="0" applyNumberFormat="1" applyFont="1" applyFill="1" applyBorder="1"/>
    <xf numFmtId="164" fontId="55" fillId="60" borderId="81" xfId="0" applyNumberFormat="1" applyFont="1" applyFill="1" applyBorder="1"/>
    <xf numFmtId="164" fontId="1" fillId="60" borderId="0" xfId="2" applyNumberFormat="1" applyFont="1" applyFill="1" applyBorder="1" applyAlignment="1"/>
    <xf numFmtId="165" fontId="1" fillId="60" borderId="0" xfId="2" applyNumberFormat="1" applyFont="1" applyFill="1" applyBorder="1" applyAlignment="1"/>
    <xf numFmtId="0" fontId="1" fillId="60" borderId="20" xfId="0" applyFont="1" applyFill="1" applyBorder="1"/>
    <xf numFmtId="165" fontId="1" fillId="60" borderId="20" xfId="2" applyNumberFormat="1" applyFont="1" applyFill="1" applyBorder="1" applyAlignment="1"/>
    <xf numFmtId="165" fontId="55" fillId="60" borderId="0" xfId="0" applyNumberFormat="1" applyFont="1" applyFill="1"/>
    <xf numFmtId="181" fontId="1" fillId="60" borderId="0" xfId="0" applyNumberFormat="1" applyFont="1" applyFill="1" applyAlignment="1">
      <alignment horizontal="center" vertical="center"/>
    </xf>
    <xf numFmtId="181" fontId="1" fillId="60" borderId="20" xfId="0" applyNumberFormat="1" applyFont="1" applyFill="1" applyBorder="1" applyAlignment="1">
      <alignment horizontal="center" vertical="center"/>
    </xf>
    <xf numFmtId="164" fontId="1" fillId="60" borderId="20" xfId="2" applyNumberFormat="1" applyFont="1" applyFill="1" applyBorder="1" applyAlignment="1"/>
    <xf numFmtId="165" fontId="55" fillId="60" borderId="0" xfId="1" applyNumberFormat="1" applyFont="1" applyFill="1"/>
    <xf numFmtId="43" fontId="55" fillId="60" borderId="0" xfId="1" applyFont="1" applyFill="1"/>
    <xf numFmtId="44" fontId="55" fillId="60" borderId="0" xfId="2" applyFont="1" applyFill="1"/>
    <xf numFmtId="43" fontId="1" fillId="0" borderId="0" xfId="1" applyFont="1" applyFill="1"/>
    <xf numFmtId="164" fontId="55" fillId="60" borderId="22" xfId="2" applyNumberFormat="1" applyFont="1" applyFill="1" applyBorder="1"/>
    <xf numFmtId="43" fontId="17" fillId="60" borderId="78" xfId="1" applyFont="1" applyFill="1" applyBorder="1"/>
    <xf numFmtId="3" fontId="17" fillId="60" borderId="80" xfId="0" applyNumberFormat="1" applyFont="1" applyFill="1" applyBorder="1"/>
    <xf numFmtId="3" fontId="17" fillId="60" borderId="82" xfId="0" applyNumberFormat="1" applyFont="1" applyFill="1" applyBorder="1"/>
    <xf numFmtId="3" fontId="17" fillId="60" borderId="78" xfId="0" applyNumberFormat="1" applyFont="1" applyFill="1" applyBorder="1"/>
    <xf numFmtId="3" fontId="0" fillId="60" borderId="51" xfId="0" applyNumberFormat="1" applyFill="1" applyBorder="1"/>
    <xf numFmtId="43" fontId="17" fillId="60" borderId="34" xfId="1" applyFont="1" applyFill="1" applyBorder="1"/>
    <xf numFmtId="10" fontId="1" fillId="60" borderId="20" xfId="3" applyNumberFormat="1" applyFont="1" applyFill="1" applyBorder="1"/>
    <xf numFmtId="10" fontId="55" fillId="60" borderId="0" xfId="0" applyNumberFormat="1" applyFont="1" applyFill="1"/>
    <xf numFmtId="164" fontId="55" fillId="60" borderId="64" xfId="2" applyNumberFormat="1" applyFont="1" applyFill="1" applyBorder="1"/>
    <xf numFmtId="173" fontId="54" fillId="60" borderId="79" xfId="3" applyNumberFormat="1" applyFont="1" applyFill="1" applyBorder="1"/>
    <xf numFmtId="43" fontId="55" fillId="60" borderId="22" xfId="1" applyFont="1" applyFill="1" applyBorder="1"/>
    <xf numFmtId="43" fontId="66" fillId="60" borderId="22" xfId="1" applyFont="1" applyFill="1" applyBorder="1"/>
    <xf numFmtId="174" fontId="54" fillId="60" borderId="67" xfId="0" applyNumberFormat="1" applyFont="1" applyFill="1" applyBorder="1"/>
    <xf numFmtId="164" fontId="54" fillId="60" borderId="67" xfId="0" applyNumberFormat="1" applyFont="1" applyFill="1" applyBorder="1"/>
    <xf numFmtId="164" fontId="54" fillId="60" borderId="67" xfId="2" applyNumberFormat="1" applyFont="1" applyFill="1" applyBorder="1"/>
    <xf numFmtId="165" fontId="54" fillId="60" borderId="67" xfId="1" applyNumberFormat="1" applyFont="1" applyFill="1" applyBorder="1"/>
    <xf numFmtId="165" fontId="1" fillId="60" borderId="69" xfId="1" applyNumberFormat="1" applyFont="1" applyFill="1" applyBorder="1"/>
    <xf numFmtId="10" fontId="1" fillId="60" borderId="62" xfId="3" applyNumberFormat="1" applyFont="1" applyFill="1" applyBorder="1"/>
    <xf numFmtId="10" fontId="1" fillId="60" borderId="61" xfId="2" applyNumberFormat="1" applyFont="1" applyFill="1" applyBorder="1"/>
    <xf numFmtId="164" fontId="1" fillId="60" borderId="94" xfId="1" applyNumberFormat="1" applyFont="1" applyFill="1" applyBorder="1"/>
    <xf numFmtId="164" fontId="1" fillId="60" borderId="62" xfId="1" applyNumberFormat="1" applyFont="1" applyFill="1" applyBorder="1"/>
    <xf numFmtId="164" fontId="1" fillId="60" borderId="95" xfId="1" applyNumberFormat="1" applyFont="1" applyFill="1" applyBorder="1"/>
    <xf numFmtId="164" fontId="54" fillId="60" borderId="61" xfId="2" applyNumberFormat="1" applyFont="1" applyFill="1" applyBorder="1"/>
    <xf numFmtId="37" fontId="1" fillId="60" borderId="61" xfId="2" applyNumberFormat="1" applyFont="1" applyFill="1" applyBorder="1" applyAlignment="1">
      <alignment horizontal="center"/>
    </xf>
    <xf numFmtId="43" fontId="17" fillId="60" borderId="78" xfId="0" applyNumberFormat="1" applyFont="1" applyFill="1" applyBorder="1" applyAlignment="1">
      <alignment horizontal="right"/>
    </xf>
    <xf numFmtId="44" fontId="55" fillId="60" borderId="78" xfId="2" applyFont="1" applyFill="1" applyBorder="1"/>
    <xf numFmtId="44" fontId="55" fillId="60" borderId="82" xfId="2" applyFont="1" applyFill="1" applyBorder="1"/>
    <xf numFmtId="40" fontId="0" fillId="60" borderId="51" xfId="1" applyNumberFormat="1" applyFont="1" applyFill="1" applyBorder="1"/>
    <xf numFmtId="44" fontId="1" fillId="60" borderId="0" xfId="2" applyFont="1" applyFill="1" applyBorder="1"/>
    <xf numFmtId="44" fontId="1" fillId="60" borderId="51" xfId="2" applyFont="1" applyFill="1" applyBorder="1"/>
    <xf numFmtId="43" fontId="55" fillId="60" borderId="78" xfId="1" applyFont="1" applyFill="1" applyBorder="1"/>
    <xf numFmtId="183" fontId="0" fillId="60" borderId="51" xfId="0" applyNumberFormat="1" applyFill="1" applyBorder="1"/>
    <xf numFmtId="8" fontId="1" fillId="60" borderId="46" xfId="2" applyNumberFormat="1" applyFont="1" applyFill="1" applyBorder="1"/>
    <xf numFmtId="8" fontId="55" fillId="60" borderId="81" xfId="0" applyNumberFormat="1" applyFont="1" applyFill="1" applyBorder="1"/>
    <xf numFmtId="8" fontId="55" fillId="60" borderId="80" xfId="0" applyNumberFormat="1" applyFont="1" applyFill="1" applyBorder="1"/>
    <xf numFmtId="8" fontId="1" fillId="60" borderId="45" xfId="2" applyNumberFormat="1" applyFont="1" applyFill="1" applyBorder="1"/>
    <xf numFmtId="0" fontId="1" fillId="0" borderId="0" xfId="0" quotePrefix="1" applyFont="1" applyAlignment="1">
      <alignment horizontal="right"/>
    </xf>
    <xf numFmtId="0" fontId="1" fillId="0" borderId="96" xfId="0" applyFont="1" applyBorder="1" applyAlignment="1">
      <alignment horizontal="center"/>
    </xf>
    <xf numFmtId="0" fontId="1" fillId="71" borderId="61" xfId="0" applyFont="1" applyFill="1" applyBorder="1" applyAlignment="1">
      <alignment horizontal="center"/>
    </xf>
    <xf numFmtId="174" fontId="1" fillId="0" borderId="78" xfId="0" applyNumberFormat="1" applyFont="1" applyBorder="1" applyAlignment="1">
      <alignment horizontal="center"/>
    </xf>
    <xf numFmtId="0" fontId="55" fillId="0" borderId="78" xfId="0" applyFont="1" applyBorder="1" applyAlignment="1">
      <alignment horizontal="right"/>
    </xf>
    <xf numFmtId="177" fontId="55" fillId="0" borderId="61" xfId="0" applyNumberFormat="1" applyFont="1" applyBorder="1" applyAlignment="1">
      <alignment horizontal="center"/>
    </xf>
    <xf numFmtId="164" fontId="1" fillId="0" borderId="20" xfId="0" applyNumberFormat="1" applyFont="1" applyBorder="1"/>
    <xf numFmtId="165" fontId="1" fillId="0" borderId="86" xfId="1" applyNumberFormat="1" applyFont="1" applyFill="1" applyBorder="1"/>
    <xf numFmtId="164" fontId="1" fillId="0" borderId="83" xfId="0" applyNumberFormat="1" applyFont="1" applyBorder="1"/>
    <xf numFmtId="164" fontId="1" fillId="0" borderId="88" xfId="0" applyNumberFormat="1" applyFont="1" applyBorder="1"/>
    <xf numFmtId="164" fontId="1" fillId="0" borderId="84" xfId="0" applyNumberFormat="1" applyFont="1" applyBorder="1"/>
    <xf numFmtId="174" fontId="1" fillId="67" borderId="78" xfId="0" applyNumberFormat="1" applyFont="1" applyFill="1" applyBorder="1" applyAlignment="1">
      <alignment horizontal="center"/>
    </xf>
    <xf numFmtId="165" fontId="55" fillId="0" borderId="45" xfId="1" applyNumberFormat="1" applyFont="1" applyBorder="1"/>
    <xf numFmtId="0" fontId="1" fillId="0" borderId="84" xfId="0" applyFont="1" applyBorder="1"/>
    <xf numFmtId="0" fontId="1" fillId="0" borderId="34" xfId="2" applyNumberFormat="1" applyFont="1" applyFill="1" applyBorder="1" applyAlignment="1">
      <alignment horizontal="center"/>
    </xf>
    <xf numFmtId="0" fontId="77" fillId="55" borderId="0" xfId="17332" applyFont="1" applyFill="1" applyAlignment="1">
      <alignment horizontal="center" vertical="center"/>
    </xf>
    <xf numFmtId="0" fontId="1" fillId="55" borderId="0" xfId="0" applyFont="1" applyFill="1" applyAlignment="1">
      <alignment wrapText="1"/>
    </xf>
    <xf numFmtId="0" fontId="55" fillId="72" borderId="0" xfId="0" applyFont="1" applyFill="1"/>
    <xf numFmtId="0" fontId="1" fillId="72" borderId="0" xfId="0" applyFont="1" applyFill="1"/>
    <xf numFmtId="172" fontId="55" fillId="72" borderId="0" xfId="2" applyNumberFormat="1" applyFont="1" applyFill="1" applyBorder="1" applyAlignment="1">
      <alignment horizontal="right" wrapText="1"/>
    </xf>
    <xf numFmtId="174" fontId="1" fillId="72" borderId="0" xfId="2" applyNumberFormat="1" applyFont="1" applyFill="1"/>
    <xf numFmtId="174" fontId="1" fillId="72" borderId="0" xfId="2" applyNumberFormat="1" applyFont="1" applyFill="1" applyBorder="1"/>
    <xf numFmtId="0" fontId="55" fillId="0" borderId="38" xfId="0" applyFont="1" applyBorder="1" applyAlignment="1">
      <alignment horizontal="center"/>
    </xf>
    <xf numFmtId="172" fontId="1" fillId="0" borderId="20" xfId="0" applyNumberFormat="1" applyFont="1" applyBorder="1"/>
    <xf numFmtId="173" fontId="1" fillId="0" borderId="20" xfId="3" applyNumberFormat="1" applyFont="1" applyFill="1" applyBorder="1"/>
    <xf numFmtId="0" fontId="1" fillId="0" borderId="83" xfId="0" applyFont="1" applyBorder="1"/>
    <xf numFmtId="0" fontId="55" fillId="0" borderId="46" xfId="0" applyFont="1" applyBorder="1"/>
    <xf numFmtId="44" fontId="1" fillId="0" borderId="20" xfId="0" applyNumberFormat="1" applyFont="1" applyBorder="1"/>
    <xf numFmtId="0" fontId="66" fillId="0" borderId="62" xfId="0" applyFont="1" applyBorder="1" applyAlignment="1">
      <alignment horizontal="center"/>
    </xf>
    <xf numFmtId="177" fontId="1" fillId="0" borderId="61" xfId="0" applyNumberFormat="1" applyFont="1" applyBorder="1" applyAlignment="1">
      <alignment horizontal="center"/>
    </xf>
    <xf numFmtId="43" fontId="1" fillId="0" borderId="97" xfId="1" applyFont="1" applyFill="1" applyBorder="1" applyAlignment="1"/>
    <xf numFmtId="43" fontId="1" fillId="56" borderId="98" xfId="1" applyFont="1" applyFill="1" applyBorder="1"/>
    <xf numFmtId="43" fontId="1" fillId="60" borderId="43" xfId="1" applyFont="1" applyFill="1" applyBorder="1"/>
    <xf numFmtId="43" fontId="55" fillId="0" borderId="0" xfId="1" applyFont="1" applyFill="1" applyBorder="1"/>
    <xf numFmtId="0" fontId="1" fillId="55" borderId="25" xfId="0" applyFont="1" applyFill="1" applyBorder="1"/>
    <xf numFmtId="176" fontId="1" fillId="55" borderId="25" xfId="0" applyNumberFormat="1" applyFont="1" applyFill="1" applyBorder="1" applyAlignment="1">
      <alignment horizontal="center"/>
    </xf>
    <xf numFmtId="10" fontId="1" fillId="60" borderId="93" xfId="3" applyNumberFormat="1" applyFont="1" applyFill="1" applyBorder="1"/>
    <xf numFmtId="173" fontId="1" fillId="60" borderId="72" xfId="3" applyNumberFormat="1" applyFont="1" applyFill="1" applyBorder="1"/>
    <xf numFmtId="173" fontId="1" fillId="60" borderId="73" xfId="3" applyNumberFormat="1" applyFont="1" applyFill="1" applyBorder="1"/>
    <xf numFmtId="0" fontId="55" fillId="55" borderId="25" xfId="0" applyFont="1" applyFill="1" applyBorder="1"/>
    <xf numFmtId="0" fontId="55" fillId="55" borderId="25" xfId="0" applyFont="1" applyFill="1" applyBorder="1" applyAlignment="1">
      <alignment horizontal="center"/>
    </xf>
    <xf numFmtId="0" fontId="1" fillId="55" borderId="25" xfId="0" applyFont="1" applyFill="1" applyBorder="1" applyAlignment="1">
      <alignment horizontal="center"/>
    </xf>
    <xf numFmtId="0" fontId="1" fillId="60" borderId="25" xfId="0" applyFont="1" applyFill="1" applyBorder="1"/>
    <xf numFmtId="3" fontId="17" fillId="0" borderId="0" xfId="0" applyNumberFormat="1" applyFont="1"/>
    <xf numFmtId="43" fontId="0" fillId="55" borderId="88" xfId="1" applyFont="1" applyFill="1" applyBorder="1"/>
    <xf numFmtId="3" fontId="0" fillId="55" borderId="83" xfId="0" applyNumberFormat="1" applyFill="1" applyBorder="1"/>
    <xf numFmtId="3" fontId="0" fillId="55" borderId="86" xfId="0" applyNumberFormat="1" applyFill="1" applyBorder="1"/>
    <xf numFmtId="3" fontId="0" fillId="60" borderId="88" xfId="0" applyNumberFormat="1" applyFill="1" applyBorder="1"/>
    <xf numFmtId="3" fontId="0" fillId="55" borderId="84" xfId="0" applyNumberFormat="1" applyFill="1" applyBorder="1"/>
    <xf numFmtId="3" fontId="0" fillId="55" borderId="46" xfId="0" applyNumberFormat="1" applyFill="1" applyBorder="1"/>
    <xf numFmtId="3" fontId="17" fillId="60" borderId="81" xfId="0" applyNumberFormat="1" applyFont="1" applyFill="1" applyBorder="1"/>
    <xf numFmtId="0" fontId="54" fillId="0" borderId="20" xfId="0" applyFont="1" applyBorder="1"/>
    <xf numFmtId="43" fontId="54" fillId="0" borderId="20" xfId="0" applyNumberFormat="1" applyFont="1" applyBorder="1"/>
    <xf numFmtId="164" fontId="54" fillId="0" borderId="49" xfId="0" applyNumberFormat="1" applyFont="1" applyBorder="1"/>
    <xf numFmtId="164" fontId="54" fillId="56" borderId="49" xfId="0" applyNumberFormat="1" applyFont="1" applyFill="1" applyBorder="1"/>
    <xf numFmtId="164" fontId="54" fillId="55" borderId="49" xfId="0" applyNumberFormat="1" applyFont="1" applyFill="1" applyBorder="1"/>
    <xf numFmtId="164" fontId="54" fillId="0" borderId="34" xfId="0" applyNumberFormat="1" applyFont="1" applyBorder="1"/>
    <xf numFmtId="164" fontId="54" fillId="56" borderId="34" xfId="0" applyNumberFormat="1" applyFont="1" applyFill="1" applyBorder="1"/>
    <xf numFmtId="164" fontId="54" fillId="56" borderId="50" xfId="0" applyNumberFormat="1" applyFont="1" applyFill="1" applyBorder="1"/>
    <xf numFmtId="43" fontId="54" fillId="0" borderId="46" xfId="0" applyNumberFormat="1" applyFont="1" applyBorder="1"/>
    <xf numFmtId="43" fontId="54" fillId="0" borderId="50" xfId="0" applyNumberFormat="1" applyFont="1" applyBorder="1"/>
    <xf numFmtId="165" fontId="1" fillId="55" borderId="0" xfId="1" applyNumberFormat="1" applyFont="1" applyFill="1" applyBorder="1"/>
    <xf numFmtId="0" fontId="0" fillId="0" borderId="20" xfId="0" applyBorder="1"/>
    <xf numFmtId="165" fontId="0" fillId="60" borderId="20" xfId="1" applyNumberFormat="1" applyFont="1" applyFill="1" applyBorder="1"/>
    <xf numFmtId="0" fontId="77" fillId="0" borderId="20" xfId="0" applyFont="1" applyBorder="1"/>
    <xf numFmtId="0" fontId="77" fillId="0" borderId="86" xfId="0" applyFont="1" applyBorder="1"/>
    <xf numFmtId="165" fontId="1" fillId="0" borderId="20" xfId="1" applyNumberFormat="1" applyFont="1" applyBorder="1"/>
    <xf numFmtId="165" fontId="1" fillId="0" borderId="0" xfId="1" applyNumberFormat="1" applyFont="1" applyBorder="1"/>
    <xf numFmtId="165" fontId="1" fillId="0" borderId="20" xfId="0" applyNumberFormat="1" applyFont="1" applyBorder="1"/>
    <xf numFmtId="0" fontId="55" fillId="0" borderId="82" xfId="0" applyFont="1" applyBorder="1" applyAlignment="1">
      <alignment wrapText="1"/>
    </xf>
    <xf numFmtId="165" fontId="55" fillId="0" borderId="82" xfId="0" applyNumberFormat="1" applyFont="1" applyBorder="1" applyAlignment="1">
      <alignment wrapText="1"/>
    </xf>
    <xf numFmtId="165" fontId="1" fillId="0" borderId="86" xfId="0" applyNumberFormat="1" applyFont="1" applyBorder="1"/>
    <xf numFmtId="0" fontId="55" fillId="0" borderId="0" xfId="0" applyFont="1" applyAlignment="1">
      <alignment horizontal="left" vertical="center" wrapText="1"/>
    </xf>
    <xf numFmtId="0" fontId="55" fillId="0" borderId="20" xfId="0" applyFont="1" applyBorder="1" applyAlignment="1">
      <alignment horizontal="left"/>
    </xf>
    <xf numFmtId="0" fontId="55" fillId="0" borderId="20" xfId="0" applyFont="1" applyBorder="1" applyAlignment="1">
      <alignment horizontal="left" wrapText="1"/>
    </xf>
    <xf numFmtId="0" fontId="55" fillId="0" borderId="20" xfId="0" applyFont="1" applyBorder="1" applyAlignment="1">
      <alignment horizontal="right" wrapText="1"/>
    </xf>
    <xf numFmtId="44" fontId="55" fillId="0" borderId="0" xfId="0" applyNumberFormat="1" applyFont="1"/>
    <xf numFmtId="44" fontId="55" fillId="60" borderId="0" xfId="0" applyNumberFormat="1" applyFont="1" applyFill="1"/>
    <xf numFmtId="164" fontId="1" fillId="0" borderId="20" xfId="2" applyNumberFormat="1" applyFont="1" applyFill="1" applyBorder="1" applyAlignment="1"/>
    <xf numFmtId="164" fontId="55" fillId="62" borderId="20" xfId="0" applyNumberFormat="1" applyFont="1" applyFill="1" applyBorder="1"/>
    <xf numFmtId="164" fontId="1" fillId="60" borderId="88" xfId="0" applyNumberFormat="1" applyFont="1" applyFill="1" applyBorder="1"/>
    <xf numFmtId="43" fontId="55" fillId="60" borderId="82" xfId="0" applyNumberFormat="1" applyFont="1" applyFill="1" applyBorder="1"/>
    <xf numFmtId="165" fontId="55" fillId="60" borderId="81" xfId="0" applyNumberFormat="1" applyFont="1" applyFill="1" applyBorder="1"/>
    <xf numFmtId="0" fontId="1" fillId="60" borderId="46" xfId="0" applyFont="1" applyFill="1" applyBorder="1"/>
    <xf numFmtId="165" fontId="1" fillId="0" borderId="83" xfId="1" applyNumberFormat="1" applyFont="1" applyFill="1" applyBorder="1"/>
    <xf numFmtId="165" fontId="55" fillId="0" borderId="20" xfId="1" applyNumberFormat="1" applyFont="1" applyBorder="1"/>
    <xf numFmtId="166" fontId="55" fillId="0" borderId="0" xfId="1" applyNumberFormat="1" applyFont="1"/>
    <xf numFmtId="164" fontId="1" fillId="0" borderId="86" xfId="2" applyNumberFormat="1" applyFont="1" applyFill="1" applyBorder="1"/>
    <xf numFmtId="164" fontId="1" fillId="60" borderId="84" xfId="2" applyNumberFormat="1" applyFont="1" applyFill="1" applyBorder="1"/>
    <xf numFmtId="0" fontId="1" fillId="0" borderId="86" xfId="0" applyFont="1" applyBorder="1" applyAlignment="1">
      <alignment horizontal="center"/>
    </xf>
    <xf numFmtId="0" fontId="1" fillId="0" borderId="88" xfId="0" applyFont="1" applyBorder="1"/>
    <xf numFmtId="0" fontId="55" fillId="0" borderId="34" xfId="0" applyFont="1" applyBorder="1"/>
    <xf numFmtId="164" fontId="55" fillId="70" borderId="34" xfId="2" applyNumberFormat="1" applyFont="1" applyFill="1" applyBorder="1"/>
    <xf numFmtId="10" fontId="1" fillId="60" borderId="51" xfId="3" applyNumberFormat="1" applyFont="1" applyFill="1" applyBorder="1"/>
    <xf numFmtId="10" fontId="1" fillId="60" borderId="34" xfId="3" applyNumberFormat="1" applyFont="1" applyFill="1" applyBorder="1"/>
    <xf numFmtId="164" fontId="1" fillId="0" borderId="88" xfId="2" applyNumberFormat="1" applyFont="1" applyFill="1" applyBorder="1"/>
    <xf numFmtId="164" fontId="1" fillId="60" borderId="83" xfId="2" applyNumberFormat="1" applyFont="1" applyFill="1" applyBorder="1"/>
    <xf numFmtId="164" fontId="73" fillId="0" borderId="46" xfId="2" applyNumberFormat="1" applyFont="1" applyFill="1" applyBorder="1" applyAlignment="1">
      <alignment horizontal="center"/>
    </xf>
    <xf numFmtId="164" fontId="58" fillId="0" borderId="20" xfId="2" applyNumberFormat="1" applyFont="1" applyFill="1" applyBorder="1" applyAlignment="1">
      <alignment horizontal="center"/>
    </xf>
    <xf numFmtId="164" fontId="73" fillId="66" borderId="20" xfId="2" applyNumberFormat="1" applyFont="1" applyFill="1" applyBorder="1" applyAlignment="1">
      <alignment horizontal="center"/>
    </xf>
    <xf numFmtId="164" fontId="1" fillId="0" borderId="20" xfId="2" applyNumberFormat="1" applyFont="1" applyFill="1" applyBorder="1" applyAlignment="1">
      <alignment horizontal="center"/>
    </xf>
    <xf numFmtId="164" fontId="73" fillId="66" borderId="50" xfId="2" applyNumberFormat="1" applyFont="1" applyFill="1" applyBorder="1" applyAlignment="1">
      <alignment horizontal="center"/>
    </xf>
    <xf numFmtId="164" fontId="1" fillId="66" borderId="45" xfId="2" applyNumberFormat="1" applyFont="1" applyFill="1" applyBorder="1" applyAlignment="1">
      <alignment horizontal="center"/>
    </xf>
    <xf numFmtId="164" fontId="1" fillId="66" borderId="49" xfId="2" applyNumberFormat="1" applyFont="1" applyFill="1" applyBorder="1" applyAlignment="1">
      <alignment horizontal="center"/>
    </xf>
    <xf numFmtId="164" fontId="1" fillId="66" borderId="0" xfId="2" applyNumberFormat="1" applyFont="1" applyFill="1" applyBorder="1" applyAlignment="1">
      <alignment horizontal="center"/>
    </xf>
    <xf numFmtId="164" fontId="1" fillId="66" borderId="20" xfId="2" applyNumberFormat="1" applyFont="1" applyFill="1" applyBorder="1" applyAlignment="1">
      <alignment horizontal="center"/>
    </xf>
    <xf numFmtId="43" fontId="1" fillId="0" borderId="20" xfId="0" applyNumberFormat="1" applyFont="1" applyBorder="1"/>
    <xf numFmtId="164" fontId="66" fillId="60" borderId="83" xfId="2" applyNumberFormat="1" applyFont="1" applyFill="1" applyBorder="1" applyAlignment="1">
      <alignment horizontal="center"/>
    </xf>
    <xf numFmtId="164" fontId="66" fillId="60" borderId="84" xfId="2" applyNumberFormat="1" applyFont="1" applyFill="1" applyBorder="1" applyAlignment="1">
      <alignment horizontal="center"/>
    </xf>
    <xf numFmtId="164" fontId="66" fillId="60" borderId="49" xfId="2" applyNumberFormat="1" applyFont="1" applyFill="1" applyBorder="1" applyAlignment="1">
      <alignment horizontal="center"/>
    </xf>
    <xf numFmtId="164" fontId="66" fillId="60" borderId="50" xfId="2" applyNumberFormat="1" applyFont="1" applyFill="1" applyBorder="1" applyAlignment="1">
      <alignment horizontal="center"/>
    </xf>
    <xf numFmtId="2" fontId="55" fillId="0" borderId="0" xfId="0" applyNumberFormat="1" applyFont="1" applyAlignment="1">
      <alignment horizontal="right"/>
    </xf>
    <xf numFmtId="44" fontId="55" fillId="0" borderId="0" xfId="2" applyFont="1" applyAlignment="1">
      <alignment horizontal="center"/>
    </xf>
    <xf numFmtId="0" fontId="1" fillId="60" borderId="86" xfId="0" applyFont="1" applyFill="1" applyBorder="1" applyAlignment="1">
      <alignment horizontal="center"/>
    </xf>
    <xf numFmtId="43" fontId="1" fillId="0" borderId="86" xfId="0" applyNumberFormat="1" applyFont="1" applyBorder="1"/>
    <xf numFmtId="44" fontId="1" fillId="0" borderId="86" xfId="2" applyFont="1" applyBorder="1"/>
    <xf numFmtId="164" fontId="1" fillId="60" borderId="86" xfId="2" applyNumberFormat="1" applyFont="1" applyFill="1" applyBorder="1"/>
    <xf numFmtId="164" fontId="1" fillId="0" borderId="84" xfId="2" applyNumberFormat="1" applyFont="1" applyBorder="1" applyAlignment="1">
      <alignment horizontal="center"/>
    </xf>
    <xf numFmtId="0" fontId="1" fillId="66" borderId="86" xfId="0" applyFont="1" applyFill="1" applyBorder="1"/>
    <xf numFmtId="164" fontId="73" fillId="66" borderId="86" xfId="2" applyNumberFormat="1" applyFont="1" applyFill="1" applyBorder="1" applyAlignment="1">
      <alignment horizontal="center"/>
    </xf>
    <xf numFmtId="164" fontId="1" fillId="0" borderId="86" xfId="2" applyNumberFormat="1" applyFont="1" applyBorder="1" applyAlignment="1">
      <alignment horizontal="center"/>
    </xf>
    <xf numFmtId="164" fontId="73" fillId="66" borderId="84" xfId="2" applyNumberFormat="1" applyFont="1" applyFill="1" applyBorder="1" applyAlignment="1">
      <alignment horizontal="center"/>
    </xf>
    <xf numFmtId="164" fontId="66" fillId="0" borderId="86" xfId="2" applyNumberFormat="1" applyFont="1" applyFill="1" applyBorder="1" applyAlignment="1">
      <alignment horizontal="center"/>
    </xf>
    <xf numFmtId="0" fontId="54" fillId="0" borderId="84" xfId="2" applyNumberFormat="1" applyFont="1" applyFill="1" applyBorder="1" applyAlignment="1">
      <alignment horizontal="center"/>
    </xf>
    <xf numFmtId="0" fontId="1" fillId="60" borderId="20" xfId="0" applyFont="1" applyFill="1" applyBorder="1" applyAlignment="1">
      <alignment horizontal="center"/>
    </xf>
    <xf numFmtId="44" fontId="1" fillId="0" borderId="20" xfId="2" applyFont="1" applyBorder="1"/>
    <xf numFmtId="0" fontId="1" fillId="66" borderId="20" xfId="0" applyFont="1" applyFill="1" applyBorder="1"/>
    <xf numFmtId="164" fontId="66" fillId="0" borderId="20" xfId="2" applyNumberFormat="1" applyFont="1" applyFill="1" applyBorder="1" applyAlignment="1">
      <alignment horizontal="center"/>
    </xf>
    <xf numFmtId="0" fontId="54" fillId="0" borderId="50" xfId="2" applyNumberFormat="1" applyFont="1" applyFill="1" applyBorder="1" applyAlignment="1">
      <alignment horizontal="center"/>
    </xf>
    <xf numFmtId="164" fontId="58" fillId="0" borderId="20" xfId="2" applyNumberFormat="1" applyFont="1" applyBorder="1" applyAlignment="1">
      <alignment horizontal="center"/>
    </xf>
    <xf numFmtId="43" fontId="1" fillId="0" borderId="86" xfId="1" applyFont="1" applyFill="1" applyBorder="1"/>
    <xf numFmtId="164" fontId="1" fillId="0" borderId="83" xfId="2" applyNumberFormat="1" applyFont="1" applyFill="1" applyBorder="1"/>
    <xf numFmtId="164" fontId="1" fillId="66" borderId="83" xfId="2" applyNumberFormat="1" applyFont="1" applyFill="1" applyBorder="1" applyAlignment="1">
      <alignment horizontal="center"/>
    </xf>
    <xf numFmtId="164" fontId="58" fillId="0" borderId="86" xfId="2" applyNumberFormat="1" applyFont="1" applyBorder="1" applyAlignment="1">
      <alignment horizontal="center"/>
    </xf>
    <xf numFmtId="43" fontId="1" fillId="0" borderId="20" xfId="1" applyFont="1" applyFill="1" applyBorder="1"/>
    <xf numFmtId="43" fontId="1" fillId="0" borderId="46" xfId="0" applyNumberFormat="1" applyFont="1" applyBorder="1"/>
    <xf numFmtId="43" fontId="1" fillId="60" borderId="20" xfId="1" applyFont="1" applyFill="1" applyBorder="1" applyAlignment="1">
      <alignment horizontal="center"/>
    </xf>
    <xf numFmtId="41" fontId="1" fillId="0" borderId="88" xfId="0" applyNumberFormat="1" applyFont="1" applyBorder="1"/>
    <xf numFmtId="0" fontId="1" fillId="0" borderId="78" xfId="0" applyFont="1" applyBorder="1" applyAlignment="1">
      <alignment horizontal="right" vertical="center"/>
    </xf>
    <xf numFmtId="0" fontId="1" fillId="0" borderId="80" xfId="0" applyFont="1" applyBorder="1" applyAlignment="1">
      <alignment horizontal="center"/>
    </xf>
    <xf numFmtId="0" fontId="1" fillId="0" borderId="82" xfId="0" applyFont="1" applyBorder="1" applyAlignment="1">
      <alignment horizontal="center"/>
    </xf>
    <xf numFmtId="0" fontId="1" fillId="0" borderId="78" xfId="0" quotePrefix="1" applyFont="1" applyBorder="1" applyAlignment="1">
      <alignment horizontal="center"/>
    </xf>
    <xf numFmtId="43" fontId="1" fillId="0" borderId="0" xfId="2" applyNumberFormat="1" applyFont="1"/>
    <xf numFmtId="43" fontId="1" fillId="0" borderId="20" xfId="2" applyNumberFormat="1" applyFont="1" applyBorder="1"/>
    <xf numFmtId="41" fontId="1" fillId="0" borderId="20" xfId="0" applyNumberFormat="1" applyFont="1" applyBorder="1"/>
    <xf numFmtId="164" fontId="54" fillId="55" borderId="51" xfId="0" applyNumberFormat="1" applyFont="1" applyFill="1" applyBorder="1"/>
    <xf numFmtId="164" fontId="54" fillId="55" borderId="34" xfId="0" applyNumberFormat="1" applyFont="1" applyFill="1" applyBorder="1"/>
    <xf numFmtId="165" fontId="94" fillId="0" borderId="0" xfId="0" applyNumberFormat="1" applyFont="1"/>
    <xf numFmtId="6" fontId="55" fillId="60" borderId="78" xfId="2" applyNumberFormat="1" applyFont="1" applyFill="1" applyBorder="1"/>
    <xf numFmtId="174" fontId="1" fillId="0" borderId="65" xfId="2" applyNumberFormat="1" applyFont="1" applyFill="1" applyBorder="1"/>
    <xf numFmtId="44" fontId="1" fillId="0" borderId="65" xfId="2" applyFont="1" applyFill="1" applyBorder="1"/>
    <xf numFmtId="43" fontId="1" fillId="0" borderId="65" xfId="1" applyFont="1" applyFill="1" applyBorder="1"/>
    <xf numFmtId="164" fontId="80" fillId="0" borderId="0" xfId="0" applyNumberFormat="1" applyFont="1" applyAlignment="1">
      <alignment horizontal="center"/>
    </xf>
    <xf numFmtId="165" fontId="1" fillId="72" borderId="0" xfId="1" applyNumberFormat="1" applyFont="1" applyFill="1"/>
    <xf numFmtId="6" fontId="55" fillId="0" borderId="0" xfId="0" applyNumberFormat="1" applyFont="1"/>
    <xf numFmtId="0" fontId="66" fillId="0" borderId="80" xfId="0" applyFont="1" applyBorder="1"/>
    <xf numFmtId="0" fontId="66" fillId="0" borderId="82" xfId="0" applyFont="1" applyBorder="1"/>
    <xf numFmtId="164" fontId="66" fillId="56" borderId="81" xfId="0" applyNumberFormat="1" applyFont="1" applyFill="1" applyBorder="1"/>
    <xf numFmtId="43" fontId="66" fillId="56" borderId="78" xfId="0" applyNumberFormat="1" applyFont="1" applyFill="1" applyBorder="1"/>
    <xf numFmtId="10" fontId="0" fillId="0" borderId="0" xfId="3" applyNumberFormat="1" applyFont="1" applyBorder="1"/>
    <xf numFmtId="43" fontId="0" fillId="0" borderId="0" xfId="1" applyFont="1" applyBorder="1"/>
    <xf numFmtId="165" fontId="0" fillId="0" borderId="0" xfId="0" applyNumberFormat="1"/>
    <xf numFmtId="43" fontId="0" fillId="0" borderId="20" xfId="0" applyNumberFormat="1" applyBorder="1"/>
    <xf numFmtId="0" fontId="54" fillId="0" borderId="82" xfId="0" applyFont="1" applyBorder="1" applyAlignment="1">
      <alignment horizontal="right"/>
    </xf>
    <xf numFmtId="173" fontId="54" fillId="0" borderId="80" xfId="3" applyNumberFormat="1" applyFont="1" applyFill="1" applyBorder="1" applyAlignment="1">
      <alignment horizontal="center"/>
    </xf>
    <xf numFmtId="0" fontId="54" fillId="0" borderId="78" xfId="0" applyFont="1" applyBorder="1" applyAlignment="1">
      <alignment horizontal="center"/>
    </xf>
    <xf numFmtId="0" fontId="54" fillId="0" borderId="78" xfId="0" quotePrefix="1" applyFont="1" applyBorder="1" applyAlignment="1">
      <alignment horizontal="center"/>
    </xf>
    <xf numFmtId="165" fontId="1" fillId="0" borderId="81" xfId="1" quotePrefix="1" applyNumberFormat="1" applyFont="1" applyBorder="1" applyAlignment="1">
      <alignment horizontal="center"/>
    </xf>
    <xf numFmtId="43" fontId="66" fillId="0" borderId="0" xfId="1" applyFont="1" applyFill="1" applyBorder="1" applyAlignment="1">
      <alignment horizontal="centerContinuous" wrapText="1"/>
    </xf>
    <xf numFmtId="43" fontId="66" fillId="0" borderId="83" xfId="1" applyFont="1" applyFill="1" applyBorder="1" applyAlignment="1">
      <alignment horizontal="centerContinuous" wrapText="1"/>
    </xf>
    <xf numFmtId="43" fontId="66" fillId="0" borderId="88" xfId="1" applyFont="1" applyFill="1" applyBorder="1" applyAlignment="1">
      <alignment horizontal="centerContinuous" wrapText="1"/>
    </xf>
    <xf numFmtId="43" fontId="66" fillId="0" borderId="86" xfId="1" applyFont="1" applyFill="1" applyBorder="1" applyAlignment="1">
      <alignment horizontal="centerContinuous" wrapText="1"/>
    </xf>
    <xf numFmtId="165" fontId="66" fillId="0" borderId="84" xfId="1" applyNumberFormat="1" applyFont="1" applyFill="1" applyBorder="1" applyAlignment="1">
      <alignment horizontal="centerContinuous" wrapText="1"/>
    </xf>
    <xf numFmtId="43" fontId="66" fillId="0" borderId="80" xfId="1" applyFont="1" applyFill="1" applyBorder="1" applyAlignment="1">
      <alignment horizontal="right"/>
    </xf>
    <xf numFmtId="43" fontId="66" fillId="0" borderId="78" xfId="1" applyFont="1" applyFill="1" applyBorder="1" applyAlignment="1">
      <alignment horizontal="right"/>
    </xf>
    <xf numFmtId="165" fontId="66" fillId="0" borderId="81" xfId="1" applyNumberFormat="1" applyFont="1" applyFill="1" applyBorder="1" applyAlignment="1">
      <alignment horizontal="right"/>
    </xf>
    <xf numFmtId="164" fontId="1" fillId="58" borderId="78" xfId="2" applyNumberFormat="1" applyFont="1" applyFill="1" applyBorder="1"/>
    <xf numFmtId="164" fontId="55" fillId="62" borderId="78" xfId="2" applyNumberFormat="1" applyFont="1" applyFill="1" applyBorder="1"/>
    <xf numFmtId="164" fontId="1" fillId="57" borderId="78" xfId="2" applyNumberFormat="1" applyFont="1" applyFill="1" applyBorder="1"/>
    <xf numFmtId="0" fontId="55" fillId="55" borderId="78" xfId="0" applyFont="1" applyFill="1" applyBorder="1" applyAlignment="1">
      <alignment horizontal="center"/>
    </xf>
    <xf numFmtId="0" fontId="17" fillId="0" borderId="80" xfId="0" applyFont="1" applyBorder="1"/>
    <xf numFmtId="0" fontId="0" fillId="0" borderId="82" xfId="0" applyBorder="1"/>
    <xf numFmtId="165" fontId="17" fillId="0" borderId="82" xfId="1" applyNumberFormat="1" applyFont="1" applyBorder="1" applyAlignment="1">
      <alignment horizontal="right" wrapText="1"/>
    </xf>
    <xf numFmtId="164" fontId="17" fillId="0" borderId="78" xfId="2" applyNumberFormat="1" applyFont="1" applyFill="1" applyBorder="1" applyAlignment="1">
      <alignment horizontal="right" wrapText="1"/>
    </xf>
    <xf numFmtId="165" fontId="0" fillId="60" borderId="51" xfId="0" applyNumberFormat="1" applyFill="1" applyBorder="1"/>
    <xf numFmtId="0" fontId="0" fillId="0" borderId="49" xfId="0" applyBorder="1"/>
    <xf numFmtId="165" fontId="0" fillId="60" borderId="34" xfId="0" applyNumberFormat="1" applyFill="1" applyBorder="1"/>
    <xf numFmtId="165" fontId="17" fillId="60" borderId="20" xfId="0" applyNumberFormat="1" applyFont="1" applyFill="1" applyBorder="1"/>
    <xf numFmtId="0" fontId="0" fillId="0" borderId="83" xfId="0" applyBorder="1"/>
    <xf numFmtId="0" fontId="0" fillId="0" borderId="86" xfId="0" applyBorder="1"/>
    <xf numFmtId="165" fontId="0" fillId="55" borderId="86" xfId="1" applyNumberFormat="1" applyFont="1" applyFill="1" applyBorder="1"/>
    <xf numFmtId="165" fontId="0" fillId="60" borderId="86" xfId="1" applyNumberFormat="1" applyFont="1" applyFill="1" applyBorder="1"/>
    <xf numFmtId="165" fontId="0" fillId="60" borderId="88" xfId="0" applyNumberFormat="1" applyFill="1" applyBorder="1"/>
    <xf numFmtId="165" fontId="17" fillId="60" borderId="34" xfId="0" applyNumberFormat="1" applyFont="1" applyFill="1" applyBorder="1"/>
    <xf numFmtId="0" fontId="17" fillId="0" borderId="20" xfId="0" applyFont="1" applyBorder="1"/>
    <xf numFmtId="165" fontId="55" fillId="0" borderId="20" xfId="0" applyNumberFormat="1" applyFont="1" applyBorder="1"/>
    <xf numFmtId="165" fontId="55" fillId="0" borderId="50" xfId="0" applyNumberFormat="1" applyFont="1" applyBorder="1"/>
    <xf numFmtId="43" fontId="1" fillId="60" borderId="98" xfId="1" applyFont="1" applyFill="1" applyBorder="1"/>
    <xf numFmtId="0" fontId="55" fillId="0" borderId="20" xfId="0" applyFont="1" applyBorder="1" applyAlignment="1">
      <alignment wrapText="1"/>
    </xf>
    <xf numFmtId="0" fontId="55" fillId="0" borderId="20" xfId="0" applyFont="1" applyBorder="1" applyAlignment="1">
      <alignment horizontal="center" wrapText="1"/>
    </xf>
    <xf numFmtId="0" fontId="1" fillId="55" borderId="20" xfId="0" applyFont="1" applyFill="1" applyBorder="1"/>
    <xf numFmtId="0" fontId="1" fillId="73" borderId="0" xfId="0" applyFont="1" applyFill="1"/>
    <xf numFmtId="0" fontId="1" fillId="74" borderId="0" xfId="0" applyFont="1" applyFill="1"/>
    <xf numFmtId="0" fontId="66" fillId="0" borderId="51" xfId="0" applyFont="1" applyBorder="1" applyAlignment="1">
      <alignment horizontal="right"/>
    </xf>
    <xf numFmtId="0" fontId="55" fillId="0" borderId="34" xfId="0" applyFont="1" applyBorder="1" applyAlignment="1">
      <alignment horizontal="right"/>
    </xf>
    <xf numFmtId="8" fontId="1" fillId="60" borderId="51" xfId="2" applyNumberFormat="1" applyFont="1" applyFill="1" applyBorder="1"/>
    <xf numFmtId="8" fontId="55" fillId="60" borderId="78" xfId="0" applyNumberFormat="1" applyFont="1" applyFill="1" applyBorder="1"/>
    <xf numFmtId="43" fontId="17" fillId="60" borderId="82" xfId="0" applyNumberFormat="1" applyFont="1" applyFill="1" applyBorder="1" applyAlignment="1">
      <alignment horizontal="right"/>
    </xf>
    <xf numFmtId="40" fontId="17" fillId="60" borderId="78" xfId="0" applyNumberFormat="1" applyFont="1" applyFill="1" applyBorder="1" applyAlignment="1">
      <alignment horizontal="right"/>
    </xf>
    <xf numFmtId="44" fontId="55" fillId="60" borderId="78" xfId="2" applyFont="1" applyFill="1" applyBorder="1" applyAlignment="1">
      <alignment horizontal="right"/>
    </xf>
    <xf numFmtId="8" fontId="55" fillId="60" borderId="78" xfId="2" applyNumberFormat="1" applyFont="1" applyFill="1" applyBorder="1" applyAlignment="1">
      <alignment horizontal="right"/>
    </xf>
    <xf numFmtId="44" fontId="55" fillId="60" borderId="82" xfId="2" applyFont="1" applyFill="1" applyBorder="1" applyAlignment="1">
      <alignment horizontal="right"/>
    </xf>
    <xf numFmtId="8" fontId="55" fillId="0" borderId="0" xfId="2" applyNumberFormat="1" applyFont="1" applyBorder="1" applyAlignment="1">
      <alignment horizontal="right"/>
    </xf>
    <xf numFmtId="43" fontId="55" fillId="60" borderId="78" xfId="1" applyFont="1" applyFill="1" applyBorder="1" applyAlignment="1">
      <alignment horizontal="right"/>
    </xf>
    <xf numFmtId="8" fontId="55" fillId="60" borderId="80" xfId="2" applyNumberFormat="1" applyFont="1" applyFill="1" applyBorder="1" applyAlignment="1">
      <alignment horizontal="right"/>
    </xf>
    <xf numFmtId="8" fontId="55" fillId="60" borderId="81" xfId="2" applyNumberFormat="1" applyFont="1" applyFill="1" applyBorder="1" applyAlignment="1">
      <alignment horizontal="right"/>
    </xf>
    <xf numFmtId="0" fontId="17" fillId="0" borderId="78" xfId="0" applyFont="1" applyBorder="1" applyAlignment="1">
      <alignment horizontal="right"/>
    </xf>
    <xf numFmtId="0" fontId="17" fillId="0" borderId="80" xfId="0" applyFont="1" applyBorder="1" applyAlignment="1">
      <alignment horizontal="right"/>
    </xf>
    <xf numFmtId="43" fontId="17" fillId="60" borderId="82" xfId="1" applyFont="1" applyFill="1" applyBorder="1"/>
    <xf numFmtId="183" fontId="17" fillId="60" borderId="78" xfId="1" applyNumberFormat="1" applyFont="1" applyFill="1" applyBorder="1"/>
    <xf numFmtId="44" fontId="55" fillId="60" borderId="80" xfId="2" applyFont="1" applyFill="1" applyBorder="1"/>
    <xf numFmtId="8" fontId="55" fillId="0" borderId="82" xfId="0" applyNumberFormat="1" applyFont="1" applyBorder="1"/>
    <xf numFmtId="0" fontId="17" fillId="0" borderId="82" xfId="0" applyFont="1" applyBorder="1"/>
    <xf numFmtId="0" fontId="55" fillId="0" borderId="49" xfId="0" applyFont="1" applyBorder="1" applyAlignment="1">
      <alignment horizontal="right" wrapText="1"/>
    </xf>
    <xf numFmtId="0" fontId="55" fillId="0" borderId="50" xfId="0" applyFont="1" applyBorder="1" applyAlignment="1">
      <alignment horizontal="right" wrapText="1"/>
    </xf>
    <xf numFmtId="0" fontId="55" fillId="0" borderId="34" xfId="0" applyFont="1" applyBorder="1" applyAlignment="1">
      <alignment horizontal="right" wrapText="1"/>
    </xf>
    <xf numFmtId="164" fontId="55" fillId="60" borderId="80" xfId="2" applyNumberFormat="1" applyFont="1" applyFill="1" applyBorder="1" applyAlignment="1">
      <alignment horizontal="center"/>
    </xf>
    <xf numFmtId="164" fontId="55" fillId="60" borderId="78" xfId="2" applyNumberFormat="1" applyFont="1" applyFill="1" applyBorder="1" applyAlignment="1">
      <alignment horizontal="center"/>
    </xf>
    <xf numFmtId="164" fontId="55" fillId="0" borderId="80" xfId="2" applyNumberFormat="1" applyFont="1" applyBorder="1" applyAlignment="1">
      <alignment horizontal="right"/>
    </xf>
    <xf numFmtId="164" fontId="55" fillId="60" borderId="81" xfId="2" applyNumberFormat="1" applyFont="1" applyFill="1" applyBorder="1" applyAlignment="1">
      <alignment horizontal="center"/>
    </xf>
    <xf numFmtId="164" fontId="55" fillId="0" borderId="82" xfId="2" applyNumberFormat="1" applyFont="1" applyBorder="1" applyAlignment="1">
      <alignment horizontal="center"/>
    </xf>
    <xf numFmtId="164" fontId="55" fillId="0" borderId="81" xfId="2" applyNumberFormat="1" applyFont="1" applyBorder="1" applyAlignment="1">
      <alignment horizontal="center"/>
    </xf>
    <xf numFmtId="2" fontId="55" fillId="0" borderId="20" xfId="0" applyNumberFormat="1" applyFont="1" applyBorder="1" applyAlignment="1">
      <alignment wrapText="1"/>
    </xf>
    <xf numFmtId="2" fontId="55" fillId="0" borderId="20" xfId="0" applyNumberFormat="1" applyFont="1" applyBorder="1" applyAlignment="1">
      <alignment horizontal="right" wrapText="1"/>
    </xf>
    <xf numFmtId="2" fontId="58" fillId="0" borderId="49" xfId="2" applyNumberFormat="1" applyFont="1" applyBorder="1" applyAlignment="1">
      <alignment wrapText="1"/>
    </xf>
    <xf numFmtId="2" fontId="58" fillId="0" borderId="20" xfId="2" applyNumberFormat="1" applyFont="1" applyBorder="1" applyAlignment="1">
      <alignment wrapText="1"/>
    </xf>
    <xf numFmtId="2" fontId="1" fillId="0" borderId="20" xfId="0" applyNumberFormat="1" applyFont="1" applyBorder="1" applyAlignment="1">
      <alignment wrapText="1"/>
    </xf>
    <xf numFmtId="2" fontId="1" fillId="0" borderId="50" xfId="2" applyNumberFormat="1" applyFont="1" applyBorder="1" applyAlignment="1">
      <alignment horizontal="center" wrapText="1"/>
    </xf>
    <xf numFmtId="2" fontId="58" fillId="0" borderId="49" xfId="2" applyNumberFormat="1" applyFont="1" applyBorder="1" applyAlignment="1">
      <alignment horizontal="center" wrapText="1"/>
    </xf>
    <xf numFmtId="2" fontId="58" fillId="0" borderId="20" xfId="2" applyNumberFormat="1" applyFont="1" applyBorder="1" applyAlignment="1">
      <alignment horizontal="center" wrapText="1"/>
    </xf>
    <xf numFmtId="2" fontId="1" fillId="0" borderId="20" xfId="2" applyNumberFormat="1" applyFont="1" applyBorder="1" applyAlignment="1">
      <alignment horizontal="center" wrapText="1"/>
    </xf>
    <xf numFmtId="2" fontId="66" fillId="0" borderId="20" xfId="2" applyNumberFormat="1" applyFont="1" applyBorder="1" applyAlignment="1">
      <alignment horizontal="right" wrapText="1"/>
    </xf>
    <xf numFmtId="10" fontId="55" fillId="60" borderId="20" xfId="3" applyNumberFormat="1" applyFont="1" applyFill="1" applyBorder="1" applyAlignment="1">
      <alignment horizontal="right" wrapText="1"/>
    </xf>
    <xf numFmtId="2" fontId="55" fillId="0" borderId="20" xfId="2" applyNumberFormat="1" applyFont="1" applyBorder="1" applyAlignment="1">
      <alignment horizontal="center" wrapText="1"/>
    </xf>
    <xf numFmtId="164" fontId="55" fillId="60" borderId="20" xfId="2" applyNumberFormat="1" applyFont="1" applyFill="1" applyBorder="1" applyAlignment="1">
      <alignment horizontal="center" wrapText="1"/>
    </xf>
    <xf numFmtId="0" fontId="1" fillId="60" borderId="86" xfId="0" applyFont="1" applyFill="1" applyBorder="1"/>
    <xf numFmtId="177" fontId="1" fillId="60" borderId="86" xfId="0" applyNumberFormat="1" applyFont="1" applyFill="1" applyBorder="1" applyAlignment="1">
      <alignment horizontal="center"/>
    </xf>
    <xf numFmtId="185" fontId="1" fillId="60" borderId="84" xfId="0" applyNumberFormat="1" applyFont="1" applyFill="1" applyBorder="1"/>
    <xf numFmtId="43" fontId="1" fillId="60" borderId="20" xfId="1" applyFont="1" applyFill="1" applyBorder="1"/>
    <xf numFmtId="43" fontId="1" fillId="60" borderId="0" xfId="1" applyFont="1" applyFill="1" applyBorder="1"/>
    <xf numFmtId="0" fontId="17" fillId="0" borderId="45" xfId="0" applyFont="1" applyBorder="1"/>
    <xf numFmtId="165" fontId="0" fillId="0" borderId="51" xfId="0" applyNumberFormat="1" applyBorder="1"/>
    <xf numFmtId="0" fontId="0" fillId="0" borderId="80" xfId="0" applyBorder="1"/>
    <xf numFmtId="165" fontId="17" fillId="60" borderId="82" xfId="0" applyNumberFormat="1" applyFont="1" applyFill="1" applyBorder="1"/>
    <xf numFmtId="165" fontId="17" fillId="60" borderId="78" xfId="0" applyNumberFormat="1" applyFont="1" applyFill="1" applyBorder="1"/>
    <xf numFmtId="165" fontId="17" fillId="62" borderId="99" xfId="0" applyNumberFormat="1" applyFont="1" applyFill="1" applyBorder="1"/>
    <xf numFmtId="43" fontId="66" fillId="56" borderId="82" xfId="0" applyNumberFormat="1" applyFont="1" applyFill="1" applyBorder="1"/>
    <xf numFmtId="164" fontId="66" fillId="62" borderId="78" xfId="0" applyNumberFormat="1" applyFont="1" applyFill="1" applyBorder="1"/>
    <xf numFmtId="43" fontId="66" fillId="0" borderId="45" xfId="1" applyFont="1" applyFill="1" applyBorder="1" applyAlignment="1">
      <alignment horizontal="right"/>
    </xf>
    <xf numFmtId="43" fontId="66" fillId="0" borderId="51" xfId="1" applyFont="1" applyFill="1" applyBorder="1" applyAlignment="1">
      <alignment horizontal="right"/>
    </xf>
    <xf numFmtId="165" fontId="66" fillId="0" borderId="46" xfId="1" applyNumberFormat="1" applyFont="1" applyFill="1" applyBorder="1" applyAlignment="1">
      <alignment horizontal="right"/>
    </xf>
    <xf numFmtId="43" fontId="66" fillId="0" borderId="20" xfId="1" applyFont="1" applyFill="1" applyBorder="1" applyAlignment="1">
      <alignment horizontal="centerContinuous" wrapText="1"/>
    </xf>
    <xf numFmtId="43" fontId="66" fillId="0" borderId="80" xfId="1" applyFont="1" applyFill="1" applyBorder="1" applyAlignment="1">
      <alignment horizontal="centerContinuous" wrapText="1"/>
    </xf>
    <xf numFmtId="43" fontId="66" fillId="0" borderId="78" xfId="1" applyFont="1" applyFill="1" applyBorder="1" applyAlignment="1">
      <alignment horizontal="centerContinuous" wrapText="1"/>
    </xf>
    <xf numFmtId="43" fontId="66" fillId="0" borderId="82" xfId="1" applyFont="1" applyFill="1" applyBorder="1" applyAlignment="1">
      <alignment horizontal="centerContinuous" wrapText="1"/>
    </xf>
    <xf numFmtId="165" fontId="66" fillId="0" borderId="81" xfId="1" applyNumberFormat="1" applyFont="1" applyFill="1" applyBorder="1" applyAlignment="1">
      <alignment horizontal="centerContinuous" wrapText="1"/>
    </xf>
    <xf numFmtId="0" fontId="55" fillId="0" borderId="47" xfId="0" applyFont="1" applyBorder="1"/>
    <xf numFmtId="172" fontId="1" fillId="0" borderId="45" xfId="0" applyNumberFormat="1" applyFont="1" applyBorder="1"/>
    <xf numFmtId="172" fontId="1" fillId="0" borderId="0" xfId="0" applyNumberFormat="1" applyFont="1"/>
    <xf numFmtId="174" fontId="1" fillId="0" borderId="46" xfId="2" applyNumberFormat="1" applyFont="1" applyFill="1" applyBorder="1"/>
    <xf numFmtId="172" fontId="55" fillId="0" borderId="0" xfId="0" applyNumberFormat="1" applyFont="1"/>
    <xf numFmtId="172" fontId="55" fillId="0" borderId="0" xfId="0" applyNumberFormat="1" applyFont="1" applyAlignment="1">
      <alignment horizontal="right"/>
    </xf>
    <xf numFmtId="172" fontId="1" fillId="0" borderId="0" xfId="0" applyNumberFormat="1" applyFont="1" applyAlignment="1">
      <alignment horizontal="right"/>
    </xf>
    <xf numFmtId="164" fontId="1" fillId="0" borderId="0" xfId="0" applyNumberFormat="1" applyFont="1" applyAlignment="1">
      <alignment horizontal="right"/>
    </xf>
    <xf numFmtId="44" fontId="1" fillId="0" borderId="0" xfId="2" applyFont="1" applyFill="1" applyBorder="1" applyAlignment="1">
      <alignment horizontal="right"/>
    </xf>
    <xf numFmtId="174" fontId="1" fillId="0" borderId="46" xfId="2" applyNumberFormat="1" applyFont="1" applyFill="1" applyBorder="1" applyAlignment="1">
      <alignment horizontal="right"/>
    </xf>
    <xf numFmtId="173" fontId="1" fillId="0" borderId="0" xfId="3" applyNumberFormat="1" applyFont="1" applyFill="1" applyBorder="1" applyAlignment="1">
      <alignment horizontal="right"/>
    </xf>
    <xf numFmtId="164" fontId="58" fillId="0" borderId="0" xfId="2" applyNumberFormat="1" applyFont="1" applyFill="1" applyBorder="1"/>
    <xf numFmtId="174" fontId="55" fillId="0" borderId="46" xfId="2" applyNumberFormat="1" applyFont="1" applyFill="1" applyBorder="1"/>
    <xf numFmtId="172" fontId="1" fillId="0" borderId="49" xfId="0" applyNumberFormat="1" applyFont="1" applyBorder="1"/>
    <xf numFmtId="174" fontId="1" fillId="0" borderId="50" xfId="2" applyNumberFormat="1" applyFont="1" applyFill="1" applyBorder="1"/>
    <xf numFmtId="172" fontId="57" fillId="0" borderId="0" xfId="0" applyNumberFormat="1" applyFont="1"/>
    <xf numFmtId="164" fontId="57" fillId="0" borderId="0" xfId="2" applyNumberFormat="1" applyFont="1" applyFill="1" applyBorder="1"/>
    <xf numFmtId="43" fontId="84" fillId="0" borderId="0" xfId="0" applyNumberFormat="1" applyFont="1"/>
    <xf numFmtId="10" fontId="1" fillId="0" borderId="0" xfId="3" applyNumberFormat="1" applyFont="1" applyFill="1" applyBorder="1" applyAlignment="1">
      <alignment horizontal="center"/>
    </xf>
    <xf numFmtId="165" fontId="55" fillId="0" borderId="86" xfId="1" applyNumberFormat="1" applyFont="1" applyFill="1" applyBorder="1"/>
    <xf numFmtId="165" fontId="1" fillId="0" borderId="0" xfId="1" applyNumberFormat="1" applyFont="1" applyFill="1" applyBorder="1" applyAlignment="1">
      <alignment horizontal="right"/>
    </xf>
    <xf numFmtId="43" fontId="84" fillId="0" borderId="0" xfId="2" applyNumberFormat="1" applyFont="1" applyFill="1" applyBorder="1"/>
    <xf numFmtId="165" fontId="57" fillId="0" borderId="0" xfId="1" applyNumberFormat="1" applyFont="1" applyFill="1" applyBorder="1"/>
    <xf numFmtId="172" fontId="61" fillId="0" borderId="49" xfId="0" applyNumberFormat="1" applyFont="1" applyBorder="1"/>
    <xf numFmtId="172" fontId="61" fillId="0" borderId="20" xfId="0" applyNumberFormat="1" applyFont="1" applyBorder="1"/>
    <xf numFmtId="172" fontId="61" fillId="0" borderId="20" xfId="0" applyNumberFormat="1" applyFont="1" applyBorder="1" applyAlignment="1">
      <alignment horizontal="center"/>
    </xf>
    <xf numFmtId="172" fontId="61" fillId="0" borderId="20" xfId="0" applyNumberFormat="1" applyFont="1" applyBorder="1" applyAlignment="1">
      <alignment horizontal="right"/>
    </xf>
    <xf numFmtId="172" fontId="55" fillId="0" borderId="20" xfId="2" applyNumberFormat="1" applyFont="1" applyFill="1" applyBorder="1" applyAlignment="1">
      <alignment horizontal="right" wrapText="1"/>
    </xf>
    <xf numFmtId="165" fontId="66" fillId="0" borderId="20" xfId="1" applyNumberFormat="1" applyFont="1" applyFill="1" applyBorder="1" applyAlignment="1">
      <alignment horizontal="right" wrapText="1"/>
    </xf>
    <xf numFmtId="172" fontId="55" fillId="0" borderId="50" xfId="2" applyNumberFormat="1" applyFont="1" applyFill="1" applyBorder="1" applyAlignment="1">
      <alignment horizontal="right" wrapText="1"/>
    </xf>
    <xf numFmtId="172" fontId="55" fillId="0" borderId="80" xfId="0" applyNumberFormat="1" applyFont="1" applyBorder="1"/>
    <xf numFmtId="172" fontId="55" fillId="0" borderId="82" xfId="0" applyNumberFormat="1" applyFont="1" applyBorder="1"/>
    <xf numFmtId="164" fontId="55" fillId="0" borderId="82" xfId="2" applyNumberFormat="1" applyFont="1" applyFill="1" applyBorder="1"/>
    <xf numFmtId="173" fontId="55" fillId="0" borderId="82" xfId="3" applyNumberFormat="1" applyFont="1" applyFill="1" applyBorder="1"/>
    <xf numFmtId="165" fontId="55" fillId="0" borderId="82" xfId="1" applyNumberFormat="1" applyFont="1" applyFill="1" applyBorder="1"/>
    <xf numFmtId="164" fontId="54" fillId="0" borderId="78" xfId="2" applyNumberFormat="1" applyFont="1" applyFill="1" applyBorder="1" applyAlignment="1">
      <alignment horizontal="right"/>
    </xf>
    <xf numFmtId="164" fontId="54" fillId="0" borderId="78" xfId="2" applyNumberFormat="1" applyFont="1" applyFill="1" applyBorder="1"/>
    <xf numFmtId="0" fontId="55" fillId="0" borderId="80" xfId="0" applyFont="1" applyBorder="1" applyAlignment="1">
      <alignment vertical="center"/>
    </xf>
    <xf numFmtId="0" fontId="1" fillId="0" borderId="81" xfId="0" quotePrefix="1" applyFont="1" applyBorder="1" applyAlignment="1">
      <alignment horizontal="center" vertical="center" wrapText="1"/>
    </xf>
    <xf numFmtId="0" fontId="55" fillId="0" borderId="80" xfId="0" applyFont="1" applyBorder="1" applyAlignment="1">
      <alignment vertical="center" wrapText="1"/>
    </xf>
    <xf numFmtId="0" fontId="0" fillId="0" borderId="82" xfId="0" applyBorder="1" applyAlignment="1">
      <alignment horizontal="center" vertical="center"/>
    </xf>
    <xf numFmtId="0" fontId="1" fillId="0" borderId="82" xfId="0" applyFont="1" applyBorder="1" applyAlignment="1">
      <alignment horizontal="center" vertical="center" wrapText="1"/>
    </xf>
    <xf numFmtId="0" fontId="1" fillId="0" borderId="82" xfId="0" quotePrefix="1" applyFont="1" applyBorder="1" applyAlignment="1">
      <alignment horizontal="center" vertical="center" wrapText="1"/>
    </xf>
    <xf numFmtId="165" fontId="55" fillId="0" borderId="0" xfId="1" applyNumberFormat="1" applyFont="1" applyBorder="1" applyAlignment="1">
      <alignment horizontal="right"/>
    </xf>
    <xf numFmtId="43" fontId="1" fillId="0" borderId="82" xfId="1" applyFont="1" applyBorder="1" applyAlignment="1">
      <alignment horizontal="center" vertical="center"/>
    </xf>
    <xf numFmtId="164" fontId="55" fillId="62" borderId="78" xfId="0" applyNumberFormat="1" applyFont="1" applyFill="1" applyBorder="1"/>
    <xf numFmtId="164" fontId="1" fillId="0" borderId="82" xfId="0" applyNumberFormat="1" applyFont="1" applyBorder="1"/>
    <xf numFmtId="164" fontId="55" fillId="60" borderId="81" xfId="2" applyNumberFormat="1" applyFont="1" applyFill="1" applyBorder="1"/>
    <xf numFmtId="164" fontId="1" fillId="0" borderId="86" xfId="0" applyNumberFormat="1" applyFont="1" applyBorder="1"/>
    <xf numFmtId="165" fontId="1" fillId="0" borderId="86" xfId="1" applyNumberFormat="1" applyFont="1" applyBorder="1"/>
    <xf numFmtId="164" fontId="1" fillId="0" borderId="84" xfId="2" applyNumberFormat="1" applyFont="1" applyBorder="1"/>
    <xf numFmtId="165" fontId="17" fillId="62" borderId="78" xfId="0" applyNumberFormat="1" applyFont="1" applyFill="1" applyBorder="1"/>
    <xf numFmtId="165" fontId="0" fillId="0" borderId="0" xfId="1" applyNumberFormat="1" applyFont="1" applyBorder="1" applyAlignment="1"/>
    <xf numFmtId="0" fontId="81" fillId="0" borderId="78" xfId="0" applyFont="1" applyBorder="1" applyAlignment="1">
      <alignment horizontal="right" wrapText="1"/>
    </xf>
    <xf numFmtId="0" fontId="0" fillId="0" borderId="20" xfId="0" applyBorder="1" applyAlignment="1">
      <alignment horizontal="right"/>
    </xf>
    <xf numFmtId="0" fontId="73" fillId="0" borderId="20" xfId="0" applyFont="1" applyBorder="1"/>
    <xf numFmtId="0" fontId="17" fillId="0" borderId="20" xfId="0" applyFont="1" applyBorder="1" applyAlignment="1">
      <alignment horizontal="right" wrapText="1"/>
    </xf>
    <xf numFmtId="10" fontId="1" fillId="60" borderId="45" xfId="3" applyNumberFormat="1" applyFont="1" applyFill="1" applyBorder="1"/>
    <xf numFmtId="173" fontId="1" fillId="60" borderId="46" xfId="3" applyNumberFormat="1" applyFont="1" applyFill="1" applyBorder="1"/>
    <xf numFmtId="10" fontId="1" fillId="56" borderId="47" xfId="3" applyNumberFormat="1" applyFont="1" applyFill="1" applyBorder="1"/>
    <xf numFmtId="173" fontId="1" fillId="56" borderId="48" xfId="3" applyNumberFormat="1" applyFont="1" applyFill="1" applyBorder="1"/>
    <xf numFmtId="0" fontId="60" fillId="0" borderId="89" xfId="0" applyFont="1" applyBorder="1"/>
    <xf numFmtId="43" fontId="1" fillId="0" borderId="90" xfId="0" applyNumberFormat="1" applyFont="1" applyBorder="1"/>
    <xf numFmtId="0" fontId="60" fillId="0" borderId="45" xfId="0" applyFont="1" applyBorder="1"/>
    <xf numFmtId="43" fontId="1" fillId="0" borderId="46" xfId="1" applyFont="1" applyFill="1" applyBorder="1"/>
    <xf numFmtId="0" fontId="60" fillId="0" borderId="49" xfId="0" applyFont="1" applyBorder="1"/>
    <xf numFmtId="43" fontId="1" fillId="0" borderId="50" xfId="0" applyNumberFormat="1" applyFont="1" applyBorder="1"/>
    <xf numFmtId="0" fontId="55" fillId="0" borderId="81" xfId="0" applyFont="1" applyBorder="1" applyAlignment="1">
      <alignment horizontal="right" wrapText="1"/>
    </xf>
    <xf numFmtId="10" fontId="54" fillId="60" borderId="65" xfId="3" applyNumberFormat="1" applyFont="1" applyFill="1" applyBorder="1"/>
    <xf numFmtId="0" fontId="0" fillId="0" borderId="0" xfId="0" applyAlignment="1">
      <alignment horizontal="right" wrapText="1"/>
    </xf>
    <xf numFmtId="41" fontId="54" fillId="0" borderId="0" xfId="0" applyNumberFormat="1" applyFont="1"/>
    <xf numFmtId="164" fontId="54" fillId="60" borderId="45" xfId="0" applyNumberFormat="1" applyFont="1" applyFill="1" applyBorder="1"/>
    <xf numFmtId="164" fontId="54" fillId="60" borderId="0" xfId="0" applyNumberFormat="1" applyFont="1" applyFill="1"/>
    <xf numFmtId="164" fontId="54" fillId="60" borderId="20" xfId="0" applyNumberFormat="1" applyFont="1" applyFill="1" applyBorder="1"/>
    <xf numFmtId="164" fontId="54" fillId="60" borderId="51" xfId="0" applyNumberFormat="1" applyFont="1" applyFill="1" applyBorder="1"/>
    <xf numFmtId="164" fontId="54" fillId="60" borderId="46" xfId="0" applyNumberFormat="1" applyFont="1" applyFill="1" applyBorder="1"/>
    <xf numFmtId="164" fontId="54" fillId="60" borderId="34" xfId="0" applyNumberFormat="1" applyFont="1" applyFill="1" applyBorder="1"/>
    <xf numFmtId="164" fontId="54" fillId="60" borderId="50" xfId="0" applyNumberFormat="1" applyFont="1" applyFill="1" applyBorder="1"/>
    <xf numFmtId="164" fontId="66" fillId="60" borderId="81" xfId="0" applyNumberFormat="1" applyFont="1" applyFill="1" applyBorder="1"/>
    <xf numFmtId="10" fontId="55" fillId="60" borderId="34" xfId="3" applyNumberFormat="1" applyFont="1" applyFill="1" applyBorder="1" applyAlignment="1">
      <alignment horizontal="center"/>
    </xf>
    <xf numFmtId="164" fontId="1" fillId="0" borderId="0" xfId="1" applyNumberFormat="1" applyFont="1" applyFill="1" applyBorder="1"/>
    <xf numFmtId="164" fontId="55" fillId="0" borderId="0" xfId="2" applyNumberFormat="1" applyFont="1" applyFill="1" applyAlignment="1">
      <alignment horizontal="right"/>
    </xf>
    <xf numFmtId="0" fontId="55" fillId="0" borderId="50" xfId="0" applyFont="1" applyBorder="1"/>
    <xf numFmtId="10" fontId="1" fillId="60" borderId="49" xfId="3" applyNumberFormat="1" applyFont="1" applyFill="1" applyBorder="1"/>
    <xf numFmtId="10" fontId="55" fillId="60" borderId="49" xfId="3" applyNumberFormat="1" applyFont="1" applyFill="1" applyBorder="1"/>
    <xf numFmtId="10" fontId="1" fillId="0" borderId="0" xfId="2" applyNumberFormat="1" applyFont="1"/>
    <xf numFmtId="10" fontId="1" fillId="60" borderId="88" xfId="3" applyNumberFormat="1" applyFont="1" applyFill="1" applyBorder="1"/>
    <xf numFmtId="10" fontId="55" fillId="60" borderId="34" xfId="3" applyNumberFormat="1" applyFont="1" applyFill="1" applyBorder="1"/>
    <xf numFmtId="164" fontId="55" fillId="0" borderId="78" xfId="2" applyNumberFormat="1" applyFont="1" applyFill="1" applyBorder="1"/>
    <xf numFmtId="176" fontId="54" fillId="55" borderId="0" xfId="0" applyNumberFormat="1" applyFont="1" applyFill="1" applyAlignment="1">
      <alignment horizontal="center"/>
    </xf>
    <xf numFmtId="164" fontId="1" fillId="71" borderId="22" xfId="2" applyNumberFormat="1" applyFont="1" applyFill="1" applyBorder="1"/>
    <xf numFmtId="43" fontId="0" fillId="71" borderId="51" xfId="1" applyFont="1" applyFill="1" applyBorder="1"/>
    <xf numFmtId="3" fontId="0" fillId="71" borderId="45" xfId="0" applyNumberFormat="1" applyFill="1" applyBorder="1"/>
    <xf numFmtId="3" fontId="0" fillId="71" borderId="0" xfId="0" applyNumberFormat="1" applyFill="1"/>
    <xf numFmtId="3" fontId="0" fillId="71" borderId="51" xfId="0" applyNumberFormat="1" applyFill="1" applyBorder="1"/>
    <xf numFmtId="164" fontId="1" fillId="75" borderId="22" xfId="2" applyNumberFormat="1" applyFont="1" applyFill="1" applyBorder="1"/>
    <xf numFmtId="3" fontId="0" fillId="77" borderId="51" xfId="0" applyNumberFormat="1" applyFill="1" applyBorder="1"/>
    <xf numFmtId="43" fontId="1" fillId="71" borderId="22" xfId="1" applyFont="1" applyFill="1" applyBorder="1"/>
    <xf numFmtId="43" fontId="1" fillId="75" borderId="22" xfId="1" applyFont="1" applyFill="1" applyBorder="1"/>
    <xf numFmtId="43" fontId="0" fillId="71" borderId="34" xfId="1" applyFont="1" applyFill="1" applyBorder="1"/>
    <xf numFmtId="43" fontId="0" fillId="71" borderId="20" xfId="1" applyFont="1" applyFill="1" applyBorder="1"/>
    <xf numFmtId="43" fontId="0" fillId="71" borderId="49" xfId="1" applyFont="1" applyFill="1" applyBorder="1"/>
    <xf numFmtId="43" fontId="0" fillId="77" borderId="34" xfId="1" applyFont="1" applyFill="1" applyBorder="1"/>
    <xf numFmtId="43" fontId="0" fillId="0" borderId="0" xfId="1" applyFont="1" applyFill="1"/>
    <xf numFmtId="164" fontId="0" fillId="0" borderId="0" xfId="0" applyNumberFormat="1"/>
    <xf numFmtId="164" fontId="0" fillId="0" borderId="0" xfId="0" applyNumberFormat="1" applyAlignment="1">
      <alignment horizontal="right"/>
    </xf>
    <xf numFmtId="44" fontId="1" fillId="60" borderId="34" xfId="2" applyFont="1" applyFill="1" applyBorder="1"/>
    <xf numFmtId="165" fontId="1" fillId="0" borderId="46" xfId="1" applyNumberFormat="1" applyFont="1" applyFill="1" applyBorder="1"/>
    <xf numFmtId="165" fontId="1" fillId="0" borderId="50" xfId="1" applyNumberFormat="1" applyFont="1" applyFill="1" applyBorder="1"/>
    <xf numFmtId="2" fontId="0" fillId="55" borderId="0" xfId="0" applyNumberFormat="1" applyFill="1"/>
    <xf numFmtId="2" fontId="0" fillId="0" borderId="34" xfId="0" applyNumberFormat="1" applyBorder="1"/>
    <xf numFmtId="2" fontId="0" fillId="55" borderId="20" xfId="0" applyNumberFormat="1" applyFill="1" applyBorder="1"/>
    <xf numFmtId="183" fontId="0" fillId="60" borderId="34" xfId="0" applyNumberFormat="1" applyFill="1" applyBorder="1"/>
    <xf numFmtId="8" fontId="1" fillId="0" borderId="34" xfId="3" applyNumberFormat="1" applyFont="1" applyBorder="1"/>
    <xf numFmtId="44" fontId="1" fillId="60" borderId="20" xfId="2" applyFont="1" applyFill="1" applyBorder="1"/>
    <xf numFmtId="43" fontId="1" fillId="0" borderId="34" xfId="1" applyFont="1" applyBorder="1"/>
    <xf numFmtId="8" fontId="1" fillId="60" borderId="49" xfId="2" applyNumberFormat="1" applyFont="1" applyFill="1" applyBorder="1"/>
    <xf numFmtId="8" fontId="1" fillId="60" borderId="34" xfId="2" applyNumberFormat="1" applyFont="1" applyFill="1" applyBorder="1"/>
    <xf numFmtId="8" fontId="1" fillId="60" borderId="50" xfId="2" applyNumberFormat="1" applyFont="1" applyFill="1" applyBorder="1"/>
    <xf numFmtId="0" fontId="54" fillId="55" borderId="45" xfId="0" applyFont="1" applyFill="1" applyBorder="1" applyAlignment="1">
      <alignment horizontal="left"/>
    </xf>
    <xf numFmtId="164" fontId="55" fillId="0" borderId="34" xfId="2" applyNumberFormat="1" applyFont="1" applyBorder="1"/>
    <xf numFmtId="10" fontId="1" fillId="60" borderId="83" xfId="3" applyNumberFormat="1" applyFont="1" applyFill="1" applyBorder="1"/>
    <xf numFmtId="44" fontId="66" fillId="60" borderId="83" xfId="2" applyFont="1" applyFill="1" applyBorder="1" applyAlignment="1">
      <alignment horizontal="center"/>
    </xf>
    <xf numFmtId="165" fontId="86" fillId="0" borderId="46" xfId="2" applyNumberFormat="1" applyFont="1" applyFill="1" applyBorder="1"/>
    <xf numFmtId="165" fontId="86" fillId="0" borderId="45" xfId="2" applyNumberFormat="1" applyFont="1" applyFill="1" applyBorder="1"/>
    <xf numFmtId="165" fontId="86" fillId="0" borderId="51" xfId="2" applyNumberFormat="1" applyFont="1" applyFill="1" applyBorder="1"/>
    <xf numFmtId="165" fontId="86" fillId="0" borderId="0" xfId="0" applyNumberFormat="1" applyFont="1"/>
    <xf numFmtId="165" fontId="86" fillId="0" borderId="0" xfId="2" applyNumberFormat="1" applyFont="1" applyFill="1" applyBorder="1"/>
    <xf numFmtId="0" fontId="1" fillId="0" borderId="88" xfId="0" applyFont="1" applyBorder="1" applyAlignment="1">
      <alignment horizontal="centerContinuous"/>
    </xf>
    <xf numFmtId="165" fontId="86" fillId="0" borderId="88" xfId="2" applyNumberFormat="1" applyFont="1" applyFill="1" applyBorder="1"/>
    <xf numFmtId="164" fontId="55" fillId="0" borderId="59" xfId="0" applyNumberFormat="1" applyFont="1" applyBorder="1" applyAlignment="1">
      <alignment horizontal="right" wrapText="1"/>
    </xf>
    <xf numFmtId="164" fontId="54" fillId="60" borderId="68" xfId="2" applyNumberFormat="1" applyFont="1" applyFill="1" applyBorder="1"/>
    <xf numFmtId="44" fontId="1" fillId="0" borderId="78" xfId="0" applyNumberFormat="1" applyFont="1" applyBorder="1" applyAlignment="1">
      <alignment horizontal="center"/>
    </xf>
    <xf numFmtId="44" fontId="1" fillId="0" borderId="80" xfId="0" applyNumberFormat="1" applyFont="1" applyBorder="1" applyAlignment="1">
      <alignment horizontal="center"/>
    </xf>
    <xf numFmtId="44" fontId="1" fillId="0" borderId="82" xfId="0" applyNumberFormat="1" applyFont="1" applyBorder="1" applyAlignment="1">
      <alignment horizontal="center"/>
    </xf>
    <xf numFmtId="44" fontId="1" fillId="0" borderId="78" xfId="0" quotePrefix="1" applyNumberFormat="1" applyFont="1" applyBorder="1" applyAlignment="1">
      <alignment horizontal="center"/>
    </xf>
    <xf numFmtId="44" fontId="1" fillId="0" borderId="10" xfId="0" quotePrefix="1" applyNumberFormat="1" applyFont="1" applyBorder="1" applyAlignment="1">
      <alignment horizontal="center"/>
    </xf>
    <xf numFmtId="44" fontId="1" fillId="0" borderId="51" xfId="0" applyNumberFormat="1" applyFont="1" applyBorder="1"/>
    <xf numFmtId="44" fontId="1" fillId="0" borderId="45" xfId="0" applyNumberFormat="1" applyFont="1" applyBorder="1"/>
    <xf numFmtId="44" fontId="1" fillId="0" borderId="88" xfId="0" applyNumberFormat="1" applyFont="1" applyBorder="1"/>
    <xf numFmtId="44" fontId="1" fillId="0" borderId="78" xfId="2" applyFont="1" applyBorder="1" applyAlignment="1">
      <alignment horizontal="center"/>
    </xf>
    <xf numFmtId="44" fontId="1" fillId="0" borderId="81" xfId="0" applyNumberFormat="1" applyFont="1" applyBorder="1" applyAlignment="1">
      <alignment horizontal="center"/>
    </xf>
    <xf numFmtId="44" fontId="1" fillId="0" borderId="0" xfId="0" quotePrefix="1" applyNumberFormat="1" applyFont="1" applyAlignment="1">
      <alignment horizontal="center"/>
    </xf>
    <xf numFmtId="44" fontId="1" fillId="0" borderId="78" xfId="0" applyNumberFormat="1" applyFont="1" applyBorder="1"/>
    <xf numFmtId="0" fontId="1" fillId="0" borderId="61" xfId="0" applyFont="1" applyBorder="1"/>
    <xf numFmtId="165" fontId="1" fillId="0" borderId="86" xfId="2" applyNumberFormat="1" applyFont="1" applyBorder="1"/>
    <xf numFmtId="165" fontId="1" fillId="60" borderId="86" xfId="0" applyNumberFormat="1" applyFont="1" applyFill="1" applyBorder="1"/>
    <xf numFmtId="165" fontId="1" fillId="60" borderId="84" xfId="0" applyNumberFormat="1" applyFont="1" applyFill="1" applyBorder="1"/>
    <xf numFmtId="165" fontId="1" fillId="60" borderId="20" xfId="0" applyNumberFormat="1" applyFont="1" applyFill="1" applyBorder="1"/>
    <xf numFmtId="165" fontId="1" fillId="60" borderId="50" xfId="0" applyNumberFormat="1" applyFont="1" applyFill="1" applyBorder="1"/>
    <xf numFmtId="165" fontId="55" fillId="60" borderId="82" xfId="0" applyNumberFormat="1" applyFont="1" applyFill="1" applyBorder="1"/>
    <xf numFmtId="173" fontId="54" fillId="60" borderId="102" xfId="3" applyNumberFormat="1" applyFont="1" applyFill="1" applyBorder="1"/>
    <xf numFmtId="173" fontId="55" fillId="60" borderId="103" xfId="3" applyNumberFormat="1" applyFont="1" applyFill="1" applyBorder="1"/>
    <xf numFmtId="0" fontId="1" fillId="0" borderId="83" xfId="0" applyFont="1" applyBorder="1" applyAlignment="1">
      <alignment wrapText="1"/>
    </xf>
    <xf numFmtId="0" fontId="1" fillId="0" borderId="86" xfId="0" applyFont="1" applyBorder="1" applyAlignment="1">
      <alignment wrapText="1"/>
    </xf>
    <xf numFmtId="0" fontId="1" fillId="0" borderId="84" xfId="0" applyFont="1" applyBorder="1" applyAlignment="1">
      <alignment wrapText="1"/>
    </xf>
    <xf numFmtId="44" fontId="54" fillId="0" borderId="0" xfId="2" applyFont="1" applyBorder="1"/>
    <xf numFmtId="44" fontId="1" fillId="0" borderId="49" xfId="2" applyFont="1" applyBorder="1"/>
    <xf numFmtId="44" fontId="54" fillId="0" borderId="20" xfId="2" applyFont="1" applyBorder="1"/>
    <xf numFmtId="10" fontId="1" fillId="0" borderId="0" xfId="3" applyNumberFormat="1" applyFont="1" applyFill="1"/>
    <xf numFmtId="10" fontId="1" fillId="0" borderId="0" xfId="3" applyNumberFormat="1" applyFont="1" applyFill="1" applyBorder="1"/>
    <xf numFmtId="10" fontId="55" fillId="0" borderId="0" xfId="0" applyNumberFormat="1" applyFont="1"/>
    <xf numFmtId="164" fontId="54" fillId="0" borderId="0" xfId="2" applyNumberFormat="1" applyFont="1" applyBorder="1"/>
    <xf numFmtId="43" fontId="96" fillId="0" borderId="97" xfId="1" applyFont="1" applyFill="1" applyBorder="1" applyAlignment="1"/>
    <xf numFmtId="4" fontId="96" fillId="0" borderId="0" xfId="0" applyNumberFormat="1" applyFont="1"/>
    <xf numFmtId="4" fontId="95" fillId="0" borderId="0" xfId="0" applyNumberFormat="1" applyFont="1"/>
    <xf numFmtId="43" fontId="96" fillId="0" borderId="0" xfId="1" applyFont="1" applyFill="1" applyBorder="1" applyAlignment="1"/>
    <xf numFmtId="43" fontId="95" fillId="0" borderId="0" xfId="1" applyFont="1" applyFill="1" applyBorder="1"/>
    <xf numFmtId="173" fontId="54" fillId="60" borderId="104" xfId="3" applyNumberFormat="1" applyFont="1" applyFill="1" applyBorder="1"/>
    <xf numFmtId="43" fontId="98" fillId="0" borderId="97" xfId="1" applyFont="1" applyFill="1" applyBorder="1" applyAlignment="1"/>
    <xf numFmtId="4" fontId="98" fillId="0" borderId="0" xfId="0" applyNumberFormat="1" applyFont="1"/>
    <xf numFmtId="4" fontId="97" fillId="0" borderId="0" xfId="0" applyNumberFormat="1" applyFont="1"/>
    <xf numFmtId="43" fontId="98" fillId="0" borderId="0" xfId="1" applyFont="1" applyFill="1" applyBorder="1" applyAlignment="1"/>
    <xf numFmtId="165" fontId="1" fillId="55" borderId="65" xfId="1" applyNumberFormat="1" applyFont="1" applyFill="1" applyBorder="1"/>
    <xf numFmtId="165" fontId="1" fillId="0" borderId="51" xfId="1" applyNumberFormat="1" applyFont="1" applyBorder="1"/>
    <xf numFmtId="0" fontId="1" fillId="0" borderId="25" xfId="0" applyFont="1" applyBorder="1" applyAlignment="1">
      <alignment horizontal="left"/>
    </xf>
    <xf numFmtId="0" fontId="1" fillId="0" borderId="25" xfId="0" applyFont="1" applyBorder="1" applyAlignment="1">
      <alignment horizontal="center"/>
    </xf>
    <xf numFmtId="43" fontId="54" fillId="60" borderId="22" xfId="1" applyFont="1" applyFill="1" applyBorder="1"/>
    <xf numFmtId="43" fontId="54" fillId="60" borderId="98" xfId="1" applyFont="1" applyFill="1" applyBorder="1"/>
    <xf numFmtId="43" fontId="54" fillId="56" borderId="98" xfId="1" applyFont="1" applyFill="1" applyBorder="1"/>
    <xf numFmtId="43" fontId="66" fillId="0" borderId="0" xfId="1" applyFont="1" applyFill="1" applyBorder="1"/>
    <xf numFmtId="43" fontId="54" fillId="60" borderId="43" xfId="1" applyFont="1" applyFill="1" applyBorder="1"/>
    <xf numFmtId="0" fontId="66" fillId="0" borderId="0" xfId="0" applyFont="1" applyAlignment="1">
      <alignment horizontal="right"/>
    </xf>
    <xf numFmtId="4" fontId="66" fillId="0" borderId="0" xfId="0" applyNumberFormat="1" applyFont="1" applyAlignment="1">
      <alignment horizontal="right"/>
    </xf>
    <xf numFmtId="0" fontId="86" fillId="0" borderId="0" xfId="0" applyFont="1" applyAlignment="1">
      <alignment horizontal="right"/>
    </xf>
    <xf numFmtId="0" fontId="55" fillId="56" borderId="0" xfId="0" applyFont="1" applyFill="1"/>
    <xf numFmtId="164" fontId="55" fillId="56" borderId="0" xfId="2" applyNumberFormat="1" applyFont="1" applyFill="1"/>
    <xf numFmtId="10" fontId="55" fillId="56" borderId="0" xfId="3" applyNumberFormat="1" applyFont="1" applyFill="1"/>
    <xf numFmtId="164" fontId="55" fillId="56" borderId="0" xfId="0" applyNumberFormat="1" applyFont="1" applyFill="1"/>
    <xf numFmtId="0" fontId="1" fillId="56" borderId="0" xfId="0" applyFont="1" applyFill="1"/>
    <xf numFmtId="43" fontId="54" fillId="0" borderId="97" xfId="1" applyFont="1" applyFill="1" applyBorder="1" applyAlignment="1"/>
    <xf numFmtId="4" fontId="66" fillId="0" borderId="0" xfId="0" applyNumberFormat="1" applyFont="1"/>
    <xf numFmtId="43" fontId="54" fillId="0" borderId="0" xfId="1" applyFont="1" applyFill="1" applyBorder="1" applyAlignment="1"/>
    <xf numFmtId="0" fontId="66" fillId="0" borderId="0" xfId="0" applyFont="1" applyAlignment="1">
      <alignment horizontal="center"/>
    </xf>
    <xf numFmtId="0" fontId="55" fillId="0" borderId="81" xfId="0" applyFont="1" applyBorder="1" applyAlignment="1">
      <alignment horizontal="left" wrapText="1"/>
    </xf>
    <xf numFmtId="0" fontId="1" fillId="55" borderId="105" xfId="0" applyFont="1" applyFill="1" applyBorder="1"/>
    <xf numFmtId="165" fontId="0" fillId="0" borderId="46" xfId="1" applyNumberFormat="1" applyFont="1" applyBorder="1"/>
    <xf numFmtId="165" fontId="0" fillId="55" borderId="46" xfId="1" applyNumberFormat="1" applyFont="1" applyFill="1" applyBorder="1"/>
    <xf numFmtId="165" fontId="0" fillId="55" borderId="50" xfId="1" applyNumberFormat="1" applyFont="1" applyFill="1" applyBorder="1"/>
    <xf numFmtId="165" fontId="17" fillId="56" borderId="20" xfId="0" applyNumberFormat="1" applyFont="1" applyFill="1" applyBorder="1"/>
    <xf numFmtId="165" fontId="17" fillId="56" borderId="50" xfId="0" applyNumberFormat="1" applyFont="1" applyFill="1" applyBorder="1"/>
    <xf numFmtId="165" fontId="17" fillId="0" borderId="81" xfId="1" applyNumberFormat="1" applyFont="1" applyBorder="1" applyAlignment="1">
      <alignment horizontal="right" wrapText="1"/>
    </xf>
    <xf numFmtId="165" fontId="0" fillId="55" borderId="84" xfId="1" applyNumberFormat="1" applyFont="1" applyFill="1" applyBorder="1"/>
    <xf numFmtId="165" fontId="0" fillId="71" borderId="0" xfId="1" applyNumberFormat="1" applyFont="1" applyFill="1" applyBorder="1"/>
    <xf numFmtId="165" fontId="0" fillId="71" borderId="46" xfId="1" applyNumberFormat="1" applyFont="1" applyFill="1" applyBorder="1"/>
    <xf numFmtId="43" fontId="0" fillId="71" borderId="50" xfId="1" applyFont="1" applyFill="1" applyBorder="1"/>
    <xf numFmtId="165" fontId="17" fillId="0" borderId="0" xfId="0" applyNumberFormat="1" applyFont="1"/>
    <xf numFmtId="165" fontId="0" fillId="56" borderId="88" xfId="0" applyNumberFormat="1" applyFill="1" applyBorder="1"/>
    <xf numFmtId="165" fontId="0" fillId="56" borderId="51" xfId="0" applyNumberFormat="1" applyFill="1" applyBorder="1"/>
    <xf numFmtId="165" fontId="17" fillId="56" borderId="34" xfId="0" applyNumberFormat="1" applyFont="1" applyFill="1" applyBorder="1"/>
    <xf numFmtId="165" fontId="17" fillId="56" borderId="80" xfId="0" applyNumberFormat="1" applyFont="1" applyFill="1" applyBorder="1"/>
    <xf numFmtId="165" fontId="17" fillId="56" borderId="78" xfId="0" applyNumberFormat="1" applyFont="1" applyFill="1" applyBorder="1"/>
    <xf numFmtId="10" fontId="1" fillId="60" borderId="46" xfId="3" applyNumberFormat="1" applyFont="1" applyFill="1" applyBorder="1"/>
    <xf numFmtId="10" fontId="1" fillId="60" borderId="50" xfId="3" applyNumberFormat="1" applyFont="1" applyFill="1" applyBorder="1"/>
    <xf numFmtId="10" fontId="55" fillId="60" borderId="50" xfId="0" applyNumberFormat="1" applyFont="1" applyFill="1" applyBorder="1"/>
    <xf numFmtId="43" fontId="1" fillId="67" borderId="0" xfId="1" applyFont="1" applyFill="1" applyBorder="1" applyAlignment="1"/>
    <xf numFmtId="0" fontId="1" fillId="0" borderId="46" xfId="0" applyFont="1" applyBorder="1" applyAlignment="1">
      <alignment wrapText="1"/>
    </xf>
    <xf numFmtId="44" fontId="1" fillId="0" borderId="0" xfId="2" applyFont="1" applyBorder="1" applyAlignment="1">
      <alignment wrapText="1"/>
    </xf>
    <xf numFmtId="0" fontId="66" fillId="0" borderId="0" xfId="0" applyFont="1" applyAlignment="1">
      <alignment horizontal="left"/>
    </xf>
    <xf numFmtId="0" fontId="55" fillId="0" borderId="78" xfId="0" applyFont="1" applyBorder="1" applyAlignment="1">
      <alignment horizontal="left"/>
    </xf>
    <xf numFmtId="0" fontId="1" fillId="55" borderId="51" xfId="0" applyFont="1" applyFill="1" applyBorder="1"/>
    <xf numFmtId="0" fontId="54" fillId="55" borderId="51" xfId="0" applyFont="1" applyFill="1" applyBorder="1"/>
    <xf numFmtId="0" fontId="1" fillId="55" borderId="34" xfId="0" applyFont="1" applyFill="1" applyBorder="1"/>
    <xf numFmtId="0" fontId="1" fillId="0" borderId="78" xfId="0" applyFont="1" applyBorder="1" applyAlignment="1">
      <alignment horizontal="centerContinuous"/>
    </xf>
    <xf numFmtId="164" fontId="1" fillId="55" borderId="51" xfId="2" applyNumberFormat="1" applyFont="1" applyFill="1" applyBorder="1"/>
    <xf numFmtId="164" fontId="54" fillId="55" borderId="51" xfId="2" applyNumberFormat="1" applyFont="1" applyFill="1" applyBorder="1"/>
    <xf numFmtId="164" fontId="1" fillId="55" borderId="34" xfId="2" applyNumberFormat="1" applyFont="1" applyFill="1" applyBorder="1"/>
    <xf numFmtId="164" fontId="17" fillId="0" borderId="78" xfId="2" applyNumberFormat="1" applyFont="1" applyBorder="1" applyAlignment="1">
      <alignment horizontal="right" wrapText="1"/>
    </xf>
    <xf numFmtId="165" fontId="0" fillId="56" borderId="34" xfId="0" applyNumberFormat="1" applyFill="1" applyBorder="1"/>
    <xf numFmtId="165" fontId="0" fillId="71" borderId="51" xfId="0" applyNumberFormat="1" applyFill="1" applyBorder="1"/>
    <xf numFmtId="165" fontId="0" fillId="76" borderId="51" xfId="0" applyNumberFormat="1" applyFill="1" applyBorder="1"/>
    <xf numFmtId="43" fontId="0" fillId="76" borderId="34" xfId="1" applyFont="1" applyFill="1" applyBorder="1"/>
    <xf numFmtId="165" fontId="66" fillId="60" borderId="78" xfId="0" applyNumberFormat="1" applyFont="1" applyFill="1" applyBorder="1"/>
    <xf numFmtId="165" fontId="66" fillId="62" borderId="81" xfId="0" applyNumberFormat="1" applyFont="1" applyFill="1" applyBorder="1"/>
    <xf numFmtId="164" fontId="1" fillId="60" borderId="78" xfId="2" applyNumberFormat="1" applyFont="1" applyFill="1" applyBorder="1"/>
    <xf numFmtId="164" fontId="55" fillId="0" borderId="82" xfId="0" applyNumberFormat="1" applyFont="1" applyBorder="1"/>
    <xf numFmtId="164" fontId="60" fillId="0" borderId="45" xfId="2" applyNumberFormat="1" applyFont="1" applyBorder="1"/>
    <xf numFmtId="164" fontId="60" fillId="0" borderId="0" xfId="2" applyNumberFormat="1" applyFont="1" applyBorder="1"/>
    <xf numFmtId="164" fontId="60" fillId="0" borderId="51" xfId="0" applyNumberFormat="1" applyFont="1" applyBorder="1"/>
    <xf numFmtId="164" fontId="60" fillId="0" borderId="0" xfId="0" applyNumberFormat="1" applyFont="1"/>
    <xf numFmtId="44" fontId="54" fillId="0" borderId="0" xfId="2" applyFont="1"/>
    <xf numFmtId="41" fontId="1" fillId="0" borderId="34" xfId="0" applyNumberFormat="1" applyFont="1" applyBorder="1"/>
    <xf numFmtId="164" fontId="1" fillId="0" borderId="34" xfId="2" applyNumberFormat="1" applyFont="1" applyBorder="1" applyAlignment="1">
      <alignment horizontal="center"/>
    </xf>
    <xf numFmtId="0" fontId="55" fillId="0" borderId="78" xfId="0" applyFont="1" applyBorder="1" applyAlignment="1">
      <alignment horizontal="right" wrapText="1"/>
    </xf>
    <xf numFmtId="164" fontId="1" fillId="0" borderId="51" xfId="2" applyNumberFormat="1" applyFont="1" applyBorder="1" applyAlignment="1">
      <alignment horizontal="center"/>
    </xf>
    <xf numFmtId="164" fontId="55" fillId="0" borderId="78" xfId="2" applyNumberFormat="1" applyFont="1" applyBorder="1" applyAlignment="1">
      <alignment horizontal="center"/>
    </xf>
    <xf numFmtId="2" fontId="1" fillId="0" borderId="51" xfId="2" applyNumberFormat="1" applyFont="1" applyBorder="1" applyAlignment="1">
      <alignment horizontal="center" wrapText="1"/>
    </xf>
    <xf numFmtId="164" fontId="1" fillId="0" borderId="88" xfId="2" applyNumberFormat="1" applyFont="1" applyBorder="1" applyAlignment="1">
      <alignment horizontal="center"/>
    </xf>
    <xf numFmtId="14" fontId="83" fillId="61" borderId="0" xfId="0" applyNumberFormat="1" applyFont="1" applyFill="1" applyAlignment="1">
      <alignment horizontal="right"/>
    </xf>
    <xf numFmtId="0" fontId="54" fillId="69" borderId="106" xfId="0" applyFont="1" applyFill="1" applyBorder="1" applyAlignment="1">
      <alignment horizontal="center"/>
    </xf>
    <xf numFmtId="0" fontId="55" fillId="0" borderId="107" xfId="0" applyFont="1" applyBorder="1" applyAlignment="1">
      <alignment horizontal="center" wrapText="1"/>
    </xf>
    <xf numFmtId="44" fontId="55" fillId="0" borderId="45" xfId="2" applyFont="1" applyBorder="1" applyAlignment="1">
      <alignment horizontal="right"/>
    </xf>
    <xf numFmtId="44" fontId="55" fillId="0" borderId="46" xfId="0" applyNumberFormat="1" applyFont="1" applyBorder="1"/>
    <xf numFmtId="44" fontId="55" fillId="0" borderId="20" xfId="2" applyFont="1" applyBorder="1"/>
    <xf numFmtId="0" fontId="55" fillId="0" borderId="84" xfId="0" applyFont="1" applyBorder="1" applyAlignment="1">
      <alignment horizontal="center"/>
    </xf>
    <xf numFmtId="0" fontId="54" fillId="68" borderId="70" xfId="0" applyFont="1" applyFill="1" applyBorder="1" applyAlignment="1">
      <alignment horizontal="center"/>
    </xf>
    <xf numFmtId="0" fontId="54" fillId="67" borderId="68" xfId="0" applyFont="1" applyFill="1" applyBorder="1" applyAlignment="1">
      <alignment horizontal="center"/>
    </xf>
    <xf numFmtId="0" fontId="54" fillId="67" borderId="109" xfId="0" applyFont="1" applyFill="1" applyBorder="1" applyAlignment="1">
      <alignment horizontal="left"/>
    </xf>
    <xf numFmtId="0" fontId="54" fillId="68" borderId="108" xfId="0" applyFont="1" applyFill="1" applyBorder="1" applyAlignment="1">
      <alignment horizontal="left"/>
    </xf>
    <xf numFmtId="0" fontId="54" fillId="68" borderId="68" xfId="0" applyFont="1" applyFill="1" applyBorder="1" applyAlignment="1">
      <alignment horizontal="center"/>
    </xf>
    <xf numFmtId="0" fontId="54" fillId="68" borderId="109" xfId="0" applyFont="1" applyFill="1" applyBorder="1" applyAlignment="1">
      <alignment horizontal="left"/>
    </xf>
    <xf numFmtId="173" fontId="54" fillId="67" borderId="61" xfId="3" applyNumberFormat="1" applyFont="1" applyFill="1" applyBorder="1"/>
    <xf numFmtId="173" fontId="54" fillId="68" borderId="61" xfId="3" applyNumberFormat="1" applyFont="1" applyFill="1" applyBorder="1"/>
    <xf numFmtId="173" fontId="54" fillId="60" borderId="110" xfId="3" applyNumberFormat="1" applyFont="1" applyFill="1" applyBorder="1"/>
    <xf numFmtId="173" fontId="54" fillId="60" borderId="111" xfId="3" applyNumberFormat="1" applyFont="1" applyFill="1" applyBorder="1"/>
    <xf numFmtId="173" fontId="55" fillId="60" borderId="61" xfId="3" applyNumberFormat="1" applyFont="1" applyFill="1" applyBorder="1"/>
    <xf numFmtId="173" fontId="1" fillId="60" borderId="20" xfId="3" applyNumberFormat="1" applyFont="1" applyFill="1" applyBorder="1"/>
    <xf numFmtId="173" fontId="1" fillId="60" borderId="50" xfId="3" applyNumberFormat="1" applyFont="1" applyFill="1" applyBorder="1"/>
    <xf numFmtId="0" fontId="99" fillId="0" borderId="0" xfId="0" applyFont="1" applyAlignment="1">
      <alignment horizontal="center"/>
    </xf>
    <xf numFmtId="0" fontId="99" fillId="0" borderId="0" xfId="0" applyFont="1"/>
    <xf numFmtId="0" fontId="99" fillId="0" borderId="0" xfId="0" applyFont="1" applyAlignment="1">
      <alignment horizontal="centerContinuous"/>
    </xf>
    <xf numFmtId="14" fontId="83" fillId="61" borderId="0" xfId="0" applyNumberFormat="1" applyFont="1" applyFill="1"/>
    <xf numFmtId="174" fontId="100" fillId="67" borderId="78" xfId="0" applyNumberFormat="1" applyFont="1" applyFill="1" applyBorder="1" applyAlignment="1">
      <alignment horizontal="center"/>
    </xf>
    <xf numFmtId="164" fontId="1" fillId="0" borderId="0" xfId="2" applyNumberFormat="1" applyFont="1" applyAlignment="1">
      <alignment horizontal="center"/>
    </xf>
    <xf numFmtId="39" fontId="55" fillId="0" borderId="0" xfId="0" applyNumberFormat="1" applyFont="1"/>
    <xf numFmtId="2" fontId="55" fillId="0" borderId="0" xfId="0" applyNumberFormat="1" applyFont="1"/>
    <xf numFmtId="2" fontId="1" fillId="0" borderId="0" xfId="0" applyNumberFormat="1" applyFont="1" applyAlignment="1">
      <alignment horizontal="right"/>
    </xf>
    <xf numFmtId="44" fontId="1" fillId="60" borderId="84" xfId="2" applyFont="1" applyFill="1" applyBorder="1"/>
    <xf numFmtId="41" fontId="1" fillId="0" borderId="0" xfId="2" applyNumberFormat="1" applyFont="1" applyFill="1" applyBorder="1" applyAlignment="1"/>
    <xf numFmtId="0" fontId="55" fillId="0" borderId="83" xfId="0" applyFont="1" applyBorder="1" applyAlignment="1">
      <alignment horizontal="right" wrapText="1"/>
    </xf>
    <xf numFmtId="0" fontId="55" fillId="0" borderId="84" xfId="0" applyFont="1" applyBorder="1" applyAlignment="1">
      <alignment horizontal="right" wrapText="1"/>
    </xf>
    <xf numFmtId="39" fontId="1" fillId="0" borderId="45" xfId="0" applyNumberFormat="1" applyFont="1" applyBorder="1" applyAlignment="1">
      <alignment horizontal="right"/>
    </xf>
    <xf numFmtId="2" fontId="1" fillId="0" borderId="45" xfId="0" applyNumberFormat="1" applyFont="1" applyBorder="1" applyAlignment="1">
      <alignment horizontal="right"/>
    </xf>
    <xf numFmtId="164" fontId="1" fillId="0" borderId="46" xfId="2" applyNumberFormat="1" applyFont="1" applyFill="1" applyBorder="1" applyAlignment="1"/>
    <xf numFmtId="2" fontId="1" fillId="0" borderId="49" xfId="0" applyNumberFormat="1" applyFont="1" applyBorder="1" applyAlignment="1">
      <alignment horizontal="right"/>
    </xf>
    <xf numFmtId="164" fontId="1" fillId="0" borderId="50" xfId="2" applyNumberFormat="1" applyFont="1" applyFill="1" applyBorder="1" applyAlignment="1"/>
    <xf numFmtId="164" fontId="55" fillId="60" borderId="50" xfId="0" applyNumberFormat="1" applyFont="1" applyFill="1" applyBorder="1"/>
    <xf numFmtId="39" fontId="55" fillId="0" borderId="49" xfId="0" applyNumberFormat="1" applyFont="1" applyBorder="1"/>
    <xf numFmtId="43" fontId="55" fillId="0" borderId="83" xfId="0" applyNumberFormat="1" applyFont="1" applyBorder="1" applyAlignment="1">
      <alignment horizontal="right" wrapText="1"/>
    </xf>
    <xf numFmtId="177" fontId="1" fillId="0" borderId="45" xfId="2" applyNumberFormat="1" applyFont="1" applyFill="1" applyBorder="1" applyAlignment="1">
      <alignment horizontal="center"/>
    </xf>
    <xf numFmtId="164" fontId="1" fillId="60" borderId="46" xfId="2" applyNumberFormat="1" applyFont="1" applyFill="1" applyBorder="1" applyAlignment="1"/>
    <xf numFmtId="164" fontId="1" fillId="60" borderId="45" xfId="0" applyNumberFormat="1" applyFont="1" applyFill="1" applyBorder="1"/>
    <xf numFmtId="164" fontId="1" fillId="60" borderId="46" xfId="0" applyNumberFormat="1" applyFont="1" applyFill="1" applyBorder="1"/>
    <xf numFmtId="164" fontId="1" fillId="60" borderId="49" xfId="0" applyNumberFormat="1" applyFont="1" applyFill="1" applyBorder="1"/>
    <xf numFmtId="164" fontId="1" fillId="60" borderId="50" xfId="0" applyNumberFormat="1" applyFont="1" applyFill="1" applyBorder="1"/>
    <xf numFmtId="43" fontId="55" fillId="0" borderId="49" xfId="1" applyFont="1" applyBorder="1" applyAlignment="1">
      <alignment horizontal="right"/>
    </xf>
    <xf numFmtId="164" fontId="1" fillId="0" borderId="46" xfId="2" applyNumberFormat="1" applyFont="1" applyBorder="1" applyAlignment="1">
      <alignment horizontal="right"/>
    </xf>
    <xf numFmtId="164" fontId="1" fillId="0" borderId="50" xfId="0" applyNumberFormat="1" applyFont="1" applyBorder="1" applyAlignment="1">
      <alignment horizontal="right"/>
    </xf>
    <xf numFmtId="164" fontId="55" fillId="0" borderId="50" xfId="0" applyNumberFormat="1" applyFont="1" applyBorder="1"/>
    <xf numFmtId="0" fontId="55" fillId="0" borderId="0" xfId="0" applyFont="1" applyAlignment="1">
      <alignment horizontal="right" vertical="center" wrapText="1"/>
    </xf>
    <xf numFmtId="0" fontId="17" fillId="0" borderId="0" xfId="0" applyFont="1" applyAlignment="1">
      <alignment horizontal="center"/>
    </xf>
    <xf numFmtId="44" fontId="55" fillId="0" borderId="0" xfId="2" applyFont="1" applyFill="1" applyBorder="1" applyAlignment="1">
      <alignment horizontal="left" vertical="center" wrapText="1"/>
    </xf>
    <xf numFmtId="0" fontId="55" fillId="0" borderId="82" xfId="0" applyFont="1" applyBorder="1" applyAlignment="1">
      <alignment horizontal="right" vertical="center"/>
    </xf>
    <xf numFmtId="0" fontId="55" fillId="0" borderId="80" xfId="0" applyFont="1" applyBorder="1" applyAlignment="1">
      <alignment horizontal="center" vertical="center"/>
    </xf>
    <xf numFmtId="0" fontId="55" fillId="0" borderId="81" xfId="0" quotePrefix="1" applyFont="1" applyBorder="1" applyAlignment="1">
      <alignment horizontal="center" vertical="center"/>
    </xf>
    <xf numFmtId="0" fontId="55" fillId="0" borderId="80" xfId="0" quotePrefix="1" applyFont="1" applyBorder="1" applyAlignment="1">
      <alignment horizontal="center" vertical="center"/>
    </xf>
    <xf numFmtId="0" fontId="17" fillId="0" borderId="81" xfId="0" applyFont="1" applyBorder="1" applyAlignment="1">
      <alignment horizontal="center"/>
    </xf>
    <xf numFmtId="43" fontId="55" fillId="0" borderId="80" xfId="0" applyNumberFormat="1" applyFont="1" applyBorder="1" applyAlignment="1">
      <alignment horizontal="center" vertical="center" wrapText="1"/>
    </xf>
    <xf numFmtId="0" fontId="55" fillId="0" borderId="81" xfId="0" quotePrefix="1" applyFont="1" applyBorder="1" applyAlignment="1">
      <alignment horizontal="center" vertical="center" wrapText="1"/>
    </xf>
    <xf numFmtId="0" fontId="55" fillId="0" borderId="0" xfId="0" applyFont="1" applyAlignment="1">
      <alignment vertical="center"/>
    </xf>
    <xf numFmtId="164" fontId="1" fillId="0" borderId="86" xfId="2" applyNumberFormat="1" applyFont="1" applyFill="1" applyBorder="1" applyAlignment="1"/>
    <xf numFmtId="165" fontId="1" fillId="0" borderId="0" xfId="0" applyNumberFormat="1" applyFont="1" applyAlignment="1">
      <alignment horizontal="center"/>
    </xf>
    <xf numFmtId="43" fontId="1" fillId="0" borderId="0" xfId="1" applyFont="1" applyFill="1" applyBorder="1"/>
    <xf numFmtId="44" fontId="55" fillId="0" borderId="0" xfId="2" applyFont="1" applyFill="1" applyAlignment="1">
      <alignment horizontal="right"/>
    </xf>
    <xf numFmtId="164" fontId="66" fillId="0" borderId="61" xfId="2" applyNumberFormat="1" applyFont="1" applyFill="1" applyBorder="1"/>
    <xf numFmtId="164" fontId="55" fillId="55" borderId="78" xfId="2" applyNumberFormat="1" applyFont="1" applyFill="1" applyBorder="1"/>
    <xf numFmtId="0" fontId="1" fillId="0" borderId="82" xfId="0" applyFont="1" applyBorder="1" applyAlignment="1">
      <alignment horizontal="center" vertical="center"/>
    </xf>
    <xf numFmtId="43" fontId="1" fillId="0" borderId="82" xfId="0" applyNumberFormat="1" applyFont="1" applyBorder="1" applyAlignment="1">
      <alignment horizontal="center" vertical="center" wrapText="1"/>
    </xf>
    <xf numFmtId="0" fontId="1" fillId="0" borderId="80" xfId="0" applyFont="1" applyBorder="1" applyAlignment="1">
      <alignment vertical="center"/>
    </xf>
    <xf numFmtId="164" fontId="1" fillId="60" borderId="86" xfId="0" applyNumberFormat="1" applyFont="1" applyFill="1" applyBorder="1"/>
    <xf numFmtId="43" fontId="1" fillId="60" borderId="0" xfId="0" applyNumberFormat="1" applyFont="1" applyFill="1"/>
    <xf numFmtId="43" fontId="1" fillId="60" borderId="20" xfId="0" applyNumberFormat="1" applyFont="1" applyFill="1" applyBorder="1"/>
    <xf numFmtId="43" fontId="1" fillId="60" borderId="86" xfId="0" applyNumberFormat="1" applyFont="1" applyFill="1" applyBorder="1"/>
    <xf numFmtId="43" fontId="1" fillId="60" borderId="0" xfId="2" applyNumberFormat="1" applyFont="1" applyFill="1" applyBorder="1" applyAlignment="1"/>
    <xf numFmtId="43" fontId="1" fillId="60" borderId="20" xfId="2" applyNumberFormat="1" applyFont="1" applyFill="1" applyBorder="1" applyAlignment="1"/>
    <xf numFmtId="0" fontId="55" fillId="0" borderId="80" xfId="0" applyFont="1" applyBorder="1" applyAlignment="1">
      <alignment horizontal="left" vertical="center" wrapText="1"/>
    </xf>
    <xf numFmtId="0" fontId="55" fillId="0" borderId="82" xfId="0" applyFont="1" applyBorder="1" applyAlignment="1">
      <alignment horizontal="right" vertical="center" wrapText="1"/>
    </xf>
    <xf numFmtId="0" fontId="17" fillId="0" borderId="82" xfId="0" applyFont="1" applyBorder="1" applyAlignment="1">
      <alignment horizontal="center"/>
    </xf>
    <xf numFmtId="43" fontId="55" fillId="0" borderId="82" xfId="0" applyNumberFormat="1" applyFont="1" applyBorder="1" applyAlignment="1">
      <alignment horizontal="center" vertical="center" wrapText="1"/>
    </xf>
    <xf numFmtId="43" fontId="55" fillId="0" borderId="81" xfId="0" quotePrefix="1" applyNumberFormat="1" applyFont="1" applyBorder="1" applyAlignment="1">
      <alignment horizontal="center" vertical="center" wrapText="1"/>
    </xf>
    <xf numFmtId="164" fontId="1" fillId="60" borderId="86" xfId="2" applyNumberFormat="1" applyFont="1" applyFill="1" applyBorder="1" applyAlignment="1"/>
    <xf numFmtId="0" fontId="1" fillId="0" borderId="80" xfId="0" applyFont="1" applyBorder="1" applyAlignment="1">
      <alignment horizontal="center" vertical="center"/>
    </xf>
    <xf numFmtId="43" fontId="55" fillId="0" borderId="49" xfId="0" applyNumberFormat="1" applyFont="1" applyBorder="1"/>
    <xf numFmtId="180" fontId="1" fillId="0" borderId="45" xfId="0" applyNumberFormat="1" applyFont="1" applyBorder="1" applyAlignment="1">
      <alignment horizontal="center"/>
    </xf>
    <xf numFmtId="180" fontId="55" fillId="0" borderId="49" xfId="0" applyNumberFormat="1" applyFont="1" applyBorder="1"/>
    <xf numFmtId="186" fontId="1" fillId="0" borderId="49" xfId="0" applyNumberFormat="1" applyFont="1" applyBorder="1" applyAlignment="1">
      <alignment horizontal="center"/>
    </xf>
    <xf numFmtId="10" fontId="1" fillId="0" borderId="51" xfId="3" applyNumberFormat="1" applyFont="1" applyBorder="1"/>
    <xf numFmtId="10" fontId="1" fillId="0" borderId="34" xfId="3" applyNumberFormat="1" applyFont="1" applyBorder="1"/>
    <xf numFmtId="10" fontId="1" fillId="0" borderId="46" xfId="3" applyNumberFormat="1" applyFont="1" applyBorder="1"/>
    <xf numFmtId="10" fontId="1" fillId="0" borderId="50" xfId="3" applyNumberFormat="1" applyFont="1" applyBorder="1"/>
    <xf numFmtId="44" fontId="1" fillId="60" borderId="0" xfId="0" applyNumberFormat="1" applyFont="1" applyFill="1"/>
    <xf numFmtId="10" fontId="1" fillId="0" borderId="0" xfId="2" applyNumberFormat="1" applyFont="1" applyFill="1" applyBorder="1"/>
    <xf numFmtId="9" fontId="1" fillId="0" borderId="0" xfId="3" applyFont="1" applyAlignment="1">
      <alignment horizontal="left"/>
    </xf>
    <xf numFmtId="0" fontId="0" fillId="0" borderId="81" xfId="0" quotePrefix="1" applyBorder="1" applyAlignment="1">
      <alignment horizontal="center"/>
    </xf>
    <xf numFmtId="0" fontId="1" fillId="0" borderId="52" xfId="0" applyFont="1" applyBorder="1" applyAlignment="1">
      <alignment horizontal="center"/>
    </xf>
    <xf numFmtId="0" fontId="1" fillId="0" borderId="78" xfId="0" applyFont="1" applyBorder="1" applyAlignment="1">
      <alignment horizontal="center" vertical="center"/>
    </xf>
    <xf numFmtId="41" fontId="1" fillId="0" borderId="78" xfId="0" quotePrefix="1" applyNumberFormat="1" applyFont="1" applyBorder="1" applyAlignment="1">
      <alignment horizontal="center"/>
    </xf>
    <xf numFmtId="0" fontId="55" fillId="0" borderId="56" xfId="0" applyFont="1" applyBorder="1" applyAlignment="1">
      <alignment horizontal="right" vertical="center"/>
    </xf>
    <xf numFmtId="10" fontId="55" fillId="60" borderId="0" xfId="3" applyNumberFormat="1" applyFont="1" applyFill="1"/>
    <xf numFmtId="41" fontId="1" fillId="0" borderId="45" xfId="2" applyNumberFormat="1" applyFont="1" applyBorder="1"/>
    <xf numFmtId="44" fontId="1" fillId="0" borderId="46" xfId="0" applyNumberFormat="1" applyFont="1" applyBorder="1"/>
    <xf numFmtId="0" fontId="59" fillId="0" borderId="0" xfId="0" applyFont="1"/>
    <xf numFmtId="0" fontId="17" fillId="0" borderId="45" xfId="0" applyFont="1" applyBorder="1" applyAlignment="1">
      <alignment horizontal="center"/>
    </xf>
    <xf numFmtId="0" fontId="17" fillId="0" borderId="46" xfId="0" applyFont="1" applyBorder="1" applyAlignment="1">
      <alignment horizontal="center"/>
    </xf>
    <xf numFmtId="39" fontId="1" fillId="60" borderId="45" xfId="2" applyNumberFormat="1" applyFont="1" applyFill="1" applyBorder="1" applyAlignment="1"/>
    <xf numFmtId="39" fontId="1" fillId="60" borderId="49" xfId="2" applyNumberFormat="1" applyFont="1" applyFill="1" applyBorder="1" applyAlignment="1"/>
    <xf numFmtId="164" fontId="1" fillId="60" borderId="50" xfId="2" applyNumberFormat="1" applyFont="1" applyFill="1" applyBorder="1" applyAlignment="1"/>
    <xf numFmtId="39" fontId="55" fillId="60" borderId="45" xfId="0" applyNumberFormat="1" applyFont="1" applyFill="1" applyBorder="1"/>
    <xf numFmtId="164" fontId="55" fillId="60" borderId="46" xfId="2" applyNumberFormat="1" applyFont="1" applyFill="1" applyBorder="1"/>
    <xf numFmtId="43" fontId="1" fillId="0" borderId="45" xfId="0" applyNumberFormat="1" applyFont="1" applyBorder="1"/>
    <xf numFmtId="2" fontId="1" fillId="0" borderId="83" xfId="0" applyNumberFormat="1" applyFont="1" applyBorder="1"/>
    <xf numFmtId="164" fontId="55" fillId="0" borderId="50" xfId="2" applyNumberFormat="1" applyFont="1" applyBorder="1"/>
    <xf numFmtId="2" fontId="1" fillId="60" borderId="45" xfId="2" applyNumberFormat="1" applyFont="1" applyFill="1" applyBorder="1" applyAlignment="1">
      <alignment horizontal="right"/>
    </xf>
    <xf numFmtId="2" fontId="1" fillId="60" borderId="49" xfId="2" applyNumberFormat="1" applyFont="1" applyFill="1" applyBorder="1" applyAlignment="1">
      <alignment horizontal="right"/>
    </xf>
    <xf numFmtId="43" fontId="55" fillId="60" borderId="45" xfId="1" applyFont="1" applyFill="1" applyBorder="1" applyAlignment="1">
      <alignment horizontal="right"/>
    </xf>
    <xf numFmtId="164" fontId="55" fillId="60" borderId="46" xfId="0" applyNumberFormat="1" applyFont="1" applyFill="1" applyBorder="1"/>
    <xf numFmtId="164" fontId="55" fillId="0" borderId="46" xfId="0" applyNumberFormat="1" applyFont="1" applyBorder="1" applyAlignment="1">
      <alignment horizontal="center"/>
    </xf>
    <xf numFmtId="2" fontId="1" fillId="0" borderId="83" xfId="0" applyNumberFormat="1" applyFont="1" applyBorder="1" applyAlignment="1">
      <alignment horizontal="right"/>
    </xf>
    <xf numFmtId="164" fontId="1" fillId="0" borderId="84" xfId="2" applyNumberFormat="1" applyFont="1" applyFill="1" applyBorder="1" applyAlignment="1"/>
    <xf numFmtId="164" fontId="54" fillId="55" borderId="20" xfId="2" applyNumberFormat="1" applyFont="1" applyFill="1" applyBorder="1"/>
    <xf numFmtId="165" fontId="77" fillId="55" borderId="0" xfId="1" applyNumberFormat="1" applyFont="1" applyFill="1" applyBorder="1"/>
    <xf numFmtId="165" fontId="77" fillId="60" borderId="0" xfId="1" applyNumberFormat="1" applyFont="1" applyFill="1" applyBorder="1"/>
    <xf numFmtId="165" fontId="77" fillId="55" borderId="86" xfId="1" applyNumberFormat="1" applyFont="1" applyFill="1" applyBorder="1"/>
    <xf numFmtId="165" fontId="77" fillId="55" borderId="20" xfId="1" applyNumberFormat="1" applyFont="1" applyFill="1" applyBorder="1"/>
    <xf numFmtId="165" fontId="77" fillId="60" borderId="50" xfId="1" applyNumberFormat="1" applyFont="1" applyFill="1" applyBorder="1"/>
    <xf numFmtId="165" fontId="77" fillId="60" borderId="20" xfId="1" applyNumberFormat="1" applyFont="1" applyFill="1" applyBorder="1"/>
    <xf numFmtId="165" fontId="77" fillId="0" borderId="0" xfId="1" applyNumberFormat="1" applyFont="1" applyFill="1" applyBorder="1"/>
    <xf numFmtId="165" fontId="77" fillId="0" borderId="20" xfId="1" applyNumberFormat="1" applyFont="1" applyFill="1" applyBorder="1"/>
    <xf numFmtId="165" fontId="77" fillId="60" borderId="86" xfId="1" applyNumberFormat="1" applyFont="1" applyFill="1" applyBorder="1"/>
    <xf numFmtId="164" fontId="55" fillId="0" borderId="0" xfId="2" applyNumberFormat="1" applyFont="1" applyAlignment="1">
      <alignment horizontal="left"/>
    </xf>
    <xf numFmtId="44" fontId="1" fillId="0" borderId="0" xfId="2" applyFont="1" applyBorder="1" applyAlignment="1">
      <alignment horizontal="right"/>
    </xf>
    <xf numFmtId="44" fontId="1" fillId="0" borderId="20" xfId="2" applyFont="1" applyBorder="1" applyAlignment="1">
      <alignment horizontal="right"/>
    </xf>
    <xf numFmtId="0" fontId="101" fillId="0" borderId="0" xfId="0" applyFont="1" applyAlignment="1">
      <alignment horizontal="center"/>
    </xf>
    <xf numFmtId="181" fontId="101" fillId="0" borderId="0" xfId="2" applyNumberFormat="1" applyFont="1" applyFill="1" applyAlignment="1">
      <alignment horizontal="center"/>
    </xf>
    <xf numFmtId="181" fontId="101" fillId="0" borderId="0" xfId="0" applyNumberFormat="1" applyFont="1" applyAlignment="1">
      <alignment horizontal="center"/>
    </xf>
    <xf numFmtId="0" fontId="55" fillId="0" borderId="88" xfId="0" applyFont="1" applyBorder="1" applyAlignment="1">
      <alignment horizontal="center" wrapText="1"/>
    </xf>
    <xf numFmtId="187" fontId="19" fillId="0" borderId="0" xfId="33029" applyNumberFormat="1" applyFont="1" applyFill="1" applyBorder="1" applyAlignment="1"/>
    <xf numFmtId="187" fontId="103" fillId="56" borderId="0" xfId="33029" applyNumberFormat="1" applyFont="1" applyFill="1" applyBorder="1" applyAlignment="1">
      <alignment horizontal="right"/>
    </xf>
    <xf numFmtId="187" fontId="19" fillId="56" borderId="0" xfId="33029" applyNumberFormat="1" applyFont="1" applyFill="1" applyBorder="1" applyAlignment="1"/>
    <xf numFmtId="187" fontId="104" fillId="72" borderId="0" xfId="33029" applyNumberFormat="1" applyFont="1" applyFill="1" applyBorder="1" applyAlignment="1"/>
    <xf numFmtId="187" fontId="0" fillId="0" borderId="0" xfId="33029" applyNumberFormat="1" applyFont="1" applyFill="1" applyBorder="1" applyAlignment="1"/>
    <xf numFmtId="0" fontId="0" fillId="0" borderId="0" xfId="33029" applyNumberFormat="1" applyFont="1" applyFill="1" applyBorder="1" applyAlignment="1"/>
    <xf numFmtId="187" fontId="0" fillId="56" borderId="0" xfId="33029" applyNumberFormat="1" applyFont="1" applyFill="1" applyBorder="1" applyAlignment="1"/>
    <xf numFmtId="187" fontId="104" fillId="56" borderId="0" xfId="33029" applyNumberFormat="1" applyFont="1" applyFill="1" applyBorder="1" applyAlignment="1"/>
    <xf numFmtId="0" fontId="54" fillId="0" borderId="0" xfId="0" applyFont="1" applyAlignment="1">
      <alignment horizontal="center"/>
    </xf>
    <xf numFmtId="164" fontId="55" fillId="0" borderId="86" xfId="3" applyNumberFormat="1" applyFont="1" applyBorder="1"/>
    <xf numFmtId="164" fontId="1" fillId="60" borderId="70" xfId="0" applyNumberFormat="1" applyFont="1" applyFill="1" applyBorder="1"/>
    <xf numFmtId="164" fontId="1" fillId="60" borderId="70" xfId="2" applyNumberFormat="1" applyFont="1" applyFill="1" applyBorder="1"/>
    <xf numFmtId="10" fontId="1" fillId="0" borderId="86" xfId="3" applyNumberFormat="1" applyFont="1" applyBorder="1"/>
    <xf numFmtId="44" fontId="55" fillId="0" borderId="112" xfId="0" applyNumberFormat="1" applyFont="1" applyBorder="1" applyAlignment="1">
      <alignment horizontal="right"/>
    </xf>
    <xf numFmtId="164" fontId="1" fillId="60" borderId="113" xfId="1" applyNumberFormat="1" applyFont="1" applyFill="1" applyBorder="1"/>
    <xf numFmtId="10" fontId="1" fillId="60" borderId="114" xfId="3" applyNumberFormat="1" applyFont="1" applyFill="1" applyBorder="1"/>
    <xf numFmtId="44" fontId="1" fillId="0" borderId="46" xfId="2" applyFont="1" applyFill="1" applyBorder="1" applyAlignment="1"/>
    <xf numFmtId="44" fontId="1" fillId="0" borderId="84" xfId="0" applyNumberFormat="1" applyFont="1" applyBorder="1"/>
    <xf numFmtId="0" fontId="1" fillId="0" borderId="115" xfId="0" applyFont="1" applyBorder="1"/>
    <xf numFmtId="188" fontId="1" fillId="0" borderId="115" xfId="1" applyNumberFormat="1" applyFont="1" applyFill="1" applyBorder="1"/>
    <xf numFmtId="181" fontId="1" fillId="0" borderId="0" xfId="0" applyNumberFormat="1" applyFont="1"/>
    <xf numFmtId="174" fontId="1" fillId="55" borderId="68" xfId="2" applyNumberFormat="1" applyFont="1" applyFill="1" applyBorder="1"/>
    <xf numFmtId="9" fontId="55" fillId="0" borderId="0" xfId="3" applyFont="1" applyAlignment="1">
      <alignment horizontal="right"/>
    </xf>
    <xf numFmtId="2" fontId="105" fillId="0" borderId="0" xfId="0" applyNumberFormat="1" applyFont="1"/>
    <xf numFmtId="0" fontId="1" fillId="0" borderId="79" xfId="0" applyFont="1" applyBorder="1" applyAlignment="1">
      <alignment horizontal="right"/>
    </xf>
    <xf numFmtId="9" fontId="55" fillId="0" borderId="0" xfId="3" applyFont="1" applyFill="1" applyAlignment="1">
      <alignment horizontal="right"/>
    </xf>
    <xf numFmtId="0" fontId="17" fillId="0" borderId="45" xfId="0" applyFont="1" applyBorder="1" applyAlignment="1">
      <alignment horizontal="right" wrapText="1"/>
    </xf>
    <xf numFmtId="0" fontId="55" fillId="0" borderId="81" xfId="0" applyFont="1" applyBorder="1" applyAlignment="1">
      <alignment horizontal="center"/>
    </xf>
    <xf numFmtId="0" fontId="55" fillId="0" borderId="34" xfId="0" applyFont="1" applyBorder="1" applyAlignment="1">
      <alignment horizontal="center"/>
    </xf>
    <xf numFmtId="164" fontId="1" fillId="0" borderId="85" xfId="3" applyNumberFormat="1" applyFont="1" applyFill="1" applyBorder="1"/>
    <xf numFmtId="43" fontId="55" fillId="0" borderId="115" xfId="3" applyNumberFormat="1" applyFont="1" applyBorder="1"/>
    <xf numFmtId="44" fontId="1" fillId="0" borderId="50" xfId="0" applyNumberFormat="1" applyFont="1" applyBorder="1"/>
    <xf numFmtId="9" fontId="1" fillId="0" borderId="20" xfId="0" applyNumberFormat="1" applyFont="1" applyBorder="1" applyAlignment="1">
      <alignment horizontal="right"/>
    </xf>
    <xf numFmtId="9" fontId="1" fillId="0" borderId="0" xfId="2" applyNumberFormat="1" applyFont="1" applyBorder="1" applyAlignment="1">
      <alignment horizontal="center"/>
    </xf>
    <xf numFmtId="9" fontId="1" fillId="0" borderId="46" xfId="0" applyNumberFormat="1" applyFont="1" applyBorder="1" applyAlignment="1">
      <alignment horizontal="center"/>
    </xf>
    <xf numFmtId="44" fontId="55" fillId="0" borderId="50" xfId="0" applyNumberFormat="1" applyFont="1" applyBorder="1"/>
    <xf numFmtId="44" fontId="1" fillId="0" borderId="82" xfId="2" applyFont="1" applyBorder="1"/>
    <xf numFmtId="10" fontId="1" fillId="0" borderId="0" xfId="0" applyNumberFormat="1" applyFont="1" applyAlignment="1">
      <alignment wrapText="1"/>
    </xf>
    <xf numFmtId="164" fontId="55" fillId="0" borderId="0" xfId="2" applyNumberFormat="1" applyFont="1" applyAlignment="1">
      <alignment horizontal="center"/>
    </xf>
    <xf numFmtId="10" fontId="1" fillId="0" borderId="81" xfId="3" applyNumberFormat="1" applyFont="1" applyBorder="1"/>
    <xf numFmtId="44" fontId="55" fillId="0" borderId="0" xfId="2" applyFont="1" applyFill="1" applyBorder="1" applyAlignment="1">
      <alignment horizontal="center" vertical="center" wrapText="1"/>
    </xf>
    <xf numFmtId="0" fontId="1" fillId="67" borderId="0" xfId="0" applyFont="1" applyFill="1" applyAlignment="1">
      <alignment horizontal="center"/>
    </xf>
    <xf numFmtId="43" fontId="97" fillId="0" borderId="0" xfId="0" applyNumberFormat="1" applyFont="1" applyAlignment="1">
      <alignment horizontal="center"/>
    </xf>
    <xf numFmtId="43" fontId="1" fillId="0" borderId="20" xfId="0" applyNumberFormat="1" applyFont="1" applyBorder="1" applyAlignment="1">
      <alignment horizontal="center"/>
    </xf>
    <xf numFmtId="0" fontId="107" fillId="0" borderId="0" xfId="33030" applyFont="1"/>
    <xf numFmtId="0" fontId="108" fillId="0" borderId="0" xfId="33030" applyFont="1" applyAlignment="1">
      <alignment vertical="top" wrapText="1"/>
    </xf>
    <xf numFmtId="0" fontId="108" fillId="0" borderId="0" xfId="33030" applyFont="1"/>
    <xf numFmtId="0" fontId="108" fillId="0" borderId="0" xfId="33030" applyFont="1" applyAlignment="1">
      <alignment wrapText="1"/>
    </xf>
    <xf numFmtId="0" fontId="108" fillId="0" borderId="93" xfId="33030" applyFont="1" applyBorder="1" applyAlignment="1">
      <alignment vertical="center"/>
    </xf>
    <xf numFmtId="0" fontId="108" fillId="0" borderId="72" xfId="33030" applyFont="1" applyBorder="1" applyAlignment="1">
      <alignment vertical="center"/>
    </xf>
    <xf numFmtId="0" fontId="108" fillId="0" borderId="72" xfId="33030" applyFont="1" applyBorder="1" applyAlignment="1">
      <alignment vertical="center" wrapText="1"/>
    </xf>
    <xf numFmtId="0" fontId="109" fillId="0" borderId="121" xfId="33030" applyFont="1" applyBorder="1" applyAlignment="1">
      <alignment vertical="center" wrapText="1"/>
    </xf>
    <xf numFmtId="0" fontId="109" fillId="0" borderId="122" xfId="33030" applyFont="1" applyBorder="1" applyAlignment="1">
      <alignment vertical="center" wrapText="1"/>
    </xf>
    <xf numFmtId="0" fontId="109" fillId="0" borderId="123" xfId="33030" applyFont="1" applyBorder="1" applyAlignment="1">
      <alignment vertical="center" wrapText="1"/>
    </xf>
    <xf numFmtId="0" fontId="109" fillId="0" borderId="121" xfId="33030" applyFont="1" applyBorder="1" applyAlignment="1">
      <alignment horizontal="center" vertical="center" wrapText="1"/>
    </xf>
    <xf numFmtId="0" fontId="109" fillId="0" borderId="122" xfId="33030" applyFont="1" applyBorder="1" applyAlignment="1">
      <alignment horizontal="center" vertical="center" wrapText="1"/>
    </xf>
    <xf numFmtId="0" fontId="109" fillId="56" borderId="124" xfId="33030" applyFont="1" applyFill="1" applyBorder="1" applyAlignment="1">
      <alignment horizontal="center" vertical="center" wrapText="1"/>
    </xf>
    <xf numFmtId="0" fontId="109" fillId="0" borderId="125" xfId="33030" applyFont="1" applyBorder="1" applyAlignment="1">
      <alignment horizontal="center" vertical="center" wrapText="1"/>
    </xf>
    <xf numFmtId="0" fontId="109" fillId="0" borderId="0" xfId="33030" applyFont="1" applyAlignment="1">
      <alignment vertical="center" wrapText="1"/>
    </xf>
    <xf numFmtId="0" fontId="108" fillId="0" borderId="127" xfId="33030" applyFont="1" applyBorder="1" applyAlignment="1">
      <alignment vertical="center" wrapText="1"/>
    </xf>
    <xf numFmtId="0" fontId="108" fillId="0" borderId="88" xfId="33030" applyFont="1" applyBorder="1" applyAlignment="1">
      <alignment horizontal="right" vertical="center" wrapText="1"/>
    </xf>
    <xf numFmtId="1" fontId="108" fillId="0" borderId="88" xfId="1" applyNumberFormat="1" applyFont="1" applyBorder="1" applyAlignment="1">
      <alignment horizontal="right" vertical="center" wrapText="1"/>
    </xf>
    <xf numFmtId="0" fontId="108" fillId="0" borderId="128" xfId="33030" applyFont="1" applyBorder="1" applyAlignment="1">
      <alignment vertical="top" wrapText="1"/>
    </xf>
    <xf numFmtId="172" fontId="108" fillId="0" borderId="129" xfId="33030" applyNumberFormat="1" applyFont="1" applyBorder="1"/>
    <xf numFmtId="172" fontId="108" fillId="0" borderId="130" xfId="33030" applyNumberFormat="1" applyFont="1" applyBorder="1"/>
    <xf numFmtId="172" fontId="108" fillId="56" borderId="131" xfId="33030" applyNumberFormat="1" applyFont="1" applyFill="1" applyBorder="1"/>
    <xf numFmtId="172" fontId="108" fillId="0" borderId="132" xfId="33030" applyNumberFormat="1" applyFont="1" applyBorder="1"/>
    <xf numFmtId="0" fontId="108" fillId="0" borderId="99" xfId="33030" applyFont="1" applyBorder="1" applyAlignment="1">
      <alignment vertical="center" wrapText="1"/>
    </xf>
    <xf numFmtId="0" fontId="108" fillId="0" borderId="78" xfId="33030" applyFont="1" applyBorder="1" applyAlignment="1">
      <alignment horizontal="right" vertical="center" wrapText="1"/>
    </xf>
    <xf numFmtId="1" fontId="108" fillId="0" borderId="78" xfId="1" applyNumberFormat="1" applyFont="1" applyBorder="1" applyAlignment="1">
      <alignment horizontal="right" vertical="center" wrapText="1"/>
    </xf>
    <xf numFmtId="0" fontId="108" fillId="0" borderId="80" xfId="33030" applyFont="1" applyBorder="1" applyAlignment="1">
      <alignment vertical="top" wrapText="1"/>
    </xf>
    <xf numFmtId="172" fontId="108" fillId="0" borderId="99" xfId="33030" applyNumberFormat="1" applyFont="1" applyBorder="1"/>
    <xf numFmtId="172" fontId="108" fillId="0" borderId="78" xfId="33030" applyNumberFormat="1" applyFont="1" applyBorder="1"/>
    <xf numFmtId="172" fontId="108" fillId="56" borderId="133" xfId="33030" applyNumberFormat="1" applyFont="1" applyFill="1" applyBorder="1"/>
    <xf numFmtId="172" fontId="108" fillId="0" borderId="81" xfId="33030" applyNumberFormat="1" applyFont="1" applyBorder="1"/>
    <xf numFmtId="0" fontId="108" fillId="0" borderId="134" xfId="33030" applyFont="1" applyBorder="1" applyAlignment="1">
      <alignment vertical="center" wrapText="1"/>
    </xf>
    <xf numFmtId="0" fontId="108" fillId="0" borderId="34" xfId="33030" applyFont="1" applyBorder="1" applyAlignment="1">
      <alignment horizontal="right" vertical="center" wrapText="1"/>
    </xf>
    <xf numFmtId="1" fontId="108" fillId="0" borderId="34" xfId="1" applyNumberFormat="1" applyFont="1" applyBorder="1" applyAlignment="1">
      <alignment horizontal="right" vertical="center" wrapText="1"/>
    </xf>
    <xf numFmtId="0" fontId="108" fillId="0" borderId="49" xfId="33030" applyFont="1" applyBorder="1" applyAlignment="1">
      <alignment vertical="top" wrapText="1"/>
    </xf>
    <xf numFmtId="172" fontId="108" fillId="0" borderId="134" xfId="33030" applyNumberFormat="1" applyFont="1" applyBorder="1"/>
    <xf numFmtId="172" fontId="108" fillId="0" borderId="34" xfId="33030" applyNumberFormat="1" applyFont="1" applyBorder="1"/>
    <xf numFmtId="177" fontId="108" fillId="0" borderId="34" xfId="33030" applyNumberFormat="1" applyFont="1" applyBorder="1" applyAlignment="1">
      <alignment horizontal="right" vertical="center" wrapText="1"/>
    </xf>
    <xf numFmtId="172" fontId="103" fillId="0" borderId="34" xfId="33030" applyNumberFormat="1" applyFont="1" applyBorder="1"/>
    <xf numFmtId="172" fontId="108" fillId="56" borderId="135" xfId="33030" applyNumberFormat="1" applyFont="1" applyFill="1" applyBorder="1"/>
    <xf numFmtId="172" fontId="103" fillId="0" borderId="50" xfId="33030" applyNumberFormat="1" applyFont="1" applyBorder="1"/>
    <xf numFmtId="1" fontId="108" fillId="0" borderId="78" xfId="1" applyNumberFormat="1" applyFont="1" applyFill="1" applyBorder="1" applyAlignment="1">
      <alignment horizontal="right" vertical="center" wrapText="1"/>
    </xf>
    <xf numFmtId="177" fontId="108" fillId="0" borderId="78" xfId="33030" applyNumberFormat="1" applyFont="1" applyBorder="1" applyAlignment="1">
      <alignment horizontal="right" vertical="center" wrapText="1"/>
    </xf>
    <xf numFmtId="172" fontId="108" fillId="0" borderId="127" xfId="33030" applyNumberFormat="1" applyFont="1" applyBorder="1"/>
    <xf numFmtId="172" fontId="108" fillId="0" borderId="88" xfId="33030" applyNumberFormat="1" applyFont="1" applyBorder="1"/>
    <xf numFmtId="172" fontId="108" fillId="56" borderId="136" xfId="33030" applyNumberFormat="1" applyFont="1" applyFill="1" applyBorder="1"/>
    <xf numFmtId="172" fontId="108" fillId="78" borderId="99" xfId="33030" applyNumberFormat="1" applyFont="1" applyFill="1" applyBorder="1"/>
    <xf numFmtId="172" fontId="108" fillId="78" borderId="78" xfId="33030" applyNumberFormat="1" applyFont="1" applyFill="1" applyBorder="1"/>
    <xf numFmtId="172" fontId="108" fillId="79" borderId="78" xfId="33030" applyNumberFormat="1" applyFont="1" applyFill="1" applyBorder="1"/>
    <xf numFmtId="172" fontId="108" fillId="79" borderId="81" xfId="33030" applyNumberFormat="1" applyFont="1" applyFill="1" applyBorder="1"/>
    <xf numFmtId="0" fontId="108" fillId="0" borderId="83" xfId="33030" applyFont="1" applyBorder="1" applyAlignment="1">
      <alignment vertical="top" wrapText="1"/>
    </xf>
    <xf numFmtId="172" fontId="108" fillId="0" borderId="84" xfId="33030" applyNumberFormat="1" applyFont="1" applyBorder="1"/>
    <xf numFmtId="0" fontId="108" fillId="0" borderId="121" xfId="33030" applyFont="1" applyBorder="1" applyAlignment="1">
      <alignment vertical="center" wrapText="1"/>
    </xf>
    <xf numFmtId="0" fontId="108" fillId="0" borderId="122" xfId="33030" applyFont="1" applyBorder="1" applyAlignment="1">
      <alignment horizontal="right" vertical="center" wrapText="1"/>
    </xf>
    <xf numFmtId="1" fontId="108" fillId="0" borderId="122" xfId="1" applyNumberFormat="1" applyFont="1" applyBorder="1" applyAlignment="1">
      <alignment horizontal="right" vertical="center" wrapText="1"/>
    </xf>
    <xf numFmtId="0" fontId="108" fillId="0" borderId="123" xfId="33030" applyFont="1" applyBorder="1" applyAlignment="1">
      <alignment vertical="top" wrapText="1"/>
    </xf>
    <xf numFmtId="172" fontId="108" fillId="0" borderId="121" xfId="33030" applyNumberFormat="1" applyFont="1" applyBorder="1"/>
    <xf numFmtId="172" fontId="108" fillId="0" borderId="122" xfId="33030" applyNumberFormat="1" applyFont="1" applyBorder="1"/>
    <xf numFmtId="172" fontId="108" fillId="56" borderId="124" xfId="33030" applyNumberFormat="1" applyFont="1" applyFill="1" applyBorder="1"/>
    <xf numFmtId="172" fontId="108" fillId="0" borderId="121" xfId="33030" applyNumberFormat="1" applyFont="1" applyBorder="1" applyAlignment="1">
      <alignment vertical="center"/>
    </xf>
    <xf numFmtId="172" fontId="108" fillId="0" borderId="122" xfId="33030" applyNumberFormat="1" applyFont="1" applyBorder="1" applyAlignment="1">
      <alignment vertical="center"/>
    </xf>
    <xf numFmtId="172" fontId="108" fillId="56" borderId="124" xfId="33030" applyNumberFormat="1" applyFont="1" applyFill="1" applyBorder="1" applyAlignment="1">
      <alignment vertical="center"/>
    </xf>
    <xf numFmtId="172" fontId="108" fillId="0" borderId="125" xfId="33030" applyNumberFormat="1" applyFont="1" applyBorder="1" applyAlignment="1">
      <alignment vertical="center"/>
    </xf>
    <xf numFmtId="0" fontId="108" fillId="0" borderId="0" xfId="33030" applyFont="1" applyAlignment="1">
      <alignment vertical="center"/>
    </xf>
    <xf numFmtId="172" fontId="108" fillId="0" borderId="116" xfId="33030" applyNumberFormat="1" applyFont="1" applyBorder="1"/>
    <xf numFmtId="172" fontId="108" fillId="0" borderId="117" xfId="33030" applyNumberFormat="1" applyFont="1" applyBorder="1"/>
    <xf numFmtId="172" fontId="108" fillId="56" borderId="118" xfId="33030" applyNumberFormat="1" applyFont="1" applyFill="1" applyBorder="1"/>
    <xf numFmtId="172" fontId="108" fillId="0" borderId="119" xfId="33030" applyNumberFormat="1" applyFont="1" applyBorder="1"/>
    <xf numFmtId="172" fontId="108" fillId="0" borderId="125" xfId="33030" applyNumberFormat="1" applyFont="1" applyBorder="1"/>
    <xf numFmtId="172" fontId="108" fillId="0" borderId="0" xfId="33030" applyNumberFormat="1" applyFont="1"/>
    <xf numFmtId="164" fontId="57" fillId="0" borderId="79" xfId="0" applyNumberFormat="1" applyFont="1" applyBorder="1"/>
    <xf numFmtId="164" fontId="57" fillId="0" borderId="79" xfId="2" applyNumberFormat="1" applyFont="1" applyFill="1" applyBorder="1"/>
    <xf numFmtId="0" fontId="57" fillId="0" borderId="0" xfId="0" applyFont="1" applyAlignment="1">
      <alignment horizontal="center"/>
    </xf>
    <xf numFmtId="0" fontId="55" fillId="0" borderId="88" xfId="0" applyFont="1" applyBorder="1" applyAlignment="1">
      <alignment horizontal="left" vertical="top" wrapText="1"/>
    </xf>
    <xf numFmtId="0" fontId="55" fillId="0" borderId="51" xfId="0" applyFont="1" applyBorder="1" applyAlignment="1">
      <alignment horizontal="left" vertical="top"/>
    </xf>
    <xf numFmtId="0" fontId="55" fillId="0" borderId="34" xfId="0" applyFont="1" applyBorder="1" applyAlignment="1">
      <alignment horizontal="left" vertical="top"/>
    </xf>
    <xf numFmtId="0" fontId="55" fillId="0" borderId="51" xfId="0" applyFont="1" applyBorder="1" applyAlignment="1">
      <alignment horizontal="left" vertical="top" wrapText="1"/>
    </xf>
    <xf numFmtId="187" fontId="0" fillId="79" borderId="0" xfId="33029" applyNumberFormat="1" applyFont="1" applyFill="1" applyBorder="1" applyAlignment="1"/>
    <xf numFmtId="164" fontId="55" fillId="80" borderId="78" xfId="2" applyNumberFormat="1" applyFont="1" applyFill="1" applyBorder="1"/>
    <xf numFmtId="0" fontId="99" fillId="80" borderId="0" xfId="0" applyFont="1" applyFill="1" applyAlignment="1">
      <alignment horizontal="center" vertical="center"/>
    </xf>
    <xf numFmtId="0" fontId="99" fillId="80" borderId="0" xfId="0" applyFont="1" applyFill="1" applyAlignment="1">
      <alignment horizontal="center"/>
    </xf>
    <xf numFmtId="164" fontId="55" fillId="80" borderId="82" xfId="2" applyNumberFormat="1" applyFont="1" applyFill="1" applyBorder="1"/>
    <xf numFmtId="164" fontId="55" fillId="80" borderId="80" xfId="2" applyNumberFormat="1" applyFont="1" applyFill="1" applyBorder="1"/>
    <xf numFmtId="172" fontId="103" fillId="0" borderId="125" xfId="33030" applyNumberFormat="1" applyFont="1" applyBorder="1"/>
    <xf numFmtId="172" fontId="103" fillId="0" borderId="122" xfId="33030" applyNumberFormat="1" applyFont="1" applyBorder="1"/>
    <xf numFmtId="0" fontId="54" fillId="0" borderId="80" xfId="0" applyFont="1" applyBorder="1" applyAlignment="1">
      <alignment horizontal="center"/>
    </xf>
    <xf numFmtId="164" fontId="0" fillId="0" borderId="78" xfId="2" applyNumberFormat="1" applyFont="1" applyBorder="1"/>
    <xf numFmtId="0" fontId="0" fillId="0" borderId="84" xfId="0" applyBorder="1"/>
    <xf numFmtId="0" fontId="55" fillId="0" borderId="78" xfId="0" applyFont="1" applyBorder="1"/>
    <xf numFmtId="164" fontId="17" fillId="0" borderId="81" xfId="0" applyNumberFormat="1" applyFont="1" applyBorder="1"/>
    <xf numFmtId="164" fontId="0" fillId="60" borderId="78" xfId="2" applyNumberFormat="1" applyFont="1" applyFill="1" applyBorder="1"/>
    <xf numFmtId="164" fontId="0" fillId="60" borderId="81" xfId="2" applyNumberFormat="1" applyFont="1" applyFill="1" applyBorder="1"/>
    <xf numFmtId="0" fontId="1" fillId="0" borderId="150" xfId="0" quotePrefix="1" applyFont="1" applyBorder="1" applyAlignment="1">
      <alignment horizontal="center"/>
    </xf>
    <xf numFmtId="0" fontId="0" fillId="0" borderId="151" xfId="0" applyBorder="1"/>
    <xf numFmtId="164" fontId="0" fillId="80" borderId="150" xfId="2" applyNumberFormat="1" applyFont="1" applyFill="1" applyBorder="1"/>
    <xf numFmtId="164" fontId="17" fillId="0" borderId="150" xfId="0" applyNumberFormat="1" applyFont="1" applyBorder="1"/>
    <xf numFmtId="0" fontId="55" fillId="0" borderId="151" xfId="0" applyFont="1" applyBorder="1" applyAlignment="1">
      <alignment horizontal="center"/>
    </xf>
    <xf numFmtId="0" fontId="55" fillId="0" borderId="152" xfId="0" applyFont="1" applyBorder="1" applyAlignment="1">
      <alignment horizontal="center"/>
    </xf>
    <xf numFmtId="0" fontId="17" fillId="0" borderId="110" xfId="0" applyFont="1" applyBorder="1" applyAlignment="1">
      <alignment horizontal="center"/>
    </xf>
    <xf numFmtId="0" fontId="17" fillId="0" borderId="111" xfId="0" applyFont="1" applyBorder="1" applyAlignment="1">
      <alignment horizontal="center"/>
    </xf>
    <xf numFmtId="0" fontId="17" fillId="0" borderId="153" xfId="0" applyFont="1" applyBorder="1" applyAlignment="1">
      <alignment horizontal="center"/>
    </xf>
    <xf numFmtId="0" fontId="0" fillId="0" borderId="154" xfId="0" applyBorder="1"/>
    <xf numFmtId="10" fontId="0" fillId="0" borderId="154" xfId="3" applyNumberFormat="1" applyFont="1" applyBorder="1"/>
    <xf numFmtId="0" fontId="55" fillId="0" borderId="110" xfId="0" applyFont="1" applyBorder="1" applyAlignment="1">
      <alignment horizontal="center"/>
    </xf>
    <xf numFmtId="0" fontId="55" fillId="0" borderId="111" xfId="0" applyFont="1" applyBorder="1" applyAlignment="1">
      <alignment horizontal="center"/>
    </xf>
    <xf numFmtId="0" fontId="1" fillId="0" borderId="154" xfId="0" quotePrefix="1" applyFont="1" applyBorder="1" applyAlignment="1">
      <alignment horizontal="center"/>
    </xf>
    <xf numFmtId="0" fontId="0" fillId="0" borderId="156" xfId="0" applyBorder="1"/>
    <xf numFmtId="164" fontId="0" fillId="0" borderId="154" xfId="2" applyNumberFormat="1" applyFont="1" applyFill="1" applyBorder="1"/>
    <xf numFmtId="164" fontId="17" fillId="0" borderId="69" xfId="2" applyNumberFormat="1" applyFont="1" applyFill="1" applyBorder="1"/>
    <xf numFmtId="10" fontId="17" fillId="0" borderId="69" xfId="3" applyNumberFormat="1" applyFont="1" applyBorder="1"/>
    <xf numFmtId="164" fontId="0" fillId="0" borderId="155" xfId="2" applyNumberFormat="1" applyFont="1" applyFill="1" applyBorder="1"/>
    <xf numFmtId="10" fontId="0" fillId="0" borderId="155" xfId="3" applyNumberFormat="1" applyFont="1" applyBorder="1"/>
    <xf numFmtId="6" fontId="0" fillId="0" borderId="0" xfId="0" applyNumberFormat="1"/>
    <xf numFmtId="174" fontId="1" fillId="0" borderId="51" xfId="0" applyNumberFormat="1" applyFont="1" applyBorder="1"/>
    <xf numFmtId="174" fontId="1" fillId="0" borderId="51" xfId="2" applyNumberFormat="1" applyFont="1" applyBorder="1"/>
    <xf numFmtId="173" fontId="54" fillId="81" borderId="61" xfId="3" applyNumberFormat="1" applyFont="1" applyFill="1" applyBorder="1"/>
    <xf numFmtId="0" fontId="54" fillId="81" borderId="68" xfId="0" applyFont="1" applyFill="1" applyBorder="1" applyAlignment="1">
      <alignment horizontal="center"/>
    </xf>
    <xf numFmtId="0" fontId="54" fillId="81" borderId="109" xfId="0" applyFont="1" applyFill="1" applyBorder="1" applyAlignment="1">
      <alignment horizontal="left"/>
    </xf>
    <xf numFmtId="44" fontId="0" fillId="0" borderId="0" xfId="2" applyFont="1" applyAlignment="1">
      <alignment horizontal="right"/>
    </xf>
    <xf numFmtId="164" fontId="55" fillId="0" borderId="80" xfId="2" applyNumberFormat="1" applyFont="1" applyBorder="1" applyAlignment="1"/>
    <xf numFmtId="165" fontId="54" fillId="0" borderId="0" xfId="0" applyNumberFormat="1" applyFont="1"/>
    <xf numFmtId="41" fontId="1" fillId="0" borderId="0" xfId="2" applyNumberFormat="1" applyFont="1" applyBorder="1"/>
    <xf numFmtId="43" fontId="60" fillId="0" borderId="51" xfId="0" applyNumberFormat="1" applyFont="1" applyBorder="1"/>
    <xf numFmtId="164" fontId="1" fillId="0" borderId="86" xfId="2" applyNumberFormat="1" applyFont="1" applyBorder="1"/>
    <xf numFmtId="6" fontId="60" fillId="0" borderId="51" xfId="0" applyNumberFormat="1" applyFont="1" applyBorder="1"/>
    <xf numFmtId="165" fontId="93" fillId="0" borderId="78" xfId="1" applyNumberFormat="1" applyFont="1" applyFill="1" applyBorder="1" applyAlignment="1">
      <alignment horizontal="right" vertical="top" wrapText="1"/>
    </xf>
    <xf numFmtId="38" fontId="1" fillId="60" borderId="51" xfId="0" applyNumberFormat="1" applyFont="1" applyFill="1" applyBorder="1"/>
    <xf numFmtId="38" fontId="1" fillId="60" borderId="34" xfId="0" applyNumberFormat="1" applyFont="1" applyFill="1" applyBorder="1"/>
    <xf numFmtId="38" fontId="1" fillId="0" borderId="51" xfId="0" applyNumberFormat="1" applyFont="1" applyBorder="1"/>
    <xf numFmtId="38" fontId="1" fillId="0" borderId="34" xfId="0" applyNumberFormat="1" applyFont="1" applyBorder="1"/>
    <xf numFmtId="38" fontId="1" fillId="0" borderId="0" xfId="0" applyNumberFormat="1" applyFont="1"/>
    <xf numFmtId="3" fontId="0" fillId="0" borderId="0" xfId="0" applyNumberFormat="1" applyAlignment="1">
      <alignment wrapText="1"/>
    </xf>
    <xf numFmtId="1" fontId="0" fillId="0" borderId="0" xfId="0" applyNumberFormat="1" applyAlignment="1">
      <alignment wrapText="1"/>
    </xf>
    <xf numFmtId="43" fontId="54" fillId="0" borderId="0" xfId="1" applyFont="1"/>
    <xf numFmtId="39" fontId="1" fillId="0" borderId="49" xfId="0" applyNumberFormat="1" applyFont="1" applyBorder="1" applyAlignment="1">
      <alignment horizontal="right"/>
    </xf>
    <xf numFmtId="44" fontId="54" fillId="55" borderId="0" xfId="2" applyFont="1" applyFill="1"/>
    <xf numFmtId="16" fontId="1" fillId="67" borderId="0" xfId="1" applyNumberFormat="1" applyFont="1" applyFill="1" applyBorder="1" applyAlignment="1"/>
    <xf numFmtId="16" fontId="1" fillId="67" borderId="0" xfId="1" quotePrefix="1" applyNumberFormat="1" applyFont="1" applyFill="1" applyBorder="1" applyAlignment="1"/>
    <xf numFmtId="43" fontId="1" fillId="0" borderId="0" xfId="0" applyNumberFormat="1" applyFont="1" applyAlignment="1">
      <alignment horizontal="left"/>
    </xf>
    <xf numFmtId="165" fontId="0" fillId="0" borderId="0" xfId="1" applyNumberFormat="1" applyFont="1" applyFill="1" applyBorder="1"/>
    <xf numFmtId="165" fontId="0" fillId="0" borderId="20" xfId="1" applyNumberFormat="1" applyFont="1" applyFill="1" applyBorder="1"/>
    <xf numFmtId="4" fontId="59" fillId="0" borderId="0" xfId="0" applyNumberFormat="1" applyFont="1"/>
    <xf numFmtId="0" fontId="87" fillId="0" borderId="0" xfId="0" applyFont="1"/>
    <xf numFmtId="43" fontId="80" fillId="67" borderId="22" xfId="1" applyFont="1" applyFill="1" applyBorder="1"/>
    <xf numFmtId="10" fontId="1" fillId="55" borderId="0" xfId="0" applyNumberFormat="1" applyFont="1" applyFill="1"/>
    <xf numFmtId="43" fontId="95" fillId="0" borderId="0" xfId="0" applyNumberFormat="1" applyFont="1"/>
    <xf numFmtId="0" fontId="80" fillId="55" borderId="0" xfId="0" applyFont="1" applyFill="1"/>
    <xf numFmtId="176" fontId="80" fillId="55" borderId="0" xfId="0" applyNumberFormat="1" applyFont="1" applyFill="1" applyAlignment="1">
      <alignment horizontal="center"/>
    </xf>
    <xf numFmtId="41" fontId="98" fillId="0" borderId="0" xfId="2" applyNumberFormat="1" applyFont="1"/>
    <xf numFmtId="164" fontId="80" fillId="69" borderId="101" xfId="2" applyNumberFormat="1" applyFont="1" applyFill="1" applyBorder="1"/>
    <xf numFmtId="0" fontId="1" fillId="70" borderId="0" xfId="0" applyFont="1" applyFill="1"/>
    <xf numFmtId="176" fontId="1" fillId="70" borderId="0" xfId="0" applyNumberFormat="1" applyFont="1" applyFill="1" applyAlignment="1">
      <alignment horizontal="center"/>
    </xf>
    <xf numFmtId="43" fontId="1" fillId="70" borderId="22" xfId="1" applyFont="1" applyFill="1" applyBorder="1"/>
    <xf numFmtId="43" fontId="54" fillId="70" borderId="22" xfId="1" applyFont="1" applyFill="1" applyBorder="1"/>
    <xf numFmtId="43" fontId="54" fillId="0" borderId="0" xfId="1" applyFont="1" applyFill="1" applyBorder="1"/>
    <xf numFmtId="0" fontId="1" fillId="70" borderId="0" xfId="0" applyFont="1" applyFill="1" applyAlignment="1">
      <alignment horizontal="center"/>
    </xf>
    <xf numFmtId="0" fontId="1" fillId="67" borderId="0" xfId="0" applyFont="1" applyFill="1" applyAlignment="1">
      <alignment horizontal="left"/>
    </xf>
    <xf numFmtId="10" fontId="1" fillId="0" borderId="0" xfId="0" applyNumberFormat="1" applyFont="1"/>
    <xf numFmtId="0" fontId="108" fillId="0" borderId="20" xfId="33030" applyFont="1" applyBorder="1"/>
    <xf numFmtId="172" fontId="103" fillId="0" borderId="130" xfId="33030" applyNumberFormat="1" applyFont="1" applyBorder="1"/>
    <xf numFmtId="172" fontId="103" fillId="56" borderId="131" xfId="33030" applyNumberFormat="1" applyFont="1" applyFill="1" applyBorder="1"/>
    <xf numFmtId="172" fontId="103" fillId="0" borderId="132" xfId="33030" applyNumberFormat="1" applyFont="1" applyBorder="1"/>
    <xf numFmtId="172" fontId="103" fillId="0" borderId="78" xfId="33030" applyNumberFormat="1" applyFont="1" applyBorder="1"/>
    <xf numFmtId="172" fontId="103" fillId="56" borderId="133" xfId="33030" applyNumberFormat="1" applyFont="1" applyFill="1" applyBorder="1"/>
    <xf numFmtId="172" fontId="103" fillId="0" borderId="81" xfId="33030" applyNumberFormat="1" applyFont="1" applyBorder="1"/>
    <xf numFmtId="172" fontId="103" fillId="0" borderId="88" xfId="33030" applyNumberFormat="1" applyFont="1" applyBorder="1"/>
    <xf numFmtId="172" fontId="103" fillId="0" borderId="84" xfId="33030" applyNumberFormat="1" applyFont="1" applyBorder="1"/>
    <xf numFmtId="164" fontId="54" fillId="55" borderId="100" xfId="2" applyNumberFormat="1" applyFont="1" applyFill="1" applyBorder="1"/>
    <xf numFmtId="164" fontId="54" fillId="55" borderId="68" xfId="2" applyNumberFormat="1" applyFont="1" applyFill="1" applyBorder="1"/>
    <xf numFmtId="164" fontId="54" fillId="55" borderId="101" xfId="2" applyNumberFormat="1" applyFont="1" applyFill="1" applyBorder="1"/>
    <xf numFmtId="164" fontId="54" fillId="68" borderId="61" xfId="2" applyNumberFormat="1" applyFont="1" applyFill="1" applyBorder="1"/>
    <xf numFmtId="164" fontId="54" fillId="67" borderId="61" xfId="2" applyNumberFormat="1" applyFont="1" applyFill="1" applyBorder="1"/>
    <xf numFmtId="164" fontId="54" fillId="67" borderId="70" xfId="2" applyNumberFormat="1" applyFont="1" applyFill="1" applyBorder="1"/>
    <xf numFmtId="164" fontId="54" fillId="81" borderId="61" xfId="2" applyNumberFormat="1" applyFont="1" applyFill="1" applyBorder="1"/>
    <xf numFmtId="164" fontId="66" fillId="67" borderId="61" xfId="2" applyNumberFormat="1" applyFont="1" applyFill="1" applyBorder="1"/>
    <xf numFmtId="0" fontId="54" fillId="0" borderId="0" xfId="0" applyFont="1" applyAlignment="1">
      <alignment horizontal="left"/>
    </xf>
    <xf numFmtId="164" fontId="66" fillId="0" borderId="78" xfId="2" applyNumberFormat="1" applyFont="1" applyFill="1" applyBorder="1"/>
    <xf numFmtId="164" fontId="59" fillId="68" borderId="61" xfId="2" applyNumberFormat="1" applyFont="1" applyFill="1" applyBorder="1"/>
    <xf numFmtId="164" fontId="1" fillId="0" borderId="80" xfId="2" applyNumberFormat="1" applyFont="1" applyBorder="1" applyAlignment="1">
      <alignment horizontal="center"/>
    </xf>
    <xf numFmtId="164" fontId="1" fillId="0" borderId="81" xfId="2" applyNumberFormat="1" applyFont="1" applyBorder="1" applyAlignment="1">
      <alignment horizontal="center"/>
    </xf>
    <xf numFmtId="6" fontId="1" fillId="60" borderId="0" xfId="2" applyNumberFormat="1" applyFont="1" applyFill="1"/>
    <xf numFmtId="164" fontId="1" fillId="0" borderId="83" xfId="2" applyNumberFormat="1" applyFont="1" applyBorder="1"/>
    <xf numFmtId="0" fontId="1" fillId="60" borderId="68" xfId="0" applyFont="1" applyFill="1" applyBorder="1"/>
    <xf numFmtId="176" fontId="1" fillId="60" borderId="108" xfId="0" applyNumberFormat="1" applyFont="1" applyFill="1" applyBorder="1" applyAlignment="1">
      <alignment horizontal="center"/>
    </xf>
    <xf numFmtId="0" fontId="1" fillId="60" borderId="157" xfId="0" applyFont="1" applyFill="1" applyBorder="1"/>
    <xf numFmtId="164" fontId="1" fillId="0" borderId="0" xfId="2" applyNumberFormat="1" applyFont="1" applyAlignment="1">
      <alignment horizontal="right"/>
    </xf>
    <xf numFmtId="164" fontId="55" fillId="60" borderId="0" xfId="2" applyNumberFormat="1" applyFont="1" applyFill="1" applyBorder="1" applyAlignment="1">
      <alignment horizontal="center" wrapText="1"/>
    </xf>
    <xf numFmtId="4" fontId="0" fillId="60" borderId="88" xfId="0" applyNumberFormat="1" applyFill="1" applyBorder="1"/>
    <xf numFmtId="181" fontId="1" fillId="60" borderId="45" xfId="0" applyNumberFormat="1" applyFont="1" applyFill="1" applyBorder="1" applyAlignment="1">
      <alignment horizontal="center" vertical="center"/>
    </xf>
    <xf numFmtId="181" fontId="1" fillId="60" borderId="49" xfId="0" applyNumberFormat="1" applyFont="1" applyFill="1" applyBorder="1" applyAlignment="1">
      <alignment horizontal="center" vertical="center"/>
    </xf>
    <xf numFmtId="165" fontId="55" fillId="60" borderId="45" xfId="0" applyNumberFormat="1" applyFont="1" applyFill="1" applyBorder="1"/>
    <xf numFmtId="44" fontId="55" fillId="60" borderId="46" xfId="2" applyFont="1" applyFill="1" applyBorder="1"/>
    <xf numFmtId="177" fontId="1" fillId="60" borderId="83" xfId="0" applyNumberFormat="1" applyFont="1" applyFill="1" applyBorder="1" applyAlignment="1">
      <alignment horizontal="center"/>
    </xf>
    <xf numFmtId="0" fontId="1" fillId="60" borderId="49" xfId="0" applyFont="1" applyFill="1" applyBorder="1"/>
    <xf numFmtId="174" fontId="1" fillId="0" borderId="68" xfId="2" applyNumberFormat="1" applyFont="1" applyFill="1" applyBorder="1"/>
    <xf numFmtId="164" fontId="54" fillId="69" borderId="101" xfId="2" applyNumberFormat="1" applyFont="1" applyFill="1" applyBorder="1"/>
    <xf numFmtId="0" fontId="1" fillId="0" borderId="82" xfId="0" quotePrefix="1" applyFont="1" applyBorder="1" applyAlignment="1">
      <alignment horizontal="center" vertical="center"/>
    </xf>
    <xf numFmtId="164" fontId="55" fillId="0" borderId="20" xfId="0" applyNumberFormat="1" applyFont="1" applyBorder="1"/>
    <xf numFmtId="43" fontId="1" fillId="60" borderId="113" xfId="1" applyFont="1" applyFill="1" applyBorder="1"/>
    <xf numFmtId="0" fontId="54" fillId="55" borderId="51" xfId="0" applyFont="1" applyFill="1" applyBorder="1" applyAlignment="1">
      <alignment horizontal="center" vertical="center"/>
    </xf>
    <xf numFmtId="0" fontId="54" fillId="55" borderId="0" xfId="0" applyFont="1" applyFill="1" applyAlignment="1">
      <alignment vertical="center"/>
    </xf>
    <xf numFmtId="0" fontId="54" fillId="55" borderId="46" xfId="0" applyFont="1" applyFill="1" applyBorder="1" applyAlignment="1">
      <alignment horizontal="center" vertical="center"/>
    </xf>
    <xf numFmtId="0" fontId="54" fillId="68" borderId="70" xfId="0" applyFont="1" applyFill="1" applyBorder="1" applyAlignment="1">
      <alignment horizontal="center" vertical="center"/>
    </xf>
    <xf numFmtId="0" fontId="54" fillId="68" borderId="108" xfId="0" applyFont="1" applyFill="1" applyBorder="1" applyAlignment="1">
      <alignment vertical="center"/>
    </xf>
    <xf numFmtId="0" fontId="54" fillId="67" borderId="70" xfId="0" applyFont="1" applyFill="1" applyBorder="1" applyAlignment="1">
      <alignment horizontal="center" vertical="center"/>
    </xf>
    <xf numFmtId="0" fontId="54" fillId="67" borderId="108" xfId="0" applyFont="1" applyFill="1" applyBorder="1" applyAlignment="1">
      <alignment vertical="center"/>
    </xf>
    <xf numFmtId="0" fontId="54" fillId="55" borderId="0" xfId="0" applyFont="1" applyFill="1" applyAlignment="1">
      <alignment vertical="center" wrapText="1"/>
    </xf>
    <xf numFmtId="0" fontId="54" fillId="81" borderId="70" xfId="0" applyFont="1" applyFill="1" applyBorder="1" applyAlignment="1">
      <alignment horizontal="center" vertical="center"/>
    </xf>
    <xf numFmtId="0" fontId="54" fillId="81" borderId="108" xfId="0" applyFont="1" applyFill="1" applyBorder="1" applyAlignment="1">
      <alignment vertical="center"/>
    </xf>
    <xf numFmtId="0" fontId="54" fillId="69" borderId="106" xfId="0" applyFont="1" applyFill="1" applyBorder="1" applyAlignment="1">
      <alignment horizontal="center" vertical="center"/>
    </xf>
    <xf numFmtId="0" fontId="86" fillId="69" borderId="25" xfId="0" applyFont="1" applyFill="1" applyBorder="1" applyAlignment="1">
      <alignment vertical="center"/>
    </xf>
    <xf numFmtId="3" fontId="1" fillId="0" borderId="86" xfId="0" applyNumberFormat="1" applyFont="1" applyBorder="1"/>
    <xf numFmtId="42" fontId="1" fillId="60" borderId="0" xfId="0" applyNumberFormat="1" applyFont="1" applyFill="1"/>
    <xf numFmtId="42" fontId="1" fillId="0" borderId="0" xfId="0" applyNumberFormat="1" applyFont="1"/>
    <xf numFmtId="42" fontId="1" fillId="60" borderId="20" xfId="0" applyNumberFormat="1" applyFont="1" applyFill="1" applyBorder="1"/>
    <xf numFmtId="42" fontId="1" fillId="0" borderId="20" xfId="0" applyNumberFormat="1" applyFont="1" applyBorder="1"/>
    <xf numFmtId="42" fontId="1" fillId="60" borderId="50" xfId="2" applyNumberFormat="1" applyFont="1" applyFill="1" applyBorder="1"/>
    <xf numFmtId="42" fontId="55" fillId="0" borderId="0" xfId="0" applyNumberFormat="1" applyFont="1"/>
    <xf numFmtId="42" fontId="55" fillId="60" borderId="0" xfId="2" applyNumberFormat="1" applyFont="1" applyFill="1"/>
    <xf numFmtId="42" fontId="55" fillId="0" borderId="82" xfId="0" applyNumberFormat="1" applyFont="1" applyBorder="1" applyAlignment="1">
      <alignment wrapText="1"/>
    </xf>
    <xf numFmtId="42" fontId="55" fillId="0" borderId="81" xfId="0" applyNumberFormat="1" applyFont="1" applyBorder="1" applyAlignment="1">
      <alignment wrapText="1"/>
    </xf>
    <xf numFmtId="42" fontId="1" fillId="60" borderId="0" xfId="2" applyNumberFormat="1" applyFont="1" applyFill="1"/>
    <xf numFmtId="164" fontId="1" fillId="72" borderId="0" xfId="0" applyNumberFormat="1" applyFont="1" applyFill="1"/>
    <xf numFmtId="0" fontId="74" fillId="0" borderId="83" xfId="0" applyFont="1" applyBorder="1" applyAlignment="1">
      <alignment horizontal="center"/>
    </xf>
    <xf numFmtId="0" fontId="74" fillId="0" borderId="86" xfId="0" applyFont="1" applyBorder="1" applyAlignment="1">
      <alignment horizontal="center"/>
    </xf>
    <xf numFmtId="0" fontId="74" fillId="0" borderId="84" xfId="0" applyFont="1" applyBorder="1" applyAlignment="1">
      <alignment horizontal="center"/>
    </xf>
    <xf numFmtId="0" fontId="1" fillId="0" borderId="83" xfId="0" applyFont="1" applyBorder="1" applyAlignment="1">
      <alignment horizontal="left" wrapText="1"/>
    </xf>
    <xf numFmtId="0" fontId="1" fillId="0" borderId="86" xfId="0" applyFont="1" applyBorder="1" applyAlignment="1">
      <alignment horizontal="left" wrapText="1"/>
    </xf>
    <xf numFmtId="0" fontId="1" fillId="0" borderId="84" xfId="0" applyFont="1" applyBorder="1" applyAlignment="1">
      <alignment horizontal="left" wrapText="1"/>
    </xf>
    <xf numFmtId="0" fontId="17" fillId="0" borderId="20" xfId="0" applyFont="1" applyBorder="1" applyAlignment="1">
      <alignment horizontal="center"/>
    </xf>
    <xf numFmtId="0" fontId="60" fillId="0" borderId="80" xfId="0" applyFont="1" applyBorder="1" applyAlignment="1">
      <alignment horizontal="center" wrapText="1"/>
    </xf>
    <xf numFmtId="0" fontId="60" fillId="0" borderId="82" xfId="0" applyFont="1" applyBorder="1" applyAlignment="1">
      <alignment horizontal="center" wrapText="1"/>
    </xf>
    <xf numFmtId="0" fontId="60" fillId="0" borderId="81" xfId="0" applyFont="1" applyBorder="1" applyAlignment="1">
      <alignment horizontal="center" wrapText="1"/>
    </xf>
    <xf numFmtId="165" fontId="55" fillId="0" borderId="76" xfId="1" applyNumberFormat="1" applyFont="1" applyFill="1" applyBorder="1" applyAlignment="1">
      <alignment horizontal="center" vertical="top" wrapText="1"/>
    </xf>
    <xf numFmtId="165" fontId="55" fillId="0" borderId="74" xfId="1" applyNumberFormat="1" applyFont="1" applyFill="1" applyBorder="1" applyAlignment="1">
      <alignment horizontal="center" vertical="top"/>
    </xf>
    <xf numFmtId="165" fontId="55" fillId="0" borderId="77" xfId="1" applyNumberFormat="1" applyFont="1" applyFill="1" applyBorder="1" applyAlignment="1">
      <alignment horizontal="center" vertical="top"/>
    </xf>
    <xf numFmtId="165" fontId="60" fillId="0" borderId="49" xfId="1" applyNumberFormat="1" applyFont="1" applyFill="1" applyBorder="1" applyAlignment="1">
      <alignment horizontal="center" vertical="top" wrapText="1"/>
    </xf>
    <xf numFmtId="165" fontId="74" fillId="0" borderId="20" xfId="1" applyNumberFormat="1" applyFont="1" applyFill="1" applyBorder="1" applyAlignment="1">
      <alignment horizontal="center" vertical="top" wrapText="1"/>
    </xf>
    <xf numFmtId="165" fontId="74" fillId="0" borderId="50" xfId="1" applyNumberFormat="1" applyFont="1" applyFill="1" applyBorder="1" applyAlignment="1">
      <alignment horizontal="center" vertical="top" wrapText="1"/>
    </xf>
    <xf numFmtId="0" fontId="55" fillId="0" borderId="80" xfId="0" applyFont="1" applyBorder="1" applyAlignment="1">
      <alignment horizontal="center" wrapText="1"/>
    </xf>
    <xf numFmtId="0" fontId="55" fillId="0" borderId="82" xfId="0" applyFont="1" applyBorder="1" applyAlignment="1">
      <alignment horizontal="center" wrapText="1"/>
    </xf>
    <xf numFmtId="0" fontId="55" fillId="0" borderId="82" xfId="0" applyFont="1" applyBorder="1" applyAlignment="1">
      <alignment horizontal="center"/>
    </xf>
    <xf numFmtId="0" fontId="55" fillId="0" borderId="81" xfId="0" applyFont="1" applyBorder="1" applyAlignment="1">
      <alignment horizontal="center"/>
    </xf>
    <xf numFmtId="0" fontId="55" fillId="0" borderId="80" xfId="0" applyFont="1" applyBorder="1" applyAlignment="1">
      <alignment horizontal="center"/>
    </xf>
    <xf numFmtId="0" fontId="60" fillId="0" borderId="40" xfId="0" applyFont="1" applyBorder="1" applyAlignment="1">
      <alignment horizontal="center"/>
    </xf>
    <xf numFmtId="0" fontId="60" fillId="0" borderId="66" xfId="0" applyFont="1" applyBorder="1" applyAlignment="1">
      <alignment horizontal="center"/>
    </xf>
    <xf numFmtId="0" fontId="60" fillId="0" borderId="41" xfId="0" applyFont="1" applyBorder="1" applyAlignment="1">
      <alignment horizontal="center"/>
    </xf>
    <xf numFmtId="0" fontId="55" fillId="0" borderId="80" xfId="0" applyFont="1" applyBorder="1" applyAlignment="1">
      <alignment horizontal="left"/>
    </xf>
    <xf numFmtId="0" fontId="55" fillId="0" borderId="82" xfId="0" applyFont="1" applyBorder="1" applyAlignment="1">
      <alignment horizontal="left"/>
    </xf>
    <xf numFmtId="0" fontId="55" fillId="0" borderId="81" xfId="0" applyFont="1" applyBorder="1" applyAlignment="1">
      <alignment horizontal="left"/>
    </xf>
    <xf numFmtId="0" fontId="109" fillId="0" borderId="116" xfId="33030" applyFont="1" applyBorder="1" applyAlignment="1">
      <alignment horizontal="center" vertical="center"/>
    </xf>
    <xf numFmtId="0" fontId="109" fillId="0" borderId="117" xfId="33030" applyFont="1" applyBorder="1" applyAlignment="1">
      <alignment horizontal="center" vertical="center"/>
    </xf>
    <xf numFmtId="0" fontId="109" fillId="0" borderId="118" xfId="33030" applyFont="1" applyBorder="1" applyAlignment="1">
      <alignment horizontal="center" vertical="center"/>
    </xf>
    <xf numFmtId="0" fontId="109" fillId="0" borderId="119" xfId="33030" applyFont="1" applyBorder="1" applyAlignment="1">
      <alignment horizontal="center" vertical="center"/>
    </xf>
    <xf numFmtId="0" fontId="109" fillId="56" borderId="120" xfId="33030" applyFont="1" applyFill="1" applyBorder="1" applyAlignment="1">
      <alignment horizontal="center" vertical="center" wrapText="1"/>
    </xf>
    <xf numFmtId="0" fontId="109" fillId="56" borderId="126" xfId="33030" applyFont="1" applyFill="1" applyBorder="1" applyAlignment="1">
      <alignment horizontal="center" vertical="center" wrapText="1"/>
    </xf>
    <xf numFmtId="1" fontId="108" fillId="0" borderId="88" xfId="1" applyNumberFormat="1" applyFont="1" applyBorder="1" applyAlignment="1">
      <alignment vertical="center" wrapText="1"/>
    </xf>
    <xf numFmtId="1" fontId="108" fillId="0" borderId="34" xfId="1" applyNumberFormat="1" applyFont="1" applyBorder="1" applyAlignment="1">
      <alignment vertical="center" wrapText="1"/>
    </xf>
    <xf numFmtId="172" fontId="108" fillId="0" borderId="127" xfId="33030" applyNumberFormat="1" applyFont="1" applyBorder="1"/>
    <xf numFmtId="172" fontId="108" fillId="0" borderId="134" xfId="33030" applyNumberFormat="1" applyFont="1" applyBorder="1"/>
    <xf numFmtId="172" fontId="108" fillId="0" borderId="88" xfId="33030" applyNumberFormat="1" applyFont="1" applyBorder="1"/>
    <xf numFmtId="172" fontId="108" fillId="0" borderId="34" xfId="33030" applyNumberFormat="1" applyFont="1" applyBorder="1"/>
    <xf numFmtId="172" fontId="108" fillId="56" borderId="136" xfId="33030" applyNumberFormat="1" applyFont="1" applyFill="1" applyBorder="1"/>
    <xf numFmtId="172" fontId="108" fillId="56" borderId="135" xfId="33030" applyNumberFormat="1" applyFont="1" applyFill="1" applyBorder="1"/>
    <xf numFmtId="172" fontId="108" fillId="56" borderId="138" xfId="33030" applyNumberFormat="1" applyFont="1" applyFill="1" applyBorder="1"/>
    <xf numFmtId="172" fontId="108" fillId="56" borderId="136" xfId="33030" applyNumberFormat="1" applyFont="1" applyFill="1" applyBorder="1" applyAlignment="1">
      <alignment horizontal="right"/>
    </xf>
    <xf numFmtId="172" fontId="108" fillId="56" borderId="138" xfId="33030" applyNumberFormat="1" applyFont="1" applyFill="1" applyBorder="1" applyAlignment="1">
      <alignment horizontal="right"/>
    </xf>
    <xf numFmtId="172" fontId="108" fillId="56" borderId="135" xfId="33030" applyNumberFormat="1" applyFont="1" applyFill="1" applyBorder="1" applyAlignment="1">
      <alignment horizontal="right"/>
    </xf>
    <xf numFmtId="172" fontId="108" fillId="56" borderId="139" xfId="33030" applyNumberFormat="1" applyFont="1" applyFill="1" applyBorder="1" applyAlignment="1">
      <alignment horizontal="right"/>
    </xf>
    <xf numFmtId="172" fontId="108" fillId="56" borderId="140" xfId="33030" applyNumberFormat="1" applyFont="1" applyFill="1" applyBorder="1" applyAlignment="1">
      <alignment horizontal="right"/>
    </xf>
    <xf numFmtId="172" fontId="108" fillId="56" borderId="141" xfId="33030" applyNumberFormat="1" applyFont="1" applyFill="1" applyBorder="1" applyAlignment="1">
      <alignment horizontal="right"/>
    </xf>
    <xf numFmtId="1" fontId="108" fillId="0" borderId="88" xfId="1" applyNumberFormat="1" applyFont="1" applyFill="1" applyBorder="1" applyAlignment="1">
      <alignment vertical="center" wrapText="1"/>
    </xf>
    <xf numFmtId="1" fontId="108" fillId="0" borderId="34" xfId="1" applyNumberFormat="1" applyFont="1" applyFill="1" applyBorder="1" applyAlignment="1">
      <alignment vertical="center" wrapText="1"/>
    </xf>
    <xf numFmtId="172" fontId="108" fillId="0" borderId="137" xfId="33030" applyNumberFormat="1" applyFont="1" applyBorder="1"/>
    <xf numFmtId="172" fontId="108" fillId="0" borderId="51" xfId="33030" applyNumberFormat="1" applyFont="1" applyBorder="1"/>
    <xf numFmtId="0" fontId="108" fillId="0" borderId="40" xfId="33030" applyFont="1" applyBorder="1" applyAlignment="1">
      <alignment vertical="center" wrapText="1"/>
    </xf>
    <xf numFmtId="0" fontId="108" fillId="0" borderId="66" xfId="33030" applyFont="1" applyBorder="1" applyAlignment="1">
      <alignment vertical="center" wrapText="1"/>
    </xf>
    <xf numFmtId="0" fontId="106" fillId="0" borderId="41" xfId="33030" applyBorder="1" applyAlignment="1">
      <alignment vertical="center" wrapText="1"/>
    </xf>
    <xf numFmtId="1" fontId="108" fillId="0" borderId="51" xfId="1" applyNumberFormat="1" applyFont="1" applyFill="1" applyBorder="1" applyAlignment="1">
      <alignment vertical="center" wrapText="1"/>
    </xf>
    <xf numFmtId="172" fontId="108" fillId="0" borderId="127" xfId="33030" applyNumberFormat="1" applyFont="1" applyBorder="1" applyAlignment="1">
      <alignment horizontal="right"/>
    </xf>
    <xf numFmtId="172" fontId="108" fillId="0" borderId="137" xfId="33030" applyNumberFormat="1" applyFont="1" applyBorder="1" applyAlignment="1">
      <alignment horizontal="right"/>
    </xf>
    <xf numFmtId="172" fontId="108" fillId="0" borderId="134" xfId="33030" applyNumberFormat="1" applyFont="1" applyBorder="1" applyAlignment="1">
      <alignment horizontal="right"/>
    </xf>
    <xf numFmtId="172" fontId="108" fillId="0" borderId="88" xfId="33030" applyNumberFormat="1" applyFont="1" applyBorder="1" applyAlignment="1">
      <alignment horizontal="right"/>
    </xf>
    <xf numFmtId="172" fontId="108" fillId="0" borderId="51" xfId="33030" applyNumberFormat="1" applyFont="1" applyBorder="1" applyAlignment="1">
      <alignment horizontal="right"/>
    </xf>
    <xf numFmtId="172" fontId="108" fillId="0" borderId="34" xfId="33030" applyNumberFormat="1" applyFont="1" applyBorder="1" applyAlignment="1">
      <alignment horizontal="right"/>
    </xf>
    <xf numFmtId="0" fontId="108" fillId="0" borderId="147" xfId="33030" applyFont="1" applyBorder="1" applyAlignment="1">
      <alignment wrapText="1"/>
    </xf>
    <xf numFmtId="0" fontId="108" fillId="0" borderId="148" xfId="33030" applyFont="1" applyBorder="1" applyAlignment="1">
      <alignment wrapText="1"/>
    </xf>
    <xf numFmtId="0" fontId="106" fillId="0" borderId="149" xfId="33030" applyBorder="1" applyAlignment="1">
      <alignment wrapText="1"/>
    </xf>
    <xf numFmtId="172" fontId="108" fillId="56" borderId="136" xfId="33030" applyNumberFormat="1" applyFont="1" applyFill="1" applyBorder="1" applyAlignment="1">
      <alignment horizontal="center"/>
    </xf>
    <xf numFmtId="172" fontId="108" fillId="56" borderId="138" xfId="33030" applyNumberFormat="1" applyFont="1" applyFill="1" applyBorder="1" applyAlignment="1">
      <alignment horizontal="center"/>
    </xf>
    <xf numFmtId="172" fontId="108" fillId="56" borderId="135" xfId="33030" applyNumberFormat="1" applyFont="1" applyFill="1" applyBorder="1" applyAlignment="1">
      <alignment horizontal="center"/>
    </xf>
    <xf numFmtId="172" fontId="108" fillId="56" borderId="139" xfId="33030" applyNumberFormat="1" applyFont="1" applyFill="1" applyBorder="1" applyAlignment="1">
      <alignment horizontal="center"/>
    </xf>
    <xf numFmtId="172" fontId="108" fillId="56" borderId="140" xfId="33030" applyNumberFormat="1" applyFont="1" applyFill="1" applyBorder="1" applyAlignment="1">
      <alignment horizontal="center"/>
    </xf>
    <xf numFmtId="172" fontId="108" fillId="56" borderId="141" xfId="33030" applyNumberFormat="1" applyFont="1" applyFill="1" applyBorder="1" applyAlignment="1">
      <alignment horizontal="center"/>
    </xf>
    <xf numFmtId="0" fontId="108" fillId="0" borderId="142" xfId="33030" applyFont="1" applyBorder="1" applyAlignment="1">
      <alignment wrapText="1"/>
    </xf>
    <xf numFmtId="0" fontId="108" fillId="0" borderId="143" xfId="33030" applyFont="1" applyBorder="1" applyAlignment="1">
      <alignment wrapText="1"/>
    </xf>
    <xf numFmtId="0" fontId="106" fillId="0" borderId="144" xfId="33030" applyBorder="1" applyAlignment="1">
      <alignment wrapText="1"/>
    </xf>
    <xf numFmtId="172" fontId="108" fillId="0" borderId="127" xfId="33030" applyNumberFormat="1" applyFont="1" applyBorder="1" applyAlignment="1">
      <alignment horizontal="center"/>
    </xf>
    <xf numFmtId="172" fontId="108" fillId="0" borderId="137" xfId="33030" applyNumberFormat="1" applyFont="1" applyBorder="1" applyAlignment="1">
      <alignment horizontal="center"/>
    </xf>
    <xf numFmtId="172" fontId="108" fillId="0" borderId="134" xfId="33030" applyNumberFormat="1" applyFont="1" applyBorder="1" applyAlignment="1">
      <alignment horizontal="center"/>
    </xf>
    <xf numFmtId="172" fontId="108" fillId="0" borderId="88" xfId="33030" applyNumberFormat="1" applyFont="1" applyBorder="1" applyAlignment="1">
      <alignment horizontal="center"/>
    </xf>
    <xf numFmtId="172" fontId="108" fillId="0" borderId="51" xfId="33030" applyNumberFormat="1" applyFont="1" applyBorder="1" applyAlignment="1">
      <alignment horizontal="center"/>
    </xf>
    <xf numFmtId="172" fontId="108" fillId="0" borderId="34" xfId="33030" applyNumberFormat="1" applyFont="1" applyBorder="1" applyAlignment="1">
      <alignment horizontal="center"/>
    </xf>
    <xf numFmtId="0" fontId="108" fillId="0" borderId="145" xfId="33030" applyFont="1" applyBorder="1" applyAlignment="1">
      <alignment wrapText="1"/>
    </xf>
    <xf numFmtId="0" fontId="108" fillId="0" borderId="82" xfId="33030" applyFont="1" applyBorder="1" applyAlignment="1">
      <alignment wrapText="1"/>
    </xf>
    <xf numFmtId="0" fontId="106" fillId="0" borderId="146" xfId="33030" applyBorder="1" applyAlignment="1">
      <alignment wrapText="1"/>
    </xf>
  </cellXfs>
  <cellStyles count="33031">
    <cellStyle name="20% - Accent1" xfId="18" builtinId="30" customBuiltin="1"/>
    <cellStyle name="20% - Accent1 10" xfId="41" xr:uid="{00000000-0005-0000-0000-000001000000}"/>
    <cellStyle name="20% - Accent1 10 2" xfId="42" xr:uid="{00000000-0005-0000-0000-000002000000}"/>
    <cellStyle name="20% - Accent1 10 2 2" xfId="43" xr:uid="{00000000-0005-0000-0000-000003000000}"/>
    <cellStyle name="20% - Accent1 10 2 2 2" xfId="12443" xr:uid="{00000000-0005-0000-0000-000004000000}"/>
    <cellStyle name="20% - Accent1 10 2 2 2 2" xfId="26155" xr:uid="{00000000-0005-0000-0000-000005000000}"/>
    <cellStyle name="20% - Accent1 10 2 2 3" xfId="17367" xr:uid="{00000000-0005-0000-0000-000006000000}"/>
    <cellStyle name="20% - Accent1 10 2 3" xfId="44" xr:uid="{00000000-0005-0000-0000-000007000000}"/>
    <cellStyle name="20% - Accent1 10 2 3 2" xfId="14588" xr:uid="{00000000-0005-0000-0000-000008000000}"/>
    <cellStyle name="20% - Accent1 10 2 3 2 2" xfId="28137" xr:uid="{00000000-0005-0000-0000-000009000000}"/>
    <cellStyle name="20% - Accent1 10 2 3 3" xfId="17368" xr:uid="{00000000-0005-0000-0000-00000A000000}"/>
    <cellStyle name="20% - Accent1 10 2 4" xfId="10535" xr:uid="{00000000-0005-0000-0000-00000B000000}"/>
    <cellStyle name="20% - Accent1 10 2 4 2" xfId="24477" xr:uid="{00000000-0005-0000-0000-00000C000000}"/>
    <cellStyle name="20% - Accent1 10 2 5" xfId="17366" xr:uid="{00000000-0005-0000-0000-00000D000000}"/>
    <cellStyle name="20% - Accent1 10 3" xfId="45" xr:uid="{00000000-0005-0000-0000-00000E000000}"/>
    <cellStyle name="20% - Accent1 10 3 2" xfId="12402" xr:uid="{00000000-0005-0000-0000-00000F000000}"/>
    <cellStyle name="20% - Accent1 10 3 2 2" xfId="26114" xr:uid="{00000000-0005-0000-0000-000010000000}"/>
    <cellStyle name="20% - Accent1 10 3 3" xfId="17369" xr:uid="{00000000-0005-0000-0000-000011000000}"/>
    <cellStyle name="20% - Accent1 10 4" xfId="46" xr:uid="{00000000-0005-0000-0000-000012000000}"/>
    <cellStyle name="20% - Accent1 10 4 2" xfId="14589" xr:uid="{00000000-0005-0000-0000-000013000000}"/>
    <cellStyle name="20% - Accent1 10 4 2 2" xfId="28138" xr:uid="{00000000-0005-0000-0000-000014000000}"/>
    <cellStyle name="20% - Accent1 10 4 3" xfId="17370" xr:uid="{00000000-0005-0000-0000-000015000000}"/>
    <cellStyle name="20% - Accent1 10 5" xfId="47" xr:uid="{00000000-0005-0000-0000-000016000000}"/>
    <cellStyle name="20% - Accent1 10 5 2" xfId="17174" xr:uid="{00000000-0005-0000-0000-000017000000}"/>
    <cellStyle name="20% - Accent1 10 5 2 2" xfId="30533" xr:uid="{00000000-0005-0000-0000-000018000000}"/>
    <cellStyle name="20% - Accent1 10 5 3" xfId="17371" xr:uid="{00000000-0005-0000-0000-000019000000}"/>
    <cellStyle name="20% - Accent1 10 6" xfId="8810" xr:uid="{00000000-0005-0000-0000-00001A000000}"/>
    <cellStyle name="20% - Accent1 10 6 2" xfId="23285" xr:uid="{00000000-0005-0000-0000-00001B000000}"/>
    <cellStyle name="20% - Accent1 10 7" xfId="17365" xr:uid="{00000000-0005-0000-0000-00001C000000}"/>
    <cellStyle name="20% - Accent1 11" xfId="48" xr:uid="{00000000-0005-0000-0000-00001D000000}"/>
    <cellStyle name="20% - Accent1 11 2" xfId="49" xr:uid="{00000000-0005-0000-0000-00001E000000}"/>
    <cellStyle name="20% - Accent1 11 2 2" xfId="10536" xr:uid="{00000000-0005-0000-0000-00001F000000}"/>
    <cellStyle name="20% - Accent1 11 2 2 2" xfId="24478" xr:uid="{00000000-0005-0000-0000-000020000000}"/>
    <cellStyle name="20% - Accent1 11 2 3" xfId="17373" xr:uid="{00000000-0005-0000-0000-000021000000}"/>
    <cellStyle name="20% - Accent1 11 3" xfId="50" xr:uid="{00000000-0005-0000-0000-000022000000}"/>
    <cellStyle name="20% - Accent1 11 3 2" xfId="12634" xr:uid="{00000000-0005-0000-0000-000023000000}"/>
    <cellStyle name="20% - Accent1 11 3 2 2" xfId="26346" xr:uid="{00000000-0005-0000-0000-000024000000}"/>
    <cellStyle name="20% - Accent1 11 3 3" xfId="17374" xr:uid="{00000000-0005-0000-0000-000025000000}"/>
    <cellStyle name="20% - Accent1 11 4" xfId="51" xr:uid="{00000000-0005-0000-0000-000026000000}"/>
    <cellStyle name="20% - Accent1 11 4 2" xfId="14587" xr:uid="{00000000-0005-0000-0000-000027000000}"/>
    <cellStyle name="20% - Accent1 11 4 2 2" xfId="28136" xr:uid="{00000000-0005-0000-0000-000028000000}"/>
    <cellStyle name="20% - Accent1 11 4 3" xfId="17375" xr:uid="{00000000-0005-0000-0000-000029000000}"/>
    <cellStyle name="20% - Accent1 11 5" xfId="52" xr:uid="{00000000-0005-0000-0000-00002A000000}"/>
    <cellStyle name="20% - Accent1 11 5 2" xfId="17263" xr:uid="{00000000-0005-0000-0000-00002B000000}"/>
    <cellStyle name="20% - Accent1 11 5 2 2" xfId="30622" xr:uid="{00000000-0005-0000-0000-00002C000000}"/>
    <cellStyle name="20% - Accent1 11 5 3" xfId="17376" xr:uid="{00000000-0005-0000-0000-00002D000000}"/>
    <cellStyle name="20% - Accent1 11 6" xfId="8811" xr:uid="{00000000-0005-0000-0000-00002E000000}"/>
    <cellStyle name="20% - Accent1 11 6 2" xfId="23286" xr:uid="{00000000-0005-0000-0000-00002F000000}"/>
    <cellStyle name="20% - Accent1 11 7" xfId="17372" xr:uid="{00000000-0005-0000-0000-000030000000}"/>
    <cellStyle name="20% - Accent1 12" xfId="53" xr:uid="{00000000-0005-0000-0000-000031000000}"/>
    <cellStyle name="20% - Accent1 12 2" xfId="54" xr:uid="{00000000-0005-0000-0000-000032000000}"/>
    <cellStyle name="20% - Accent1 12 2 2" xfId="55" xr:uid="{00000000-0005-0000-0000-000033000000}"/>
    <cellStyle name="20% - Accent1 12 2 2 2" xfId="10538" xr:uid="{00000000-0005-0000-0000-000034000000}"/>
    <cellStyle name="20% - Accent1 12 2 2 2 2" xfId="24480" xr:uid="{00000000-0005-0000-0000-000035000000}"/>
    <cellStyle name="20% - Accent1 12 2 2 3" xfId="17379" xr:uid="{00000000-0005-0000-0000-000036000000}"/>
    <cellStyle name="20% - Accent1 12 2 3" xfId="56" xr:uid="{00000000-0005-0000-0000-000037000000}"/>
    <cellStyle name="20% - Accent1 12 2 3 2" xfId="12754" xr:uid="{00000000-0005-0000-0000-000038000000}"/>
    <cellStyle name="20% - Accent1 12 2 3 2 2" xfId="26466" xr:uid="{00000000-0005-0000-0000-000039000000}"/>
    <cellStyle name="20% - Accent1 12 2 3 3" xfId="17380" xr:uid="{00000000-0005-0000-0000-00003A000000}"/>
    <cellStyle name="20% - Accent1 12 2 4" xfId="57" xr:uid="{00000000-0005-0000-0000-00003B000000}"/>
    <cellStyle name="20% - Accent1 12 2 4 2" xfId="14585" xr:uid="{00000000-0005-0000-0000-00003C000000}"/>
    <cellStyle name="20% - Accent1 12 2 4 2 2" xfId="28134" xr:uid="{00000000-0005-0000-0000-00003D000000}"/>
    <cellStyle name="20% - Accent1 12 2 4 3" xfId="17381" xr:uid="{00000000-0005-0000-0000-00003E000000}"/>
    <cellStyle name="20% - Accent1 12 2 5" xfId="8813" xr:uid="{00000000-0005-0000-0000-00003F000000}"/>
    <cellStyle name="20% - Accent1 12 2 5 2" xfId="23288" xr:uid="{00000000-0005-0000-0000-000040000000}"/>
    <cellStyle name="20% - Accent1 12 2 6" xfId="17378" xr:uid="{00000000-0005-0000-0000-000041000000}"/>
    <cellStyle name="20% - Accent1 12 3" xfId="58" xr:uid="{00000000-0005-0000-0000-000042000000}"/>
    <cellStyle name="20% - Accent1 12 3 2" xfId="10537" xr:uid="{00000000-0005-0000-0000-000043000000}"/>
    <cellStyle name="20% - Accent1 12 3 2 2" xfId="24479" xr:uid="{00000000-0005-0000-0000-000044000000}"/>
    <cellStyle name="20% - Accent1 12 3 3" xfId="17382" xr:uid="{00000000-0005-0000-0000-000045000000}"/>
    <cellStyle name="20% - Accent1 12 4" xfId="59" xr:uid="{00000000-0005-0000-0000-000046000000}"/>
    <cellStyle name="20% - Accent1 12 4 2" xfId="12422" xr:uid="{00000000-0005-0000-0000-000047000000}"/>
    <cellStyle name="20% - Accent1 12 4 2 2" xfId="26134" xr:uid="{00000000-0005-0000-0000-000048000000}"/>
    <cellStyle name="20% - Accent1 12 4 3" xfId="17383" xr:uid="{00000000-0005-0000-0000-000049000000}"/>
    <cellStyle name="20% - Accent1 12 5" xfId="60" xr:uid="{00000000-0005-0000-0000-00004A000000}"/>
    <cellStyle name="20% - Accent1 12 5 2" xfId="14586" xr:uid="{00000000-0005-0000-0000-00004B000000}"/>
    <cellStyle name="20% - Accent1 12 5 2 2" xfId="28135" xr:uid="{00000000-0005-0000-0000-00004C000000}"/>
    <cellStyle name="20% - Accent1 12 5 3" xfId="17384" xr:uid="{00000000-0005-0000-0000-00004D000000}"/>
    <cellStyle name="20% - Accent1 12 6" xfId="61" xr:uid="{00000000-0005-0000-0000-00004E000000}"/>
    <cellStyle name="20% - Accent1 12 6 2" xfId="16415" xr:uid="{00000000-0005-0000-0000-00004F000000}"/>
    <cellStyle name="20% - Accent1 12 6 2 2" xfId="29822" xr:uid="{00000000-0005-0000-0000-000050000000}"/>
    <cellStyle name="20% - Accent1 12 6 3" xfId="17385" xr:uid="{00000000-0005-0000-0000-000051000000}"/>
    <cellStyle name="20% - Accent1 12 7" xfId="8812" xr:uid="{00000000-0005-0000-0000-000052000000}"/>
    <cellStyle name="20% - Accent1 12 7 2" xfId="23287" xr:uid="{00000000-0005-0000-0000-000053000000}"/>
    <cellStyle name="20% - Accent1 12 8" xfId="17377" xr:uid="{00000000-0005-0000-0000-000054000000}"/>
    <cellStyle name="20% - Accent1 13" xfId="62" xr:uid="{00000000-0005-0000-0000-000055000000}"/>
    <cellStyle name="20% - Accent1 13 2" xfId="63" xr:uid="{00000000-0005-0000-0000-000056000000}"/>
    <cellStyle name="20% - Accent1 13 2 2" xfId="10539" xr:uid="{00000000-0005-0000-0000-000057000000}"/>
    <cellStyle name="20% - Accent1 13 2 2 2" xfId="24481" xr:uid="{00000000-0005-0000-0000-000058000000}"/>
    <cellStyle name="20% - Accent1 13 2 3" xfId="17387" xr:uid="{00000000-0005-0000-0000-000059000000}"/>
    <cellStyle name="20% - Accent1 13 3" xfId="64" xr:uid="{00000000-0005-0000-0000-00005A000000}"/>
    <cellStyle name="20% - Accent1 13 3 2" xfId="12623" xr:uid="{00000000-0005-0000-0000-00005B000000}"/>
    <cellStyle name="20% - Accent1 13 3 2 2" xfId="26335" xr:uid="{00000000-0005-0000-0000-00005C000000}"/>
    <cellStyle name="20% - Accent1 13 3 3" xfId="17388" xr:uid="{00000000-0005-0000-0000-00005D000000}"/>
    <cellStyle name="20% - Accent1 13 4" xfId="65" xr:uid="{00000000-0005-0000-0000-00005E000000}"/>
    <cellStyle name="20% - Accent1 13 4 2" xfId="14584" xr:uid="{00000000-0005-0000-0000-00005F000000}"/>
    <cellStyle name="20% - Accent1 13 4 2 2" xfId="28133" xr:uid="{00000000-0005-0000-0000-000060000000}"/>
    <cellStyle name="20% - Accent1 13 4 3" xfId="17389" xr:uid="{00000000-0005-0000-0000-000061000000}"/>
    <cellStyle name="20% - Accent1 13 5" xfId="8814" xr:uid="{00000000-0005-0000-0000-000062000000}"/>
    <cellStyle name="20% - Accent1 13 5 2" xfId="23289" xr:uid="{00000000-0005-0000-0000-000063000000}"/>
    <cellStyle name="20% - Accent1 13 6" xfId="17386" xr:uid="{00000000-0005-0000-0000-000064000000}"/>
    <cellStyle name="20% - Accent1 14" xfId="66" xr:uid="{00000000-0005-0000-0000-000065000000}"/>
    <cellStyle name="20% - Accent1 14 2" xfId="67" xr:uid="{00000000-0005-0000-0000-000066000000}"/>
    <cellStyle name="20% - Accent1 14 2 2" xfId="10540" xr:uid="{00000000-0005-0000-0000-000067000000}"/>
    <cellStyle name="20% - Accent1 14 2 2 2" xfId="24482" xr:uid="{00000000-0005-0000-0000-000068000000}"/>
    <cellStyle name="20% - Accent1 14 2 3" xfId="17391" xr:uid="{00000000-0005-0000-0000-000069000000}"/>
    <cellStyle name="20% - Accent1 14 3" xfId="68" xr:uid="{00000000-0005-0000-0000-00006A000000}"/>
    <cellStyle name="20% - Accent1 14 3 2" xfId="12591" xr:uid="{00000000-0005-0000-0000-00006B000000}"/>
    <cellStyle name="20% - Accent1 14 3 2 2" xfId="26303" xr:uid="{00000000-0005-0000-0000-00006C000000}"/>
    <cellStyle name="20% - Accent1 14 3 3" xfId="17392" xr:uid="{00000000-0005-0000-0000-00006D000000}"/>
    <cellStyle name="20% - Accent1 14 4" xfId="69" xr:uid="{00000000-0005-0000-0000-00006E000000}"/>
    <cellStyle name="20% - Accent1 14 4 2" xfId="14583" xr:uid="{00000000-0005-0000-0000-00006F000000}"/>
    <cellStyle name="20% - Accent1 14 4 2 2" xfId="28132" xr:uid="{00000000-0005-0000-0000-000070000000}"/>
    <cellStyle name="20% - Accent1 14 4 3" xfId="17393" xr:uid="{00000000-0005-0000-0000-000071000000}"/>
    <cellStyle name="20% - Accent1 14 5" xfId="8815" xr:uid="{00000000-0005-0000-0000-000072000000}"/>
    <cellStyle name="20% - Accent1 14 5 2" xfId="23290" xr:uid="{00000000-0005-0000-0000-000073000000}"/>
    <cellStyle name="20% - Accent1 14 6" xfId="17390" xr:uid="{00000000-0005-0000-0000-000074000000}"/>
    <cellStyle name="20% - Accent1 15" xfId="70" xr:uid="{00000000-0005-0000-0000-000075000000}"/>
    <cellStyle name="20% - Accent1 15 2" xfId="71" xr:uid="{00000000-0005-0000-0000-000076000000}"/>
    <cellStyle name="20% - Accent1 15 2 2" xfId="10541" xr:uid="{00000000-0005-0000-0000-000077000000}"/>
    <cellStyle name="20% - Accent1 15 2 2 2" xfId="24483" xr:uid="{00000000-0005-0000-0000-000078000000}"/>
    <cellStyle name="20% - Accent1 15 2 3" xfId="17395" xr:uid="{00000000-0005-0000-0000-000079000000}"/>
    <cellStyle name="20% - Accent1 15 3" xfId="72" xr:uid="{00000000-0005-0000-0000-00007A000000}"/>
    <cellStyle name="20% - Accent1 15 3 2" xfId="12464" xr:uid="{00000000-0005-0000-0000-00007B000000}"/>
    <cellStyle name="20% - Accent1 15 3 2 2" xfId="26176" xr:uid="{00000000-0005-0000-0000-00007C000000}"/>
    <cellStyle name="20% - Accent1 15 3 3" xfId="17396" xr:uid="{00000000-0005-0000-0000-00007D000000}"/>
    <cellStyle name="20% - Accent1 15 4" xfId="73" xr:uid="{00000000-0005-0000-0000-00007E000000}"/>
    <cellStyle name="20% - Accent1 15 4 2" xfId="14582" xr:uid="{00000000-0005-0000-0000-00007F000000}"/>
    <cellStyle name="20% - Accent1 15 4 2 2" xfId="28131" xr:uid="{00000000-0005-0000-0000-000080000000}"/>
    <cellStyle name="20% - Accent1 15 4 3" xfId="17397" xr:uid="{00000000-0005-0000-0000-000081000000}"/>
    <cellStyle name="20% - Accent1 15 5" xfId="8816" xr:uid="{00000000-0005-0000-0000-000082000000}"/>
    <cellStyle name="20% - Accent1 15 5 2" xfId="23291" xr:uid="{00000000-0005-0000-0000-000083000000}"/>
    <cellStyle name="20% - Accent1 15 6" xfId="17394" xr:uid="{00000000-0005-0000-0000-000084000000}"/>
    <cellStyle name="20% - Accent1 16" xfId="74" xr:uid="{00000000-0005-0000-0000-000085000000}"/>
    <cellStyle name="20% - Accent1 16 2" xfId="75" xr:uid="{00000000-0005-0000-0000-000086000000}"/>
    <cellStyle name="20% - Accent1 16 2 2" xfId="10542" xr:uid="{00000000-0005-0000-0000-000087000000}"/>
    <cellStyle name="20% - Accent1 16 2 2 2" xfId="24484" xr:uid="{00000000-0005-0000-0000-000088000000}"/>
    <cellStyle name="20% - Accent1 16 2 3" xfId="17399" xr:uid="{00000000-0005-0000-0000-000089000000}"/>
    <cellStyle name="20% - Accent1 16 3" xfId="76" xr:uid="{00000000-0005-0000-0000-00008A000000}"/>
    <cellStyle name="20% - Accent1 16 3 2" xfId="12487" xr:uid="{00000000-0005-0000-0000-00008B000000}"/>
    <cellStyle name="20% - Accent1 16 3 2 2" xfId="26199" xr:uid="{00000000-0005-0000-0000-00008C000000}"/>
    <cellStyle name="20% - Accent1 16 3 3" xfId="17400" xr:uid="{00000000-0005-0000-0000-00008D000000}"/>
    <cellStyle name="20% - Accent1 16 4" xfId="77" xr:uid="{00000000-0005-0000-0000-00008E000000}"/>
    <cellStyle name="20% - Accent1 16 4 2" xfId="14581" xr:uid="{00000000-0005-0000-0000-00008F000000}"/>
    <cellStyle name="20% - Accent1 16 4 2 2" xfId="28130" xr:uid="{00000000-0005-0000-0000-000090000000}"/>
    <cellStyle name="20% - Accent1 16 4 3" xfId="17401" xr:uid="{00000000-0005-0000-0000-000091000000}"/>
    <cellStyle name="20% - Accent1 16 5" xfId="8817" xr:uid="{00000000-0005-0000-0000-000092000000}"/>
    <cellStyle name="20% - Accent1 16 5 2" xfId="23292" xr:uid="{00000000-0005-0000-0000-000093000000}"/>
    <cellStyle name="20% - Accent1 16 6" xfId="17398" xr:uid="{00000000-0005-0000-0000-000094000000}"/>
    <cellStyle name="20% - Accent1 17" xfId="78" xr:uid="{00000000-0005-0000-0000-000095000000}"/>
    <cellStyle name="20% - Accent1 17 2" xfId="79" xr:uid="{00000000-0005-0000-0000-000096000000}"/>
    <cellStyle name="20% - Accent1 17 2 2" xfId="10543" xr:uid="{00000000-0005-0000-0000-000097000000}"/>
    <cellStyle name="20% - Accent1 17 2 2 2" xfId="24485" xr:uid="{00000000-0005-0000-0000-000098000000}"/>
    <cellStyle name="20% - Accent1 17 2 3" xfId="17403" xr:uid="{00000000-0005-0000-0000-000099000000}"/>
    <cellStyle name="20% - Accent1 17 3" xfId="80" xr:uid="{00000000-0005-0000-0000-00009A000000}"/>
    <cellStyle name="20% - Accent1 17 3 2" xfId="12101" xr:uid="{00000000-0005-0000-0000-00009B000000}"/>
    <cellStyle name="20% - Accent1 17 3 2 2" xfId="25813" xr:uid="{00000000-0005-0000-0000-00009C000000}"/>
    <cellStyle name="20% - Accent1 17 3 3" xfId="17404" xr:uid="{00000000-0005-0000-0000-00009D000000}"/>
    <cellStyle name="20% - Accent1 17 4" xfId="81" xr:uid="{00000000-0005-0000-0000-00009E000000}"/>
    <cellStyle name="20% - Accent1 17 4 2" xfId="14580" xr:uid="{00000000-0005-0000-0000-00009F000000}"/>
    <cellStyle name="20% - Accent1 17 4 2 2" xfId="28129" xr:uid="{00000000-0005-0000-0000-0000A0000000}"/>
    <cellStyle name="20% - Accent1 17 4 3" xfId="17405" xr:uid="{00000000-0005-0000-0000-0000A1000000}"/>
    <cellStyle name="20% - Accent1 17 5" xfId="8818" xr:uid="{00000000-0005-0000-0000-0000A2000000}"/>
    <cellStyle name="20% - Accent1 17 5 2" xfId="23293" xr:uid="{00000000-0005-0000-0000-0000A3000000}"/>
    <cellStyle name="20% - Accent1 17 6" xfId="17402" xr:uid="{00000000-0005-0000-0000-0000A4000000}"/>
    <cellStyle name="20% - Accent1 18" xfId="82" xr:uid="{00000000-0005-0000-0000-0000A5000000}"/>
    <cellStyle name="20% - Accent1 18 2" xfId="83" xr:uid="{00000000-0005-0000-0000-0000A6000000}"/>
    <cellStyle name="20% - Accent1 18 2 2" xfId="10544" xr:uid="{00000000-0005-0000-0000-0000A7000000}"/>
    <cellStyle name="20% - Accent1 18 2 2 2" xfId="24486" xr:uid="{00000000-0005-0000-0000-0000A8000000}"/>
    <cellStyle name="20% - Accent1 18 2 3" xfId="17407" xr:uid="{00000000-0005-0000-0000-0000A9000000}"/>
    <cellStyle name="20% - Accent1 18 3" xfId="84" xr:uid="{00000000-0005-0000-0000-0000AA000000}"/>
    <cellStyle name="20% - Accent1 18 3 2" xfId="12791" xr:uid="{00000000-0005-0000-0000-0000AB000000}"/>
    <cellStyle name="20% - Accent1 18 3 2 2" xfId="26503" xr:uid="{00000000-0005-0000-0000-0000AC000000}"/>
    <cellStyle name="20% - Accent1 18 3 3" xfId="17408" xr:uid="{00000000-0005-0000-0000-0000AD000000}"/>
    <cellStyle name="20% - Accent1 18 4" xfId="85" xr:uid="{00000000-0005-0000-0000-0000AE000000}"/>
    <cellStyle name="20% - Accent1 18 4 2" xfId="14529" xr:uid="{00000000-0005-0000-0000-0000AF000000}"/>
    <cellStyle name="20% - Accent1 18 4 2 2" xfId="28078" xr:uid="{00000000-0005-0000-0000-0000B0000000}"/>
    <cellStyle name="20% - Accent1 18 4 3" xfId="17409" xr:uid="{00000000-0005-0000-0000-0000B1000000}"/>
    <cellStyle name="20% - Accent1 18 5" xfId="8819" xr:uid="{00000000-0005-0000-0000-0000B2000000}"/>
    <cellStyle name="20% - Accent1 18 5 2" xfId="23294" xr:uid="{00000000-0005-0000-0000-0000B3000000}"/>
    <cellStyle name="20% - Accent1 18 6" xfId="17406" xr:uid="{00000000-0005-0000-0000-0000B4000000}"/>
    <cellStyle name="20% - Accent1 19" xfId="86" xr:uid="{00000000-0005-0000-0000-0000B5000000}"/>
    <cellStyle name="20% - Accent1 19 2" xfId="87" xr:uid="{00000000-0005-0000-0000-0000B6000000}"/>
    <cellStyle name="20% - Accent1 19 2 2" xfId="11699" xr:uid="{00000000-0005-0000-0000-0000B7000000}"/>
    <cellStyle name="20% - Accent1 19 2 2 2" xfId="25419" xr:uid="{00000000-0005-0000-0000-0000B8000000}"/>
    <cellStyle name="20% - Accent1 19 2 3" xfId="17411" xr:uid="{00000000-0005-0000-0000-0000B9000000}"/>
    <cellStyle name="20% - Accent1 19 3" xfId="88" xr:uid="{00000000-0005-0000-0000-0000BA000000}"/>
    <cellStyle name="20% - Accent1 19 3 2" xfId="12746" xr:uid="{00000000-0005-0000-0000-0000BB000000}"/>
    <cellStyle name="20% - Accent1 19 3 2 2" xfId="26458" xr:uid="{00000000-0005-0000-0000-0000BC000000}"/>
    <cellStyle name="20% - Accent1 19 3 3" xfId="17412" xr:uid="{00000000-0005-0000-0000-0000BD000000}"/>
    <cellStyle name="20% - Accent1 19 4" xfId="89" xr:uid="{00000000-0005-0000-0000-0000BE000000}"/>
    <cellStyle name="20% - Accent1 19 4 2" xfId="14579" xr:uid="{00000000-0005-0000-0000-0000BF000000}"/>
    <cellStyle name="20% - Accent1 19 4 2 2" xfId="28128" xr:uid="{00000000-0005-0000-0000-0000C0000000}"/>
    <cellStyle name="20% - Accent1 19 4 3" xfId="17413" xr:uid="{00000000-0005-0000-0000-0000C1000000}"/>
    <cellStyle name="20% - Accent1 19 5" xfId="10451" xr:uid="{00000000-0005-0000-0000-0000C2000000}"/>
    <cellStyle name="20% - Accent1 19 5 2" xfId="24410" xr:uid="{00000000-0005-0000-0000-0000C3000000}"/>
    <cellStyle name="20% - Accent1 19 6" xfId="17410" xr:uid="{00000000-0005-0000-0000-0000C4000000}"/>
    <cellStyle name="20% - Accent1 2" xfId="90" xr:uid="{00000000-0005-0000-0000-0000C5000000}"/>
    <cellStyle name="20% - Accent1 2 10" xfId="91" xr:uid="{00000000-0005-0000-0000-0000C6000000}"/>
    <cellStyle name="20% - Accent1 2 10 2" xfId="92" xr:uid="{00000000-0005-0000-0000-0000C7000000}"/>
    <cellStyle name="20% - Accent1 2 10 2 2" xfId="14577" xr:uid="{00000000-0005-0000-0000-0000C8000000}"/>
    <cellStyle name="20% - Accent1 2 10 2 2 2" xfId="28126" xr:uid="{00000000-0005-0000-0000-0000C9000000}"/>
    <cellStyle name="20% - Accent1 2 10 2 3" xfId="17416" xr:uid="{00000000-0005-0000-0000-0000CA000000}"/>
    <cellStyle name="20% - Accent1 2 10 3" xfId="11824" xr:uid="{00000000-0005-0000-0000-0000CB000000}"/>
    <cellStyle name="20% - Accent1 2 10 3 2" xfId="25539" xr:uid="{00000000-0005-0000-0000-0000CC000000}"/>
    <cellStyle name="20% - Accent1 2 10 4" xfId="17415" xr:uid="{00000000-0005-0000-0000-0000CD000000}"/>
    <cellStyle name="20% - Accent1 2 11" xfId="93" xr:uid="{00000000-0005-0000-0000-0000CE000000}"/>
    <cellStyle name="20% - Accent1 2 11 2" xfId="12707" xr:uid="{00000000-0005-0000-0000-0000CF000000}"/>
    <cellStyle name="20% - Accent1 2 11 2 2" xfId="26419" xr:uid="{00000000-0005-0000-0000-0000D0000000}"/>
    <cellStyle name="20% - Accent1 2 11 3" xfId="17417" xr:uid="{00000000-0005-0000-0000-0000D1000000}"/>
    <cellStyle name="20% - Accent1 2 12" xfId="94" xr:uid="{00000000-0005-0000-0000-0000D2000000}"/>
    <cellStyle name="20% - Accent1 2 12 2" xfId="13424" xr:uid="{00000000-0005-0000-0000-0000D3000000}"/>
    <cellStyle name="20% - Accent1 2 12 2 2" xfId="26973" xr:uid="{00000000-0005-0000-0000-0000D4000000}"/>
    <cellStyle name="20% - Accent1 2 12 3" xfId="17418" xr:uid="{00000000-0005-0000-0000-0000D5000000}"/>
    <cellStyle name="20% - Accent1 2 13" xfId="95" xr:uid="{00000000-0005-0000-0000-0000D6000000}"/>
    <cellStyle name="20% - Accent1 2 13 2" xfId="14005" xr:uid="{00000000-0005-0000-0000-0000D7000000}"/>
    <cellStyle name="20% - Accent1 2 13 2 2" xfId="27554" xr:uid="{00000000-0005-0000-0000-0000D8000000}"/>
    <cellStyle name="20% - Accent1 2 13 3" xfId="17419" xr:uid="{00000000-0005-0000-0000-0000D9000000}"/>
    <cellStyle name="20% - Accent1 2 14" xfId="96" xr:uid="{00000000-0005-0000-0000-0000DA000000}"/>
    <cellStyle name="20% - Accent1 2 14 2" xfId="14578" xr:uid="{00000000-0005-0000-0000-0000DB000000}"/>
    <cellStyle name="20% - Accent1 2 14 2 2" xfId="28127" xr:uid="{00000000-0005-0000-0000-0000DC000000}"/>
    <cellStyle name="20% - Accent1 2 14 3" xfId="17420" xr:uid="{00000000-0005-0000-0000-0000DD000000}"/>
    <cellStyle name="20% - Accent1 2 15" xfId="97" xr:uid="{00000000-0005-0000-0000-0000DE000000}"/>
    <cellStyle name="20% - Accent1 2 15 2" xfId="15891" xr:uid="{00000000-0005-0000-0000-0000DF000000}"/>
    <cellStyle name="20% - Accent1 2 15 2 2" xfId="29298" xr:uid="{00000000-0005-0000-0000-0000E0000000}"/>
    <cellStyle name="20% - Accent1 2 15 3" xfId="17421" xr:uid="{00000000-0005-0000-0000-0000E1000000}"/>
    <cellStyle name="20% - Accent1 2 16" xfId="8820" xr:uid="{00000000-0005-0000-0000-0000E2000000}"/>
    <cellStyle name="20% - Accent1 2 16 2" xfId="23295" xr:uid="{00000000-0005-0000-0000-0000E3000000}"/>
    <cellStyle name="20% - Accent1 2 17" xfId="17414" xr:uid="{00000000-0005-0000-0000-0000E4000000}"/>
    <cellStyle name="20% - Accent1 2 2" xfId="98" xr:uid="{00000000-0005-0000-0000-0000E5000000}"/>
    <cellStyle name="20% - Accent1 2 2 10" xfId="99" xr:uid="{00000000-0005-0000-0000-0000E6000000}"/>
    <cellStyle name="20% - Accent1 2 2 10 2" xfId="14576" xr:uid="{00000000-0005-0000-0000-0000E7000000}"/>
    <cellStyle name="20% - Accent1 2 2 10 2 2" xfId="28125" xr:uid="{00000000-0005-0000-0000-0000E8000000}"/>
    <cellStyle name="20% - Accent1 2 2 10 3" xfId="17423" xr:uid="{00000000-0005-0000-0000-0000E9000000}"/>
    <cellStyle name="20% - Accent1 2 2 11" xfId="100" xr:uid="{00000000-0005-0000-0000-0000EA000000}"/>
    <cellStyle name="20% - Accent1 2 2 11 2" xfId="15937" xr:uid="{00000000-0005-0000-0000-0000EB000000}"/>
    <cellStyle name="20% - Accent1 2 2 11 2 2" xfId="29344" xr:uid="{00000000-0005-0000-0000-0000EC000000}"/>
    <cellStyle name="20% - Accent1 2 2 11 3" xfId="17424" xr:uid="{00000000-0005-0000-0000-0000ED000000}"/>
    <cellStyle name="20% - Accent1 2 2 12" xfId="8821" xr:uid="{00000000-0005-0000-0000-0000EE000000}"/>
    <cellStyle name="20% - Accent1 2 2 12 2" xfId="23296" xr:uid="{00000000-0005-0000-0000-0000EF000000}"/>
    <cellStyle name="20% - Accent1 2 2 13" xfId="17422" xr:uid="{00000000-0005-0000-0000-0000F0000000}"/>
    <cellStyle name="20% - Accent1 2 2 2" xfId="101" xr:uid="{00000000-0005-0000-0000-0000F1000000}"/>
    <cellStyle name="20% - Accent1 2 2 2 10" xfId="102" xr:uid="{00000000-0005-0000-0000-0000F2000000}"/>
    <cellStyle name="20% - Accent1 2 2 2 10 2" xfId="16080" xr:uid="{00000000-0005-0000-0000-0000F3000000}"/>
    <cellStyle name="20% - Accent1 2 2 2 10 2 2" xfId="29487" xr:uid="{00000000-0005-0000-0000-0000F4000000}"/>
    <cellStyle name="20% - Accent1 2 2 2 10 3" xfId="17426" xr:uid="{00000000-0005-0000-0000-0000F5000000}"/>
    <cellStyle name="20% - Accent1 2 2 2 11" xfId="8822" xr:uid="{00000000-0005-0000-0000-0000F6000000}"/>
    <cellStyle name="20% - Accent1 2 2 2 11 2" xfId="23297" xr:uid="{00000000-0005-0000-0000-0000F7000000}"/>
    <cellStyle name="20% - Accent1 2 2 2 12" xfId="17425" xr:uid="{00000000-0005-0000-0000-0000F8000000}"/>
    <cellStyle name="20% - Accent1 2 2 2 2" xfId="103" xr:uid="{00000000-0005-0000-0000-0000F9000000}"/>
    <cellStyle name="20% - Accent1 2 2 2 2 10" xfId="8823" xr:uid="{00000000-0005-0000-0000-0000FA000000}"/>
    <cellStyle name="20% - Accent1 2 2 2 2 10 2" xfId="23298" xr:uid="{00000000-0005-0000-0000-0000FB000000}"/>
    <cellStyle name="20% - Accent1 2 2 2 2 11" xfId="17427" xr:uid="{00000000-0005-0000-0000-0000FC000000}"/>
    <cellStyle name="20% - Accent1 2 2 2 2 2" xfId="104" xr:uid="{00000000-0005-0000-0000-0000FD000000}"/>
    <cellStyle name="20% - Accent1 2 2 2 2 2 2" xfId="105" xr:uid="{00000000-0005-0000-0000-0000FE000000}"/>
    <cellStyle name="20% - Accent1 2 2 2 2 2 2 2" xfId="10549" xr:uid="{00000000-0005-0000-0000-0000FF000000}"/>
    <cellStyle name="20% - Accent1 2 2 2 2 2 2 2 2" xfId="24491" xr:uid="{00000000-0005-0000-0000-000000010000}"/>
    <cellStyle name="20% - Accent1 2 2 2 2 2 2 3" xfId="17429" xr:uid="{00000000-0005-0000-0000-000001010000}"/>
    <cellStyle name="20% - Accent1 2 2 2 2 2 3" xfId="106" xr:uid="{00000000-0005-0000-0000-000002010000}"/>
    <cellStyle name="20% - Accent1 2 2 2 2 2 3 2" xfId="12478" xr:uid="{00000000-0005-0000-0000-000003010000}"/>
    <cellStyle name="20% - Accent1 2 2 2 2 2 3 2 2" xfId="26190" xr:uid="{00000000-0005-0000-0000-000004010000}"/>
    <cellStyle name="20% - Accent1 2 2 2 2 2 3 3" xfId="17430" xr:uid="{00000000-0005-0000-0000-000005010000}"/>
    <cellStyle name="20% - Accent1 2 2 2 2 2 4" xfId="107" xr:uid="{00000000-0005-0000-0000-000006010000}"/>
    <cellStyle name="20% - Accent1 2 2 2 2 2 4 2" xfId="14573" xr:uid="{00000000-0005-0000-0000-000007010000}"/>
    <cellStyle name="20% - Accent1 2 2 2 2 2 4 2 2" xfId="28122" xr:uid="{00000000-0005-0000-0000-000008010000}"/>
    <cellStyle name="20% - Accent1 2 2 2 2 2 4 3" xfId="17431" xr:uid="{00000000-0005-0000-0000-000009010000}"/>
    <cellStyle name="20% - Accent1 2 2 2 2 2 5" xfId="108" xr:uid="{00000000-0005-0000-0000-00000A010000}"/>
    <cellStyle name="20% - Accent1 2 2 2 2 2 5 2" xfId="16950" xr:uid="{00000000-0005-0000-0000-00000B010000}"/>
    <cellStyle name="20% - Accent1 2 2 2 2 2 5 2 2" xfId="30357" xr:uid="{00000000-0005-0000-0000-00000C010000}"/>
    <cellStyle name="20% - Accent1 2 2 2 2 2 5 3" xfId="17432" xr:uid="{00000000-0005-0000-0000-00000D010000}"/>
    <cellStyle name="20% - Accent1 2 2 2 2 2 6" xfId="8824" xr:uid="{00000000-0005-0000-0000-00000E010000}"/>
    <cellStyle name="20% - Accent1 2 2 2 2 2 6 2" xfId="23299" xr:uid="{00000000-0005-0000-0000-00000F010000}"/>
    <cellStyle name="20% - Accent1 2 2 2 2 2 7" xfId="17428" xr:uid="{00000000-0005-0000-0000-000010010000}"/>
    <cellStyle name="20% - Accent1 2 2 2 2 3" xfId="109" xr:uid="{00000000-0005-0000-0000-000011010000}"/>
    <cellStyle name="20% - Accent1 2 2 2 2 3 2" xfId="110" xr:uid="{00000000-0005-0000-0000-000012010000}"/>
    <cellStyle name="20% - Accent1 2 2 2 2 3 2 2" xfId="14572" xr:uid="{00000000-0005-0000-0000-000013010000}"/>
    <cellStyle name="20% - Accent1 2 2 2 2 3 2 2 2" xfId="28121" xr:uid="{00000000-0005-0000-0000-000014010000}"/>
    <cellStyle name="20% - Accent1 2 2 2 2 3 2 3" xfId="17434" xr:uid="{00000000-0005-0000-0000-000015010000}"/>
    <cellStyle name="20% - Accent1 2 2 2 2 3 3" xfId="10548" xr:uid="{00000000-0005-0000-0000-000016010000}"/>
    <cellStyle name="20% - Accent1 2 2 2 2 3 3 2" xfId="24490" xr:uid="{00000000-0005-0000-0000-000017010000}"/>
    <cellStyle name="20% - Accent1 2 2 2 2 3 4" xfId="17433" xr:uid="{00000000-0005-0000-0000-000018010000}"/>
    <cellStyle name="20% - Accent1 2 2 2 2 4" xfId="111" xr:uid="{00000000-0005-0000-0000-000019010000}"/>
    <cellStyle name="20% - Accent1 2 2 2 2 4 2" xfId="12338" xr:uid="{00000000-0005-0000-0000-00001A010000}"/>
    <cellStyle name="20% - Accent1 2 2 2 2 4 2 2" xfId="26050" xr:uid="{00000000-0005-0000-0000-00001B010000}"/>
    <cellStyle name="20% - Accent1 2 2 2 2 4 3" xfId="17435" xr:uid="{00000000-0005-0000-0000-00001C010000}"/>
    <cellStyle name="20% - Accent1 2 2 2 2 5" xfId="112" xr:uid="{00000000-0005-0000-0000-00001D010000}"/>
    <cellStyle name="20% - Accent1 2 2 2 2 5 2" xfId="12766" xr:uid="{00000000-0005-0000-0000-00001E010000}"/>
    <cellStyle name="20% - Accent1 2 2 2 2 5 2 2" xfId="26478" xr:uid="{00000000-0005-0000-0000-00001F010000}"/>
    <cellStyle name="20% - Accent1 2 2 2 2 5 3" xfId="17436" xr:uid="{00000000-0005-0000-0000-000020010000}"/>
    <cellStyle name="20% - Accent1 2 2 2 2 6" xfId="113" xr:uid="{00000000-0005-0000-0000-000021010000}"/>
    <cellStyle name="20% - Accent1 2 2 2 2 6 2" xfId="13902" xr:uid="{00000000-0005-0000-0000-000022010000}"/>
    <cellStyle name="20% - Accent1 2 2 2 2 6 2 2" xfId="27451" xr:uid="{00000000-0005-0000-0000-000023010000}"/>
    <cellStyle name="20% - Accent1 2 2 2 2 6 3" xfId="17437" xr:uid="{00000000-0005-0000-0000-000024010000}"/>
    <cellStyle name="20% - Accent1 2 2 2 2 7" xfId="114" xr:uid="{00000000-0005-0000-0000-000025010000}"/>
    <cellStyle name="20% - Accent1 2 2 2 2 7 2" xfId="14483" xr:uid="{00000000-0005-0000-0000-000026010000}"/>
    <cellStyle name="20% - Accent1 2 2 2 2 7 2 2" xfId="28032" xr:uid="{00000000-0005-0000-0000-000027010000}"/>
    <cellStyle name="20% - Accent1 2 2 2 2 7 3" xfId="17438" xr:uid="{00000000-0005-0000-0000-000028010000}"/>
    <cellStyle name="20% - Accent1 2 2 2 2 8" xfId="115" xr:uid="{00000000-0005-0000-0000-000029010000}"/>
    <cellStyle name="20% - Accent1 2 2 2 2 8 2" xfId="14574" xr:uid="{00000000-0005-0000-0000-00002A010000}"/>
    <cellStyle name="20% - Accent1 2 2 2 2 8 2 2" xfId="28123" xr:uid="{00000000-0005-0000-0000-00002B010000}"/>
    <cellStyle name="20% - Accent1 2 2 2 2 8 3" xfId="17439" xr:uid="{00000000-0005-0000-0000-00002C010000}"/>
    <cellStyle name="20% - Accent1 2 2 2 2 9" xfId="116" xr:uid="{00000000-0005-0000-0000-00002D010000}"/>
    <cellStyle name="20% - Accent1 2 2 2 2 9 2" xfId="16369" xr:uid="{00000000-0005-0000-0000-00002E010000}"/>
    <cellStyle name="20% - Accent1 2 2 2 2 9 2 2" xfId="29776" xr:uid="{00000000-0005-0000-0000-00002F010000}"/>
    <cellStyle name="20% - Accent1 2 2 2 2 9 3" xfId="17440" xr:uid="{00000000-0005-0000-0000-000030010000}"/>
    <cellStyle name="20% - Accent1 2 2 2 3" xfId="117" xr:uid="{00000000-0005-0000-0000-000031010000}"/>
    <cellStyle name="20% - Accent1 2 2 2 3 2" xfId="118" xr:uid="{00000000-0005-0000-0000-000032010000}"/>
    <cellStyle name="20% - Accent1 2 2 2 3 2 2" xfId="10550" xr:uid="{00000000-0005-0000-0000-000033010000}"/>
    <cellStyle name="20% - Accent1 2 2 2 3 2 2 2" xfId="24492" xr:uid="{00000000-0005-0000-0000-000034010000}"/>
    <cellStyle name="20% - Accent1 2 2 2 3 2 3" xfId="17442" xr:uid="{00000000-0005-0000-0000-000035010000}"/>
    <cellStyle name="20% - Accent1 2 2 2 3 3" xfId="119" xr:uid="{00000000-0005-0000-0000-000036010000}"/>
    <cellStyle name="20% - Accent1 2 2 2 3 3 2" xfId="11765" xr:uid="{00000000-0005-0000-0000-000037010000}"/>
    <cellStyle name="20% - Accent1 2 2 2 3 3 2 2" xfId="25480" xr:uid="{00000000-0005-0000-0000-000038010000}"/>
    <cellStyle name="20% - Accent1 2 2 2 3 3 3" xfId="17443" xr:uid="{00000000-0005-0000-0000-000039010000}"/>
    <cellStyle name="20% - Accent1 2 2 2 3 4" xfId="120" xr:uid="{00000000-0005-0000-0000-00003A010000}"/>
    <cellStyle name="20% - Accent1 2 2 2 3 4 2" xfId="14571" xr:uid="{00000000-0005-0000-0000-00003B010000}"/>
    <cellStyle name="20% - Accent1 2 2 2 3 4 2 2" xfId="28120" xr:uid="{00000000-0005-0000-0000-00003C010000}"/>
    <cellStyle name="20% - Accent1 2 2 2 3 4 3" xfId="17444" xr:uid="{00000000-0005-0000-0000-00003D010000}"/>
    <cellStyle name="20% - Accent1 2 2 2 3 5" xfId="121" xr:uid="{00000000-0005-0000-0000-00003E010000}"/>
    <cellStyle name="20% - Accent1 2 2 2 3 5 2" xfId="16661" xr:uid="{00000000-0005-0000-0000-00003F010000}"/>
    <cellStyle name="20% - Accent1 2 2 2 3 5 2 2" xfId="30068" xr:uid="{00000000-0005-0000-0000-000040010000}"/>
    <cellStyle name="20% - Accent1 2 2 2 3 5 3" xfId="17445" xr:uid="{00000000-0005-0000-0000-000041010000}"/>
    <cellStyle name="20% - Accent1 2 2 2 3 6" xfId="8825" xr:uid="{00000000-0005-0000-0000-000042010000}"/>
    <cellStyle name="20% - Accent1 2 2 2 3 6 2" xfId="23300" xr:uid="{00000000-0005-0000-0000-000043010000}"/>
    <cellStyle name="20% - Accent1 2 2 2 3 7" xfId="17441" xr:uid="{00000000-0005-0000-0000-000044010000}"/>
    <cellStyle name="20% - Accent1 2 2 2 4" xfId="122" xr:uid="{00000000-0005-0000-0000-000045010000}"/>
    <cellStyle name="20% - Accent1 2 2 2 4 2" xfId="123" xr:uid="{00000000-0005-0000-0000-000046010000}"/>
    <cellStyle name="20% - Accent1 2 2 2 4 2 2" xfId="14570" xr:uid="{00000000-0005-0000-0000-000047010000}"/>
    <cellStyle name="20% - Accent1 2 2 2 4 2 2 2" xfId="28119" xr:uid="{00000000-0005-0000-0000-000048010000}"/>
    <cellStyle name="20% - Accent1 2 2 2 4 2 3" xfId="17447" xr:uid="{00000000-0005-0000-0000-000049010000}"/>
    <cellStyle name="20% - Accent1 2 2 2 4 3" xfId="10547" xr:uid="{00000000-0005-0000-0000-00004A010000}"/>
    <cellStyle name="20% - Accent1 2 2 2 4 3 2" xfId="24489" xr:uid="{00000000-0005-0000-0000-00004B010000}"/>
    <cellStyle name="20% - Accent1 2 2 2 4 4" xfId="17446" xr:uid="{00000000-0005-0000-0000-00004C010000}"/>
    <cellStyle name="20% - Accent1 2 2 2 5" xfId="124" xr:uid="{00000000-0005-0000-0000-00004D010000}"/>
    <cellStyle name="20% - Accent1 2 2 2 5 2" xfId="12038" xr:uid="{00000000-0005-0000-0000-00004E010000}"/>
    <cellStyle name="20% - Accent1 2 2 2 5 2 2" xfId="25753" xr:uid="{00000000-0005-0000-0000-00004F010000}"/>
    <cellStyle name="20% - Accent1 2 2 2 5 3" xfId="17448" xr:uid="{00000000-0005-0000-0000-000050010000}"/>
    <cellStyle name="20% - Accent1 2 2 2 6" xfId="125" xr:uid="{00000000-0005-0000-0000-000051010000}"/>
    <cellStyle name="20% - Accent1 2 2 2 6 2" xfId="12739" xr:uid="{00000000-0005-0000-0000-000052010000}"/>
    <cellStyle name="20% - Accent1 2 2 2 6 2 2" xfId="26451" xr:uid="{00000000-0005-0000-0000-000053010000}"/>
    <cellStyle name="20% - Accent1 2 2 2 6 3" xfId="17449" xr:uid="{00000000-0005-0000-0000-000054010000}"/>
    <cellStyle name="20% - Accent1 2 2 2 7" xfId="126" xr:uid="{00000000-0005-0000-0000-000055010000}"/>
    <cellStyle name="20% - Accent1 2 2 2 7 2" xfId="13613" xr:uid="{00000000-0005-0000-0000-000056010000}"/>
    <cellStyle name="20% - Accent1 2 2 2 7 2 2" xfId="27162" xr:uid="{00000000-0005-0000-0000-000057010000}"/>
    <cellStyle name="20% - Accent1 2 2 2 7 3" xfId="17450" xr:uid="{00000000-0005-0000-0000-000058010000}"/>
    <cellStyle name="20% - Accent1 2 2 2 8" xfId="127" xr:uid="{00000000-0005-0000-0000-000059010000}"/>
    <cellStyle name="20% - Accent1 2 2 2 8 2" xfId="14194" xr:uid="{00000000-0005-0000-0000-00005A010000}"/>
    <cellStyle name="20% - Accent1 2 2 2 8 2 2" xfId="27743" xr:uid="{00000000-0005-0000-0000-00005B010000}"/>
    <cellStyle name="20% - Accent1 2 2 2 8 3" xfId="17451" xr:uid="{00000000-0005-0000-0000-00005C010000}"/>
    <cellStyle name="20% - Accent1 2 2 2 9" xfId="128" xr:uid="{00000000-0005-0000-0000-00005D010000}"/>
    <cellStyle name="20% - Accent1 2 2 2 9 2" xfId="14575" xr:uid="{00000000-0005-0000-0000-00005E010000}"/>
    <cellStyle name="20% - Accent1 2 2 2 9 2 2" xfId="28124" xr:uid="{00000000-0005-0000-0000-00005F010000}"/>
    <cellStyle name="20% - Accent1 2 2 2 9 3" xfId="17452" xr:uid="{00000000-0005-0000-0000-000060010000}"/>
    <cellStyle name="20% - Accent1 2 2 3" xfId="129" xr:uid="{00000000-0005-0000-0000-000061010000}"/>
    <cellStyle name="20% - Accent1 2 2 3 10" xfId="8826" xr:uid="{00000000-0005-0000-0000-000062010000}"/>
    <cellStyle name="20% - Accent1 2 2 3 10 2" xfId="23301" xr:uid="{00000000-0005-0000-0000-000063010000}"/>
    <cellStyle name="20% - Accent1 2 2 3 11" xfId="17453" xr:uid="{00000000-0005-0000-0000-000064010000}"/>
    <cellStyle name="20% - Accent1 2 2 3 2" xfId="130" xr:uid="{00000000-0005-0000-0000-000065010000}"/>
    <cellStyle name="20% - Accent1 2 2 3 2 2" xfId="131" xr:uid="{00000000-0005-0000-0000-000066010000}"/>
    <cellStyle name="20% - Accent1 2 2 3 2 2 2" xfId="10552" xr:uid="{00000000-0005-0000-0000-000067010000}"/>
    <cellStyle name="20% - Accent1 2 2 3 2 2 2 2" xfId="24494" xr:uid="{00000000-0005-0000-0000-000068010000}"/>
    <cellStyle name="20% - Accent1 2 2 3 2 2 3" xfId="17455" xr:uid="{00000000-0005-0000-0000-000069010000}"/>
    <cellStyle name="20% - Accent1 2 2 3 2 3" xfId="132" xr:uid="{00000000-0005-0000-0000-00006A010000}"/>
    <cellStyle name="20% - Accent1 2 2 3 2 3 2" xfId="12702" xr:uid="{00000000-0005-0000-0000-00006B010000}"/>
    <cellStyle name="20% - Accent1 2 2 3 2 3 2 2" xfId="26414" xr:uid="{00000000-0005-0000-0000-00006C010000}"/>
    <cellStyle name="20% - Accent1 2 2 3 2 3 3" xfId="17456" xr:uid="{00000000-0005-0000-0000-00006D010000}"/>
    <cellStyle name="20% - Accent1 2 2 3 2 4" xfId="133" xr:uid="{00000000-0005-0000-0000-00006E010000}"/>
    <cellStyle name="20% - Accent1 2 2 3 2 4 2" xfId="14568" xr:uid="{00000000-0005-0000-0000-00006F010000}"/>
    <cellStyle name="20% - Accent1 2 2 3 2 4 2 2" xfId="28117" xr:uid="{00000000-0005-0000-0000-000070010000}"/>
    <cellStyle name="20% - Accent1 2 2 3 2 4 3" xfId="17457" xr:uid="{00000000-0005-0000-0000-000071010000}"/>
    <cellStyle name="20% - Accent1 2 2 3 2 5" xfId="134" xr:uid="{00000000-0005-0000-0000-000072010000}"/>
    <cellStyle name="20% - Accent1 2 2 3 2 5 2" xfId="16807" xr:uid="{00000000-0005-0000-0000-000073010000}"/>
    <cellStyle name="20% - Accent1 2 2 3 2 5 2 2" xfId="30214" xr:uid="{00000000-0005-0000-0000-000074010000}"/>
    <cellStyle name="20% - Accent1 2 2 3 2 5 3" xfId="17458" xr:uid="{00000000-0005-0000-0000-000075010000}"/>
    <cellStyle name="20% - Accent1 2 2 3 2 6" xfId="8827" xr:uid="{00000000-0005-0000-0000-000076010000}"/>
    <cellStyle name="20% - Accent1 2 2 3 2 6 2" xfId="23302" xr:uid="{00000000-0005-0000-0000-000077010000}"/>
    <cellStyle name="20% - Accent1 2 2 3 2 7" xfId="17454" xr:uid="{00000000-0005-0000-0000-000078010000}"/>
    <cellStyle name="20% - Accent1 2 2 3 3" xfId="135" xr:uid="{00000000-0005-0000-0000-000079010000}"/>
    <cellStyle name="20% - Accent1 2 2 3 3 2" xfId="136" xr:uid="{00000000-0005-0000-0000-00007A010000}"/>
    <cellStyle name="20% - Accent1 2 2 3 3 2 2" xfId="14567" xr:uid="{00000000-0005-0000-0000-00007B010000}"/>
    <cellStyle name="20% - Accent1 2 2 3 3 2 2 2" xfId="28116" xr:uid="{00000000-0005-0000-0000-00007C010000}"/>
    <cellStyle name="20% - Accent1 2 2 3 3 2 3" xfId="17460" xr:uid="{00000000-0005-0000-0000-00007D010000}"/>
    <cellStyle name="20% - Accent1 2 2 3 3 3" xfId="10551" xr:uid="{00000000-0005-0000-0000-00007E010000}"/>
    <cellStyle name="20% - Accent1 2 2 3 3 3 2" xfId="24493" xr:uid="{00000000-0005-0000-0000-00007F010000}"/>
    <cellStyle name="20% - Accent1 2 2 3 3 4" xfId="17459" xr:uid="{00000000-0005-0000-0000-000080010000}"/>
    <cellStyle name="20% - Accent1 2 2 3 4" xfId="137" xr:uid="{00000000-0005-0000-0000-000081010000}"/>
    <cellStyle name="20% - Accent1 2 2 3 4 2" xfId="12195" xr:uid="{00000000-0005-0000-0000-000082010000}"/>
    <cellStyle name="20% - Accent1 2 2 3 4 2 2" xfId="25907" xr:uid="{00000000-0005-0000-0000-000083010000}"/>
    <cellStyle name="20% - Accent1 2 2 3 4 3" xfId="17461" xr:uid="{00000000-0005-0000-0000-000084010000}"/>
    <cellStyle name="20% - Accent1 2 2 3 5" xfId="138" xr:uid="{00000000-0005-0000-0000-000085010000}"/>
    <cellStyle name="20% - Accent1 2 2 3 5 2" xfId="12568" xr:uid="{00000000-0005-0000-0000-000086010000}"/>
    <cellStyle name="20% - Accent1 2 2 3 5 2 2" xfId="26280" xr:uid="{00000000-0005-0000-0000-000087010000}"/>
    <cellStyle name="20% - Accent1 2 2 3 5 3" xfId="17462" xr:uid="{00000000-0005-0000-0000-000088010000}"/>
    <cellStyle name="20% - Accent1 2 2 3 6" xfId="139" xr:uid="{00000000-0005-0000-0000-000089010000}"/>
    <cellStyle name="20% - Accent1 2 2 3 6 2" xfId="13759" xr:uid="{00000000-0005-0000-0000-00008A010000}"/>
    <cellStyle name="20% - Accent1 2 2 3 6 2 2" xfId="27308" xr:uid="{00000000-0005-0000-0000-00008B010000}"/>
    <cellStyle name="20% - Accent1 2 2 3 6 3" xfId="17463" xr:uid="{00000000-0005-0000-0000-00008C010000}"/>
    <cellStyle name="20% - Accent1 2 2 3 7" xfId="140" xr:uid="{00000000-0005-0000-0000-00008D010000}"/>
    <cellStyle name="20% - Accent1 2 2 3 7 2" xfId="14340" xr:uid="{00000000-0005-0000-0000-00008E010000}"/>
    <cellStyle name="20% - Accent1 2 2 3 7 2 2" xfId="27889" xr:uid="{00000000-0005-0000-0000-00008F010000}"/>
    <cellStyle name="20% - Accent1 2 2 3 7 3" xfId="17464" xr:uid="{00000000-0005-0000-0000-000090010000}"/>
    <cellStyle name="20% - Accent1 2 2 3 8" xfId="141" xr:uid="{00000000-0005-0000-0000-000091010000}"/>
    <cellStyle name="20% - Accent1 2 2 3 8 2" xfId="14569" xr:uid="{00000000-0005-0000-0000-000092010000}"/>
    <cellStyle name="20% - Accent1 2 2 3 8 2 2" xfId="28118" xr:uid="{00000000-0005-0000-0000-000093010000}"/>
    <cellStyle name="20% - Accent1 2 2 3 8 3" xfId="17465" xr:uid="{00000000-0005-0000-0000-000094010000}"/>
    <cellStyle name="20% - Accent1 2 2 3 9" xfId="142" xr:uid="{00000000-0005-0000-0000-000095010000}"/>
    <cellStyle name="20% - Accent1 2 2 3 9 2" xfId="16226" xr:uid="{00000000-0005-0000-0000-000096010000}"/>
    <cellStyle name="20% - Accent1 2 2 3 9 2 2" xfId="29633" xr:uid="{00000000-0005-0000-0000-000097010000}"/>
    <cellStyle name="20% - Accent1 2 2 3 9 3" xfId="17466" xr:uid="{00000000-0005-0000-0000-000098010000}"/>
    <cellStyle name="20% - Accent1 2 2 4" xfId="143" xr:uid="{00000000-0005-0000-0000-000099010000}"/>
    <cellStyle name="20% - Accent1 2 2 4 2" xfId="144" xr:uid="{00000000-0005-0000-0000-00009A010000}"/>
    <cellStyle name="20% - Accent1 2 2 4 2 2" xfId="10553" xr:uid="{00000000-0005-0000-0000-00009B010000}"/>
    <cellStyle name="20% - Accent1 2 2 4 2 2 2" xfId="24495" xr:uid="{00000000-0005-0000-0000-00009C010000}"/>
    <cellStyle name="20% - Accent1 2 2 4 2 3" xfId="17468" xr:uid="{00000000-0005-0000-0000-00009D010000}"/>
    <cellStyle name="20% - Accent1 2 2 4 3" xfId="145" xr:uid="{00000000-0005-0000-0000-00009E010000}"/>
    <cellStyle name="20% - Accent1 2 2 4 3 2" xfId="12104" xr:uid="{00000000-0005-0000-0000-00009F010000}"/>
    <cellStyle name="20% - Accent1 2 2 4 3 2 2" xfId="25816" xr:uid="{00000000-0005-0000-0000-0000A0010000}"/>
    <cellStyle name="20% - Accent1 2 2 4 3 3" xfId="17469" xr:uid="{00000000-0005-0000-0000-0000A1010000}"/>
    <cellStyle name="20% - Accent1 2 2 4 4" xfId="146" xr:uid="{00000000-0005-0000-0000-0000A2010000}"/>
    <cellStyle name="20% - Accent1 2 2 4 4 2" xfId="14566" xr:uid="{00000000-0005-0000-0000-0000A3010000}"/>
    <cellStyle name="20% - Accent1 2 2 4 4 2 2" xfId="28115" xr:uid="{00000000-0005-0000-0000-0000A4010000}"/>
    <cellStyle name="20% - Accent1 2 2 4 4 3" xfId="17470" xr:uid="{00000000-0005-0000-0000-0000A5010000}"/>
    <cellStyle name="20% - Accent1 2 2 4 5" xfId="147" xr:uid="{00000000-0005-0000-0000-0000A6010000}"/>
    <cellStyle name="20% - Accent1 2 2 4 5 2" xfId="17154" xr:uid="{00000000-0005-0000-0000-0000A7010000}"/>
    <cellStyle name="20% - Accent1 2 2 4 5 2 2" xfId="30513" xr:uid="{00000000-0005-0000-0000-0000A8010000}"/>
    <cellStyle name="20% - Accent1 2 2 4 5 3" xfId="17471" xr:uid="{00000000-0005-0000-0000-0000A9010000}"/>
    <cellStyle name="20% - Accent1 2 2 4 6" xfId="8828" xr:uid="{00000000-0005-0000-0000-0000AA010000}"/>
    <cellStyle name="20% - Accent1 2 2 4 6 2" xfId="23303" xr:uid="{00000000-0005-0000-0000-0000AB010000}"/>
    <cellStyle name="20% - Accent1 2 2 4 7" xfId="17467" xr:uid="{00000000-0005-0000-0000-0000AC010000}"/>
    <cellStyle name="20% - Accent1 2 2 5" xfId="148" xr:uid="{00000000-0005-0000-0000-0000AD010000}"/>
    <cellStyle name="20% - Accent1 2 2 5 2" xfId="149" xr:uid="{00000000-0005-0000-0000-0000AE010000}"/>
    <cellStyle name="20% - Accent1 2 2 5 2 2" xfId="14565" xr:uid="{00000000-0005-0000-0000-0000AF010000}"/>
    <cellStyle name="20% - Accent1 2 2 5 2 2 2" xfId="28114" xr:uid="{00000000-0005-0000-0000-0000B0010000}"/>
    <cellStyle name="20% - Accent1 2 2 5 2 3" xfId="17473" xr:uid="{00000000-0005-0000-0000-0000B1010000}"/>
    <cellStyle name="20% - Accent1 2 2 5 3" xfId="150" xr:uid="{00000000-0005-0000-0000-0000B2010000}"/>
    <cellStyle name="20% - Accent1 2 2 5 3 2" xfId="17243" xr:uid="{00000000-0005-0000-0000-0000B3010000}"/>
    <cellStyle name="20% - Accent1 2 2 5 3 2 2" xfId="30602" xr:uid="{00000000-0005-0000-0000-0000B4010000}"/>
    <cellStyle name="20% - Accent1 2 2 5 3 3" xfId="17474" xr:uid="{00000000-0005-0000-0000-0000B5010000}"/>
    <cellStyle name="20% - Accent1 2 2 5 4" xfId="10546" xr:uid="{00000000-0005-0000-0000-0000B6010000}"/>
    <cellStyle name="20% - Accent1 2 2 5 4 2" xfId="24488" xr:uid="{00000000-0005-0000-0000-0000B7010000}"/>
    <cellStyle name="20% - Accent1 2 2 5 5" xfId="17472" xr:uid="{00000000-0005-0000-0000-0000B8010000}"/>
    <cellStyle name="20% - Accent1 2 2 6" xfId="151" xr:uid="{00000000-0005-0000-0000-0000B9010000}"/>
    <cellStyle name="20% - Accent1 2 2 6 2" xfId="152" xr:uid="{00000000-0005-0000-0000-0000BA010000}"/>
    <cellStyle name="20% - Accent1 2 2 6 2 2" xfId="16518" xr:uid="{00000000-0005-0000-0000-0000BB010000}"/>
    <cellStyle name="20% - Accent1 2 2 6 2 2 2" xfId="29925" xr:uid="{00000000-0005-0000-0000-0000BC010000}"/>
    <cellStyle name="20% - Accent1 2 2 6 2 3" xfId="17476" xr:uid="{00000000-0005-0000-0000-0000BD010000}"/>
    <cellStyle name="20% - Accent1 2 2 6 3" xfId="11893" xr:uid="{00000000-0005-0000-0000-0000BE010000}"/>
    <cellStyle name="20% - Accent1 2 2 6 3 2" xfId="25608" xr:uid="{00000000-0005-0000-0000-0000BF010000}"/>
    <cellStyle name="20% - Accent1 2 2 6 4" xfId="17475" xr:uid="{00000000-0005-0000-0000-0000C0010000}"/>
    <cellStyle name="20% - Accent1 2 2 7" xfId="153" xr:uid="{00000000-0005-0000-0000-0000C1010000}"/>
    <cellStyle name="20% - Accent1 2 2 7 2" xfId="12405" xr:uid="{00000000-0005-0000-0000-0000C2010000}"/>
    <cellStyle name="20% - Accent1 2 2 7 2 2" xfId="26117" xr:uid="{00000000-0005-0000-0000-0000C3010000}"/>
    <cellStyle name="20% - Accent1 2 2 7 3" xfId="17477" xr:uid="{00000000-0005-0000-0000-0000C4010000}"/>
    <cellStyle name="20% - Accent1 2 2 8" xfId="154" xr:uid="{00000000-0005-0000-0000-0000C5010000}"/>
    <cellStyle name="20% - Accent1 2 2 8 2" xfId="13470" xr:uid="{00000000-0005-0000-0000-0000C6010000}"/>
    <cellStyle name="20% - Accent1 2 2 8 2 2" xfId="27019" xr:uid="{00000000-0005-0000-0000-0000C7010000}"/>
    <cellStyle name="20% - Accent1 2 2 8 3" xfId="17478" xr:uid="{00000000-0005-0000-0000-0000C8010000}"/>
    <cellStyle name="20% - Accent1 2 2 9" xfId="155" xr:uid="{00000000-0005-0000-0000-0000C9010000}"/>
    <cellStyle name="20% - Accent1 2 2 9 2" xfId="14051" xr:uid="{00000000-0005-0000-0000-0000CA010000}"/>
    <cellStyle name="20% - Accent1 2 2 9 2 2" xfId="27600" xr:uid="{00000000-0005-0000-0000-0000CB010000}"/>
    <cellStyle name="20% - Accent1 2 2 9 3" xfId="17479" xr:uid="{00000000-0005-0000-0000-0000CC010000}"/>
    <cellStyle name="20% - Accent1 2 3" xfId="156" xr:uid="{00000000-0005-0000-0000-0000CD010000}"/>
    <cellStyle name="20% - Accent1 2 3 10" xfId="157" xr:uid="{00000000-0005-0000-0000-0000CE010000}"/>
    <cellStyle name="20% - Accent1 2 3 10 2" xfId="16034" xr:uid="{00000000-0005-0000-0000-0000CF010000}"/>
    <cellStyle name="20% - Accent1 2 3 10 2 2" xfId="29441" xr:uid="{00000000-0005-0000-0000-0000D0010000}"/>
    <cellStyle name="20% - Accent1 2 3 10 3" xfId="17481" xr:uid="{00000000-0005-0000-0000-0000D1010000}"/>
    <cellStyle name="20% - Accent1 2 3 11" xfId="8829" xr:uid="{00000000-0005-0000-0000-0000D2010000}"/>
    <cellStyle name="20% - Accent1 2 3 11 2" xfId="23304" xr:uid="{00000000-0005-0000-0000-0000D3010000}"/>
    <cellStyle name="20% - Accent1 2 3 12" xfId="17480" xr:uid="{00000000-0005-0000-0000-0000D4010000}"/>
    <cellStyle name="20% - Accent1 2 3 2" xfId="158" xr:uid="{00000000-0005-0000-0000-0000D5010000}"/>
    <cellStyle name="20% - Accent1 2 3 2 10" xfId="8830" xr:uid="{00000000-0005-0000-0000-0000D6010000}"/>
    <cellStyle name="20% - Accent1 2 3 2 10 2" xfId="23305" xr:uid="{00000000-0005-0000-0000-0000D7010000}"/>
    <cellStyle name="20% - Accent1 2 3 2 11" xfId="17482" xr:uid="{00000000-0005-0000-0000-0000D8010000}"/>
    <cellStyle name="20% - Accent1 2 3 2 2" xfId="159" xr:uid="{00000000-0005-0000-0000-0000D9010000}"/>
    <cellStyle name="20% - Accent1 2 3 2 2 2" xfId="160" xr:uid="{00000000-0005-0000-0000-0000DA010000}"/>
    <cellStyle name="20% - Accent1 2 3 2 2 2 2" xfId="10556" xr:uid="{00000000-0005-0000-0000-0000DB010000}"/>
    <cellStyle name="20% - Accent1 2 3 2 2 2 2 2" xfId="24498" xr:uid="{00000000-0005-0000-0000-0000DC010000}"/>
    <cellStyle name="20% - Accent1 2 3 2 2 2 3" xfId="17484" xr:uid="{00000000-0005-0000-0000-0000DD010000}"/>
    <cellStyle name="20% - Accent1 2 3 2 2 3" xfId="161" xr:uid="{00000000-0005-0000-0000-0000DE010000}"/>
    <cellStyle name="20% - Accent1 2 3 2 2 3 2" xfId="12420" xr:uid="{00000000-0005-0000-0000-0000DF010000}"/>
    <cellStyle name="20% - Accent1 2 3 2 2 3 2 2" xfId="26132" xr:uid="{00000000-0005-0000-0000-0000E0010000}"/>
    <cellStyle name="20% - Accent1 2 3 2 2 3 3" xfId="17485" xr:uid="{00000000-0005-0000-0000-0000E1010000}"/>
    <cellStyle name="20% - Accent1 2 3 2 2 4" xfId="162" xr:uid="{00000000-0005-0000-0000-0000E2010000}"/>
    <cellStyle name="20% - Accent1 2 3 2 2 4 2" xfId="14606" xr:uid="{00000000-0005-0000-0000-0000E3010000}"/>
    <cellStyle name="20% - Accent1 2 3 2 2 4 2 2" xfId="28155" xr:uid="{00000000-0005-0000-0000-0000E4010000}"/>
    <cellStyle name="20% - Accent1 2 3 2 2 4 3" xfId="17486" xr:uid="{00000000-0005-0000-0000-0000E5010000}"/>
    <cellStyle name="20% - Accent1 2 3 2 2 5" xfId="163" xr:uid="{00000000-0005-0000-0000-0000E6010000}"/>
    <cellStyle name="20% - Accent1 2 3 2 2 5 2" xfId="16904" xr:uid="{00000000-0005-0000-0000-0000E7010000}"/>
    <cellStyle name="20% - Accent1 2 3 2 2 5 2 2" xfId="30311" xr:uid="{00000000-0005-0000-0000-0000E8010000}"/>
    <cellStyle name="20% - Accent1 2 3 2 2 5 3" xfId="17487" xr:uid="{00000000-0005-0000-0000-0000E9010000}"/>
    <cellStyle name="20% - Accent1 2 3 2 2 6" xfId="8831" xr:uid="{00000000-0005-0000-0000-0000EA010000}"/>
    <cellStyle name="20% - Accent1 2 3 2 2 6 2" xfId="23306" xr:uid="{00000000-0005-0000-0000-0000EB010000}"/>
    <cellStyle name="20% - Accent1 2 3 2 2 7" xfId="17483" xr:uid="{00000000-0005-0000-0000-0000EC010000}"/>
    <cellStyle name="20% - Accent1 2 3 2 3" xfId="164" xr:uid="{00000000-0005-0000-0000-0000ED010000}"/>
    <cellStyle name="20% - Accent1 2 3 2 3 2" xfId="165" xr:uid="{00000000-0005-0000-0000-0000EE010000}"/>
    <cellStyle name="20% - Accent1 2 3 2 3 2 2" xfId="14564" xr:uid="{00000000-0005-0000-0000-0000EF010000}"/>
    <cellStyle name="20% - Accent1 2 3 2 3 2 2 2" xfId="28113" xr:uid="{00000000-0005-0000-0000-0000F0010000}"/>
    <cellStyle name="20% - Accent1 2 3 2 3 2 3" xfId="17489" xr:uid="{00000000-0005-0000-0000-0000F1010000}"/>
    <cellStyle name="20% - Accent1 2 3 2 3 3" xfId="10555" xr:uid="{00000000-0005-0000-0000-0000F2010000}"/>
    <cellStyle name="20% - Accent1 2 3 2 3 3 2" xfId="24497" xr:uid="{00000000-0005-0000-0000-0000F3010000}"/>
    <cellStyle name="20% - Accent1 2 3 2 3 4" xfId="17488" xr:uid="{00000000-0005-0000-0000-0000F4010000}"/>
    <cellStyle name="20% - Accent1 2 3 2 4" xfId="166" xr:uid="{00000000-0005-0000-0000-0000F5010000}"/>
    <cellStyle name="20% - Accent1 2 3 2 4 2" xfId="12292" xr:uid="{00000000-0005-0000-0000-0000F6010000}"/>
    <cellStyle name="20% - Accent1 2 3 2 4 2 2" xfId="26004" xr:uid="{00000000-0005-0000-0000-0000F7010000}"/>
    <cellStyle name="20% - Accent1 2 3 2 4 3" xfId="17490" xr:uid="{00000000-0005-0000-0000-0000F8010000}"/>
    <cellStyle name="20% - Accent1 2 3 2 5" xfId="167" xr:uid="{00000000-0005-0000-0000-0000F9010000}"/>
    <cellStyle name="20% - Accent1 2 3 2 5 2" xfId="12531" xr:uid="{00000000-0005-0000-0000-0000FA010000}"/>
    <cellStyle name="20% - Accent1 2 3 2 5 2 2" xfId="26243" xr:uid="{00000000-0005-0000-0000-0000FB010000}"/>
    <cellStyle name="20% - Accent1 2 3 2 5 3" xfId="17491" xr:uid="{00000000-0005-0000-0000-0000FC010000}"/>
    <cellStyle name="20% - Accent1 2 3 2 6" xfId="168" xr:uid="{00000000-0005-0000-0000-0000FD010000}"/>
    <cellStyle name="20% - Accent1 2 3 2 6 2" xfId="13856" xr:uid="{00000000-0005-0000-0000-0000FE010000}"/>
    <cellStyle name="20% - Accent1 2 3 2 6 2 2" xfId="27405" xr:uid="{00000000-0005-0000-0000-0000FF010000}"/>
    <cellStyle name="20% - Accent1 2 3 2 6 3" xfId="17492" xr:uid="{00000000-0005-0000-0000-000000020000}"/>
    <cellStyle name="20% - Accent1 2 3 2 7" xfId="169" xr:uid="{00000000-0005-0000-0000-000001020000}"/>
    <cellStyle name="20% - Accent1 2 3 2 7 2" xfId="14437" xr:uid="{00000000-0005-0000-0000-000002020000}"/>
    <cellStyle name="20% - Accent1 2 3 2 7 2 2" xfId="27986" xr:uid="{00000000-0005-0000-0000-000003020000}"/>
    <cellStyle name="20% - Accent1 2 3 2 7 3" xfId="17493" xr:uid="{00000000-0005-0000-0000-000004020000}"/>
    <cellStyle name="20% - Accent1 2 3 2 8" xfId="170" xr:uid="{00000000-0005-0000-0000-000005020000}"/>
    <cellStyle name="20% - Accent1 2 3 2 8 2" xfId="14604" xr:uid="{00000000-0005-0000-0000-000006020000}"/>
    <cellStyle name="20% - Accent1 2 3 2 8 2 2" xfId="28153" xr:uid="{00000000-0005-0000-0000-000007020000}"/>
    <cellStyle name="20% - Accent1 2 3 2 8 3" xfId="17494" xr:uid="{00000000-0005-0000-0000-000008020000}"/>
    <cellStyle name="20% - Accent1 2 3 2 9" xfId="171" xr:uid="{00000000-0005-0000-0000-000009020000}"/>
    <cellStyle name="20% - Accent1 2 3 2 9 2" xfId="16323" xr:uid="{00000000-0005-0000-0000-00000A020000}"/>
    <cellStyle name="20% - Accent1 2 3 2 9 2 2" xfId="29730" xr:uid="{00000000-0005-0000-0000-00000B020000}"/>
    <cellStyle name="20% - Accent1 2 3 2 9 3" xfId="17495" xr:uid="{00000000-0005-0000-0000-00000C020000}"/>
    <cellStyle name="20% - Accent1 2 3 3" xfId="172" xr:uid="{00000000-0005-0000-0000-00000D020000}"/>
    <cellStyle name="20% - Accent1 2 3 3 2" xfId="173" xr:uid="{00000000-0005-0000-0000-00000E020000}"/>
    <cellStyle name="20% - Accent1 2 3 3 2 2" xfId="10557" xr:uid="{00000000-0005-0000-0000-00000F020000}"/>
    <cellStyle name="20% - Accent1 2 3 3 2 2 2" xfId="24499" xr:uid="{00000000-0005-0000-0000-000010020000}"/>
    <cellStyle name="20% - Accent1 2 3 3 2 3" xfId="17497" xr:uid="{00000000-0005-0000-0000-000011020000}"/>
    <cellStyle name="20% - Accent1 2 3 3 3" xfId="174" xr:uid="{00000000-0005-0000-0000-000012020000}"/>
    <cellStyle name="20% - Accent1 2 3 3 3 2" xfId="11841" xr:uid="{00000000-0005-0000-0000-000013020000}"/>
    <cellStyle name="20% - Accent1 2 3 3 3 2 2" xfId="25556" xr:uid="{00000000-0005-0000-0000-000014020000}"/>
    <cellStyle name="20% - Accent1 2 3 3 3 3" xfId="17498" xr:uid="{00000000-0005-0000-0000-000015020000}"/>
    <cellStyle name="20% - Accent1 2 3 3 4" xfId="175" xr:uid="{00000000-0005-0000-0000-000016020000}"/>
    <cellStyle name="20% - Accent1 2 3 3 4 2" xfId="14563" xr:uid="{00000000-0005-0000-0000-000017020000}"/>
    <cellStyle name="20% - Accent1 2 3 3 4 2 2" xfId="28112" xr:uid="{00000000-0005-0000-0000-000018020000}"/>
    <cellStyle name="20% - Accent1 2 3 3 4 3" xfId="17499" xr:uid="{00000000-0005-0000-0000-000019020000}"/>
    <cellStyle name="20% - Accent1 2 3 3 5" xfId="176" xr:uid="{00000000-0005-0000-0000-00001A020000}"/>
    <cellStyle name="20% - Accent1 2 3 3 5 2" xfId="16615" xr:uid="{00000000-0005-0000-0000-00001B020000}"/>
    <cellStyle name="20% - Accent1 2 3 3 5 2 2" xfId="30022" xr:uid="{00000000-0005-0000-0000-00001C020000}"/>
    <cellStyle name="20% - Accent1 2 3 3 5 3" xfId="17500" xr:uid="{00000000-0005-0000-0000-00001D020000}"/>
    <cellStyle name="20% - Accent1 2 3 3 6" xfId="8832" xr:uid="{00000000-0005-0000-0000-00001E020000}"/>
    <cellStyle name="20% - Accent1 2 3 3 6 2" xfId="23307" xr:uid="{00000000-0005-0000-0000-00001F020000}"/>
    <cellStyle name="20% - Accent1 2 3 3 7" xfId="17496" xr:uid="{00000000-0005-0000-0000-000020020000}"/>
    <cellStyle name="20% - Accent1 2 3 4" xfId="177" xr:uid="{00000000-0005-0000-0000-000021020000}"/>
    <cellStyle name="20% - Accent1 2 3 4 2" xfId="178" xr:uid="{00000000-0005-0000-0000-000022020000}"/>
    <cellStyle name="20% - Accent1 2 3 4 2 2" xfId="14562" xr:uid="{00000000-0005-0000-0000-000023020000}"/>
    <cellStyle name="20% - Accent1 2 3 4 2 2 2" xfId="28111" xr:uid="{00000000-0005-0000-0000-000024020000}"/>
    <cellStyle name="20% - Accent1 2 3 4 2 3" xfId="17502" xr:uid="{00000000-0005-0000-0000-000025020000}"/>
    <cellStyle name="20% - Accent1 2 3 4 3" xfId="10554" xr:uid="{00000000-0005-0000-0000-000026020000}"/>
    <cellStyle name="20% - Accent1 2 3 4 3 2" xfId="24496" xr:uid="{00000000-0005-0000-0000-000027020000}"/>
    <cellStyle name="20% - Accent1 2 3 4 4" xfId="17501" xr:uid="{00000000-0005-0000-0000-000028020000}"/>
    <cellStyle name="20% - Accent1 2 3 5" xfId="179" xr:uid="{00000000-0005-0000-0000-000029020000}"/>
    <cellStyle name="20% - Accent1 2 3 5 2" xfId="11992" xr:uid="{00000000-0005-0000-0000-00002A020000}"/>
    <cellStyle name="20% - Accent1 2 3 5 2 2" xfId="25707" xr:uid="{00000000-0005-0000-0000-00002B020000}"/>
    <cellStyle name="20% - Accent1 2 3 5 3" xfId="17503" xr:uid="{00000000-0005-0000-0000-00002C020000}"/>
    <cellStyle name="20% - Accent1 2 3 6" xfId="180" xr:uid="{00000000-0005-0000-0000-00002D020000}"/>
    <cellStyle name="20% - Accent1 2 3 6 2" xfId="12683" xr:uid="{00000000-0005-0000-0000-00002E020000}"/>
    <cellStyle name="20% - Accent1 2 3 6 2 2" xfId="26395" xr:uid="{00000000-0005-0000-0000-00002F020000}"/>
    <cellStyle name="20% - Accent1 2 3 6 3" xfId="17504" xr:uid="{00000000-0005-0000-0000-000030020000}"/>
    <cellStyle name="20% - Accent1 2 3 7" xfId="181" xr:uid="{00000000-0005-0000-0000-000031020000}"/>
    <cellStyle name="20% - Accent1 2 3 7 2" xfId="13567" xr:uid="{00000000-0005-0000-0000-000032020000}"/>
    <cellStyle name="20% - Accent1 2 3 7 2 2" xfId="27116" xr:uid="{00000000-0005-0000-0000-000033020000}"/>
    <cellStyle name="20% - Accent1 2 3 7 3" xfId="17505" xr:uid="{00000000-0005-0000-0000-000034020000}"/>
    <cellStyle name="20% - Accent1 2 3 8" xfId="182" xr:uid="{00000000-0005-0000-0000-000035020000}"/>
    <cellStyle name="20% - Accent1 2 3 8 2" xfId="14148" xr:uid="{00000000-0005-0000-0000-000036020000}"/>
    <cellStyle name="20% - Accent1 2 3 8 2 2" xfId="27697" xr:uid="{00000000-0005-0000-0000-000037020000}"/>
    <cellStyle name="20% - Accent1 2 3 8 3" xfId="17506" xr:uid="{00000000-0005-0000-0000-000038020000}"/>
    <cellStyle name="20% - Accent1 2 3 9" xfId="183" xr:uid="{00000000-0005-0000-0000-000039020000}"/>
    <cellStyle name="20% - Accent1 2 3 9 2" xfId="14605" xr:uid="{00000000-0005-0000-0000-00003A020000}"/>
    <cellStyle name="20% - Accent1 2 3 9 2 2" xfId="28154" xr:uid="{00000000-0005-0000-0000-00003B020000}"/>
    <cellStyle name="20% - Accent1 2 3 9 3" xfId="17507" xr:uid="{00000000-0005-0000-0000-00003C020000}"/>
    <cellStyle name="20% - Accent1 2 4" xfId="184" xr:uid="{00000000-0005-0000-0000-00003D020000}"/>
    <cellStyle name="20% - Accent1 2 4 10" xfId="8833" xr:uid="{00000000-0005-0000-0000-00003E020000}"/>
    <cellStyle name="20% - Accent1 2 4 10 2" xfId="23308" xr:uid="{00000000-0005-0000-0000-00003F020000}"/>
    <cellStyle name="20% - Accent1 2 4 11" xfId="17508" xr:uid="{00000000-0005-0000-0000-000040020000}"/>
    <cellStyle name="20% - Accent1 2 4 2" xfId="185" xr:uid="{00000000-0005-0000-0000-000041020000}"/>
    <cellStyle name="20% - Accent1 2 4 2 2" xfId="186" xr:uid="{00000000-0005-0000-0000-000042020000}"/>
    <cellStyle name="20% - Accent1 2 4 2 2 2" xfId="10559" xr:uid="{00000000-0005-0000-0000-000043020000}"/>
    <cellStyle name="20% - Accent1 2 4 2 2 2 2" xfId="24501" xr:uid="{00000000-0005-0000-0000-000044020000}"/>
    <cellStyle name="20% - Accent1 2 4 2 2 3" xfId="17510" xr:uid="{00000000-0005-0000-0000-000045020000}"/>
    <cellStyle name="20% - Accent1 2 4 2 3" xfId="187" xr:uid="{00000000-0005-0000-0000-000046020000}"/>
    <cellStyle name="20% - Accent1 2 4 2 3 2" xfId="11746" xr:uid="{00000000-0005-0000-0000-000047020000}"/>
    <cellStyle name="20% - Accent1 2 4 2 3 2 2" xfId="25461" xr:uid="{00000000-0005-0000-0000-000048020000}"/>
    <cellStyle name="20% - Accent1 2 4 2 3 3" xfId="17511" xr:uid="{00000000-0005-0000-0000-000049020000}"/>
    <cellStyle name="20% - Accent1 2 4 2 4" xfId="188" xr:uid="{00000000-0005-0000-0000-00004A020000}"/>
    <cellStyle name="20% - Accent1 2 4 2 4 2" xfId="14560" xr:uid="{00000000-0005-0000-0000-00004B020000}"/>
    <cellStyle name="20% - Accent1 2 4 2 4 2 2" xfId="28109" xr:uid="{00000000-0005-0000-0000-00004C020000}"/>
    <cellStyle name="20% - Accent1 2 4 2 4 3" xfId="17512" xr:uid="{00000000-0005-0000-0000-00004D020000}"/>
    <cellStyle name="20% - Accent1 2 4 2 5" xfId="189" xr:uid="{00000000-0005-0000-0000-00004E020000}"/>
    <cellStyle name="20% - Accent1 2 4 2 5 2" xfId="16761" xr:uid="{00000000-0005-0000-0000-00004F020000}"/>
    <cellStyle name="20% - Accent1 2 4 2 5 2 2" xfId="30168" xr:uid="{00000000-0005-0000-0000-000050020000}"/>
    <cellStyle name="20% - Accent1 2 4 2 5 3" xfId="17513" xr:uid="{00000000-0005-0000-0000-000051020000}"/>
    <cellStyle name="20% - Accent1 2 4 2 6" xfId="8834" xr:uid="{00000000-0005-0000-0000-000052020000}"/>
    <cellStyle name="20% - Accent1 2 4 2 6 2" xfId="23309" xr:uid="{00000000-0005-0000-0000-000053020000}"/>
    <cellStyle name="20% - Accent1 2 4 2 7" xfId="17509" xr:uid="{00000000-0005-0000-0000-000054020000}"/>
    <cellStyle name="20% - Accent1 2 4 3" xfId="190" xr:uid="{00000000-0005-0000-0000-000055020000}"/>
    <cellStyle name="20% - Accent1 2 4 3 2" xfId="191" xr:uid="{00000000-0005-0000-0000-000056020000}"/>
    <cellStyle name="20% - Accent1 2 4 3 2 2" xfId="14559" xr:uid="{00000000-0005-0000-0000-000057020000}"/>
    <cellStyle name="20% - Accent1 2 4 3 2 2 2" xfId="28108" xr:uid="{00000000-0005-0000-0000-000058020000}"/>
    <cellStyle name="20% - Accent1 2 4 3 2 3" xfId="17515" xr:uid="{00000000-0005-0000-0000-000059020000}"/>
    <cellStyle name="20% - Accent1 2 4 3 3" xfId="10558" xr:uid="{00000000-0005-0000-0000-00005A020000}"/>
    <cellStyle name="20% - Accent1 2 4 3 3 2" xfId="24500" xr:uid="{00000000-0005-0000-0000-00005B020000}"/>
    <cellStyle name="20% - Accent1 2 4 3 4" xfId="17514" xr:uid="{00000000-0005-0000-0000-00005C020000}"/>
    <cellStyle name="20% - Accent1 2 4 4" xfId="192" xr:uid="{00000000-0005-0000-0000-00005D020000}"/>
    <cellStyle name="20% - Accent1 2 4 4 2" xfId="12149" xr:uid="{00000000-0005-0000-0000-00005E020000}"/>
    <cellStyle name="20% - Accent1 2 4 4 2 2" xfId="25861" xr:uid="{00000000-0005-0000-0000-00005F020000}"/>
    <cellStyle name="20% - Accent1 2 4 4 3" xfId="17516" xr:uid="{00000000-0005-0000-0000-000060020000}"/>
    <cellStyle name="20% - Accent1 2 4 5" xfId="193" xr:uid="{00000000-0005-0000-0000-000061020000}"/>
    <cellStyle name="20% - Accent1 2 4 5 2" xfId="12498" xr:uid="{00000000-0005-0000-0000-000062020000}"/>
    <cellStyle name="20% - Accent1 2 4 5 2 2" xfId="26210" xr:uid="{00000000-0005-0000-0000-000063020000}"/>
    <cellStyle name="20% - Accent1 2 4 5 3" xfId="17517" xr:uid="{00000000-0005-0000-0000-000064020000}"/>
    <cellStyle name="20% - Accent1 2 4 6" xfId="194" xr:uid="{00000000-0005-0000-0000-000065020000}"/>
    <cellStyle name="20% - Accent1 2 4 6 2" xfId="13713" xr:uid="{00000000-0005-0000-0000-000066020000}"/>
    <cellStyle name="20% - Accent1 2 4 6 2 2" xfId="27262" xr:uid="{00000000-0005-0000-0000-000067020000}"/>
    <cellStyle name="20% - Accent1 2 4 6 3" xfId="17518" xr:uid="{00000000-0005-0000-0000-000068020000}"/>
    <cellStyle name="20% - Accent1 2 4 7" xfId="195" xr:uid="{00000000-0005-0000-0000-000069020000}"/>
    <cellStyle name="20% - Accent1 2 4 7 2" xfId="14294" xr:uid="{00000000-0005-0000-0000-00006A020000}"/>
    <cellStyle name="20% - Accent1 2 4 7 2 2" xfId="27843" xr:uid="{00000000-0005-0000-0000-00006B020000}"/>
    <cellStyle name="20% - Accent1 2 4 7 3" xfId="17519" xr:uid="{00000000-0005-0000-0000-00006C020000}"/>
    <cellStyle name="20% - Accent1 2 4 8" xfId="196" xr:uid="{00000000-0005-0000-0000-00006D020000}"/>
    <cellStyle name="20% - Accent1 2 4 8 2" xfId="14561" xr:uid="{00000000-0005-0000-0000-00006E020000}"/>
    <cellStyle name="20% - Accent1 2 4 8 2 2" xfId="28110" xr:uid="{00000000-0005-0000-0000-00006F020000}"/>
    <cellStyle name="20% - Accent1 2 4 8 3" xfId="17520" xr:uid="{00000000-0005-0000-0000-000070020000}"/>
    <cellStyle name="20% - Accent1 2 4 9" xfId="197" xr:uid="{00000000-0005-0000-0000-000071020000}"/>
    <cellStyle name="20% - Accent1 2 4 9 2" xfId="16180" xr:uid="{00000000-0005-0000-0000-000072020000}"/>
    <cellStyle name="20% - Accent1 2 4 9 2 2" xfId="29587" xr:uid="{00000000-0005-0000-0000-000073020000}"/>
    <cellStyle name="20% - Accent1 2 4 9 3" xfId="17521" xr:uid="{00000000-0005-0000-0000-000074020000}"/>
    <cellStyle name="20% - Accent1 2 5" xfId="198" xr:uid="{00000000-0005-0000-0000-000075020000}"/>
    <cellStyle name="20% - Accent1 2 5 2" xfId="199" xr:uid="{00000000-0005-0000-0000-000076020000}"/>
    <cellStyle name="20% - Accent1 2 5 2 2" xfId="200" xr:uid="{00000000-0005-0000-0000-000077020000}"/>
    <cellStyle name="20% - Accent1 2 5 2 2 2" xfId="10561" xr:uid="{00000000-0005-0000-0000-000078020000}"/>
    <cellStyle name="20% - Accent1 2 5 2 2 2 2" xfId="24503" xr:uid="{00000000-0005-0000-0000-000079020000}"/>
    <cellStyle name="20% - Accent1 2 5 2 2 3" xfId="17524" xr:uid="{00000000-0005-0000-0000-00007A020000}"/>
    <cellStyle name="20% - Accent1 2 5 2 3" xfId="201" xr:uid="{00000000-0005-0000-0000-00007B020000}"/>
    <cellStyle name="20% - Accent1 2 5 2 3 2" xfId="12670" xr:uid="{00000000-0005-0000-0000-00007C020000}"/>
    <cellStyle name="20% - Accent1 2 5 2 3 2 2" xfId="26382" xr:uid="{00000000-0005-0000-0000-00007D020000}"/>
    <cellStyle name="20% - Accent1 2 5 2 3 3" xfId="17525" xr:uid="{00000000-0005-0000-0000-00007E020000}"/>
    <cellStyle name="20% - Accent1 2 5 2 4" xfId="202" xr:uid="{00000000-0005-0000-0000-00007F020000}"/>
    <cellStyle name="20% - Accent1 2 5 2 4 2" xfId="14557" xr:uid="{00000000-0005-0000-0000-000080020000}"/>
    <cellStyle name="20% - Accent1 2 5 2 4 2 2" xfId="28106" xr:uid="{00000000-0005-0000-0000-000081020000}"/>
    <cellStyle name="20% - Accent1 2 5 2 4 3" xfId="17526" xr:uid="{00000000-0005-0000-0000-000082020000}"/>
    <cellStyle name="20% - Accent1 2 5 2 5" xfId="8836" xr:uid="{00000000-0005-0000-0000-000083020000}"/>
    <cellStyle name="20% - Accent1 2 5 2 5 2" xfId="23311" xr:uid="{00000000-0005-0000-0000-000084020000}"/>
    <cellStyle name="20% - Accent1 2 5 2 6" xfId="17523" xr:uid="{00000000-0005-0000-0000-000085020000}"/>
    <cellStyle name="20% - Accent1 2 5 3" xfId="203" xr:uid="{00000000-0005-0000-0000-000086020000}"/>
    <cellStyle name="20% - Accent1 2 5 3 2" xfId="10560" xr:uid="{00000000-0005-0000-0000-000087020000}"/>
    <cellStyle name="20% - Accent1 2 5 3 2 2" xfId="24502" xr:uid="{00000000-0005-0000-0000-000088020000}"/>
    <cellStyle name="20% - Accent1 2 5 3 3" xfId="17527" xr:uid="{00000000-0005-0000-0000-000089020000}"/>
    <cellStyle name="20% - Accent1 2 5 4" xfId="204" xr:uid="{00000000-0005-0000-0000-00008A020000}"/>
    <cellStyle name="20% - Accent1 2 5 4 2" xfId="12580" xr:uid="{00000000-0005-0000-0000-00008B020000}"/>
    <cellStyle name="20% - Accent1 2 5 4 2 2" xfId="26292" xr:uid="{00000000-0005-0000-0000-00008C020000}"/>
    <cellStyle name="20% - Accent1 2 5 4 3" xfId="17528" xr:uid="{00000000-0005-0000-0000-00008D020000}"/>
    <cellStyle name="20% - Accent1 2 5 5" xfId="205" xr:uid="{00000000-0005-0000-0000-00008E020000}"/>
    <cellStyle name="20% - Accent1 2 5 5 2" xfId="14558" xr:uid="{00000000-0005-0000-0000-00008F020000}"/>
    <cellStyle name="20% - Accent1 2 5 5 2 2" xfId="28107" xr:uid="{00000000-0005-0000-0000-000090020000}"/>
    <cellStyle name="20% - Accent1 2 5 5 3" xfId="17529" xr:uid="{00000000-0005-0000-0000-000091020000}"/>
    <cellStyle name="20% - Accent1 2 5 6" xfId="206" xr:uid="{00000000-0005-0000-0000-000092020000}"/>
    <cellStyle name="20% - Accent1 2 5 6 2" xfId="16996" xr:uid="{00000000-0005-0000-0000-000093020000}"/>
    <cellStyle name="20% - Accent1 2 5 6 2 2" xfId="30403" xr:uid="{00000000-0005-0000-0000-000094020000}"/>
    <cellStyle name="20% - Accent1 2 5 6 3" xfId="17530" xr:uid="{00000000-0005-0000-0000-000095020000}"/>
    <cellStyle name="20% - Accent1 2 5 7" xfId="8835" xr:uid="{00000000-0005-0000-0000-000096020000}"/>
    <cellStyle name="20% - Accent1 2 5 7 2" xfId="23310" xr:uid="{00000000-0005-0000-0000-000097020000}"/>
    <cellStyle name="20% - Accent1 2 5 8" xfId="17522" xr:uid="{00000000-0005-0000-0000-000098020000}"/>
    <cellStyle name="20% - Accent1 2 6" xfId="207" xr:uid="{00000000-0005-0000-0000-000099020000}"/>
    <cellStyle name="20% - Accent1 2 6 2" xfId="208" xr:uid="{00000000-0005-0000-0000-00009A020000}"/>
    <cellStyle name="20% - Accent1 2 6 2 2" xfId="10562" xr:uid="{00000000-0005-0000-0000-00009B020000}"/>
    <cellStyle name="20% - Accent1 2 6 2 2 2" xfId="24504" xr:uid="{00000000-0005-0000-0000-00009C020000}"/>
    <cellStyle name="20% - Accent1 2 6 2 3" xfId="17532" xr:uid="{00000000-0005-0000-0000-00009D020000}"/>
    <cellStyle name="20% - Accent1 2 6 3" xfId="209" xr:uid="{00000000-0005-0000-0000-00009E020000}"/>
    <cellStyle name="20% - Accent1 2 6 3 2" xfId="11747" xr:uid="{00000000-0005-0000-0000-00009F020000}"/>
    <cellStyle name="20% - Accent1 2 6 3 2 2" xfId="25462" xr:uid="{00000000-0005-0000-0000-0000A0020000}"/>
    <cellStyle name="20% - Accent1 2 6 3 3" xfId="17533" xr:uid="{00000000-0005-0000-0000-0000A1020000}"/>
    <cellStyle name="20% - Accent1 2 6 4" xfId="210" xr:uid="{00000000-0005-0000-0000-0000A2020000}"/>
    <cellStyle name="20% - Accent1 2 6 4 2" xfId="14556" xr:uid="{00000000-0005-0000-0000-0000A3020000}"/>
    <cellStyle name="20% - Accent1 2 6 4 2 2" xfId="28105" xr:uid="{00000000-0005-0000-0000-0000A4020000}"/>
    <cellStyle name="20% - Accent1 2 6 4 3" xfId="17534" xr:uid="{00000000-0005-0000-0000-0000A5020000}"/>
    <cellStyle name="20% - Accent1 2 6 5" xfId="211" xr:uid="{00000000-0005-0000-0000-0000A6020000}"/>
    <cellStyle name="20% - Accent1 2 6 5 2" xfId="17108" xr:uid="{00000000-0005-0000-0000-0000A7020000}"/>
    <cellStyle name="20% - Accent1 2 6 5 2 2" xfId="30467" xr:uid="{00000000-0005-0000-0000-0000A8020000}"/>
    <cellStyle name="20% - Accent1 2 6 5 3" xfId="17535" xr:uid="{00000000-0005-0000-0000-0000A9020000}"/>
    <cellStyle name="20% - Accent1 2 6 6" xfId="8837" xr:uid="{00000000-0005-0000-0000-0000AA020000}"/>
    <cellStyle name="20% - Accent1 2 6 6 2" xfId="23312" xr:uid="{00000000-0005-0000-0000-0000AB020000}"/>
    <cellStyle name="20% - Accent1 2 6 7" xfId="17531" xr:uid="{00000000-0005-0000-0000-0000AC020000}"/>
    <cellStyle name="20% - Accent1 2 7" xfId="212" xr:uid="{00000000-0005-0000-0000-0000AD020000}"/>
    <cellStyle name="20% - Accent1 2 7 2" xfId="213" xr:uid="{00000000-0005-0000-0000-0000AE020000}"/>
    <cellStyle name="20% - Accent1 2 7 2 2" xfId="10563" xr:uid="{00000000-0005-0000-0000-0000AF020000}"/>
    <cellStyle name="20% - Accent1 2 7 2 2 2" xfId="24505" xr:uid="{00000000-0005-0000-0000-0000B0020000}"/>
    <cellStyle name="20% - Accent1 2 7 2 3" xfId="17537" xr:uid="{00000000-0005-0000-0000-0000B1020000}"/>
    <cellStyle name="20% - Accent1 2 7 3" xfId="214" xr:uid="{00000000-0005-0000-0000-0000B2020000}"/>
    <cellStyle name="20% - Accent1 2 7 3 2" xfId="12408" xr:uid="{00000000-0005-0000-0000-0000B3020000}"/>
    <cellStyle name="20% - Accent1 2 7 3 2 2" xfId="26120" xr:uid="{00000000-0005-0000-0000-0000B4020000}"/>
    <cellStyle name="20% - Accent1 2 7 3 3" xfId="17538" xr:uid="{00000000-0005-0000-0000-0000B5020000}"/>
    <cellStyle name="20% - Accent1 2 7 4" xfId="215" xr:uid="{00000000-0005-0000-0000-0000B6020000}"/>
    <cellStyle name="20% - Accent1 2 7 4 2" xfId="14555" xr:uid="{00000000-0005-0000-0000-0000B7020000}"/>
    <cellStyle name="20% - Accent1 2 7 4 2 2" xfId="28104" xr:uid="{00000000-0005-0000-0000-0000B8020000}"/>
    <cellStyle name="20% - Accent1 2 7 4 3" xfId="17539" xr:uid="{00000000-0005-0000-0000-0000B9020000}"/>
    <cellStyle name="20% - Accent1 2 7 5" xfId="216" xr:uid="{00000000-0005-0000-0000-0000BA020000}"/>
    <cellStyle name="20% - Accent1 2 7 5 2" xfId="17197" xr:uid="{00000000-0005-0000-0000-0000BB020000}"/>
    <cellStyle name="20% - Accent1 2 7 5 2 2" xfId="30556" xr:uid="{00000000-0005-0000-0000-0000BC020000}"/>
    <cellStyle name="20% - Accent1 2 7 5 3" xfId="17540" xr:uid="{00000000-0005-0000-0000-0000BD020000}"/>
    <cellStyle name="20% - Accent1 2 7 6" xfId="8838" xr:uid="{00000000-0005-0000-0000-0000BE020000}"/>
    <cellStyle name="20% - Accent1 2 7 6 2" xfId="23313" xr:uid="{00000000-0005-0000-0000-0000BF020000}"/>
    <cellStyle name="20% - Accent1 2 7 7" xfId="17536" xr:uid="{00000000-0005-0000-0000-0000C0020000}"/>
    <cellStyle name="20% - Accent1 2 8" xfId="217" xr:uid="{00000000-0005-0000-0000-0000C1020000}"/>
    <cellStyle name="20% - Accent1 2 8 2" xfId="218" xr:uid="{00000000-0005-0000-0000-0000C2020000}"/>
    <cellStyle name="20% - Accent1 2 8 2 2" xfId="12471" xr:uid="{00000000-0005-0000-0000-0000C3020000}"/>
    <cellStyle name="20% - Accent1 2 8 2 2 2" xfId="26183" xr:uid="{00000000-0005-0000-0000-0000C4020000}"/>
    <cellStyle name="20% - Accent1 2 8 2 3" xfId="17542" xr:uid="{00000000-0005-0000-0000-0000C5020000}"/>
    <cellStyle name="20% - Accent1 2 8 3" xfId="219" xr:uid="{00000000-0005-0000-0000-0000C6020000}"/>
    <cellStyle name="20% - Accent1 2 8 3 2" xfId="14554" xr:uid="{00000000-0005-0000-0000-0000C7020000}"/>
    <cellStyle name="20% - Accent1 2 8 3 2 2" xfId="28103" xr:uid="{00000000-0005-0000-0000-0000C8020000}"/>
    <cellStyle name="20% - Accent1 2 8 3 3" xfId="17543" xr:uid="{00000000-0005-0000-0000-0000C9020000}"/>
    <cellStyle name="20% - Accent1 2 8 4" xfId="220" xr:uid="{00000000-0005-0000-0000-0000CA020000}"/>
    <cellStyle name="20% - Accent1 2 8 4 2" xfId="16472" xr:uid="{00000000-0005-0000-0000-0000CB020000}"/>
    <cellStyle name="20% - Accent1 2 8 4 2 2" xfId="29879" xr:uid="{00000000-0005-0000-0000-0000CC020000}"/>
    <cellStyle name="20% - Accent1 2 8 4 3" xfId="17544" xr:uid="{00000000-0005-0000-0000-0000CD020000}"/>
    <cellStyle name="20% - Accent1 2 8 5" xfId="10517" xr:uid="{00000000-0005-0000-0000-0000CE020000}"/>
    <cellStyle name="20% - Accent1 2 8 5 2" xfId="24459" xr:uid="{00000000-0005-0000-0000-0000CF020000}"/>
    <cellStyle name="20% - Accent1 2 8 6" xfId="17541" xr:uid="{00000000-0005-0000-0000-0000D0020000}"/>
    <cellStyle name="20% - Accent1 2 9" xfId="221" xr:uid="{00000000-0005-0000-0000-0000D1020000}"/>
    <cellStyle name="20% - Accent1 2 9 2" xfId="222" xr:uid="{00000000-0005-0000-0000-0000D2020000}"/>
    <cellStyle name="20% - Accent1 2 9 2 2" xfId="12633" xr:uid="{00000000-0005-0000-0000-0000D3020000}"/>
    <cellStyle name="20% - Accent1 2 9 2 2 2" xfId="26345" xr:uid="{00000000-0005-0000-0000-0000D4020000}"/>
    <cellStyle name="20% - Accent1 2 9 2 3" xfId="17546" xr:uid="{00000000-0005-0000-0000-0000D5020000}"/>
    <cellStyle name="20% - Accent1 2 9 3" xfId="223" xr:uid="{00000000-0005-0000-0000-0000D6020000}"/>
    <cellStyle name="20% - Accent1 2 9 3 2" xfId="14553" xr:uid="{00000000-0005-0000-0000-0000D7020000}"/>
    <cellStyle name="20% - Accent1 2 9 3 2 2" xfId="28102" xr:uid="{00000000-0005-0000-0000-0000D8020000}"/>
    <cellStyle name="20% - Accent1 2 9 3 3" xfId="17547" xr:uid="{00000000-0005-0000-0000-0000D9020000}"/>
    <cellStyle name="20% - Accent1 2 9 4" xfId="10545" xr:uid="{00000000-0005-0000-0000-0000DA020000}"/>
    <cellStyle name="20% - Accent1 2 9 4 2" xfId="24487" xr:uid="{00000000-0005-0000-0000-0000DB020000}"/>
    <cellStyle name="20% - Accent1 2 9 5" xfId="17545" xr:uid="{00000000-0005-0000-0000-0000DC020000}"/>
    <cellStyle name="20% - Accent1 20" xfId="224" xr:uid="{00000000-0005-0000-0000-0000DD020000}"/>
    <cellStyle name="20% - Accent1 20 2" xfId="225" xr:uid="{00000000-0005-0000-0000-0000DE020000}"/>
    <cellStyle name="20% - Accent1 20 2 2" xfId="12466" xr:uid="{00000000-0005-0000-0000-0000DF020000}"/>
    <cellStyle name="20% - Accent1 20 2 2 2" xfId="26178" xr:uid="{00000000-0005-0000-0000-0000E0020000}"/>
    <cellStyle name="20% - Accent1 20 2 3" xfId="17549" xr:uid="{00000000-0005-0000-0000-0000E1020000}"/>
    <cellStyle name="20% - Accent1 20 3" xfId="226" xr:uid="{00000000-0005-0000-0000-0000E2020000}"/>
    <cellStyle name="20% - Accent1 20 3 2" xfId="14552" xr:uid="{00000000-0005-0000-0000-0000E3020000}"/>
    <cellStyle name="20% - Accent1 20 3 2 2" xfId="28101" xr:uid="{00000000-0005-0000-0000-0000E4020000}"/>
    <cellStyle name="20% - Accent1 20 3 3" xfId="17550" xr:uid="{00000000-0005-0000-0000-0000E5020000}"/>
    <cellStyle name="20% - Accent1 20 4" xfId="10492" xr:uid="{00000000-0005-0000-0000-0000E6020000}"/>
    <cellStyle name="20% - Accent1 20 4 2" xfId="24440" xr:uid="{00000000-0005-0000-0000-0000E7020000}"/>
    <cellStyle name="20% - Accent1 20 5" xfId="17548" xr:uid="{00000000-0005-0000-0000-0000E8020000}"/>
    <cellStyle name="20% - Accent1 21" xfId="227" xr:uid="{00000000-0005-0000-0000-0000E9020000}"/>
    <cellStyle name="20% - Accent1 21 2" xfId="228" xr:uid="{00000000-0005-0000-0000-0000EA020000}"/>
    <cellStyle name="20% - Accent1 21 2 2" xfId="12755" xr:uid="{00000000-0005-0000-0000-0000EB020000}"/>
    <cellStyle name="20% - Accent1 21 2 2 2" xfId="26467" xr:uid="{00000000-0005-0000-0000-0000EC020000}"/>
    <cellStyle name="20% - Accent1 21 2 3" xfId="17552" xr:uid="{00000000-0005-0000-0000-0000ED020000}"/>
    <cellStyle name="20% - Accent1 21 3" xfId="229" xr:uid="{00000000-0005-0000-0000-0000EE020000}"/>
    <cellStyle name="20% - Accent1 21 3 2" xfId="14551" xr:uid="{00000000-0005-0000-0000-0000EF020000}"/>
    <cellStyle name="20% - Accent1 21 3 2 2" xfId="28100" xr:uid="{00000000-0005-0000-0000-0000F0020000}"/>
    <cellStyle name="20% - Accent1 21 3 3" xfId="17553" xr:uid="{00000000-0005-0000-0000-0000F1020000}"/>
    <cellStyle name="20% - Accent1 21 4" xfId="10534" xr:uid="{00000000-0005-0000-0000-0000F2020000}"/>
    <cellStyle name="20% - Accent1 21 4 2" xfId="24476" xr:uid="{00000000-0005-0000-0000-0000F3020000}"/>
    <cellStyle name="20% - Accent1 21 5" xfId="17551" xr:uid="{00000000-0005-0000-0000-0000F4020000}"/>
    <cellStyle name="20% - Accent1 22" xfId="230" xr:uid="{00000000-0005-0000-0000-0000F5020000}"/>
    <cellStyle name="20% - Accent1 22 2" xfId="11728" xr:uid="{00000000-0005-0000-0000-0000F6020000}"/>
    <cellStyle name="20% - Accent1 22 2 2" xfId="25443" xr:uid="{00000000-0005-0000-0000-0000F7020000}"/>
    <cellStyle name="20% - Accent1 22 3" xfId="17554" xr:uid="{00000000-0005-0000-0000-0000F8020000}"/>
    <cellStyle name="20% - Accent1 23" xfId="231" xr:uid="{00000000-0005-0000-0000-0000F9020000}"/>
    <cellStyle name="20% - Accent1 23 2" xfId="12669" xr:uid="{00000000-0005-0000-0000-0000FA020000}"/>
    <cellStyle name="20% - Accent1 23 2 2" xfId="26381" xr:uid="{00000000-0005-0000-0000-0000FB020000}"/>
    <cellStyle name="20% - Accent1 23 3" xfId="17555" xr:uid="{00000000-0005-0000-0000-0000FC020000}"/>
    <cellStyle name="20% - Accent1 24" xfId="232" xr:uid="{00000000-0005-0000-0000-0000FD020000}"/>
    <cellStyle name="20% - Accent1 24 2" xfId="13367" xr:uid="{00000000-0005-0000-0000-0000FE020000}"/>
    <cellStyle name="20% - Accent1 24 2 2" xfId="26916" xr:uid="{00000000-0005-0000-0000-0000FF020000}"/>
    <cellStyle name="20% - Accent1 24 3" xfId="17556" xr:uid="{00000000-0005-0000-0000-000000030000}"/>
    <cellStyle name="20% - Accent1 25" xfId="233" xr:uid="{00000000-0005-0000-0000-000001030000}"/>
    <cellStyle name="20% - Accent1 25 2" xfId="13948" xr:uid="{00000000-0005-0000-0000-000002030000}"/>
    <cellStyle name="20% - Accent1 25 2 2" xfId="27497" xr:uid="{00000000-0005-0000-0000-000003030000}"/>
    <cellStyle name="20% - Accent1 25 3" xfId="17557" xr:uid="{00000000-0005-0000-0000-000004030000}"/>
    <cellStyle name="20% - Accent1 26" xfId="234" xr:uid="{00000000-0005-0000-0000-000005030000}"/>
    <cellStyle name="20% - Accent1 26 2" xfId="14590" xr:uid="{00000000-0005-0000-0000-000006030000}"/>
    <cellStyle name="20% - Accent1 26 2 2" xfId="28139" xr:uid="{00000000-0005-0000-0000-000007030000}"/>
    <cellStyle name="20% - Accent1 26 3" xfId="17558" xr:uid="{00000000-0005-0000-0000-000008030000}"/>
    <cellStyle name="20% - Accent1 27" xfId="235" xr:uid="{00000000-0005-0000-0000-000009030000}"/>
    <cellStyle name="20% - Accent1 27 2" xfId="15829" xr:uid="{00000000-0005-0000-0000-00000A030000}"/>
    <cellStyle name="20% - Accent1 27 2 2" xfId="29236" xr:uid="{00000000-0005-0000-0000-00000B030000}"/>
    <cellStyle name="20% - Accent1 27 3" xfId="17559" xr:uid="{00000000-0005-0000-0000-00000C030000}"/>
    <cellStyle name="20% - Accent1 28" xfId="236" xr:uid="{00000000-0005-0000-0000-00000D030000}"/>
    <cellStyle name="20% - Accent1 28 2" xfId="15834" xr:uid="{00000000-0005-0000-0000-00000E030000}"/>
    <cellStyle name="20% - Accent1 28 2 2" xfId="29241" xr:uid="{00000000-0005-0000-0000-00000F030000}"/>
    <cellStyle name="20% - Accent1 28 3" xfId="17560" xr:uid="{00000000-0005-0000-0000-000010030000}"/>
    <cellStyle name="20% - Accent1 29" xfId="237" xr:uid="{00000000-0005-0000-0000-000011030000}"/>
    <cellStyle name="20% - Accent1 29 2" xfId="8809" xr:uid="{00000000-0005-0000-0000-000012030000}"/>
    <cellStyle name="20% - Accent1 29 2 2" xfId="23284" xr:uid="{00000000-0005-0000-0000-000013030000}"/>
    <cellStyle name="20% - Accent1 29 3" xfId="17561" xr:uid="{00000000-0005-0000-0000-000014030000}"/>
    <cellStyle name="20% - Accent1 3" xfId="238" xr:uid="{00000000-0005-0000-0000-000015030000}"/>
    <cellStyle name="20% - Accent1 3 10" xfId="239" xr:uid="{00000000-0005-0000-0000-000016030000}"/>
    <cellStyle name="20% - Accent1 3 10 2" xfId="14028" xr:uid="{00000000-0005-0000-0000-000017030000}"/>
    <cellStyle name="20% - Accent1 3 10 2 2" xfId="27577" xr:uid="{00000000-0005-0000-0000-000018030000}"/>
    <cellStyle name="20% - Accent1 3 10 3" xfId="17563" xr:uid="{00000000-0005-0000-0000-000019030000}"/>
    <cellStyle name="20% - Accent1 3 11" xfId="240" xr:uid="{00000000-0005-0000-0000-00001A030000}"/>
    <cellStyle name="20% - Accent1 3 11 2" xfId="14550" xr:uid="{00000000-0005-0000-0000-00001B030000}"/>
    <cellStyle name="20% - Accent1 3 11 2 2" xfId="28099" xr:uid="{00000000-0005-0000-0000-00001C030000}"/>
    <cellStyle name="20% - Accent1 3 11 3" xfId="17564" xr:uid="{00000000-0005-0000-0000-00001D030000}"/>
    <cellStyle name="20% - Accent1 3 12" xfId="241" xr:uid="{00000000-0005-0000-0000-00001E030000}"/>
    <cellStyle name="20% - Accent1 3 12 2" xfId="15914" xr:uid="{00000000-0005-0000-0000-00001F030000}"/>
    <cellStyle name="20% - Accent1 3 12 2 2" xfId="29321" xr:uid="{00000000-0005-0000-0000-000020030000}"/>
    <cellStyle name="20% - Accent1 3 12 3" xfId="17565" xr:uid="{00000000-0005-0000-0000-000021030000}"/>
    <cellStyle name="20% - Accent1 3 13" xfId="8839" xr:uid="{00000000-0005-0000-0000-000022030000}"/>
    <cellStyle name="20% - Accent1 3 13 2" xfId="23314" xr:uid="{00000000-0005-0000-0000-000023030000}"/>
    <cellStyle name="20% - Accent1 3 14" xfId="17562" xr:uid="{00000000-0005-0000-0000-000024030000}"/>
    <cellStyle name="20% - Accent1 3 2" xfId="242" xr:uid="{00000000-0005-0000-0000-000025030000}"/>
    <cellStyle name="20% - Accent1 3 2 10" xfId="243" xr:uid="{00000000-0005-0000-0000-000026030000}"/>
    <cellStyle name="20% - Accent1 3 2 10 2" xfId="16057" xr:uid="{00000000-0005-0000-0000-000027030000}"/>
    <cellStyle name="20% - Accent1 3 2 10 2 2" xfId="29464" xr:uid="{00000000-0005-0000-0000-000028030000}"/>
    <cellStyle name="20% - Accent1 3 2 10 3" xfId="17567" xr:uid="{00000000-0005-0000-0000-000029030000}"/>
    <cellStyle name="20% - Accent1 3 2 11" xfId="8840" xr:uid="{00000000-0005-0000-0000-00002A030000}"/>
    <cellStyle name="20% - Accent1 3 2 11 2" xfId="23315" xr:uid="{00000000-0005-0000-0000-00002B030000}"/>
    <cellStyle name="20% - Accent1 3 2 12" xfId="17566" xr:uid="{00000000-0005-0000-0000-00002C030000}"/>
    <cellStyle name="20% - Accent1 3 2 2" xfId="244" xr:uid="{00000000-0005-0000-0000-00002D030000}"/>
    <cellStyle name="20% - Accent1 3 2 2 10" xfId="8841" xr:uid="{00000000-0005-0000-0000-00002E030000}"/>
    <cellStyle name="20% - Accent1 3 2 2 10 2" xfId="23316" xr:uid="{00000000-0005-0000-0000-00002F030000}"/>
    <cellStyle name="20% - Accent1 3 2 2 11" xfId="17568" xr:uid="{00000000-0005-0000-0000-000030030000}"/>
    <cellStyle name="20% - Accent1 3 2 2 2" xfId="245" xr:uid="{00000000-0005-0000-0000-000031030000}"/>
    <cellStyle name="20% - Accent1 3 2 2 2 2" xfId="246" xr:uid="{00000000-0005-0000-0000-000032030000}"/>
    <cellStyle name="20% - Accent1 3 2 2 2 2 2" xfId="10567" xr:uid="{00000000-0005-0000-0000-000033030000}"/>
    <cellStyle name="20% - Accent1 3 2 2 2 2 2 2" xfId="24509" xr:uid="{00000000-0005-0000-0000-000034030000}"/>
    <cellStyle name="20% - Accent1 3 2 2 2 2 3" xfId="17570" xr:uid="{00000000-0005-0000-0000-000035030000}"/>
    <cellStyle name="20% - Accent1 3 2 2 2 3" xfId="247" xr:uid="{00000000-0005-0000-0000-000036030000}"/>
    <cellStyle name="20% - Accent1 3 2 2 2 3 2" xfId="12583" xr:uid="{00000000-0005-0000-0000-000037030000}"/>
    <cellStyle name="20% - Accent1 3 2 2 2 3 2 2" xfId="26295" xr:uid="{00000000-0005-0000-0000-000038030000}"/>
    <cellStyle name="20% - Accent1 3 2 2 2 3 3" xfId="17571" xr:uid="{00000000-0005-0000-0000-000039030000}"/>
    <cellStyle name="20% - Accent1 3 2 2 2 4" xfId="248" xr:uid="{00000000-0005-0000-0000-00003A030000}"/>
    <cellStyle name="20% - Accent1 3 2 2 2 4 2" xfId="14547" xr:uid="{00000000-0005-0000-0000-00003B030000}"/>
    <cellStyle name="20% - Accent1 3 2 2 2 4 2 2" xfId="28096" xr:uid="{00000000-0005-0000-0000-00003C030000}"/>
    <cellStyle name="20% - Accent1 3 2 2 2 4 3" xfId="17572" xr:uid="{00000000-0005-0000-0000-00003D030000}"/>
    <cellStyle name="20% - Accent1 3 2 2 2 5" xfId="249" xr:uid="{00000000-0005-0000-0000-00003E030000}"/>
    <cellStyle name="20% - Accent1 3 2 2 2 5 2" xfId="16927" xr:uid="{00000000-0005-0000-0000-00003F030000}"/>
    <cellStyle name="20% - Accent1 3 2 2 2 5 2 2" xfId="30334" xr:uid="{00000000-0005-0000-0000-000040030000}"/>
    <cellStyle name="20% - Accent1 3 2 2 2 5 3" xfId="17573" xr:uid="{00000000-0005-0000-0000-000041030000}"/>
    <cellStyle name="20% - Accent1 3 2 2 2 6" xfId="8842" xr:uid="{00000000-0005-0000-0000-000042030000}"/>
    <cellStyle name="20% - Accent1 3 2 2 2 6 2" xfId="23317" xr:uid="{00000000-0005-0000-0000-000043030000}"/>
    <cellStyle name="20% - Accent1 3 2 2 2 7" xfId="17569" xr:uid="{00000000-0005-0000-0000-000044030000}"/>
    <cellStyle name="20% - Accent1 3 2 2 3" xfId="250" xr:uid="{00000000-0005-0000-0000-000045030000}"/>
    <cellStyle name="20% - Accent1 3 2 2 3 2" xfId="251" xr:uid="{00000000-0005-0000-0000-000046030000}"/>
    <cellStyle name="20% - Accent1 3 2 2 3 2 2" xfId="14546" xr:uid="{00000000-0005-0000-0000-000047030000}"/>
    <cellStyle name="20% - Accent1 3 2 2 3 2 2 2" xfId="28095" xr:uid="{00000000-0005-0000-0000-000048030000}"/>
    <cellStyle name="20% - Accent1 3 2 2 3 2 3" xfId="17575" xr:uid="{00000000-0005-0000-0000-000049030000}"/>
    <cellStyle name="20% - Accent1 3 2 2 3 3" xfId="10566" xr:uid="{00000000-0005-0000-0000-00004A030000}"/>
    <cellStyle name="20% - Accent1 3 2 2 3 3 2" xfId="24508" xr:uid="{00000000-0005-0000-0000-00004B030000}"/>
    <cellStyle name="20% - Accent1 3 2 2 3 4" xfId="17574" xr:uid="{00000000-0005-0000-0000-00004C030000}"/>
    <cellStyle name="20% - Accent1 3 2 2 4" xfId="252" xr:uid="{00000000-0005-0000-0000-00004D030000}"/>
    <cellStyle name="20% - Accent1 3 2 2 4 2" xfId="12315" xr:uid="{00000000-0005-0000-0000-00004E030000}"/>
    <cellStyle name="20% - Accent1 3 2 2 4 2 2" xfId="26027" xr:uid="{00000000-0005-0000-0000-00004F030000}"/>
    <cellStyle name="20% - Accent1 3 2 2 4 3" xfId="17576" xr:uid="{00000000-0005-0000-0000-000050030000}"/>
    <cellStyle name="20% - Accent1 3 2 2 5" xfId="253" xr:uid="{00000000-0005-0000-0000-000051030000}"/>
    <cellStyle name="20% - Accent1 3 2 2 5 2" xfId="12515" xr:uid="{00000000-0005-0000-0000-000052030000}"/>
    <cellStyle name="20% - Accent1 3 2 2 5 2 2" xfId="26227" xr:uid="{00000000-0005-0000-0000-000053030000}"/>
    <cellStyle name="20% - Accent1 3 2 2 5 3" xfId="17577" xr:uid="{00000000-0005-0000-0000-000054030000}"/>
    <cellStyle name="20% - Accent1 3 2 2 6" xfId="254" xr:uid="{00000000-0005-0000-0000-000055030000}"/>
    <cellStyle name="20% - Accent1 3 2 2 6 2" xfId="13879" xr:uid="{00000000-0005-0000-0000-000056030000}"/>
    <cellStyle name="20% - Accent1 3 2 2 6 2 2" xfId="27428" xr:uid="{00000000-0005-0000-0000-000057030000}"/>
    <cellStyle name="20% - Accent1 3 2 2 6 3" xfId="17578" xr:uid="{00000000-0005-0000-0000-000058030000}"/>
    <cellStyle name="20% - Accent1 3 2 2 7" xfId="255" xr:uid="{00000000-0005-0000-0000-000059030000}"/>
    <cellStyle name="20% - Accent1 3 2 2 7 2" xfId="14460" xr:uid="{00000000-0005-0000-0000-00005A030000}"/>
    <cellStyle name="20% - Accent1 3 2 2 7 2 2" xfId="28009" xr:uid="{00000000-0005-0000-0000-00005B030000}"/>
    <cellStyle name="20% - Accent1 3 2 2 7 3" xfId="17579" xr:uid="{00000000-0005-0000-0000-00005C030000}"/>
    <cellStyle name="20% - Accent1 3 2 2 8" xfId="256" xr:uid="{00000000-0005-0000-0000-00005D030000}"/>
    <cellStyle name="20% - Accent1 3 2 2 8 2" xfId="14548" xr:uid="{00000000-0005-0000-0000-00005E030000}"/>
    <cellStyle name="20% - Accent1 3 2 2 8 2 2" xfId="28097" xr:uid="{00000000-0005-0000-0000-00005F030000}"/>
    <cellStyle name="20% - Accent1 3 2 2 8 3" xfId="17580" xr:uid="{00000000-0005-0000-0000-000060030000}"/>
    <cellStyle name="20% - Accent1 3 2 2 9" xfId="257" xr:uid="{00000000-0005-0000-0000-000061030000}"/>
    <cellStyle name="20% - Accent1 3 2 2 9 2" xfId="16346" xr:uid="{00000000-0005-0000-0000-000062030000}"/>
    <cellStyle name="20% - Accent1 3 2 2 9 2 2" xfId="29753" xr:uid="{00000000-0005-0000-0000-000063030000}"/>
    <cellStyle name="20% - Accent1 3 2 2 9 3" xfId="17581" xr:uid="{00000000-0005-0000-0000-000064030000}"/>
    <cellStyle name="20% - Accent1 3 2 3" xfId="258" xr:uid="{00000000-0005-0000-0000-000065030000}"/>
    <cellStyle name="20% - Accent1 3 2 3 2" xfId="259" xr:uid="{00000000-0005-0000-0000-000066030000}"/>
    <cellStyle name="20% - Accent1 3 2 3 2 2" xfId="10568" xr:uid="{00000000-0005-0000-0000-000067030000}"/>
    <cellStyle name="20% - Accent1 3 2 3 2 2 2" xfId="24510" xr:uid="{00000000-0005-0000-0000-000068030000}"/>
    <cellStyle name="20% - Accent1 3 2 3 2 3" xfId="17583" xr:uid="{00000000-0005-0000-0000-000069030000}"/>
    <cellStyle name="20% - Accent1 3 2 3 3" xfId="260" xr:uid="{00000000-0005-0000-0000-00006A030000}"/>
    <cellStyle name="20% - Accent1 3 2 3 3 2" xfId="12586" xr:uid="{00000000-0005-0000-0000-00006B030000}"/>
    <cellStyle name="20% - Accent1 3 2 3 3 2 2" xfId="26298" xr:uid="{00000000-0005-0000-0000-00006C030000}"/>
    <cellStyle name="20% - Accent1 3 2 3 3 3" xfId="17584" xr:uid="{00000000-0005-0000-0000-00006D030000}"/>
    <cellStyle name="20% - Accent1 3 2 3 4" xfId="261" xr:uid="{00000000-0005-0000-0000-00006E030000}"/>
    <cellStyle name="20% - Accent1 3 2 3 4 2" xfId="14545" xr:uid="{00000000-0005-0000-0000-00006F030000}"/>
    <cellStyle name="20% - Accent1 3 2 3 4 2 2" xfId="28094" xr:uid="{00000000-0005-0000-0000-000070030000}"/>
    <cellStyle name="20% - Accent1 3 2 3 4 3" xfId="17585" xr:uid="{00000000-0005-0000-0000-000071030000}"/>
    <cellStyle name="20% - Accent1 3 2 3 5" xfId="262" xr:uid="{00000000-0005-0000-0000-000072030000}"/>
    <cellStyle name="20% - Accent1 3 2 3 5 2" xfId="16638" xr:uid="{00000000-0005-0000-0000-000073030000}"/>
    <cellStyle name="20% - Accent1 3 2 3 5 2 2" xfId="30045" xr:uid="{00000000-0005-0000-0000-000074030000}"/>
    <cellStyle name="20% - Accent1 3 2 3 5 3" xfId="17586" xr:uid="{00000000-0005-0000-0000-000075030000}"/>
    <cellStyle name="20% - Accent1 3 2 3 6" xfId="8843" xr:uid="{00000000-0005-0000-0000-000076030000}"/>
    <cellStyle name="20% - Accent1 3 2 3 6 2" xfId="23318" xr:uid="{00000000-0005-0000-0000-000077030000}"/>
    <cellStyle name="20% - Accent1 3 2 3 7" xfId="17582" xr:uid="{00000000-0005-0000-0000-000078030000}"/>
    <cellStyle name="20% - Accent1 3 2 4" xfId="263" xr:uid="{00000000-0005-0000-0000-000079030000}"/>
    <cellStyle name="20% - Accent1 3 2 4 2" xfId="264" xr:uid="{00000000-0005-0000-0000-00007A030000}"/>
    <cellStyle name="20% - Accent1 3 2 4 2 2" xfId="14607" xr:uid="{00000000-0005-0000-0000-00007B030000}"/>
    <cellStyle name="20% - Accent1 3 2 4 2 2 2" xfId="28156" xr:uid="{00000000-0005-0000-0000-00007C030000}"/>
    <cellStyle name="20% - Accent1 3 2 4 2 3" xfId="17588" xr:uid="{00000000-0005-0000-0000-00007D030000}"/>
    <cellStyle name="20% - Accent1 3 2 4 3" xfId="10565" xr:uid="{00000000-0005-0000-0000-00007E030000}"/>
    <cellStyle name="20% - Accent1 3 2 4 3 2" xfId="24507" xr:uid="{00000000-0005-0000-0000-00007F030000}"/>
    <cellStyle name="20% - Accent1 3 2 4 4" xfId="17587" xr:uid="{00000000-0005-0000-0000-000080030000}"/>
    <cellStyle name="20% - Accent1 3 2 5" xfId="265" xr:uid="{00000000-0005-0000-0000-000081030000}"/>
    <cellStyle name="20% - Accent1 3 2 5 2" xfId="12015" xr:uid="{00000000-0005-0000-0000-000082030000}"/>
    <cellStyle name="20% - Accent1 3 2 5 2 2" xfId="25730" xr:uid="{00000000-0005-0000-0000-000083030000}"/>
    <cellStyle name="20% - Accent1 3 2 5 3" xfId="17589" xr:uid="{00000000-0005-0000-0000-000084030000}"/>
    <cellStyle name="20% - Accent1 3 2 6" xfId="266" xr:uid="{00000000-0005-0000-0000-000085030000}"/>
    <cellStyle name="20% - Accent1 3 2 6 2" xfId="12431" xr:uid="{00000000-0005-0000-0000-000086030000}"/>
    <cellStyle name="20% - Accent1 3 2 6 2 2" xfId="26143" xr:uid="{00000000-0005-0000-0000-000087030000}"/>
    <cellStyle name="20% - Accent1 3 2 6 3" xfId="17590" xr:uid="{00000000-0005-0000-0000-000088030000}"/>
    <cellStyle name="20% - Accent1 3 2 7" xfId="267" xr:uid="{00000000-0005-0000-0000-000089030000}"/>
    <cellStyle name="20% - Accent1 3 2 7 2" xfId="13590" xr:uid="{00000000-0005-0000-0000-00008A030000}"/>
    <cellStyle name="20% - Accent1 3 2 7 2 2" xfId="27139" xr:uid="{00000000-0005-0000-0000-00008B030000}"/>
    <cellStyle name="20% - Accent1 3 2 7 3" xfId="17591" xr:uid="{00000000-0005-0000-0000-00008C030000}"/>
    <cellStyle name="20% - Accent1 3 2 8" xfId="268" xr:uid="{00000000-0005-0000-0000-00008D030000}"/>
    <cellStyle name="20% - Accent1 3 2 8 2" xfId="14171" xr:uid="{00000000-0005-0000-0000-00008E030000}"/>
    <cellStyle name="20% - Accent1 3 2 8 2 2" xfId="27720" xr:uid="{00000000-0005-0000-0000-00008F030000}"/>
    <cellStyle name="20% - Accent1 3 2 8 3" xfId="17592" xr:uid="{00000000-0005-0000-0000-000090030000}"/>
    <cellStyle name="20% - Accent1 3 2 9" xfId="269" xr:uid="{00000000-0005-0000-0000-000091030000}"/>
    <cellStyle name="20% - Accent1 3 2 9 2" xfId="14549" xr:uid="{00000000-0005-0000-0000-000092030000}"/>
    <cellStyle name="20% - Accent1 3 2 9 2 2" xfId="28098" xr:uid="{00000000-0005-0000-0000-000093030000}"/>
    <cellStyle name="20% - Accent1 3 2 9 3" xfId="17593" xr:uid="{00000000-0005-0000-0000-000094030000}"/>
    <cellStyle name="20% - Accent1 3 3" xfId="270" xr:uid="{00000000-0005-0000-0000-000095030000}"/>
    <cellStyle name="20% - Accent1 3 3 10" xfId="8844" xr:uid="{00000000-0005-0000-0000-000096030000}"/>
    <cellStyle name="20% - Accent1 3 3 10 2" xfId="23319" xr:uid="{00000000-0005-0000-0000-000097030000}"/>
    <cellStyle name="20% - Accent1 3 3 11" xfId="17594" xr:uid="{00000000-0005-0000-0000-000098030000}"/>
    <cellStyle name="20% - Accent1 3 3 2" xfId="271" xr:uid="{00000000-0005-0000-0000-000099030000}"/>
    <cellStyle name="20% - Accent1 3 3 2 2" xfId="272" xr:uid="{00000000-0005-0000-0000-00009A030000}"/>
    <cellStyle name="20% - Accent1 3 3 2 2 2" xfId="10570" xr:uid="{00000000-0005-0000-0000-00009B030000}"/>
    <cellStyle name="20% - Accent1 3 3 2 2 2 2" xfId="24512" xr:uid="{00000000-0005-0000-0000-00009C030000}"/>
    <cellStyle name="20% - Accent1 3 3 2 2 3" xfId="17596" xr:uid="{00000000-0005-0000-0000-00009D030000}"/>
    <cellStyle name="20% - Accent1 3 3 2 3" xfId="273" xr:uid="{00000000-0005-0000-0000-00009E030000}"/>
    <cellStyle name="20% - Accent1 3 3 2 3 2" xfId="12459" xr:uid="{00000000-0005-0000-0000-00009F030000}"/>
    <cellStyle name="20% - Accent1 3 3 2 3 2 2" xfId="26171" xr:uid="{00000000-0005-0000-0000-0000A0030000}"/>
    <cellStyle name="20% - Accent1 3 3 2 3 3" xfId="17597" xr:uid="{00000000-0005-0000-0000-0000A1030000}"/>
    <cellStyle name="20% - Accent1 3 3 2 4" xfId="274" xr:uid="{00000000-0005-0000-0000-0000A2030000}"/>
    <cellStyle name="20% - Accent1 3 3 2 4 2" xfId="14591" xr:uid="{00000000-0005-0000-0000-0000A3030000}"/>
    <cellStyle name="20% - Accent1 3 3 2 4 2 2" xfId="28140" xr:uid="{00000000-0005-0000-0000-0000A4030000}"/>
    <cellStyle name="20% - Accent1 3 3 2 4 3" xfId="17598" xr:uid="{00000000-0005-0000-0000-0000A5030000}"/>
    <cellStyle name="20% - Accent1 3 3 2 5" xfId="275" xr:uid="{00000000-0005-0000-0000-0000A6030000}"/>
    <cellStyle name="20% - Accent1 3 3 2 5 2" xfId="16784" xr:uid="{00000000-0005-0000-0000-0000A7030000}"/>
    <cellStyle name="20% - Accent1 3 3 2 5 2 2" xfId="30191" xr:uid="{00000000-0005-0000-0000-0000A8030000}"/>
    <cellStyle name="20% - Accent1 3 3 2 5 3" xfId="17599" xr:uid="{00000000-0005-0000-0000-0000A9030000}"/>
    <cellStyle name="20% - Accent1 3 3 2 6" xfId="8845" xr:uid="{00000000-0005-0000-0000-0000AA030000}"/>
    <cellStyle name="20% - Accent1 3 3 2 6 2" xfId="23320" xr:uid="{00000000-0005-0000-0000-0000AB030000}"/>
    <cellStyle name="20% - Accent1 3 3 2 7" xfId="17595" xr:uid="{00000000-0005-0000-0000-0000AC030000}"/>
    <cellStyle name="20% - Accent1 3 3 3" xfId="276" xr:uid="{00000000-0005-0000-0000-0000AD030000}"/>
    <cellStyle name="20% - Accent1 3 3 3 2" xfId="277" xr:uid="{00000000-0005-0000-0000-0000AE030000}"/>
    <cellStyle name="20% - Accent1 3 3 3 2 2" xfId="14592" xr:uid="{00000000-0005-0000-0000-0000AF030000}"/>
    <cellStyle name="20% - Accent1 3 3 3 2 2 2" xfId="28141" xr:uid="{00000000-0005-0000-0000-0000B0030000}"/>
    <cellStyle name="20% - Accent1 3 3 3 2 3" xfId="17601" xr:uid="{00000000-0005-0000-0000-0000B1030000}"/>
    <cellStyle name="20% - Accent1 3 3 3 3" xfId="10569" xr:uid="{00000000-0005-0000-0000-0000B2030000}"/>
    <cellStyle name="20% - Accent1 3 3 3 3 2" xfId="24511" xr:uid="{00000000-0005-0000-0000-0000B3030000}"/>
    <cellStyle name="20% - Accent1 3 3 3 4" xfId="17600" xr:uid="{00000000-0005-0000-0000-0000B4030000}"/>
    <cellStyle name="20% - Accent1 3 3 4" xfId="278" xr:uid="{00000000-0005-0000-0000-0000B5030000}"/>
    <cellStyle name="20% - Accent1 3 3 4 2" xfId="12172" xr:uid="{00000000-0005-0000-0000-0000B6030000}"/>
    <cellStyle name="20% - Accent1 3 3 4 2 2" xfId="25884" xr:uid="{00000000-0005-0000-0000-0000B7030000}"/>
    <cellStyle name="20% - Accent1 3 3 4 3" xfId="17602" xr:uid="{00000000-0005-0000-0000-0000B8030000}"/>
    <cellStyle name="20% - Accent1 3 3 5" xfId="279" xr:uid="{00000000-0005-0000-0000-0000B9030000}"/>
    <cellStyle name="20% - Accent1 3 3 5 2" xfId="12676" xr:uid="{00000000-0005-0000-0000-0000BA030000}"/>
    <cellStyle name="20% - Accent1 3 3 5 2 2" xfId="26388" xr:uid="{00000000-0005-0000-0000-0000BB030000}"/>
    <cellStyle name="20% - Accent1 3 3 5 3" xfId="17603" xr:uid="{00000000-0005-0000-0000-0000BC030000}"/>
    <cellStyle name="20% - Accent1 3 3 6" xfId="280" xr:uid="{00000000-0005-0000-0000-0000BD030000}"/>
    <cellStyle name="20% - Accent1 3 3 6 2" xfId="13736" xr:uid="{00000000-0005-0000-0000-0000BE030000}"/>
    <cellStyle name="20% - Accent1 3 3 6 2 2" xfId="27285" xr:uid="{00000000-0005-0000-0000-0000BF030000}"/>
    <cellStyle name="20% - Accent1 3 3 6 3" xfId="17604" xr:uid="{00000000-0005-0000-0000-0000C0030000}"/>
    <cellStyle name="20% - Accent1 3 3 7" xfId="281" xr:uid="{00000000-0005-0000-0000-0000C1030000}"/>
    <cellStyle name="20% - Accent1 3 3 7 2" xfId="14317" xr:uid="{00000000-0005-0000-0000-0000C2030000}"/>
    <cellStyle name="20% - Accent1 3 3 7 2 2" xfId="27866" xr:uid="{00000000-0005-0000-0000-0000C3030000}"/>
    <cellStyle name="20% - Accent1 3 3 7 3" xfId="17605" xr:uid="{00000000-0005-0000-0000-0000C4030000}"/>
    <cellStyle name="20% - Accent1 3 3 8" xfId="282" xr:uid="{00000000-0005-0000-0000-0000C5030000}"/>
    <cellStyle name="20% - Accent1 3 3 8 2" xfId="14544" xr:uid="{00000000-0005-0000-0000-0000C6030000}"/>
    <cellStyle name="20% - Accent1 3 3 8 2 2" xfId="28093" xr:uid="{00000000-0005-0000-0000-0000C7030000}"/>
    <cellStyle name="20% - Accent1 3 3 8 3" xfId="17606" xr:uid="{00000000-0005-0000-0000-0000C8030000}"/>
    <cellStyle name="20% - Accent1 3 3 9" xfId="283" xr:uid="{00000000-0005-0000-0000-0000C9030000}"/>
    <cellStyle name="20% - Accent1 3 3 9 2" xfId="16203" xr:uid="{00000000-0005-0000-0000-0000CA030000}"/>
    <cellStyle name="20% - Accent1 3 3 9 2 2" xfId="29610" xr:uid="{00000000-0005-0000-0000-0000CB030000}"/>
    <cellStyle name="20% - Accent1 3 3 9 3" xfId="17607" xr:uid="{00000000-0005-0000-0000-0000CC030000}"/>
    <cellStyle name="20% - Accent1 3 4" xfId="284" xr:uid="{00000000-0005-0000-0000-0000CD030000}"/>
    <cellStyle name="20% - Accent1 3 4 2" xfId="285" xr:uid="{00000000-0005-0000-0000-0000CE030000}"/>
    <cellStyle name="20% - Accent1 3 4 2 2" xfId="10571" xr:uid="{00000000-0005-0000-0000-0000CF030000}"/>
    <cellStyle name="20% - Accent1 3 4 2 2 2" xfId="24513" xr:uid="{00000000-0005-0000-0000-0000D0030000}"/>
    <cellStyle name="20% - Accent1 3 4 2 3" xfId="17609" xr:uid="{00000000-0005-0000-0000-0000D1030000}"/>
    <cellStyle name="20% - Accent1 3 4 3" xfId="286" xr:uid="{00000000-0005-0000-0000-0000D2030000}"/>
    <cellStyle name="20% - Accent1 3 4 3 2" xfId="11772" xr:uid="{00000000-0005-0000-0000-0000D3030000}"/>
    <cellStyle name="20% - Accent1 3 4 3 2 2" xfId="25487" xr:uid="{00000000-0005-0000-0000-0000D4030000}"/>
    <cellStyle name="20% - Accent1 3 4 3 3" xfId="17610" xr:uid="{00000000-0005-0000-0000-0000D5030000}"/>
    <cellStyle name="20% - Accent1 3 4 4" xfId="287" xr:uid="{00000000-0005-0000-0000-0000D6030000}"/>
    <cellStyle name="20% - Accent1 3 4 4 2" xfId="14543" xr:uid="{00000000-0005-0000-0000-0000D7030000}"/>
    <cellStyle name="20% - Accent1 3 4 4 2 2" xfId="28092" xr:uid="{00000000-0005-0000-0000-0000D8030000}"/>
    <cellStyle name="20% - Accent1 3 4 4 3" xfId="17611" xr:uid="{00000000-0005-0000-0000-0000D9030000}"/>
    <cellStyle name="20% - Accent1 3 4 5" xfId="288" xr:uid="{00000000-0005-0000-0000-0000DA030000}"/>
    <cellStyle name="20% - Accent1 3 4 5 2" xfId="17131" xr:uid="{00000000-0005-0000-0000-0000DB030000}"/>
    <cellStyle name="20% - Accent1 3 4 5 2 2" xfId="30490" xr:uid="{00000000-0005-0000-0000-0000DC030000}"/>
    <cellStyle name="20% - Accent1 3 4 5 3" xfId="17612" xr:uid="{00000000-0005-0000-0000-0000DD030000}"/>
    <cellStyle name="20% - Accent1 3 4 6" xfId="8846" xr:uid="{00000000-0005-0000-0000-0000DE030000}"/>
    <cellStyle name="20% - Accent1 3 4 6 2" xfId="23321" xr:uid="{00000000-0005-0000-0000-0000DF030000}"/>
    <cellStyle name="20% - Accent1 3 4 7" xfId="17608" xr:uid="{00000000-0005-0000-0000-0000E0030000}"/>
    <cellStyle name="20% - Accent1 3 5" xfId="289" xr:uid="{00000000-0005-0000-0000-0000E1030000}"/>
    <cellStyle name="20% - Accent1 3 5 2" xfId="290" xr:uid="{00000000-0005-0000-0000-0000E2030000}"/>
    <cellStyle name="20% - Accent1 3 5 2 2" xfId="10572" xr:uid="{00000000-0005-0000-0000-0000E3030000}"/>
    <cellStyle name="20% - Accent1 3 5 2 2 2" xfId="24514" xr:uid="{00000000-0005-0000-0000-0000E4030000}"/>
    <cellStyle name="20% - Accent1 3 5 2 3" xfId="17614" xr:uid="{00000000-0005-0000-0000-0000E5030000}"/>
    <cellStyle name="20% - Accent1 3 5 3" xfId="291" xr:uid="{00000000-0005-0000-0000-0000E6030000}"/>
    <cellStyle name="20% - Accent1 3 5 3 2" xfId="12699" xr:uid="{00000000-0005-0000-0000-0000E7030000}"/>
    <cellStyle name="20% - Accent1 3 5 3 2 2" xfId="26411" xr:uid="{00000000-0005-0000-0000-0000E8030000}"/>
    <cellStyle name="20% - Accent1 3 5 3 3" xfId="17615" xr:uid="{00000000-0005-0000-0000-0000E9030000}"/>
    <cellStyle name="20% - Accent1 3 5 4" xfId="292" xr:uid="{00000000-0005-0000-0000-0000EA030000}"/>
    <cellStyle name="20% - Accent1 3 5 4 2" xfId="14542" xr:uid="{00000000-0005-0000-0000-0000EB030000}"/>
    <cellStyle name="20% - Accent1 3 5 4 2 2" xfId="28091" xr:uid="{00000000-0005-0000-0000-0000EC030000}"/>
    <cellStyle name="20% - Accent1 3 5 4 3" xfId="17616" xr:uid="{00000000-0005-0000-0000-0000ED030000}"/>
    <cellStyle name="20% - Accent1 3 5 5" xfId="293" xr:uid="{00000000-0005-0000-0000-0000EE030000}"/>
    <cellStyle name="20% - Accent1 3 5 5 2" xfId="17220" xr:uid="{00000000-0005-0000-0000-0000EF030000}"/>
    <cellStyle name="20% - Accent1 3 5 5 2 2" xfId="30579" xr:uid="{00000000-0005-0000-0000-0000F0030000}"/>
    <cellStyle name="20% - Accent1 3 5 5 3" xfId="17617" xr:uid="{00000000-0005-0000-0000-0000F1030000}"/>
    <cellStyle name="20% - Accent1 3 5 6" xfId="8847" xr:uid="{00000000-0005-0000-0000-0000F2030000}"/>
    <cellStyle name="20% - Accent1 3 5 6 2" xfId="23322" xr:uid="{00000000-0005-0000-0000-0000F3030000}"/>
    <cellStyle name="20% - Accent1 3 5 7" xfId="17613" xr:uid="{00000000-0005-0000-0000-0000F4030000}"/>
    <cellStyle name="20% - Accent1 3 6" xfId="294" xr:uid="{00000000-0005-0000-0000-0000F5030000}"/>
    <cellStyle name="20% - Accent1 3 6 2" xfId="295" xr:uid="{00000000-0005-0000-0000-0000F6030000}"/>
    <cellStyle name="20% - Accent1 3 6 2 2" xfId="14541" xr:uid="{00000000-0005-0000-0000-0000F7030000}"/>
    <cellStyle name="20% - Accent1 3 6 2 2 2" xfId="28090" xr:uid="{00000000-0005-0000-0000-0000F8030000}"/>
    <cellStyle name="20% - Accent1 3 6 2 3" xfId="17619" xr:uid="{00000000-0005-0000-0000-0000F9030000}"/>
    <cellStyle name="20% - Accent1 3 6 3" xfId="296" xr:uid="{00000000-0005-0000-0000-0000FA030000}"/>
    <cellStyle name="20% - Accent1 3 6 3 2" xfId="16495" xr:uid="{00000000-0005-0000-0000-0000FB030000}"/>
    <cellStyle name="20% - Accent1 3 6 3 2 2" xfId="29902" xr:uid="{00000000-0005-0000-0000-0000FC030000}"/>
    <cellStyle name="20% - Accent1 3 6 3 3" xfId="17620" xr:uid="{00000000-0005-0000-0000-0000FD030000}"/>
    <cellStyle name="20% - Accent1 3 6 4" xfId="10564" xr:uid="{00000000-0005-0000-0000-0000FE030000}"/>
    <cellStyle name="20% - Accent1 3 6 4 2" xfId="24506" xr:uid="{00000000-0005-0000-0000-0000FF030000}"/>
    <cellStyle name="20% - Accent1 3 6 5" xfId="17618" xr:uid="{00000000-0005-0000-0000-000000040000}"/>
    <cellStyle name="20% - Accent1 3 7" xfId="297" xr:uid="{00000000-0005-0000-0000-000001040000}"/>
    <cellStyle name="20% - Accent1 3 7 2" xfId="11867" xr:uid="{00000000-0005-0000-0000-000002040000}"/>
    <cellStyle name="20% - Accent1 3 7 2 2" xfId="25582" xr:uid="{00000000-0005-0000-0000-000003040000}"/>
    <cellStyle name="20% - Accent1 3 7 3" xfId="17621" xr:uid="{00000000-0005-0000-0000-000004040000}"/>
    <cellStyle name="20% - Accent1 3 8" xfId="298" xr:uid="{00000000-0005-0000-0000-000005040000}"/>
    <cellStyle name="20% - Accent1 3 8 2" xfId="12558" xr:uid="{00000000-0005-0000-0000-000006040000}"/>
    <cellStyle name="20% - Accent1 3 8 2 2" xfId="26270" xr:uid="{00000000-0005-0000-0000-000007040000}"/>
    <cellStyle name="20% - Accent1 3 8 3" xfId="17622" xr:uid="{00000000-0005-0000-0000-000008040000}"/>
    <cellStyle name="20% - Accent1 3 9" xfId="299" xr:uid="{00000000-0005-0000-0000-000009040000}"/>
    <cellStyle name="20% - Accent1 3 9 2" xfId="13447" xr:uid="{00000000-0005-0000-0000-00000A040000}"/>
    <cellStyle name="20% - Accent1 3 9 2 2" xfId="26996" xr:uid="{00000000-0005-0000-0000-00000B040000}"/>
    <cellStyle name="20% - Accent1 3 9 3" xfId="17623" xr:uid="{00000000-0005-0000-0000-00000C040000}"/>
    <cellStyle name="20% - Accent1 30" xfId="23235" xr:uid="{00000000-0005-0000-0000-00000D040000}"/>
    <cellStyle name="20% - Accent1 4" xfId="300" xr:uid="{00000000-0005-0000-0000-00000E040000}"/>
    <cellStyle name="20% - Accent1 4 10" xfId="301" xr:uid="{00000000-0005-0000-0000-00000F040000}"/>
    <cellStyle name="20% - Accent1 4 10 2" xfId="14540" xr:uid="{00000000-0005-0000-0000-000010040000}"/>
    <cellStyle name="20% - Accent1 4 10 2 2" xfId="28089" xr:uid="{00000000-0005-0000-0000-000011040000}"/>
    <cellStyle name="20% - Accent1 4 10 3" xfId="17625" xr:uid="{00000000-0005-0000-0000-000012040000}"/>
    <cellStyle name="20% - Accent1 4 11" xfId="302" xr:uid="{00000000-0005-0000-0000-000013040000}"/>
    <cellStyle name="20% - Accent1 4 11 2" xfId="15868" xr:uid="{00000000-0005-0000-0000-000014040000}"/>
    <cellStyle name="20% - Accent1 4 11 2 2" xfId="29275" xr:uid="{00000000-0005-0000-0000-000015040000}"/>
    <cellStyle name="20% - Accent1 4 11 3" xfId="17626" xr:uid="{00000000-0005-0000-0000-000016040000}"/>
    <cellStyle name="20% - Accent1 4 12" xfId="8848" xr:uid="{00000000-0005-0000-0000-000017040000}"/>
    <cellStyle name="20% - Accent1 4 12 2" xfId="23323" xr:uid="{00000000-0005-0000-0000-000018040000}"/>
    <cellStyle name="20% - Accent1 4 13" xfId="17624" xr:uid="{00000000-0005-0000-0000-000019040000}"/>
    <cellStyle name="20% - Accent1 4 2" xfId="303" xr:uid="{00000000-0005-0000-0000-00001A040000}"/>
    <cellStyle name="20% - Accent1 4 2 10" xfId="304" xr:uid="{00000000-0005-0000-0000-00001B040000}"/>
    <cellStyle name="20% - Accent1 4 2 10 2" xfId="16011" xr:uid="{00000000-0005-0000-0000-00001C040000}"/>
    <cellStyle name="20% - Accent1 4 2 10 2 2" xfId="29418" xr:uid="{00000000-0005-0000-0000-00001D040000}"/>
    <cellStyle name="20% - Accent1 4 2 10 3" xfId="17628" xr:uid="{00000000-0005-0000-0000-00001E040000}"/>
    <cellStyle name="20% - Accent1 4 2 11" xfId="8849" xr:uid="{00000000-0005-0000-0000-00001F040000}"/>
    <cellStyle name="20% - Accent1 4 2 11 2" xfId="23324" xr:uid="{00000000-0005-0000-0000-000020040000}"/>
    <cellStyle name="20% - Accent1 4 2 12" xfId="17627" xr:uid="{00000000-0005-0000-0000-000021040000}"/>
    <cellStyle name="20% - Accent1 4 2 2" xfId="305" xr:uid="{00000000-0005-0000-0000-000022040000}"/>
    <cellStyle name="20% - Accent1 4 2 2 10" xfId="8850" xr:uid="{00000000-0005-0000-0000-000023040000}"/>
    <cellStyle name="20% - Accent1 4 2 2 10 2" xfId="23325" xr:uid="{00000000-0005-0000-0000-000024040000}"/>
    <cellStyle name="20% - Accent1 4 2 2 11" xfId="17629" xr:uid="{00000000-0005-0000-0000-000025040000}"/>
    <cellStyle name="20% - Accent1 4 2 2 2" xfId="306" xr:uid="{00000000-0005-0000-0000-000026040000}"/>
    <cellStyle name="20% - Accent1 4 2 2 2 2" xfId="307" xr:uid="{00000000-0005-0000-0000-000027040000}"/>
    <cellStyle name="20% - Accent1 4 2 2 2 2 2" xfId="10576" xr:uid="{00000000-0005-0000-0000-000028040000}"/>
    <cellStyle name="20% - Accent1 4 2 2 2 2 2 2" xfId="24518" xr:uid="{00000000-0005-0000-0000-000029040000}"/>
    <cellStyle name="20% - Accent1 4 2 2 2 2 3" xfId="17631" xr:uid="{00000000-0005-0000-0000-00002A040000}"/>
    <cellStyle name="20% - Accent1 4 2 2 2 3" xfId="308" xr:uid="{00000000-0005-0000-0000-00002B040000}"/>
    <cellStyle name="20% - Accent1 4 2 2 2 3 2" xfId="12392" xr:uid="{00000000-0005-0000-0000-00002C040000}"/>
    <cellStyle name="20% - Accent1 4 2 2 2 3 2 2" xfId="26104" xr:uid="{00000000-0005-0000-0000-00002D040000}"/>
    <cellStyle name="20% - Accent1 4 2 2 2 3 3" xfId="17632" xr:uid="{00000000-0005-0000-0000-00002E040000}"/>
    <cellStyle name="20% - Accent1 4 2 2 2 4" xfId="309" xr:uid="{00000000-0005-0000-0000-00002F040000}"/>
    <cellStyle name="20% - Accent1 4 2 2 2 4 2" xfId="14537" xr:uid="{00000000-0005-0000-0000-000030040000}"/>
    <cellStyle name="20% - Accent1 4 2 2 2 4 2 2" xfId="28086" xr:uid="{00000000-0005-0000-0000-000031040000}"/>
    <cellStyle name="20% - Accent1 4 2 2 2 4 3" xfId="17633" xr:uid="{00000000-0005-0000-0000-000032040000}"/>
    <cellStyle name="20% - Accent1 4 2 2 2 5" xfId="310" xr:uid="{00000000-0005-0000-0000-000033040000}"/>
    <cellStyle name="20% - Accent1 4 2 2 2 5 2" xfId="16881" xr:uid="{00000000-0005-0000-0000-000034040000}"/>
    <cellStyle name="20% - Accent1 4 2 2 2 5 2 2" xfId="30288" xr:uid="{00000000-0005-0000-0000-000035040000}"/>
    <cellStyle name="20% - Accent1 4 2 2 2 5 3" xfId="17634" xr:uid="{00000000-0005-0000-0000-000036040000}"/>
    <cellStyle name="20% - Accent1 4 2 2 2 6" xfId="8851" xr:uid="{00000000-0005-0000-0000-000037040000}"/>
    <cellStyle name="20% - Accent1 4 2 2 2 6 2" xfId="23326" xr:uid="{00000000-0005-0000-0000-000038040000}"/>
    <cellStyle name="20% - Accent1 4 2 2 2 7" xfId="17630" xr:uid="{00000000-0005-0000-0000-000039040000}"/>
    <cellStyle name="20% - Accent1 4 2 2 3" xfId="311" xr:uid="{00000000-0005-0000-0000-00003A040000}"/>
    <cellStyle name="20% - Accent1 4 2 2 3 2" xfId="312" xr:uid="{00000000-0005-0000-0000-00003B040000}"/>
    <cellStyle name="20% - Accent1 4 2 2 3 2 2" xfId="14536" xr:uid="{00000000-0005-0000-0000-00003C040000}"/>
    <cellStyle name="20% - Accent1 4 2 2 3 2 2 2" xfId="28085" xr:uid="{00000000-0005-0000-0000-00003D040000}"/>
    <cellStyle name="20% - Accent1 4 2 2 3 2 3" xfId="17636" xr:uid="{00000000-0005-0000-0000-00003E040000}"/>
    <cellStyle name="20% - Accent1 4 2 2 3 3" xfId="10575" xr:uid="{00000000-0005-0000-0000-00003F040000}"/>
    <cellStyle name="20% - Accent1 4 2 2 3 3 2" xfId="24517" xr:uid="{00000000-0005-0000-0000-000040040000}"/>
    <cellStyle name="20% - Accent1 4 2 2 3 4" xfId="17635" xr:uid="{00000000-0005-0000-0000-000041040000}"/>
    <cellStyle name="20% - Accent1 4 2 2 4" xfId="313" xr:uid="{00000000-0005-0000-0000-000042040000}"/>
    <cellStyle name="20% - Accent1 4 2 2 4 2" xfId="12269" xr:uid="{00000000-0005-0000-0000-000043040000}"/>
    <cellStyle name="20% - Accent1 4 2 2 4 2 2" xfId="25981" xr:uid="{00000000-0005-0000-0000-000044040000}"/>
    <cellStyle name="20% - Accent1 4 2 2 4 3" xfId="17637" xr:uid="{00000000-0005-0000-0000-000045040000}"/>
    <cellStyle name="20% - Accent1 4 2 2 5" xfId="314" xr:uid="{00000000-0005-0000-0000-000046040000}"/>
    <cellStyle name="20% - Accent1 4 2 2 5 2" xfId="12710" xr:uid="{00000000-0005-0000-0000-000047040000}"/>
    <cellStyle name="20% - Accent1 4 2 2 5 2 2" xfId="26422" xr:uid="{00000000-0005-0000-0000-000048040000}"/>
    <cellStyle name="20% - Accent1 4 2 2 5 3" xfId="17638" xr:uid="{00000000-0005-0000-0000-000049040000}"/>
    <cellStyle name="20% - Accent1 4 2 2 6" xfId="315" xr:uid="{00000000-0005-0000-0000-00004A040000}"/>
    <cellStyle name="20% - Accent1 4 2 2 6 2" xfId="13833" xr:uid="{00000000-0005-0000-0000-00004B040000}"/>
    <cellStyle name="20% - Accent1 4 2 2 6 2 2" xfId="27382" xr:uid="{00000000-0005-0000-0000-00004C040000}"/>
    <cellStyle name="20% - Accent1 4 2 2 6 3" xfId="17639" xr:uid="{00000000-0005-0000-0000-00004D040000}"/>
    <cellStyle name="20% - Accent1 4 2 2 7" xfId="316" xr:uid="{00000000-0005-0000-0000-00004E040000}"/>
    <cellStyle name="20% - Accent1 4 2 2 7 2" xfId="14414" xr:uid="{00000000-0005-0000-0000-00004F040000}"/>
    <cellStyle name="20% - Accent1 4 2 2 7 2 2" xfId="27963" xr:uid="{00000000-0005-0000-0000-000050040000}"/>
    <cellStyle name="20% - Accent1 4 2 2 7 3" xfId="17640" xr:uid="{00000000-0005-0000-0000-000051040000}"/>
    <cellStyle name="20% - Accent1 4 2 2 8" xfId="317" xr:uid="{00000000-0005-0000-0000-000052040000}"/>
    <cellStyle name="20% - Accent1 4 2 2 8 2" xfId="14538" xr:uid="{00000000-0005-0000-0000-000053040000}"/>
    <cellStyle name="20% - Accent1 4 2 2 8 2 2" xfId="28087" xr:uid="{00000000-0005-0000-0000-000054040000}"/>
    <cellStyle name="20% - Accent1 4 2 2 8 3" xfId="17641" xr:uid="{00000000-0005-0000-0000-000055040000}"/>
    <cellStyle name="20% - Accent1 4 2 2 9" xfId="318" xr:uid="{00000000-0005-0000-0000-000056040000}"/>
    <cellStyle name="20% - Accent1 4 2 2 9 2" xfId="16300" xr:uid="{00000000-0005-0000-0000-000057040000}"/>
    <cellStyle name="20% - Accent1 4 2 2 9 2 2" xfId="29707" xr:uid="{00000000-0005-0000-0000-000058040000}"/>
    <cellStyle name="20% - Accent1 4 2 2 9 3" xfId="17642" xr:uid="{00000000-0005-0000-0000-000059040000}"/>
    <cellStyle name="20% - Accent1 4 2 3" xfId="319" xr:uid="{00000000-0005-0000-0000-00005A040000}"/>
    <cellStyle name="20% - Accent1 4 2 3 2" xfId="320" xr:uid="{00000000-0005-0000-0000-00005B040000}"/>
    <cellStyle name="20% - Accent1 4 2 3 2 2" xfId="10577" xr:uid="{00000000-0005-0000-0000-00005C040000}"/>
    <cellStyle name="20% - Accent1 4 2 3 2 2 2" xfId="24519" xr:uid="{00000000-0005-0000-0000-00005D040000}"/>
    <cellStyle name="20% - Accent1 4 2 3 2 3" xfId="17644" xr:uid="{00000000-0005-0000-0000-00005E040000}"/>
    <cellStyle name="20% - Accent1 4 2 3 3" xfId="321" xr:uid="{00000000-0005-0000-0000-00005F040000}"/>
    <cellStyle name="20% - Accent1 4 2 3 3 2" xfId="12688" xr:uid="{00000000-0005-0000-0000-000060040000}"/>
    <cellStyle name="20% - Accent1 4 2 3 3 2 2" xfId="26400" xr:uid="{00000000-0005-0000-0000-000061040000}"/>
    <cellStyle name="20% - Accent1 4 2 3 3 3" xfId="17645" xr:uid="{00000000-0005-0000-0000-000062040000}"/>
    <cellStyle name="20% - Accent1 4 2 3 4" xfId="322" xr:uid="{00000000-0005-0000-0000-000063040000}"/>
    <cellStyle name="20% - Accent1 4 2 3 4 2" xfId="14535" xr:uid="{00000000-0005-0000-0000-000064040000}"/>
    <cellStyle name="20% - Accent1 4 2 3 4 2 2" xfId="28084" xr:uid="{00000000-0005-0000-0000-000065040000}"/>
    <cellStyle name="20% - Accent1 4 2 3 4 3" xfId="17646" xr:uid="{00000000-0005-0000-0000-000066040000}"/>
    <cellStyle name="20% - Accent1 4 2 3 5" xfId="323" xr:uid="{00000000-0005-0000-0000-000067040000}"/>
    <cellStyle name="20% - Accent1 4 2 3 5 2" xfId="16592" xr:uid="{00000000-0005-0000-0000-000068040000}"/>
    <cellStyle name="20% - Accent1 4 2 3 5 2 2" xfId="29999" xr:uid="{00000000-0005-0000-0000-000069040000}"/>
    <cellStyle name="20% - Accent1 4 2 3 5 3" xfId="17647" xr:uid="{00000000-0005-0000-0000-00006A040000}"/>
    <cellStyle name="20% - Accent1 4 2 3 6" xfId="8852" xr:uid="{00000000-0005-0000-0000-00006B040000}"/>
    <cellStyle name="20% - Accent1 4 2 3 6 2" xfId="23327" xr:uid="{00000000-0005-0000-0000-00006C040000}"/>
    <cellStyle name="20% - Accent1 4 2 3 7" xfId="17643" xr:uid="{00000000-0005-0000-0000-00006D040000}"/>
    <cellStyle name="20% - Accent1 4 2 4" xfId="324" xr:uid="{00000000-0005-0000-0000-00006E040000}"/>
    <cellStyle name="20% - Accent1 4 2 4 2" xfId="325" xr:uid="{00000000-0005-0000-0000-00006F040000}"/>
    <cellStyle name="20% - Accent1 4 2 4 2 2" xfId="14534" xr:uid="{00000000-0005-0000-0000-000070040000}"/>
    <cellStyle name="20% - Accent1 4 2 4 2 2 2" xfId="28083" xr:uid="{00000000-0005-0000-0000-000071040000}"/>
    <cellStyle name="20% - Accent1 4 2 4 2 3" xfId="17649" xr:uid="{00000000-0005-0000-0000-000072040000}"/>
    <cellStyle name="20% - Accent1 4 2 4 3" xfId="10574" xr:uid="{00000000-0005-0000-0000-000073040000}"/>
    <cellStyle name="20% - Accent1 4 2 4 3 2" xfId="24516" xr:uid="{00000000-0005-0000-0000-000074040000}"/>
    <cellStyle name="20% - Accent1 4 2 4 4" xfId="17648" xr:uid="{00000000-0005-0000-0000-000075040000}"/>
    <cellStyle name="20% - Accent1 4 2 5" xfId="326" xr:uid="{00000000-0005-0000-0000-000076040000}"/>
    <cellStyle name="20% - Accent1 4 2 5 2" xfId="11969" xr:uid="{00000000-0005-0000-0000-000077040000}"/>
    <cellStyle name="20% - Accent1 4 2 5 2 2" xfId="25684" xr:uid="{00000000-0005-0000-0000-000078040000}"/>
    <cellStyle name="20% - Accent1 4 2 5 3" xfId="17650" xr:uid="{00000000-0005-0000-0000-000079040000}"/>
    <cellStyle name="20% - Accent1 4 2 6" xfId="327" xr:uid="{00000000-0005-0000-0000-00007A040000}"/>
    <cellStyle name="20% - Accent1 4 2 6 2" xfId="12609" xr:uid="{00000000-0005-0000-0000-00007B040000}"/>
    <cellStyle name="20% - Accent1 4 2 6 2 2" xfId="26321" xr:uid="{00000000-0005-0000-0000-00007C040000}"/>
    <cellStyle name="20% - Accent1 4 2 6 3" xfId="17651" xr:uid="{00000000-0005-0000-0000-00007D040000}"/>
    <cellStyle name="20% - Accent1 4 2 7" xfId="328" xr:uid="{00000000-0005-0000-0000-00007E040000}"/>
    <cellStyle name="20% - Accent1 4 2 7 2" xfId="13544" xr:uid="{00000000-0005-0000-0000-00007F040000}"/>
    <cellStyle name="20% - Accent1 4 2 7 2 2" xfId="27093" xr:uid="{00000000-0005-0000-0000-000080040000}"/>
    <cellStyle name="20% - Accent1 4 2 7 3" xfId="17652" xr:uid="{00000000-0005-0000-0000-000081040000}"/>
    <cellStyle name="20% - Accent1 4 2 8" xfId="329" xr:uid="{00000000-0005-0000-0000-000082040000}"/>
    <cellStyle name="20% - Accent1 4 2 8 2" xfId="14125" xr:uid="{00000000-0005-0000-0000-000083040000}"/>
    <cellStyle name="20% - Accent1 4 2 8 2 2" xfId="27674" xr:uid="{00000000-0005-0000-0000-000084040000}"/>
    <cellStyle name="20% - Accent1 4 2 8 3" xfId="17653" xr:uid="{00000000-0005-0000-0000-000085040000}"/>
    <cellStyle name="20% - Accent1 4 2 9" xfId="330" xr:uid="{00000000-0005-0000-0000-000086040000}"/>
    <cellStyle name="20% - Accent1 4 2 9 2" xfId="14539" xr:uid="{00000000-0005-0000-0000-000087040000}"/>
    <cellStyle name="20% - Accent1 4 2 9 2 2" xfId="28088" xr:uid="{00000000-0005-0000-0000-000088040000}"/>
    <cellStyle name="20% - Accent1 4 2 9 3" xfId="17654" xr:uid="{00000000-0005-0000-0000-000089040000}"/>
    <cellStyle name="20% - Accent1 4 3" xfId="331" xr:uid="{00000000-0005-0000-0000-00008A040000}"/>
    <cellStyle name="20% - Accent1 4 3 10" xfId="8853" xr:uid="{00000000-0005-0000-0000-00008B040000}"/>
    <cellStyle name="20% - Accent1 4 3 10 2" xfId="23328" xr:uid="{00000000-0005-0000-0000-00008C040000}"/>
    <cellStyle name="20% - Accent1 4 3 11" xfId="17655" xr:uid="{00000000-0005-0000-0000-00008D040000}"/>
    <cellStyle name="20% - Accent1 4 3 2" xfId="332" xr:uid="{00000000-0005-0000-0000-00008E040000}"/>
    <cellStyle name="20% - Accent1 4 3 2 2" xfId="333" xr:uid="{00000000-0005-0000-0000-00008F040000}"/>
    <cellStyle name="20% - Accent1 4 3 2 2 2" xfId="10579" xr:uid="{00000000-0005-0000-0000-000090040000}"/>
    <cellStyle name="20% - Accent1 4 3 2 2 2 2" xfId="24521" xr:uid="{00000000-0005-0000-0000-000091040000}"/>
    <cellStyle name="20% - Accent1 4 3 2 2 3" xfId="17657" xr:uid="{00000000-0005-0000-0000-000092040000}"/>
    <cellStyle name="20% - Accent1 4 3 2 3" xfId="334" xr:uid="{00000000-0005-0000-0000-000093040000}"/>
    <cellStyle name="20% - Accent1 4 3 2 3 2" xfId="12559" xr:uid="{00000000-0005-0000-0000-000094040000}"/>
    <cellStyle name="20% - Accent1 4 3 2 3 2 2" xfId="26271" xr:uid="{00000000-0005-0000-0000-000095040000}"/>
    <cellStyle name="20% - Accent1 4 3 2 3 3" xfId="17658" xr:uid="{00000000-0005-0000-0000-000096040000}"/>
    <cellStyle name="20% - Accent1 4 3 2 4" xfId="335" xr:uid="{00000000-0005-0000-0000-000097040000}"/>
    <cellStyle name="20% - Accent1 4 3 2 4 2" xfId="14532" xr:uid="{00000000-0005-0000-0000-000098040000}"/>
    <cellStyle name="20% - Accent1 4 3 2 4 2 2" xfId="28081" xr:uid="{00000000-0005-0000-0000-000099040000}"/>
    <cellStyle name="20% - Accent1 4 3 2 4 3" xfId="17659" xr:uid="{00000000-0005-0000-0000-00009A040000}"/>
    <cellStyle name="20% - Accent1 4 3 2 5" xfId="336" xr:uid="{00000000-0005-0000-0000-00009B040000}"/>
    <cellStyle name="20% - Accent1 4 3 2 5 2" xfId="16741" xr:uid="{00000000-0005-0000-0000-00009C040000}"/>
    <cellStyle name="20% - Accent1 4 3 2 5 2 2" xfId="30148" xr:uid="{00000000-0005-0000-0000-00009D040000}"/>
    <cellStyle name="20% - Accent1 4 3 2 5 3" xfId="17660" xr:uid="{00000000-0005-0000-0000-00009E040000}"/>
    <cellStyle name="20% - Accent1 4 3 2 6" xfId="8854" xr:uid="{00000000-0005-0000-0000-00009F040000}"/>
    <cellStyle name="20% - Accent1 4 3 2 6 2" xfId="23329" xr:uid="{00000000-0005-0000-0000-0000A0040000}"/>
    <cellStyle name="20% - Accent1 4 3 2 7" xfId="17656" xr:uid="{00000000-0005-0000-0000-0000A1040000}"/>
    <cellStyle name="20% - Accent1 4 3 3" xfId="337" xr:uid="{00000000-0005-0000-0000-0000A2040000}"/>
    <cellStyle name="20% - Accent1 4 3 3 2" xfId="338" xr:uid="{00000000-0005-0000-0000-0000A3040000}"/>
    <cellStyle name="20% - Accent1 4 3 3 2 2" xfId="14531" xr:uid="{00000000-0005-0000-0000-0000A4040000}"/>
    <cellStyle name="20% - Accent1 4 3 3 2 2 2" xfId="28080" xr:uid="{00000000-0005-0000-0000-0000A5040000}"/>
    <cellStyle name="20% - Accent1 4 3 3 2 3" xfId="17662" xr:uid="{00000000-0005-0000-0000-0000A6040000}"/>
    <cellStyle name="20% - Accent1 4 3 3 3" xfId="10578" xr:uid="{00000000-0005-0000-0000-0000A7040000}"/>
    <cellStyle name="20% - Accent1 4 3 3 3 2" xfId="24520" xr:uid="{00000000-0005-0000-0000-0000A8040000}"/>
    <cellStyle name="20% - Accent1 4 3 3 4" xfId="17661" xr:uid="{00000000-0005-0000-0000-0000A9040000}"/>
    <cellStyle name="20% - Accent1 4 3 4" xfId="339" xr:uid="{00000000-0005-0000-0000-0000AA040000}"/>
    <cellStyle name="20% - Accent1 4 3 4 2" xfId="12129" xr:uid="{00000000-0005-0000-0000-0000AB040000}"/>
    <cellStyle name="20% - Accent1 4 3 4 2 2" xfId="25841" xr:uid="{00000000-0005-0000-0000-0000AC040000}"/>
    <cellStyle name="20% - Accent1 4 3 4 3" xfId="17663" xr:uid="{00000000-0005-0000-0000-0000AD040000}"/>
    <cellStyle name="20% - Accent1 4 3 5" xfId="340" xr:uid="{00000000-0005-0000-0000-0000AE040000}"/>
    <cellStyle name="20% - Accent1 4 3 5 2" xfId="12709" xr:uid="{00000000-0005-0000-0000-0000AF040000}"/>
    <cellStyle name="20% - Accent1 4 3 5 2 2" xfId="26421" xr:uid="{00000000-0005-0000-0000-0000B0040000}"/>
    <cellStyle name="20% - Accent1 4 3 5 3" xfId="17664" xr:uid="{00000000-0005-0000-0000-0000B1040000}"/>
    <cellStyle name="20% - Accent1 4 3 6" xfId="341" xr:uid="{00000000-0005-0000-0000-0000B2040000}"/>
    <cellStyle name="20% - Accent1 4 3 6 2" xfId="13693" xr:uid="{00000000-0005-0000-0000-0000B3040000}"/>
    <cellStyle name="20% - Accent1 4 3 6 2 2" xfId="27242" xr:uid="{00000000-0005-0000-0000-0000B4040000}"/>
    <cellStyle name="20% - Accent1 4 3 6 3" xfId="17665" xr:uid="{00000000-0005-0000-0000-0000B5040000}"/>
    <cellStyle name="20% - Accent1 4 3 7" xfId="342" xr:uid="{00000000-0005-0000-0000-0000B6040000}"/>
    <cellStyle name="20% - Accent1 4 3 7 2" xfId="14274" xr:uid="{00000000-0005-0000-0000-0000B7040000}"/>
    <cellStyle name="20% - Accent1 4 3 7 2 2" xfId="27823" xr:uid="{00000000-0005-0000-0000-0000B8040000}"/>
    <cellStyle name="20% - Accent1 4 3 7 3" xfId="17666" xr:uid="{00000000-0005-0000-0000-0000B9040000}"/>
    <cellStyle name="20% - Accent1 4 3 8" xfId="343" xr:uid="{00000000-0005-0000-0000-0000BA040000}"/>
    <cellStyle name="20% - Accent1 4 3 8 2" xfId="14533" xr:uid="{00000000-0005-0000-0000-0000BB040000}"/>
    <cellStyle name="20% - Accent1 4 3 8 2 2" xfId="28082" xr:uid="{00000000-0005-0000-0000-0000BC040000}"/>
    <cellStyle name="20% - Accent1 4 3 8 3" xfId="17667" xr:uid="{00000000-0005-0000-0000-0000BD040000}"/>
    <cellStyle name="20% - Accent1 4 3 9" xfId="344" xr:uid="{00000000-0005-0000-0000-0000BE040000}"/>
    <cellStyle name="20% - Accent1 4 3 9 2" xfId="16160" xr:uid="{00000000-0005-0000-0000-0000BF040000}"/>
    <cellStyle name="20% - Accent1 4 3 9 2 2" xfId="29567" xr:uid="{00000000-0005-0000-0000-0000C0040000}"/>
    <cellStyle name="20% - Accent1 4 3 9 3" xfId="17668" xr:uid="{00000000-0005-0000-0000-0000C1040000}"/>
    <cellStyle name="20% - Accent1 4 4" xfId="345" xr:uid="{00000000-0005-0000-0000-0000C2040000}"/>
    <cellStyle name="20% - Accent1 4 4 2" xfId="346" xr:uid="{00000000-0005-0000-0000-0000C3040000}"/>
    <cellStyle name="20% - Accent1 4 4 2 2" xfId="10580" xr:uid="{00000000-0005-0000-0000-0000C4040000}"/>
    <cellStyle name="20% - Accent1 4 4 2 2 2" xfId="24522" xr:uid="{00000000-0005-0000-0000-0000C5040000}"/>
    <cellStyle name="20% - Accent1 4 4 2 3" xfId="17670" xr:uid="{00000000-0005-0000-0000-0000C6040000}"/>
    <cellStyle name="20% - Accent1 4 4 3" xfId="347" xr:uid="{00000000-0005-0000-0000-0000C7040000}"/>
    <cellStyle name="20% - Accent1 4 4 3 2" xfId="12687" xr:uid="{00000000-0005-0000-0000-0000C8040000}"/>
    <cellStyle name="20% - Accent1 4 4 3 2 2" xfId="26399" xr:uid="{00000000-0005-0000-0000-0000C9040000}"/>
    <cellStyle name="20% - Accent1 4 4 3 3" xfId="17671" xr:uid="{00000000-0005-0000-0000-0000CA040000}"/>
    <cellStyle name="20% - Accent1 4 4 4" xfId="348" xr:uid="{00000000-0005-0000-0000-0000CB040000}"/>
    <cellStyle name="20% - Accent1 4 4 4 2" xfId="14530" xr:uid="{00000000-0005-0000-0000-0000CC040000}"/>
    <cellStyle name="20% - Accent1 4 4 4 2 2" xfId="28079" xr:uid="{00000000-0005-0000-0000-0000CD040000}"/>
    <cellStyle name="20% - Accent1 4 4 4 3" xfId="17672" xr:uid="{00000000-0005-0000-0000-0000CE040000}"/>
    <cellStyle name="20% - Accent1 4 4 5" xfId="349" xr:uid="{00000000-0005-0000-0000-0000CF040000}"/>
    <cellStyle name="20% - Accent1 4 4 5 2" xfId="16449" xr:uid="{00000000-0005-0000-0000-0000D0040000}"/>
    <cellStyle name="20% - Accent1 4 4 5 2 2" xfId="29856" xr:uid="{00000000-0005-0000-0000-0000D1040000}"/>
    <cellStyle name="20% - Accent1 4 4 5 3" xfId="17673" xr:uid="{00000000-0005-0000-0000-0000D2040000}"/>
    <cellStyle name="20% - Accent1 4 4 6" xfId="8855" xr:uid="{00000000-0005-0000-0000-0000D3040000}"/>
    <cellStyle name="20% - Accent1 4 4 6 2" xfId="23330" xr:uid="{00000000-0005-0000-0000-0000D4040000}"/>
    <cellStyle name="20% - Accent1 4 4 7" xfId="17669" xr:uid="{00000000-0005-0000-0000-0000D5040000}"/>
    <cellStyle name="20% - Accent1 4 5" xfId="350" xr:uid="{00000000-0005-0000-0000-0000D6040000}"/>
    <cellStyle name="20% - Accent1 4 5 2" xfId="351" xr:uid="{00000000-0005-0000-0000-0000D7040000}"/>
    <cellStyle name="20% - Accent1 4 5 2 2" xfId="14593" xr:uid="{00000000-0005-0000-0000-0000D8040000}"/>
    <cellStyle name="20% - Accent1 4 5 2 2 2" xfId="28142" xr:uid="{00000000-0005-0000-0000-0000D9040000}"/>
    <cellStyle name="20% - Accent1 4 5 2 3" xfId="17675" xr:uid="{00000000-0005-0000-0000-0000DA040000}"/>
    <cellStyle name="20% - Accent1 4 5 3" xfId="10573" xr:uid="{00000000-0005-0000-0000-0000DB040000}"/>
    <cellStyle name="20% - Accent1 4 5 3 2" xfId="24515" xr:uid="{00000000-0005-0000-0000-0000DC040000}"/>
    <cellStyle name="20% - Accent1 4 5 4" xfId="17674" xr:uid="{00000000-0005-0000-0000-0000DD040000}"/>
    <cellStyle name="20% - Accent1 4 6" xfId="352" xr:uid="{00000000-0005-0000-0000-0000DE040000}"/>
    <cellStyle name="20% - Accent1 4 6 2" xfId="11800" xr:uid="{00000000-0005-0000-0000-0000DF040000}"/>
    <cellStyle name="20% - Accent1 4 6 2 2" xfId="25515" xr:uid="{00000000-0005-0000-0000-0000E0040000}"/>
    <cellStyle name="20% - Accent1 4 6 3" xfId="17676" xr:uid="{00000000-0005-0000-0000-0000E1040000}"/>
    <cellStyle name="20% - Accent1 4 7" xfId="353" xr:uid="{00000000-0005-0000-0000-0000E2040000}"/>
    <cellStyle name="20% - Accent1 4 7 2" xfId="12705" xr:uid="{00000000-0005-0000-0000-0000E3040000}"/>
    <cellStyle name="20% - Accent1 4 7 2 2" xfId="26417" xr:uid="{00000000-0005-0000-0000-0000E4040000}"/>
    <cellStyle name="20% - Accent1 4 7 3" xfId="17677" xr:uid="{00000000-0005-0000-0000-0000E5040000}"/>
    <cellStyle name="20% - Accent1 4 8" xfId="354" xr:uid="{00000000-0005-0000-0000-0000E6040000}"/>
    <cellStyle name="20% - Accent1 4 8 2" xfId="13401" xr:uid="{00000000-0005-0000-0000-0000E7040000}"/>
    <cellStyle name="20% - Accent1 4 8 2 2" xfId="26950" xr:uid="{00000000-0005-0000-0000-0000E8040000}"/>
    <cellStyle name="20% - Accent1 4 8 3" xfId="17678" xr:uid="{00000000-0005-0000-0000-0000E9040000}"/>
    <cellStyle name="20% - Accent1 4 9" xfId="355" xr:uid="{00000000-0005-0000-0000-0000EA040000}"/>
    <cellStyle name="20% - Accent1 4 9 2" xfId="13982" xr:uid="{00000000-0005-0000-0000-0000EB040000}"/>
    <cellStyle name="20% - Accent1 4 9 2 2" xfId="27531" xr:uid="{00000000-0005-0000-0000-0000EC040000}"/>
    <cellStyle name="20% - Accent1 4 9 3" xfId="17679" xr:uid="{00000000-0005-0000-0000-0000ED040000}"/>
    <cellStyle name="20% - Accent1 5" xfId="356" xr:uid="{00000000-0005-0000-0000-0000EE040000}"/>
    <cellStyle name="20% - Accent1 5 10" xfId="357" xr:uid="{00000000-0005-0000-0000-0000EF040000}"/>
    <cellStyle name="20% - Accent1 5 10 2" xfId="14594" xr:uid="{00000000-0005-0000-0000-0000F0040000}"/>
    <cellStyle name="20% - Accent1 5 10 2 2" xfId="28143" xr:uid="{00000000-0005-0000-0000-0000F1040000}"/>
    <cellStyle name="20% - Accent1 5 10 3" xfId="17681" xr:uid="{00000000-0005-0000-0000-0000F2040000}"/>
    <cellStyle name="20% - Accent1 5 11" xfId="358" xr:uid="{00000000-0005-0000-0000-0000F3040000}"/>
    <cellStyle name="20% - Accent1 5 11 2" xfId="15851" xr:uid="{00000000-0005-0000-0000-0000F4040000}"/>
    <cellStyle name="20% - Accent1 5 11 2 2" xfId="29258" xr:uid="{00000000-0005-0000-0000-0000F5040000}"/>
    <cellStyle name="20% - Accent1 5 11 3" xfId="17682" xr:uid="{00000000-0005-0000-0000-0000F6040000}"/>
    <cellStyle name="20% - Accent1 5 12" xfId="8856" xr:uid="{00000000-0005-0000-0000-0000F7040000}"/>
    <cellStyle name="20% - Accent1 5 12 2" xfId="23331" xr:uid="{00000000-0005-0000-0000-0000F8040000}"/>
    <cellStyle name="20% - Accent1 5 13" xfId="17680" xr:uid="{00000000-0005-0000-0000-0000F9040000}"/>
    <cellStyle name="20% - Accent1 5 2" xfId="359" xr:uid="{00000000-0005-0000-0000-0000FA040000}"/>
    <cellStyle name="20% - Accent1 5 2 10" xfId="360" xr:uid="{00000000-0005-0000-0000-0000FB040000}"/>
    <cellStyle name="20% - Accent1 5 2 10 2" xfId="15994" xr:uid="{00000000-0005-0000-0000-0000FC040000}"/>
    <cellStyle name="20% - Accent1 5 2 10 2 2" xfId="29401" xr:uid="{00000000-0005-0000-0000-0000FD040000}"/>
    <cellStyle name="20% - Accent1 5 2 10 3" xfId="17684" xr:uid="{00000000-0005-0000-0000-0000FE040000}"/>
    <cellStyle name="20% - Accent1 5 2 11" xfId="8857" xr:uid="{00000000-0005-0000-0000-0000FF040000}"/>
    <cellStyle name="20% - Accent1 5 2 11 2" xfId="23332" xr:uid="{00000000-0005-0000-0000-000000050000}"/>
    <cellStyle name="20% - Accent1 5 2 12" xfId="17683" xr:uid="{00000000-0005-0000-0000-000001050000}"/>
    <cellStyle name="20% - Accent1 5 2 2" xfId="361" xr:uid="{00000000-0005-0000-0000-000002050000}"/>
    <cellStyle name="20% - Accent1 5 2 2 10" xfId="8858" xr:uid="{00000000-0005-0000-0000-000003050000}"/>
    <cellStyle name="20% - Accent1 5 2 2 10 2" xfId="23333" xr:uid="{00000000-0005-0000-0000-000004050000}"/>
    <cellStyle name="20% - Accent1 5 2 2 11" xfId="17685" xr:uid="{00000000-0005-0000-0000-000005050000}"/>
    <cellStyle name="20% - Accent1 5 2 2 2" xfId="362" xr:uid="{00000000-0005-0000-0000-000006050000}"/>
    <cellStyle name="20% - Accent1 5 2 2 2 2" xfId="363" xr:uid="{00000000-0005-0000-0000-000007050000}"/>
    <cellStyle name="20% - Accent1 5 2 2 2 2 2" xfId="10584" xr:uid="{00000000-0005-0000-0000-000008050000}"/>
    <cellStyle name="20% - Accent1 5 2 2 2 2 2 2" xfId="24526" xr:uid="{00000000-0005-0000-0000-000009050000}"/>
    <cellStyle name="20% - Accent1 5 2 2 2 2 3" xfId="17687" xr:uid="{00000000-0005-0000-0000-00000A050000}"/>
    <cellStyle name="20% - Accent1 5 2 2 2 3" xfId="364" xr:uid="{00000000-0005-0000-0000-00000B050000}"/>
    <cellStyle name="20% - Accent1 5 2 2 2 3 2" xfId="12533" xr:uid="{00000000-0005-0000-0000-00000C050000}"/>
    <cellStyle name="20% - Accent1 5 2 2 2 3 2 2" xfId="26245" xr:uid="{00000000-0005-0000-0000-00000D050000}"/>
    <cellStyle name="20% - Accent1 5 2 2 2 3 3" xfId="17688" xr:uid="{00000000-0005-0000-0000-00000E050000}"/>
    <cellStyle name="20% - Accent1 5 2 2 2 4" xfId="365" xr:uid="{00000000-0005-0000-0000-00000F050000}"/>
    <cellStyle name="20% - Accent1 5 2 2 2 4 2" xfId="14597" xr:uid="{00000000-0005-0000-0000-000010050000}"/>
    <cellStyle name="20% - Accent1 5 2 2 2 4 2 2" xfId="28146" xr:uid="{00000000-0005-0000-0000-000011050000}"/>
    <cellStyle name="20% - Accent1 5 2 2 2 4 3" xfId="17689" xr:uid="{00000000-0005-0000-0000-000012050000}"/>
    <cellStyle name="20% - Accent1 5 2 2 2 5" xfId="366" xr:uid="{00000000-0005-0000-0000-000013050000}"/>
    <cellStyle name="20% - Accent1 5 2 2 2 5 2" xfId="16864" xr:uid="{00000000-0005-0000-0000-000014050000}"/>
    <cellStyle name="20% - Accent1 5 2 2 2 5 2 2" xfId="30271" xr:uid="{00000000-0005-0000-0000-000015050000}"/>
    <cellStyle name="20% - Accent1 5 2 2 2 5 3" xfId="17690" xr:uid="{00000000-0005-0000-0000-000016050000}"/>
    <cellStyle name="20% - Accent1 5 2 2 2 6" xfId="8859" xr:uid="{00000000-0005-0000-0000-000017050000}"/>
    <cellStyle name="20% - Accent1 5 2 2 2 6 2" xfId="23334" xr:uid="{00000000-0005-0000-0000-000018050000}"/>
    <cellStyle name="20% - Accent1 5 2 2 2 7" xfId="17686" xr:uid="{00000000-0005-0000-0000-000019050000}"/>
    <cellStyle name="20% - Accent1 5 2 2 3" xfId="367" xr:uid="{00000000-0005-0000-0000-00001A050000}"/>
    <cellStyle name="20% - Accent1 5 2 2 3 2" xfId="368" xr:uid="{00000000-0005-0000-0000-00001B050000}"/>
    <cellStyle name="20% - Accent1 5 2 2 3 2 2" xfId="14598" xr:uid="{00000000-0005-0000-0000-00001C050000}"/>
    <cellStyle name="20% - Accent1 5 2 2 3 2 2 2" xfId="28147" xr:uid="{00000000-0005-0000-0000-00001D050000}"/>
    <cellStyle name="20% - Accent1 5 2 2 3 2 3" xfId="17692" xr:uid="{00000000-0005-0000-0000-00001E050000}"/>
    <cellStyle name="20% - Accent1 5 2 2 3 3" xfId="10583" xr:uid="{00000000-0005-0000-0000-00001F050000}"/>
    <cellStyle name="20% - Accent1 5 2 2 3 3 2" xfId="24525" xr:uid="{00000000-0005-0000-0000-000020050000}"/>
    <cellStyle name="20% - Accent1 5 2 2 3 4" xfId="17691" xr:uid="{00000000-0005-0000-0000-000021050000}"/>
    <cellStyle name="20% - Accent1 5 2 2 4" xfId="369" xr:uid="{00000000-0005-0000-0000-000022050000}"/>
    <cellStyle name="20% - Accent1 5 2 2 4 2" xfId="12252" xr:uid="{00000000-0005-0000-0000-000023050000}"/>
    <cellStyle name="20% - Accent1 5 2 2 4 2 2" xfId="25964" xr:uid="{00000000-0005-0000-0000-000024050000}"/>
    <cellStyle name="20% - Accent1 5 2 2 4 3" xfId="17693" xr:uid="{00000000-0005-0000-0000-000025050000}"/>
    <cellStyle name="20% - Accent1 5 2 2 5" xfId="370" xr:uid="{00000000-0005-0000-0000-000026050000}"/>
    <cellStyle name="20% - Accent1 5 2 2 5 2" xfId="12602" xr:uid="{00000000-0005-0000-0000-000027050000}"/>
    <cellStyle name="20% - Accent1 5 2 2 5 2 2" xfId="26314" xr:uid="{00000000-0005-0000-0000-000028050000}"/>
    <cellStyle name="20% - Accent1 5 2 2 5 3" xfId="17694" xr:uid="{00000000-0005-0000-0000-000029050000}"/>
    <cellStyle name="20% - Accent1 5 2 2 6" xfId="371" xr:uid="{00000000-0005-0000-0000-00002A050000}"/>
    <cellStyle name="20% - Accent1 5 2 2 6 2" xfId="13816" xr:uid="{00000000-0005-0000-0000-00002B050000}"/>
    <cellStyle name="20% - Accent1 5 2 2 6 2 2" xfId="27365" xr:uid="{00000000-0005-0000-0000-00002C050000}"/>
    <cellStyle name="20% - Accent1 5 2 2 6 3" xfId="17695" xr:uid="{00000000-0005-0000-0000-00002D050000}"/>
    <cellStyle name="20% - Accent1 5 2 2 7" xfId="372" xr:uid="{00000000-0005-0000-0000-00002E050000}"/>
    <cellStyle name="20% - Accent1 5 2 2 7 2" xfId="14397" xr:uid="{00000000-0005-0000-0000-00002F050000}"/>
    <cellStyle name="20% - Accent1 5 2 2 7 2 2" xfId="27946" xr:uid="{00000000-0005-0000-0000-000030050000}"/>
    <cellStyle name="20% - Accent1 5 2 2 7 3" xfId="17696" xr:uid="{00000000-0005-0000-0000-000031050000}"/>
    <cellStyle name="20% - Accent1 5 2 2 8" xfId="373" xr:uid="{00000000-0005-0000-0000-000032050000}"/>
    <cellStyle name="20% - Accent1 5 2 2 8 2" xfId="14596" xr:uid="{00000000-0005-0000-0000-000033050000}"/>
    <cellStyle name="20% - Accent1 5 2 2 8 2 2" xfId="28145" xr:uid="{00000000-0005-0000-0000-000034050000}"/>
    <cellStyle name="20% - Accent1 5 2 2 8 3" xfId="17697" xr:uid="{00000000-0005-0000-0000-000035050000}"/>
    <cellStyle name="20% - Accent1 5 2 2 9" xfId="374" xr:uid="{00000000-0005-0000-0000-000036050000}"/>
    <cellStyle name="20% - Accent1 5 2 2 9 2" xfId="16283" xr:uid="{00000000-0005-0000-0000-000037050000}"/>
    <cellStyle name="20% - Accent1 5 2 2 9 2 2" xfId="29690" xr:uid="{00000000-0005-0000-0000-000038050000}"/>
    <cellStyle name="20% - Accent1 5 2 2 9 3" xfId="17698" xr:uid="{00000000-0005-0000-0000-000039050000}"/>
    <cellStyle name="20% - Accent1 5 2 3" xfId="375" xr:uid="{00000000-0005-0000-0000-00003A050000}"/>
    <cellStyle name="20% - Accent1 5 2 3 2" xfId="376" xr:uid="{00000000-0005-0000-0000-00003B050000}"/>
    <cellStyle name="20% - Accent1 5 2 3 2 2" xfId="10585" xr:uid="{00000000-0005-0000-0000-00003C050000}"/>
    <cellStyle name="20% - Accent1 5 2 3 2 2 2" xfId="24527" xr:uid="{00000000-0005-0000-0000-00003D050000}"/>
    <cellStyle name="20% - Accent1 5 2 3 2 3" xfId="17700" xr:uid="{00000000-0005-0000-0000-00003E050000}"/>
    <cellStyle name="20% - Accent1 5 2 3 3" xfId="377" xr:uid="{00000000-0005-0000-0000-00003F050000}"/>
    <cellStyle name="20% - Accent1 5 2 3 3 2" xfId="12645" xr:uid="{00000000-0005-0000-0000-000040050000}"/>
    <cellStyle name="20% - Accent1 5 2 3 3 2 2" xfId="26357" xr:uid="{00000000-0005-0000-0000-000041050000}"/>
    <cellStyle name="20% - Accent1 5 2 3 3 3" xfId="17701" xr:uid="{00000000-0005-0000-0000-000042050000}"/>
    <cellStyle name="20% - Accent1 5 2 3 4" xfId="378" xr:uid="{00000000-0005-0000-0000-000043050000}"/>
    <cellStyle name="20% - Accent1 5 2 3 4 2" xfId="14599" xr:uid="{00000000-0005-0000-0000-000044050000}"/>
    <cellStyle name="20% - Accent1 5 2 3 4 2 2" xfId="28148" xr:uid="{00000000-0005-0000-0000-000045050000}"/>
    <cellStyle name="20% - Accent1 5 2 3 4 3" xfId="17702" xr:uid="{00000000-0005-0000-0000-000046050000}"/>
    <cellStyle name="20% - Accent1 5 2 3 5" xfId="379" xr:uid="{00000000-0005-0000-0000-000047050000}"/>
    <cellStyle name="20% - Accent1 5 2 3 5 2" xfId="16575" xr:uid="{00000000-0005-0000-0000-000048050000}"/>
    <cellStyle name="20% - Accent1 5 2 3 5 2 2" xfId="29982" xr:uid="{00000000-0005-0000-0000-000049050000}"/>
    <cellStyle name="20% - Accent1 5 2 3 5 3" xfId="17703" xr:uid="{00000000-0005-0000-0000-00004A050000}"/>
    <cellStyle name="20% - Accent1 5 2 3 6" xfId="8860" xr:uid="{00000000-0005-0000-0000-00004B050000}"/>
    <cellStyle name="20% - Accent1 5 2 3 6 2" xfId="23335" xr:uid="{00000000-0005-0000-0000-00004C050000}"/>
    <cellStyle name="20% - Accent1 5 2 3 7" xfId="17699" xr:uid="{00000000-0005-0000-0000-00004D050000}"/>
    <cellStyle name="20% - Accent1 5 2 4" xfId="380" xr:uid="{00000000-0005-0000-0000-00004E050000}"/>
    <cellStyle name="20% - Accent1 5 2 4 2" xfId="381" xr:uid="{00000000-0005-0000-0000-00004F050000}"/>
    <cellStyle name="20% - Accent1 5 2 4 2 2" xfId="14600" xr:uid="{00000000-0005-0000-0000-000050050000}"/>
    <cellStyle name="20% - Accent1 5 2 4 2 2 2" xfId="28149" xr:uid="{00000000-0005-0000-0000-000051050000}"/>
    <cellStyle name="20% - Accent1 5 2 4 2 3" xfId="17705" xr:uid="{00000000-0005-0000-0000-000052050000}"/>
    <cellStyle name="20% - Accent1 5 2 4 3" xfId="10582" xr:uid="{00000000-0005-0000-0000-000053050000}"/>
    <cellStyle name="20% - Accent1 5 2 4 3 2" xfId="24524" xr:uid="{00000000-0005-0000-0000-000054050000}"/>
    <cellStyle name="20% - Accent1 5 2 4 4" xfId="17704" xr:uid="{00000000-0005-0000-0000-000055050000}"/>
    <cellStyle name="20% - Accent1 5 2 5" xfId="382" xr:uid="{00000000-0005-0000-0000-000056050000}"/>
    <cellStyle name="20% - Accent1 5 2 5 2" xfId="11952" xr:uid="{00000000-0005-0000-0000-000057050000}"/>
    <cellStyle name="20% - Accent1 5 2 5 2 2" xfId="25667" xr:uid="{00000000-0005-0000-0000-000058050000}"/>
    <cellStyle name="20% - Accent1 5 2 5 3" xfId="17706" xr:uid="{00000000-0005-0000-0000-000059050000}"/>
    <cellStyle name="20% - Accent1 5 2 6" xfId="383" xr:uid="{00000000-0005-0000-0000-00005A050000}"/>
    <cellStyle name="20% - Accent1 5 2 6 2" xfId="12103" xr:uid="{00000000-0005-0000-0000-00005B050000}"/>
    <cellStyle name="20% - Accent1 5 2 6 2 2" xfId="25815" xr:uid="{00000000-0005-0000-0000-00005C050000}"/>
    <cellStyle name="20% - Accent1 5 2 6 3" xfId="17707" xr:uid="{00000000-0005-0000-0000-00005D050000}"/>
    <cellStyle name="20% - Accent1 5 2 7" xfId="384" xr:uid="{00000000-0005-0000-0000-00005E050000}"/>
    <cellStyle name="20% - Accent1 5 2 7 2" xfId="13527" xr:uid="{00000000-0005-0000-0000-00005F050000}"/>
    <cellStyle name="20% - Accent1 5 2 7 2 2" xfId="27076" xr:uid="{00000000-0005-0000-0000-000060050000}"/>
    <cellStyle name="20% - Accent1 5 2 7 3" xfId="17708" xr:uid="{00000000-0005-0000-0000-000061050000}"/>
    <cellStyle name="20% - Accent1 5 2 8" xfId="385" xr:uid="{00000000-0005-0000-0000-000062050000}"/>
    <cellStyle name="20% - Accent1 5 2 8 2" xfId="14108" xr:uid="{00000000-0005-0000-0000-000063050000}"/>
    <cellStyle name="20% - Accent1 5 2 8 2 2" xfId="27657" xr:uid="{00000000-0005-0000-0000-000064050000}"/>
    <cellStyle name="20% - Accent1 5 2 8 3" xfId="17709" xr:uid="{00000000-0005-0000-0000-000065050000}"/>
    <cellStyle name="20% - Accent1 5 2 9" xfId="386" xr:uid="{00000000-0005-0000-0000-000066050000}"/>
    <cellStyle name="20% - Accent1 5 2 9 2" xfId="14595" xr:uid="{00000000-0005-0000-0000-000067050000}"/>
    <cellStyle name="20% - Accent1 5 2 9 2 2" xfId="28144" xr:uid="{00000000-0005-0000-0000-000068050000}"/>
    <cellStyle name="20% - Accent1 5 2 9 3" xfId="17710" xr:uid="{00000000-0005-0000-0000-000069050000}"/>
    <cellStyle name="20% - Accent1 5 3" xfId="387" xr:uid="{00000000-0005-0000-0000-00006A050000}"/>
    <cellStyle name="20% - Accent1 5 3 10" xfId="8861" xr:uid="{00000000-0005-0000-0000-00006B050000}"/>
    <cellStyle name="20% - Accent1 5 3 10 2" xfId="23336" xr:uid="{00000000-0005-0000-0000-00006C050000}"/>
    <cellStyle name="20% - Accent1 5 3 11" xfId="17711" xr:uid="{00000000-0005-0000-0000-00006D050000}"/>
    <cellStyle name="20% - Accent1 5 3 2" xfId="388" xr:uid="{00000000-0005-0000-0000-00006E050000}"/>
    <cellStyle name="20% - Accent1 5 3 2 2" xfId="389" xr:uid="{00000000-0005-0000-0000-00006F050000}"/>
    <cellStyle name="20% - Accent1 5 3 2 2 2" xfId="10587" xr:uid="{00000000-0005-0000-0000-000070050000}"/>
    <cellStyle name="20% - Accent1 5 3 2 2 2 2" xfId="24529" xr:uid="{00000000-0005-0000-0000-000071050000}"/>
    <cellStyle name="20% - Accent1 5 3 2 2 3" xfId="17713" xr:uid="{00000000-0005-0000-0000-000072050000}"/>
    <cellStyle name="20% - Accent1 5 3 2 3" xfId="390" xr:uid="{00000000-0005-0000-0000-000073050000}"/>
    <cellStyle name="20% - Accent1 5 3 2 3 2" xfId="12453" xr:uid="{00000000-0005-0000-0000-000074050000}"/>
    <cellStyle name="20% - Accent1 5 3 2 3 2 2" xfId="26165" xr:uid="{00000000-0005-0000-0000-000075050000}"/>
    <cellStyle name="20% - Accent1 5 3 2 3 3" xfId="17714" xr:uid="{00000000-0005-0000-0000-000076050000}"/>
    <cellStyle name="20% - Accent1 5 3 2 4" xfId="391" xr:uid="{00000000-0005-0000-0000-000077050000}"/>
    <cellStyle name="20% - Accent1 5 3 2 4 2" xfId="14602" xr:uid="{00000000-0005-0000-0000-000078050000}"/>
    <cellStyle name="20% - Accent1 5 3 2 4 2 2" xfId="28151" xr:uid="{00000000-0005-0000-0000-000079050000}"/>
    <cellStyle name="20% - Accent1 5 3 2 4 3" xfId="17715" xr:uid="{00000000-0005-0000-0000-00007A050000}"/>
    <cellStyle name="20% - Accent1 5 3 2 5" xfId="392" xr:uid="{00000000-0005-0000-0000-00007B050000}"/>
    <cellStyle name="20% - Accent1 5 3 2 5 2" xfId="16714" xr:uid="{00000000-0005-0000-0000-00007C050000}"/>
    <cellStyle name="20% - Accent1 5 3 2 5 2 2" xfId="30121" xr:uid="{00000000-0005-0000-0000-00007D050000}"/>
    <cellStyle name="20% - Accent1 5 3 2 5 3" xfId="17716" xr:uid="{00000000-0005-0000-0000-00007E050000}"/>
    <cellStyle name="20% - Accent1 5 3 2 6" xfId="8862" xr:uid="{00000000-0005-0000-0000-00007F050000}"/>
    <cellStyle name="20% - Accent1 5 3 2 6 2" xfId="23337" xr:uid="{00000000-0005-0000-0000-000080050000}"/>
    <cellStyle name="20% - Accent1 5 3 2 7" xfId="17712" xr:uid="{00000000-0005-0000-0000-000081050000}"/>
    <cellStyle name="20% - Accent1 5 3 3" xfId="393" xr:uid="{00000000-0005-0000-0000-000082050000}"/>
    <cellStyle name="20% - Accent1 5 3 3 2" xfId="394" xr:uid="{00000000-0005-0000-0000-000083050000}"/>
    <cellStyle name="20% - Accent1 5 3 3 2 2" xfId="14603" xr:uid="{00000000-0005-0000-0000-000084050000}"/>
    <cellStyle name="20% - Accent1 5 3 3 2 2 2" xfId="28152" xr:uid="{00000000-0005-0000-0000-000085050000}"/>
    <cellStyle name="20% - Accent1 5 3 3 2 3" xfId="17718" xr:uid="{00000000-0005-0000-0000-000086050000}"/>
    <cellStyle name="20% - Accent1 5 3 3 3" xfId="10586" xr:uid="{00000000-0005-0000-0000-000087050000}"/>
    <cellStyle name="20% - Accent1 5 3 3 3 2" xfId="24528" xr:uid="{00000000-0005-0000-0000-000088050000}"/>
    <cellStyle name="20% - Accent1 5 3 3 4" xfId="17717" xr:uid="{00000000-0005-0000-0000-000089050000}"/>
    <cellStyle name="20% - Accent1 5 3 4" xfId="395" xr:uid="{00000000-0005-0000-0000-00008A050000}"/>
    <cellStyle name="20% - Accent1 5 3 4 2" xfId="12094" xr:uid="{00000000-0005-0000-0000-00008B050000}"/>
    <cellStyle name="20% - Accent1 5 3 4 2 2" xfId="25806" xr:uid="{00000000-0005-0000-0000-00008C050000}"/>
    <cellStyle name="20% - Accent1 5 3 4 3" xfId="17719" xr:uid="{00000000-0005-0000-0000-00008D050000}"/>
    <cellStyle name="20% - Accent1 5 3 5" xfId="396" xr:uid="{00000000-0005-0000-0000-00008E050000}"/>
    <cellStyle name="20% - Accent1 5 3 5 2" xfId="12423" xr:uid="{00000000-0005-0000-0000-00008F050000}"/>
    <cellStyle name="20% - Accent1 5 3 5 2 2" xfId="26135" xr:uid="{00000000-0005-0000-0000-000090050000}"/>
    <cellStyle name="20% - Accent1 5 3 5 3" xfId="17720" xr:uid="{00000000-0005-0000-0000-000091050000}"/>
    <cellStyle name="20% - Accent1 5 3 6" xfId="397" xr:uid="{00000000-0005-0000-0000-000092050000}"/>
    <cellStyle name="20% - Accent1 5 3 6 2" xfId="13666" xr:uid="{00000000-0005-0000-0000-000093050000}"/>
    <cellStyle name="20% - Accent1 5 3 6 2 2" xfId="27215" xr:uid="{00000000-0005-0000-0000-000094050000}"/>
    <cellStyle name="20% - Accent1 5 3 6 3" xfId="17721" xr:uid="{00000000-0005-0000-0000-000095050000}"/>
    <cellStyle name="20% - Accent1 5 3 7" xfId="398" xr:uid="{00000000-0005-0000-0000-000096050000}"/>
    <cellStyle name="20% - Accent1 5 3 7 2" xfId="14247" xr:uid="{00000000-0005-0000-0000-000097050000}"/>
    <cellStyle name="20% - Accent1 5 3 7 2 2" xfId="27796" xr:uid="{00000000-0005-0000-0000-000098050000}"/>
    <cellStyle name="20% - Accent1 5 3 7 3" xfId="17722" xr:uid="{00000000-0005-0000-0000-000099050000}"/>
    <cellStyle name="20% - Accent1 5 3 8" xfId="399" xr:uid="{00000000-0005-0000-0000-00009A050000}"/>
    <cellStyle name="20% - Accent1 5 3 8 2" xfId="14601" xr:uid="{00000000-0005-0000-0000-00009B050000}"/>
    <cellStyle name="20% - Accent1 5 3 8 2 2" xfId="28150" xr:uid="{00000000-0005-0000-0000-00009C050000}"/>
    <cellStyle name="20% - Accent1 5 3 8 3" xfId="17723" xr:uid="{00000000-0005-0000-0000-00009D050000}"/>
    <cellStyle name="20% - Accent1 5 3 9" xfId="400" xr:uid="{00000000-0005-0000-0000-00009E050000}"/>
    <cellStyle name="20% - Accent1 5 3 9 2" xfId="16133" xr:uid="{00000000-0005-0000-0000-00009F050000}"/>
    <cellStyle name="20% - Accent1 5 3 9 2 2" xfId="29540" xr:uid="{00000000-0005-0000-0000-0000A0050000}"/>
    <cellStyle name="20% - Accent1 5 3 9 3" xfId="17724" xr:uid="{00000000-0005-0000-0000-0000A1050000}"/>
    <cellStyle name="20% - Accent1 5 4" xfId="401" xr:uid="{00000000-0005-0000-0000-0000A2050000}"/>
    <cellStyle name="20% - Accent1 5 4 2" xfId="402" xr:uid="{00000000-0005-0000-0000-0000A3050000}"/>
    <cellStyle name="20% - Accent1 5 4 2 2" xfId="10588" xr:uid="{00000000-0005-0000-0000-0000A4050000}"/>
    <cellStyle name="20% - Accent1 5 4 2 2 2" xfId="24530" xr:uid="{00000000-0005-0000-0000-0000A5050000}"/>
    <cellStyle name="20% - Accent1 5 4 2 3" xfId="17726" xr:uid="{00000000-0005-0000-0000-0000A6050000}"/>
    <cellStyle name="20% - Accent1 5 4 3" xfId="403" xr:uid="{00000000-0005-0000-0000-0000A7050000}"/>
    <cellStyle name="20% - Accent1 5 4 3 2" xfId="12417" xr:uid="{00000000-0005-0000-0000-0000A8050000}"/>
    <cellStyle name="20% - Accent1 5 4 3 2 2" xfId="26129" xr:uid="{00000000-0005-0000-0000-0000A9050000}"/>
    <cellStyle name="20% - Accent1 5 4 3 3" xfId="17727" xr:uid="{00000000-0005-0000-0000-0000AA050000}"/>
    <cellStyle name="20% - Accent1 5 4 4" xfId="404" xr:uid="{00000000-0005-0000-0000-0000AB050000}"/>
    <cellStyle name="20% - Accent1 5 4 4 2" xfId="14608" xr:uid="{00000000-0005-0000-0000-0000AC050000}"/>
    <cellStyle name="20% - Accent1 5 4 4 2 2" xfId="28157" xr:uid="{00000000-0005-0000-0000-0000AD050000}"/>
    <cellStyle name="20% - Accent1 5 4 4 3" xfId="17728" xr:uid="{00000000-0005-0000-0000-0000AE050000}"/>
    <cellStyle name="20% - Accent1 5 4 5" xfId="405" xr:uid="{00000000-0005-0000-0000-0000AF050000}"/>
    <cellStyle name="20% - Accent1 5 4 5 2" xfId="16432" xr:uid="{00000000-0005-0000-0000-0000B0050000}"/>
    <cellStyle name="20% - Accent1 5 4 5 2 2" xfId="29839" xr:uid="{00000000-0005-0000-0000-0000B1050000}"/>
    <cellStyle name="20% - Accent1 5 4 5 3" xfId="17729" xr:uid="{00000000-0005-0000-0000-0000B2050000}"/>
    <cellStyle name="20% - Accent1 5 4 6" xfId="8863" xr:uid="{00000000-0005-0000-0000-0000B3050000}"/>
    <cellStyle name="20% - Accent1 5 4 6 2" xfId="23338" xr:uid="{00000000-0005-0000-0000-0000B4050000}"/>
    <cellStyle name="20% - Accent1 5 4 7" xfId="17725" xr:uid="{00000000-0005-0000-0000-0000B5050000}"/>
    <cellStyle name="20% - Accent1 5 5" xfId="406" xr:uid="{00000000-0005-0000-0000-0000B6050000}"/>
    <cellStyle name="20% - Accent1 5 5 2" xfId="407" xr:uid="{00000000-0005-0000-0000-0000B7050000}"/>
    <cellStyle name="20% - Accent1 5 5 2 2" xfId="14609" xr:uid="{00000000-0005-0000-0000-0000B8050000}"/>
    <cellStyle name="20% - Accent1 5 5 2 2 2" xfId="28158" xr:uid="{00000000-0005-0000-0000-0000B9050000}"/>
    <cellStyle name="20% - Accent1 5 5 2 3" xfId="17731" xr:uid="{00000000-0005-0000-0000-0000BA050000}"/>
    <cellStyle name="20% - Accent1 5 5 3" xfId="10581" xr:uid="{00000000-0005-0000-0000-0000BB050000}"/>
    <cellStyle name="20% - Accent1 5 5 3 2" xfId="24523" xr:uid="{00000000-0005-0000-0000-0000BC050000}"/>
    <cellStyle name="20% - Accent1 5 5 4" xfId="17730" xr:uid="{00000000-0005-0000-0000-0000BD050000}"/>
    <cellStyle name="20% - Accent1 5 6" xfId="408" xr:uid="{00000000-0005-0000-0000-0000BE050000}"/>
    <cellStyle name="20% - Accent1 5 6 2" xfId="11783" xr:uid="{00000000-0005-0000-0000-0000BF050000}"/>
    <cellStyle name="20% - Accent1 5 6 2 2" xfId="25498" xr:uid="{00000000-0005-0000-0000-0000C0050000}"/>
    <cellStyle name="20% - Accent1 5 6 3" xfId="17732" xr:uid="{00000000-0005-0000-0000-0000C1050000}"/>
    <cellStyle name="20% - Accent1 5 7" xfId="409" xr:uid="{00000000-0005-0000-0000-0000C2050000}"/>
    <cellStyle name="20% - Accent1 5 7 2" xfId="12545" xr:uid="{00000000-0005-0000-0000-0000C3050000}"/>
    <cellStyle name="20% - Accent1 5 7 2 2" xfId="26257" xr:uid="{00000000-0005-0000-0000-0000C4050000}"/>
    <cellStyle name="20% - Accent1 5 7 3" xfId="17733" xr:uid="{00000000-0005-0000-0000-0000C5050000}"/>
    <cellStyle name="20% - Accent1 5 8" xfId="410" xr:uid="{00000000-0005-0000-0000-0000C6050000}"/>
    <cellStyle name="20% - Accent1 5 8 2" xfId="13384" xr:uid="{00000000-0005-0000-0000-0000C7050000}"/>
    <cellStyle name="20% - Accent1 5 8 2 2" xfId="26933" xr:uid="{00000000-0005-0000-0000-0000C8050000}"/>
    <cellStyle name="20% - Accent1 5 8 3" xfId="17734" xr:uid="{00000000-0005-0000-0000-0000C9050000}"/>
    <cellStyle name="20% - Accent1 5 9" xfId="411" xr:uid="{00000000-0005-0000-0000-0000CA050000}"/>
    <cellStyle name="20% - Accent1 5 9 2" xfId="13965" xr:uid="{00000000-0005-0000-0000-0000CB050000}"/>
    <cellStyle name="20% - Accent1 5 9 2 2" xfId="27514" xr:uid="{00000000-0005-0000-0000-0000CC050000}"/>
    <cellStyle name="20% - Accent1 5 9 3" xfId="17735" xr:uid="{00000000-0005-0000-0000-0000CD050000}"/>
    <cellStyle name="20% - Accent1 6" xfId="412" xr:uid="{00000000-0005-0000-0000-0000CE050000}"/>
    <cellStyle name="20% - Accent1 6 10" xfId="413" xr:uid="{00000000-0005-0000-0000-0000CF050000}"/>
    <cellStyle name="20% - Accent1 6 10 2" xfId="14610" xr:uid="{00000000-0005-0000-0000-0000D0050000}"/>
    <cellStyle name="20% - Accent1 6 10 2 2" xfId="28159" xr:uid="{00000000-0005-0000-0000-0000D1050000}"/>
    <cellStyle name="20% - Accent1 6 10 3" xfId="17737" xr:uid="{00000000-0005-0000-0000-0000D2050000}"/>
    <cellStyle name="20% - Accent1 6 11" xfId="414" xr:uid="{00000000-0005-0000-0000-0000D3050000}"/>
    <cellStyle name="20% - Accent1 6 11 2" xfId="15957" xr:uid="{00000000-0005-0000-0000-0000D4050000}"/>
    <cellStyle name="20% - Accent1 6 11 2 2" xfId="29364" xr:uid="{00000000-0005-0000-0000-0000D5050000}"/>
    <cellStyle name="20% - Accent1 6 11 3" xfId="17738" xr:uid="{00000000-0005-0000-0000-0000D6050000}"/>
    <cellStyle name="20% - Accent1 6 12" xfId="8864" xr:uid="{00000000-0005-0000-0000-0000D7050000}"/>
    <cellStyle name="20% - Accent1 6 12 2" xfId="23339" xr:uid="{00000000-0005-0000-0000-0000D8050000}"/>
    <cellStyle name="20% - Accent1 6 13" xfId="17736" xr:uid="{00000000-0005-0000-0000-0000D9050000}"/>
    <cellStyle name="20% - Accent1 6 2" xfId="415" xr:uid="{00000000-0005-0000-0000-0000DA050000}"/>
    <cellStyle name="20% - Accent1 6 2 10" xfId="416" xr:uid="{00000000-0005-0000-0000-0000DB050000}"/>
    <cellStyle name="20% - Accent1 6 2 10 2" xfId="16100" xr:uid="{00000000-0005-0000-0000-0000DC050000}"/>
    <cellStyle name="20% - Accent1 6 2 10 2 2" xfId="29507" xr:uid="{00000000-0005-0000-0000-0000DD050000}"/>
    <cellStyle name="20% - Accent1 6 2 10 3" xfId="17740" xr:uid="{00000000-0005-0000-0000-0000DE050000}"/>
    <cellStyle name="20% - Accent1 6 2 11" xfId="8865" xr:uid="{00000000-0005-0000-0000-0000DF050000}"/>
    <cellStyle name="20% - Accent1 6 2 11 2" xfId="23340" xr:uid="{00000000-0005-0000-0000-0000E0050000}"/>
    <cellStyle name="20% - Accent1 6 2 12" xfId="17739" xr:uid="{00000000-0005-0000-0000-0000E1050000}"/>
    <cellStyle name="20% - Accent1 6 2 2" xfId="417" xr:uid="{00000000-0005-0000-0000-0000E2050000}"/>
    <cellStyle name="20% - Accent1 6 2 2 10" xfId="8866" xr:uid="{00000000-0005-0000-0000-0000E3050000}"/>
    <cellStyle name="20% - Accent1 6 2 2 10 2" xfId="23341" xr:uid="{00000000-0005-0000-0000-0000E4050000}"/>
    <cellStyle name="20% - Accent1 6 2 2 11" xfId="17741" xr:uid="{00000000-0005-0000-0000-0000E5050000}"/>
    <cellStyle name="20% - Accent1 6 2 2 2" xfId="418" xr:uid="{00000000-0005-0000-0000-0000E6050000}"/>
    <cellStyle name="20% - Accent1 6 2 2 2 2" xfId="419" xr:uid="{00000000-0005-0000-0000-0000E7050000}"/>
    <cellStyle name="20% - Accent1 6 2 2 2 2 2" xfId="10592" xr:uid="{00000000-0005-0000-0000-0000E8050000}"/>
    <cellStyle name="20% - Accent1 6 2 2 2 2 2 2" xfId="24534" xr:uid="{00000000-0005-0000-0000-0000E9050000}"/>
    <cellStyle name="20% - Accent1 6 2 2 2 2 3" xfId="17743" xr:uid="{00000000-0005-0000-0000-0000EA050000}"/>
    <cellStyle name="20% - Accent1 6 2 2 2 3" xfId="420" xr:uid="{00000000-0005-0000-0000-0000EB050000}"/>
    <cellStyle name="20% - Accent1 6 2 2 2 3 2" xfId="12800" xr:uid="{00000000-0005-0000-0000-0000EC050000}"/>
    <cellStyle name="20% - Accent1 6 2 2 2 3 2 2" xfId="26512" xr:uid="{00000000-0005-0000-0000-0000ED050000}"/>
    <cellStyle name="20% - Accent1 6 2 2 2 3 3" xfId="17744" xr:uid="{00000000-0005-0000-0000-0000EE050000}"/>
    <cellStyle name="20% - Accent1 6 2 2 2 4" xfId="421" xr:uid="{00000000-0005-0000-0000-0000EF050000}"/>
    <cellStyle name="20% - Accent1 6 2 2 2 4 2" xfId="14613" xr:uid="{00000000-0005-0000-0000-0000F0050000}"/>
    <cellStyle name="20% - Accent1 6 2 2 2 4 2 2" xfId="28162" xr:uid="{00000000-0005-0000-0000-0000F1050000}"/>
    <cellStyle name="20% - Accent1 6 2 2 2 4 3" xfId="17745" xr:uid="{00000000-0005-0000-0000-0000F2050000}"/>
    <cellStyle name="20% - Accent1 6 2 2 2 5" xfId="422" xr:uid="{00000000-0005-0000-0000-0000F3050000}"/>
    <cellStyle name="20% - Accent1 6 2 2 2 5 2" xfId="16970" xr:uid="{00000000-0005-0000-0000-0000F4050000}"/>
    <cellStyle name="20% - Accent1 6 2 2 2 5 2 2" xfId="30377" xr:uid="{00000000-0005-0000-0000-0000F5050000}"/>
    <cellStyle name="20% - Accent1 6 2 2 2 5 3" xfId="17746" xr:uid="{00000000-0005-0000-0000-0000F6050000}"/>
    <cellStyle name="20% - Accent1 6 2 2 2 6" xfId="8867" xr:uid="{00000000-0005-0000-0000-0000F7050000}"/>
    <cellStyle name="20% - Accent1 6 2 2 2 6 2" xfId="23342" xr:uid="{00000000-0005-0000-0000-0000F8050000}"/>
    <cellStyle name="20% - Accent1 6 2 2 2 7" xfId="17742" xr:uid="{00000000-0005-0000-0000-0000F9050000}"/>
    <cellStyle name="20% - Accent1 6 2 2 3" xfId="423" xr:uid="{00000000-0005-0000-0000-0000FA050000}"/>
    <cellStyle name="20% - Accent1 6 2 2 3 2" xfId="424" xr:uid="{00000000-0005-0000-0000-0000FB050000}"/>
    <cellStyle name="20% - Accent1 6 2 2 3 2 2" xfId="14614" xr:uid="{00000000-0005-0000-0000-0000FC050000}"/>
    <cellStyle name="20% - Accent1 6 2 2 3 2 2 2" xfId="28163" xr:uid="{00000000-0005-0000-0000-0000FD050000}"/>
    <cellStyle name="20% - Accent1 6 2 2 3 2 3" xfId="17748" xr:uid="{00000000-0005-0000-0000-0000FE050000}"/>
    <cellStyle name="20% - Accent1 6 2 2 3 3" xfId="10591" xr:uid="{00000000-0005-0000-0000-0000FF050000}"/>
    <cellStyle name="20% - Accent1 6 2 2 3 3 2" xfId="24533" xr:uid="{00000000-0005-0000-0000-000000060000}"/>
    <cellStyle name="20% - Accent1 6 2 2 3 4" xfId="17747" xr:uid="{00000000-0005-0000-0000-000001060000}"/>
    <cellStyle name="20% - Accent1 6 2 2 4" xfId="425" xr:uid="{00000000-0005-0000-0000-000002060000}"/>
    <cellStyle name="20% - Accent1 6 2 2 4 2" xfId="12358" xr:uid="{00000000-0005-0000-0000-000003060000}"/>
    <cellStyle name="20% - Accent1 6 2 2 4 2 2" xfId="26070" xr:uid="{00000000-0005-0000-0000-000004060000}"/>
    <cellStyle name="20% - Accent1 6 2 2 4 3" xfId="17749" xr:uid="{00000000-0005-0000-0000-000005060000}"/>
    <cellStyle name="20% - Accent1 6 2 2 5" xfId="426" xr:uid="{00000000-0005-0000-0000-000006060000}"/>
    <cellStyle name="20% - Accent1 6 2 2 5 2" xfId="12790" xr:uid="{00000000-0005-0000-0000-000007060000}"/>
    <cellStyle name="20% - Accent1 6 2 2 5 2 2" xfId="26502" xr:uid="{00000000-0005-0000-0000-000008060000}"/>
    <cellStyle name="20% - Accent1 6 2 2 5 3" xfId="17750" xr:uid="{00000000-0005-0000-0000-000009060000}"/>
    <cellStyle name="20% - Accent1 6 2 2 6" xfId="427" xr:uid="{00000000-0005-0000-0000-00000A060000}"/>
    <cellStyle name="20% - Accent1 6 2 2 6 2" xfId="13922" xr:uid="{00000000-0005-0000-0000-00000B060000}"/>
    <cellStyle name="20% - Accent1 6 2 2 6 2 2" xfId="27471" xr:uid="{00000000-0005-0000-0000-00000C060000}"/>
    <cellStyle name="20% - Accent1 6 2 2 6 3" xfId="17751" xr:uid="{00000000-0005-0000-0000-00000D060000}"/>
    <cellStyle name="20% - Accent1 6 2 2 7" xfId="428" xr:uid="{00000000-0005-0000-0000-00000E060000}"/>
    <cellStyle name="20% - Accent1 6 2 2 7 2" xfId="14503" xr:uid="{00000000-0005-0000-0000-00000F060000}"/>
    <cellStyle name="20% - Accent1 6 2 2 7 2 2" xfId="28052" xr:uid="{00000000-0005-0000-0000-000010060000}"/>
    <cellStyle name="20% - Accent1 6 2 2 7 3" xfId="17752" xr:uid="{00000000-0005-0000-0000-000011060000}"/>
    <cellStyle name="20% - Accent1 6 2 2 8" xfId="429" xr:uid="{00000000-0005-0000-0000-000012060000}"/>
    <cellStyle name="20% - Accent1 6 2 2 8 2" xfId="14612" xr:uid="{00000000-0005-0000-0000-000013060000}"/>
    <cellStyle name="20% - Accent1 6 2 2 8 2 2" xfId="28161" xr:uid="{00000000-0005-0000-0000-000014060000}"/>
    <cellStyle name="20% - Accent1 6 2 2 8 3" xfId="17753" xr:uid="{00000000-0005-0000-0000-000015060000}"/>
    <cellStyle name="20% - Accent1 6 2 2 9" xfId="430" xr:uid="{00000000-0005-0000-0000-000016060000}"/>
    <cellStyle name="20% - Accent1 6 2 2 9 2" xfId="16389" xr:uid="{00000000-0005-0000-0000-000017060000}"/>
    <cellStyle name="20% - Accent1 6 2 2 9 2 2" xfId="29796" xr:uid="{00000000-0005-0000-0000-000018060000}"/>
    <cellStyle name="20% - Accent1 6 2 2 9 3" xfId="17754" xr:uid="{00000000-0005-0000-0000-000019060000}"/>
    <cellStyle name="20% - Accent1 6 2 3" xfId="431" xr:uid="{00000000-0005-0000-0000-00001A060000}"/>
    <cellStyle name="20% - Accent1 6 2 3 2" xfId="432" xr:uid="{00000000-0005-0000-0000-00001B060000}"/>
    <cellStyle name="20% - Accent1 6 2 3 2 2" xfId="10593" xr:uid="{00000000-0005-0000-0000-00001C060000}"/>
    <cellStyle name="20% - Accent1 6 2 3 2 2 2" xfId="24535" xr:uid="{00000000-0005-0000-0000-00001D060000}"/>
    <cellStyle name="20% - Accent1 6 2 3 2 3" xfId="17756" xr:uid="{00000000-0005-0000-0000-00001E060000}"/>
    <cellStyle name="20% - Accent1 6 2 3 3" xfId="433" xr:uid="{00000000-0005-0000-0000-00001F060000}"/>
    <cellStyle name="20% - Accent1 6 2 3 3 2" xfId="12503" xr:uid="{00000000-0005-0000-0000-000020060000}"/>
    <cellStyle name="20% - Accent1 6 2 3 3 2 2" xfId="26215" xr:uid="{00000000-0005-0000-0000-000021060000}"/>
    <cellStyle name="20% - Accent1 6 2 3 3 3" xfId="17757" xr:uid="{00000000-0005-0000-0000-000022060000}"/>
    <cellStyle name="20% - Accent1 6 2 3 4" xfId="434" xr:uid="{00000000-0005-0000-0000-000023060000}"/>
    <cellStyle name="20% - Accent1 6 2 3 4 2" xfId="14615" xr:uid="{00000000-0005-0000-0000-000024060000}"/>
    <cellStyle name="20% - Accent1 6 2 3 4 2 2" xfId="28164" xr:uid="{00000000-0005-0000-0000-000025060000}"/>
    <cellStyle name="20% - Accent1 6 2 3 4 3" xfId="17758" xr:uid="{00000000-0005-0000-0000-000026060000}"/>
    <cellStyle name="20% - Accent1 6 2 3 5" xfId="435" xr:uid="{00000000-0005-0000-0000-000027060000}"/>
    <cellStyle name="20% - Accent1 6 2 3 5 2" xfId="16681" xr:uid="{00000000-0005-0000-0000-000028060000}"/>
    <cellStyle name="20% - Accent1 6 2 3 5 2 2" xfId="30088" xr:uid="{00000000-0005-0000-0000-000029060000}"/>
    <cellStyle name="20% - Accent1 6 2 3 5 3" xfId="17759" xr:uid="{00000000-0005-0000-0000-00002A060000}"/>
    <cellStyle name="20% - Accent1 6 2 3 6" xfId="8868" xr:uid="{00000000-0005-0000-0000-00002B060000}"/>
    <cellStyle name="20% - Accent1 6 2 3 6 2" xfId="23343" xr:uid="{00000000-0005-0000-0000-00002C060000}"/>
    <cellStyle name="20% - Accent1 6 2 3 7" xfId="17755" xr:uid="{00000000-0005-0000-0000-00002D060000}"/>
    <cellStyle name="20% - Accent1 6 2 4" xfId="436" xr:uid="{00000000-0005-0000-0000-00002E060000}"/>
    <cellStyle name="20% - Accent1 6 2 4 2" xfId="437" xr:uid="{00000000-0005-0000-0000-00002F060000}"/>
    <cellStyle name="20% - Accent1 6 2 4 2 2" xfId="14616" xr:uid="{00000000-0005-0000-0000-000030060000}"/>
    <cellStyle name="20% - Accent1 6 2 4 2 2 2" xfId="28165" xr:uid="{00000000-0005-0000-0000-000031060000}"/>
    <cellStyle name="20% - Accent1 6 2 4 2 3" xfId="17761" xr:uid="{00000000-0005-0000-0000-000032060000}"/>
    <cellStyle name="20% - Accent1 6 2 4 3" xfId="10590" xr:uid="{00000000-0005-0000-0000-000033060000}"/>
    <cellStyle name="20% - Accent1 6 2 4 3 2" xfId="24532" xr:uid="{00000000-0005-0000-0000-000034060000}"/>
    <cellStyle name="20% - Accent1 6 2 4 4" xfId="17760" xr:uid="{00000000-0005-0000-0000-000035060000}"/>
    <cellStyle name="20% - Accent1 6 2 5" xfId="438" xr:uid="{00000000-0005-0000-0000-000036060000}"/>
    <cellStyle name="20% - Accent1 6 2 5 2" xfId="12058" xr:uid="{00000000-0005-0000-0000-000037060000}"/>
    <cellStyle name="20% - Accent1 6 2 5 2 2" xfId="25773" xr:uid="{00000000-0005-0000-0000-000038060000}"/>
    <cellStyle name="20% - Accent1 6 2 5 3" xfId="17762" xr:uid="{00000000-0005-0000-0000-000039060000}"/>
    <cellStyle name="20% - Accent1 6 2 6" xfId="439" xr:uid="{00000000-0005-0000-0000-00003A060000}"/>
    <cellStyle name="20% - Accent1 6 2 6 2" xfId="12554" xr:uid="{00000000-0005-0000-0000-00003B060000}"/>
    <cellStyle name="20% - Accent1 6 2 6 2 2" xfId="26266" xr:uid="{00000000-0005-0000-0000-00003C060000}"/>
    <cellStyle name="20% - Accent1 6 2 6 3" xfId="17763" xr:uid="{00000000-0005-0000-0000-00003D060000}"/>
    <cellStyle name="20% - Accent1 6 2 7" xfId="440" xr:uid="{00000000-0005-0000-0000-00003E060000}"/>
    <cellStyle name="20% - Accent1 6 2 7 2" xfId="13633" xr:uid="{00000000-0005-0000-0000-00003F060000}"/>
    <cellStyle name="20% - Accent1 6 2 7 2 2" xfId="27182" xr:uid="{00000000-0005-0000-0000-000040060000}"/>
    <cellStyle name="20% - Accent1 6 2 7 3" xfId="17764" xr:uid="{00000000-0005-0000-0000-000041060000}"/>
    <cellStyle name="20% - Accent1 6 2 8" xfId="441" xr:uid="{00000000-0005-0000-0000-000042060000}"/>
    <cellStyle name="20% - Accent1 6 2 8 2" xfId="14214" xr:uid="{00000000-0005-0000-0000-000043060000}"/>
    <cellStyle name="20% - Accent1 6 2 8 2 2" xfId="27763" xr:uid="{00000000-0005-0000-0000-000044060000}"/>
    <cellStyle name="20% - Accent1 6 2 8 3" xfId="17765" xr:uid="{00000000-0005-0000-0000-000045060000}"/>
    <cellStyle name="20% - Accent1 6 2 9" xfId="442" xr:uid="{00000000-0005-0000-0000-000046060000}"/>
    <cellStyle name="20% - Accent1 6 2 9 2" xfId="14611" xr:uid="{00000000-0005-0000-0000-000047060000}"/>
    <cellStyle name="20% - Accent1 6 2 9 2 2" xfId="28160" xr:uid="{00000000-0005-0000-0000-000048060000}"/>
    <cellStyle name="20% - Accent1 6 2 9 3" xfId="17766" xr:uid="{00000000-0005-0000-0000-000049060000}"/>
    <cellStyle name="20% - Accent1 6 3" xfId="443" xr:uid="{00000000-0005-0000-0000-00004A060000}"/>
    <cellStyle name="20% - Accent1 6 3 10" xfId="8869" xr:uid="{00000000-0005-0000-0000-00004B060000}"/>
    <cellStyle name="20% - Accent1 6 3 10 2" xfId="23344" xr:uid="{00000000-0005-0000-0000-00004C060000}"/>
    <cellStyle name="20% - Accent1 6 3 11" xfId="17767" xr:uid="{00000000-0005-0000-0000-00004D060000}"/>
    <cellStyle name="20% - Accent1 6 3 2" xfId="444" xr:uid="{00000000-0005-0000-0000-00004E060000}"/>
    <cellStyle name="20% - Accent1 6 3 2 2" xfId="445" xr:uid="{00000000-0005-0000-0000-00004F060000}"/>
    <cellStyle name="20% - Accent1 6 3 2 2 2" xfId="10595" xr:uid="{00000000-0005-0000-0000-000050060000}"/>
    <cellStyle name="20% - Accent1 6 3 2 2 2 2" xfId="24537" xr:uid="{00000000-0005-0000-0000-000051060000}"/>
    <cellStyle name="20% - Accent1 6 3 2 2 3" xfId="17769" xr:uid="{00000000-0005-0000-0000-000052060000}"/>
    <cellStyle name="20% - Accent1 6 3 2 3" xfId="446" xr:uid="{00000000-0005-0000-0000-000053060000}"/>
    <cellStyle name="20% - Accent1 6 3 2 3 2" xfId="12526" xr:uid="{00000000-0005-0000-0000-000054060000}"/>
    <cellStyle name="20% - Accent1 6 3 2 3 2 2" xfId="26238" xr:uid="{00000000-0005-0000-0000-000055060000}"/>
    <cellStyle name="20% - Accent1 6 3 2 3 3" xfId="17770" xr:uid="{00000000-0005-0000-0000-000056060000}"/>
    <cellStyle name="20% - Accent1 6 3 2 4" xfId="447" xr:uid="{00000000-0005-0000-0000-000057060000}"/>
    <cellStyle name="20% - Accent1 6 3 2 4 2" xfId="14618" xr:uid="{00000000-0005-0000-0000-000058060000}"/>
    <cellStyle name="20% - Accent1 6 3 2 4 2 2" xfId="28167" xr:uid="{00000000-0005-0000-0000-000059060000}"/>
    <cellStyle name="20% - Accent1 6 3 2 4 3" xfId="17771" xr:uid="{00000000-0005-0000-0000-00005A060000}"/>
    <cellStyle name="20% - Accent1 6 3 2 5" xfId="448" xr:uid="{00000000-0005-0000-0000-00005B060000}"/>
    <cellStyle name="20% - Accent1 6 3 2 5 2" xfId="16827" xr:uid="{00000000-0005-0000-0000-00005C060000}"/>
    <cellStyle name="20% - Accent1 6 3 2 5 2 2" xfId="30234" xr:uid="{00000000-0005-0000-0000-00005D060000}"/>
    <cellStyle name="20% - Accent1 6 3 2 5 3" xfId="17772" xr:uid="{00000000-0005-0000-0000-00005E060000}"/>
    <cellStyle name="20% - Accent1 6 3 2 6" xfId="8870" xr:uid="{00000000-0005-0000-0000-00005F060000}"/>
    <cellStyle name="20% - Accent1 6 3 2 6 2" xfId="23345" xr:uid="{00000000-0005-0000-0000-000060060000}"/>
    <cellStyle name="20% - Accent1 6 3 2 7" xfId="17768" xr:uid="{00000000-0005-0000-0000-000061060000}"/>
    <cellStyle name="20% - Accent1 6 3 3" xfId="449" xr:uid="{00000000-0005-0000-0000-000062060000}"/>
    <cellStyle name="20% - Accent1 6 3 3 2" xfId="450" xr:uid="{00000000-0005-0000-0000-000063060000}"/>
    <cellStyle name="20% - Accent1 6 3 3 2 2" xfId="14619" xr:uid="{00000000-0005-0000-0000-000064060000}"/>
    <cellStyle name="20% - Accent1 6 3 3 2 2 2" xfId="28168" xr:uid="{00000000-0005-0000-0000-000065060000}"/>
    <cellStyle name="20% - Accent1 6 3 3 2 3" xfId="17774" xr:uid="{00000000-0005-0000-0000-000066060000}"/>
    <cellStyle name="20% - Accent1 6 3 3 3" xfId="10594" xr:uid="{00000000-0005-0000-0000-000067060000}"/>
    <cellStyle name="20% - Accent1 6 3 3 3 2" xfId="24536" xr:uid="{00000000-0005-0000-0000-000068060000}"/>
    <cellStyle name="20% - Accent1 6 3 3 4" xfId="17773" xr:uid="{00000000-0005-0000-0000-000069060000}"/>
    <cellStyle name="20% - Accent1 6 3 4" xfId="451" xr:uid="{00000000-0005-0000-0000-00006A060000}"/>
    <cellStyle name="20% - Accent1 6 3 4 2" xfId="12215" xr:uid="{00000000-0005-0000-0000-00006B060000}"/>
    <cellStyle name="20% - Accent1 6 3 4 2 2" xfId="25927" xr:uid="{00000000-0005-0000-0000-00006C060000}"/>
    <cellStyle name="20% - Accent1 6 3 4 3" xfId="17775" xr:uid="{00000000-0005-0000-0000-00006D060000}"/>
    <cellStyle name="20% - Accent1 6 3 5" xfId="452" xr:uid="{00000000-0005-0000-0000-00006E060000}"/>
    <cellStyle name="20% - Accent1 6 3 5 2" xfId="12499" xr:uid="{00000000-0005-0000-0000-00006F060000}"/>
    <cellStyle name="20% - Accent1 6 3 5 2 2" xfId="26211" xr:uid="{00000000-0005-0000-0000-000070060000}"/>
    <cellStyle name="20% - Accent1 6 3 5 3" xfId="17776" xr:uid="{00000000-0005-0000-0000-000071060000}"/>
    <cellStyle name="20% - Accent1 6 3 6" xfId="453" xr:uid="{00000000-0005-0000-0000-000072060000}"/>
    <cellStyle name="20% - Accent1 6 3 6 2" xfId="13779" xr:uid="{00000000-0005-0000-0000-000073060000}"/>
    <cellStyle name="20% - Accent1 6 3 6 2 2" xfId="27328" xr:uid="{00000000-0005-0000-0000-000074060000}"/>
    <cellStyle name="20% - Accent1 6 3 6 3" xfId="17777" xr:uid="{00000000-0005-0000-0000-000075060000}"/>
    <cellStyle name="20% - Accent1 6 3 7" xfId="454" xr:uid="{00000000-0005-0000-0000-000076060000}"/>
    <cellStyle name="20% - Accent1 6 3 7 2" xfId="14360" xr:uid="{00000000-0005-0000-0000-000077060000}"/>
    <cellStyle name="20% - Accent1 6 3 7 2 2" xfId="27909" xr:uid="{00000000-0005-0000-0000-000078060000}"/>
    <cellStyle name="20% - Accent1 6 3 7 3" xfId="17778" xr:uid="{00000000-0005-0000-0000-000079060000}"/>
    <cellStyle name="20% - Accent1 6 3 8" xfId="455" xr:uid="{00000000-0005-0000-0000-00007A060000}"/>
    <cellStyle name="20% - Accent1 6 3 8 2" xfId="14617" xr:uid="{00000000-0005-0000-0000-00007B060000}"/>
    <cellStyle name="20% - Accent1 6 3 8 2 2" xfId="28166" xr:uid="{00000000-0005-0000-0000-00007C060000}"/>
    <cellStyle name="20% - Accent1 6 3 8 3" xfId="17779" xr:uid="{00000000-0005-0000-0000-00007D060000}"/>
    <cellStyle name="20% - Accent1 6 3 9" xfId="456" xr:uid="{00000000-0005-0000-0000-00007E060000}"/>
    <cellStyle name="20% - Accent1 6 3 9 2" xfId="16246" xr:uid="{00000000-0005-0000-0000-00007F060000}"/>
    <cellStyle name="20% - Accent1 6 3 9 2 2" xfId="29653" xr:uid="{00000000-0005-0000-0000-000080060000}"/>
    <cellStyle name="20% - Accent1 6 3 9 3" xfId="17780" xr:uid="{00000000-0005-0000-0000-000081060000}"/>
    <cellStyle name="20% - Accent1 6 4" xfId="457" xr:uid="{00000000-0005-0000-0000-000082060000}"/>
    <cellStyle name="20% - Accent1 6 4 2" xfId="458" xr:uid="{00000000-0005-0000-0000-000083060000}"/>
    <cellStyle name="20% - Accent1 6 4 2 2" xfId="10596" xr:uid="{00000000-0005-0000-0000-000084060000}"/>
    <cellStyle name="20% - Accent1 6 4 2 2 2" xfId="24538" xr:uid="{00000000-0005-0000-0000-000085060000}"/>
    <cellStyle name="20% - Accent1 6 4 2 3" xfId="17782" xr:uid="{00000000-0005-0000-0000-000086060000}"/>
    <cellStyle name="20% - Accent1 6 4 3" xfId="459" xr:uid="{00000000-0005-0000-0000-000087060000}"/>
    <cellStyle name="20% - Accent1 6 4 3 2" xfId="12470" xr:uid="{00000000-0005-0000-0000-000088060000}"/>
    <cellStyle name="20% - Accent1 6 4 3 2 2" xfId="26182" xr:uid="{00000000-0005-0000-0000-000089060000}"/>
    <cellStyle name="20% - Accent1 6 4 3 3" xfId="17783" xr:uid="{00000000-0005-0000-0000-00008A060000}"/>
    <cellStyle name="20% - Accent1 6 4 4" xfId="460" xr:uid="{00000000-0005-0000-0000-00008B060000}"/>
    <cellStyle name="20% - Accent1 6 4 4 2" xfId="14620" xr:uid="{00000000-0005-0000-0000-00008C060000}"/>
    <cellStyle name="20% - Accent1 6 4 4 2 2" xfId="28169" xr:uid="{00000000-0005-0000-0000-00008D060000}"/>
    <cellStyle name="20% - Accent1 6 4 4 3" xfId="17784" xr:uid="{00000000-0005-0000-0000-00008E060000}"/>
    <cellStyle name="20% - Accent1 6 4 5" xfId="461" xr:uid="{00000000-0005-0000-0000-00008F060000}"/>
    <cellStyle name="20% - Accent1 6 4 5 2" xfId="16538" xr:uid="{00000000-0005-0000-0000-000090060000}"/>
    <cellStyle name="20% - Accent1 6 4 5 2 2" xfId="29945" xr:uid="{00000000-0005-0000-0000-000091060000}"/>
    <cellStyle name="20% - Accent1 6 4 5 3" xfId="17785" xr:uid="{00000000-0005-0000-0000-000092060000}"/>
    <cellStyle name="20% - Accent1 6 4 6" xfId="8871" xr:uid="{00000000-0005-0000-0000-000093060000}"/>
    <cellStyle name="20% - Accent1 6 4 6 2" xfId="23346" xr:uid="{00000000-0005-0000-0000-000094060000}"/>
    <cellStyle name="20% - Accent1 6 4 7" xfId="17781" xr:uid="{00000000-0005-0000-0000-000095060000}"/>
    <cellStyle name="20% - Accent1 6 5" xfId="462" xr:uid="{00000000-0005-0000-0000-000096060000}"/>
    <cellStyle name="20% - Accent1 6 5 2" xfId="463" xr:uid="{00000000-0005-0000-0000-000097060000}"/>
    <cellStyle name="20% - Accent1 6 5 2 2" xfId="14621" xr:uid="{00000000-0005-0000-0000-000098060000}"/>
    <cellStyle name="20% - Accent1 6 5 2 2 2" xfId="28170" xr:uid="{00000000-0005-0000-0000-000099060000}"/>
    <cellStyle name="20% - Accent1 6 5 2 3" xfId="17787" xr:uid="{00000000-0005-0000-0000-00009A060000}"/>
    <cellStyle name="20% - Accent1 6 5 3" xfId="10589" xr:uid="{00000000-0005-0000-0000-00009B060000}"/>
    <cellStyle name="20% - Accent1 6 5 3 2" xfId="24531" xr:uid="{00000000-0005-0000-0000-00009C060000}"/>
    <cellStyle name="20% - Accent1 6 5 4" xfId="17786" xr:uid="{00000000-0005-0000-0000-00009D060000}"/>
    <cellStyle name="20% - Accent1 6 6" xfId="464" xr:uid="{00000000-0005-0000-0000-00009E060000}"/>
    <cellStyle name="20% - Accent1 6 6 2" xfId="11913" xr:uid="{00000000-0005-0000-0000-00009F060000}"/>
    <cellStyle name="20% - Accent1 6 6 2 2" xfId="25628" xr:uid="{00000000-0005-0000-0000-0000A0060000}"/>
    <cellStyle name="20% - Accent1 6 6 3" xfId="17788" xr:uid="{00000000-0005-0000-0000-0000A1060000}"/>
    <cellStyle name="20% - Accent1 6 7" xfId="465" xr:uid="{00000000-0005-0000-0000-0000A2060000}"/>
    <cellStyle name="20% - Accent1 6 7 2" xfId="12553" xr:uid="{00000000-0005-0000-0000-0000A3060000}"/>
    <cellStyle name="20% - Accent1 6 7 2 2" xfId="26265" xr:uid="{00000000-0005-0000-0000-0000A4060000}"/>
    <cellStyle name="20% - Accent1 6 7 3" xfId="17789" xr:uid="{00000000-0005-0000-0000-0000A5060000}"/>
    <cellStyle name="20% - Accent1 6 8" xfId="466" xr:uid="{00000000-0005-0000-0000-0000A6060000}"/>
    <cellStyle name="20% - Accent1 6 8 2" xfId="13490" xr:uid="{00000000-0005-0000-0000-0000A7060000}"/>
    <cellStyle name="20% - Accent1 6 8 2 2" xfId="27039" xr:uid="{00000000-0005-0000-0000-0000A8060000}"/>
    <cellStyle name="20% - Accent1 6 8 3" xfId="17790" xr:uid="{00000000-0005-0000-0000-0000A9060000}"/>
    <cellStyle name="20% - Accent1 6 9" xfId="467" xr:uid="{00000000-0005-0000-0000-0000AA060000}"/>
    <cellStyle name="20% - Accent1 6 9 2" xfId="14071" xr:uid="{00000000-0005-0000-0000-0000AB060000}"/>
    <cellStyle name="20% - Accent1 6 9 2 2" xfId="27620" xr:uid="{00000000-0005-0000-0000-0000AC060000}"/>
    <cellStyle name="20% - Accent1 6 9 3" xfId="17791" xr:uid="{00000000-0005-0000-0000-0000AD060000}"/>
    <cellStyle name="20% - Accent1 7" xfId="468" xr:uid="{00000000-0005-0000-0000-0000AE060000}"/>
    <cellStyle name="20% - Accent1 7 10" xfId="469" xr:uid="{00000000-0005-0000-0000-0000AF060000}"/>
    <cellStyle name="20% - Accent1 7 10 2" xfId="15977" xr:uid="{00000000-0005-0000-0000-0000B0060000}"/>
    <cellStyle name="20% - Accent1 7 10 2 2" xfId="29384" xr:uid="{00000000-0005-0000-0000-0000B1060000}"/>
    <cellStyle name="20% - Accent1 7 10 3" xfId="17793" xr:uid="{00000000-0005-0000-0000-0000B2060000}"/>
    <cellStyle name="20% - Accent1 7 11" xfId="8872" xr:uid="{00000000-0005-0000-0000-0000B3060000}"/>
    <cellStyle name="20% - Accent1 7 11 2" xfId="23347" xr:uid="{00000000-0005-0000-0000-0000B4060000}"/>
    <cellStyle name="20% - Accent1 7 12" xfId="17792" xr:uid="{00000000-0005-0000-0000-0000B5060000}"/>
    <cellStyle name="20% - Accent1 7 2" xfId="470" xr:uid="{00000000-0005-0000-0000-0000B6060000}"/>
    <cellStyle name="20% - Accent1 7 2 10" xfId="8873" xr:uid="{00000000-0005-0000-0000-0000B7060000}"/>
    <cellStyle name="20% - Accent1 7 2 10 2" xfId="23348" xr:uid="{00000000-0005-0000-0000-0000B8060000}"/>
    <cellStyle name="20% - Accent1 7 2 11" xfId="17794" xr:uid="{00000000-0005-0000-0000-0000B9060000}"/>
    <cellStyle name="20% - Accent1 7 2 2" xfId="471" xr:uid="{00000000-0005-0000-0000-0000BA060000}"/>
    <cellStyle name="20% - Accent1 7 2 2 2" xfId="472" xr:uid="{00000000-0005-0000-0000-0000BB060000}"/>
    <cellStyle name="20% - Accent1 7 2 2 2 2" xfId="10599" xr:uid="{00000000-0005-0000-0000-0000BC060000}"/>
    <cellStyle name="20% - Accent1 7 2 2 2 2 2" xfId="24541" xr:uid="{00000000-0005-0000-0000-0000BD060000}"/>
    <cellStyle name="20% - Accent1 7 2 2 2 3" xfId="17796" xr:uid="{00000000-0005-0000-0000-0000BE060000}"/>
    <cellStyle name="20% - Accent1 7 2 2 3" xfId="473" xr:uid="{00000000-0005-0000-0000-0000BF060000}"/>
    <cellStyle name="20% - Accent1 7 2 2 3 2" xfId="11771" xr:uid="{00000000-0005-0000-0000-0000C0060000}"/>
    <cellStyle name="20% - Accent1 7 2 2 3 2 2" xfId="25486" xr:uid="{00000000-0005-0000-0000-0000C1060000}"/>
    <cellStyle name="20% - Accent1 7 2 2 3 3" xfId="17797" xr:uid="{00000000-0005-0000-0000-0000C2060000}"/>
    <cellStyle name="20% - Accent1 7 2 2 4" xfId="474" xr:uid="{00000000-0005-0000-0000-0000C3060000}"/>
    <cellStyle name="20% - Accent1 7 2 2 4 2" xfId="14624" xr:uid="{00000000-0005-0000-0000-0000C4060000}"/>
    <cellStyle name="20% - Accent1 7 2 2 4 2 2" xfId="28173" xr:uid="{00000000-0005-0000-0000-0000C5060000}"/>
    <cellStyle name="20% - Accent1 7 2 2 4 3" xfId="17798" xr:uid="{00000000-0005-0000-0000-0000C6060000}"/>
    <cellStyle name="20% - Accent1 7 2 2 5" xfId="475" xr:uid="{00000000-0005-0000-0000-0000C7060000}"/>
    <cellStyle name="20% - Accent1 7 2 2 5 2" xfId="16847" xr:uid="{00000000-0005-0000-0000-0000C8060000}"/>
    <cellStyle name="20% - Accent1 7 2 2 5 2 2" xfId="30254" xr:uid="{00000000-0005-0000-0000-0000C9060000}"/>
    <cellStyle name="20% - Accent1 7 2 2 5 3" xfId="17799" xr:uid="{00000000-0005-0000-0000-0000CA060000}"/>
    <cellStyle name="20% - Accent1 7 2 2 6" xfId="8874" xr:uid="{00000000-0005-0000-0000-0000CB060000}"/>
    <cellStyle name="20% - Accent1 7 2 2 6 2" xfId="23349" xr:uid="{00000000-0005-0000-0000-0000CC060000}"/>
    <cellStyle name="20% - Accent1 7 2 2 7" xfId="17795" xr:uid="{00000000-0005-0000-0000-0000CD060000}"/>
    <cellStyle name="20% - Accent1 7 2 3" xfId="476" xr:uid="{00000000-0005-0000-0000-0000CE060000}"/>
    <cellStyle name="20% - Accent1 7 2 3 2" xfId="477" xr:uid="{00000000-0005-0000-0000-0000CF060000}"/>
    <cellStyle name="20% - Accent1 7 2 3 2 2" xfId="14625" xr:uid="{00000000-0005-0000-0000-0000D0060000}"/>
    <cellStyle name="20% - Accent1 7 2 3 2 2 2" xfId="28174" xr:uid="{00000000-0005-0000-0000-0000D1060000}"/>
    <cellStyle name="20% - Accent1 7 2 3 2 3" xfId="17801" xr:uid="{00000000-0005-0000-0000-0000D2060000}"/>
    <cellStyle name="20% - Accent1 7 2 3 3" xfId="10598" xr:uid="{00000000-0005-0000-0000-0000D3060000}"/>
    <cellStyle name="20% - Accent1 7 2 3 3 2" xfId="24540" xr:uid="{00000000-0005-0000-0000-0000D4060000}"/>
    <cellStyle name="20% - Accent1 7 2 3 4" xfId="17800" xr:uid="{00000000-0005-0000-0000-0000D5060000}"/>
    <cellStyle name="20% - Accent1 7 2 4" xfId="478" xr:uid="{00000000-0005-0000-0000-0000D6060000}"/>
    <cellStyle name="20% - Accent1 7 2 4 2" xfId="12235" xr:uid="{00000000-0005-0000-0000-0000D7060000}"/>
    <cellStyle name="20% - Accent1 7 2 4 2 2" xfId="25947" xr:uid="{00000000-0005-0000-0000-0000D8060000}"/>
    <cellStyle name="20% - Accent1 7 2 4 3" xfId="17802" xr:uid="{00000000-0005-0000-0000-0000D9060000}"/>
    <cellStyle name="20% - Accent1 7 2 5" xfId="479" xr:uid="{00000000-0005-0000-0000-0000DA060000}"/>
    <cellStyle name="20% - Accent1 7 2 5 2" xfId="12671" xr:uid="{00000000-0005-0000-0000-0000DB060000}"/>
    <cellStyle name="20% - Accent1 7 2 5 2 2" xfId="26383" xr:uid="{00000000-0005-0000-0000-0000DC060000}"/>
    <cellStyle name="20% - Accent1 7 2 5 3" xfId="17803" xr:uid="{00000000-0005-0000-0000-0000DD060000}"/>
    <cellStyle name="20% - Accent1 7 2 6" xfId="480" xr:uid="{00000000-0005-0000-0000-0000DE060000}"/>
    <cellStyle name="20% - Accent1 7 2 6 2" xfId="13799" xr:uid="{00000000-0005-0000-0000-0000DF060000}"/>
    <cellStyle name="20% - Accent1 7 2 6 2 2" xfId="27348" xr:uid="{00000000-0005-0000-0000-0000E0060000}"/>
    <cellStyle name="20% - Accent1 7 2 6 3" xfId="17804" xr:uid="{00000000-0005-0000-0000-0000E1060000}"/>
    <cellStyle name="20% - Accent1 7 2 7" xfId="481" xr:uid="{00000000-0005-0000-0000-0000E2060000}"/>
    <cellStyle name="20% - Accent1 7 2 7 2" xfId="14380" xr:uid="{00000000-0005-0000-0000-0000E3060000}"/>
    <cellStyle name="20% - Accent1 7 2 7 2 2" xfId="27929" xr:uid="{00000000-0005-0000-0000-0000E4060000}"/>
    <cellStyle name="20% - Accent1 7 2 7 3" xfId="17805" xr:uid="{00000000-0005-0000-0000-0000E5060000}"/>
    <cellStyle name="20% - Accent1 7 2 8" xfId="482" xr:uid="{00000000-0005-0000-0000-0000E6060000}"/>
    <cellStyle name="20% - Accent1 7 2 8 2" xfId="14623" xr:uid="{00000000-0005-0000-0000-0000E7060000}"/>
    <cellStyle name="20% - Accent1 7 2 8 2 2" xfId="28172" xr:uid="{00000000-0005-0000-0000-0000E8060000}"/>
    <cellStyle name="20% - Accent1 7 2 8 3" xfId="17806" xr:uid="{00000000-0005-0000-0000-0000E9060000}"/>
    <cellStyle name="20% - Accent1 7 2 9" xfId="483" xr:uid="{00000000-0005-0000-0000-0000EA060000}"/>
    <cellStyle name="20% - Accent1 7 2 9 2" xfId="16266" xr:uid="{00000000-0005-0000-0000-0000EB060000}"/>
    <cellStyle name="20% - Accent1 7 2 9 2 2" xfId="29673" xr:uid="{00000000-0005-0000-0000-0000EC060000}"/>
    <cellStyle name="20% - Accent1 7 2 9 3" xfId="17807" xr:uid="{00000000-0005-0000-0000-0000ED060000}"/>
    <cellStyle name="20% - Accent1 7 3" xfId="484" xr:uid="{00000000-0005-0000-0000-0000EE060000}"/>
    <cellStyle name="20% - Accent1 7 3 2" xfId="485" xr:uid="{00000000-0005-0000-0000-0000EF060000}"/>
    <cellStyle name="20% - Accent1 7 3 2 2" xfId="10600" xr:uid="{00000000-0005-0000-0000-0000F0060000}"/>
    <cellStyle name="20% - Accent1 7 3 2 2 2" xfId="24542" xr:uid="{00000000-0005-0000-0000-0000F1060000}"/>
    <cellStyle name="20% - Accent1 7 3 2 3" xfId="17809" xr:uid="{00000000-0005-0000-0000-0000F2060000}"/>
    <cellStyle name="20% - Accent1 7 3 3" xfId="486" xr:uid="{00000000-0005-0000-0000-0000F3060000}"/>
    <cellStyle name="20% - Accent1 7 3 3 2" xfId="12562" xr:uid="{00000000-0005-0000-0000-0000F4060000}"/>
    <cellStyle name="20% - Accent1 7 3 3 2 2" xfId="26274" xr:uid="{00000000-0005-0000-0000-0000F5060000}"/>
    <cellStyle name="20% - Accent1 7 3 3 3" xfId="17810" xr:uid="{00000000-0005-0000-0000-0000F6060000}"/>
    <cellStyle name="20% - Accent1 7 3 4" xfId="487" xr:uid="{00000000-0005-0000-0000-0000F7060000}"/>
    <cellStyle name="20% - Accent1 7 3 4 2" xfId="14626" xr:uid="{00000000-0005-0000-0000-0000F8060000}"/>
    <cellStyle name="20% - Accent1 7 3 4 2 2" xfId="28175" xr:uid="{00000000-0005-0000-0000-0000F9060000}"/>
    <cellStyle name="20% - Accent1 7 3 4 3" xfId="17811" xr:uid="{00000000-0005-0000-0000-0000FA060000}"/>
    <cellStyle name="20% - Accent1 7 3 5" xfId="488" xr:uid="{00000000-0005-0000-0000-0000FB060000}"/>
    <cellStyle name="20% - Accent1 7 3 5 2" xfId="16558" xr:uid="{00000000-0005-0000-0000-0000FC060000}"/>
    <cellStyle name="20% - Accent1 7 3 5 2 2" xfId="29965" xr:uid="{00000000-0005-0000-0000-0000FD060000}"/>
    <cellStyle name="20% - Accent1 7 3 5 3" xfId="17812" xr:uid="{00000000-0005-0000-0000-0000FE060000}"/>
    <cellStyle name="20% - Accent1 7 3 6" xfId="8875" xr:uid="{00000000-0005-0000-0000-0000FF060000}"/>
    <cellStyle name="20% - Accent1 7 3 6 2" xfId="23350" xr:uid="{00000000-0005-0000-0000-000000070000}"/>
    <cellStyle name="20% - Accent1 7 3 7" xfId="17808" xr:uid="{00000000-0005-0000-0000-000001070000}"/>
    <cellStyle name="20% - Accent1 7 4" xfId="489" xr:uid="{00000000-0005-0000-0000-000002070000}"/>
    <cellStyle name="20% - Accent1 7 4 2" xfId="490" xr:uid="{00000000-0005-0000-0000-000003070000}"/>
    <cellStyle name="20% - Accent1 7 4 2 2" xfId="14627" xr:uid="{00000000-0005-0000-0000-000004070000}"/>
    <cellStyle name="20% - Accent1 7 4 2 2 2" xfId="28176" xr:uid="{00000000-0005-0000-0000-000005070000}"/>
    <cellStyle name="20% - Accent1 7 4 2 3" xfId="17814" xr:uid="{00000000-0005-0000-0000-000006070000}"/>
    <cellStyle name="20% - Accent1 7 4 3" xfId="10597" xr:uid="{00000000-0005-0000-0000-000007070000}"/>
    <cellStyle name="20% - Accent1 7 4 3 2" xfId="24539" xr:uid="{00000000-0005-0000-0000-000008070000}"/>
    <cellStyle name="20% - Accent1 7 4 4" xfId="17813" xr:uid="{00000000-0005-0000-0000-000009070000}"/>
    <cellStyle name="20% - Accent1 7 5" xfId="491" xr:uid="{00000000-0005-0000-0000-00000A070000}"/>
    <cellStyle name="20% - Accent1 7 5 2" xfId="11933" xr:uid="{00000000-0005-0000-0000-00000B070000}"/>
    <cellStyle name="20% - Accent1 7 5 2 2" xfId="25648" xr:uid="{00000000-0005-0000-0000-00000C070000}"/>
    <cellStyle name="20% - Accent1 7 5 3" xfId="17815" xr:uid="{00000000-0005-0000-0000-00000D070000}"/>
    <cellStyle name="20% - Accent1 7 6" xfId="492" xr:uid="{00000000-0005-0000-0000-00000E070000}"/>
    <cellStyle name="20% - Accent1 7 6 2" xfId="12581" xr:uid="{00000000-0005-0000-0000-00000F070000}"/>
    <cellStyle name="20% - Accent1 7 6 2 2" xfId="26293" xr:uid="{00000000-0005-0000-0000-000010070000}"/>
    <cellStyle name="20% - Accent1 7 6 3" xfId="17816" xr:uid="{00000000-0005-0000-0000-000011070000}"/>
    <cellStyle name="20% - Accent1 7 7" xfId="493" xr:uid="{00000000-0005-0000-0000-000012070000}"/>
    <cellStyle name="20% - Accent1 7 7 2" xfId="13510" xr:uid="{00000000-0005-0000-0000-000013070000}"/>
    <cellStyle name="20% - Accent1 7 7 2 2" xfId="27059" xr:uid="{00000000-0005-0000-0000-000014070000}"/>
    <cellStyle name="20% - Accent1 7 7 3" xfId="17817" xr:uid="{00000000-0005-0000-0000-000015070000}"/>
    <cellStyle name="20% - Accent1 7 8" xfId="494" xr:uid="{00000000-0005-0000-0000-000016070000}"/>
    <cellStyle name="20% - Accent1 7 8 2" xfId="14091" xr:uid="{00000000-0005-0000-0000-000017070000}"/>
    <cellStyle name="20% - Accent1 7 8 2 2" xfId="27640" xr:uid="{00000000-0005-0000-0000-000018070000}"/>
    <cellStyle name="20% - Accent1 7 8 3" xfId="17818" xr:uid="{00000000-0005-0000-0000-000019070000}"/>
    <cellStyle name="20% - Accent1 7 9" xfId="495" xr:uid="{00000000-0005-0000-0000-00001A070000}"/>
    <cellStyle name="20% - Accent1 7 9 2" xfId="14622" xr:uid="{00000000-0005-0000-0000-00001B070000}"/>
    <cellStyle name="20% - Accent1 7 9 2 2" xfId="28171" xr:uid="{00000000-0005-0000-0000-00001C070000}"/>
    <cellStyle name="20% - Accent1 7 9 3" xfId="17819" xr:uid="{00000000-0005-0000-0000-00001D070000}"/>
    <cellStyle name="20% - Accent1 8" xfId="496" xr:uid="{00000000-0005-0000-0000-00001E070000}"/>
    <cellStyle name="20% - Accent1 8 10" xfId="8876" xr:uid="{00000000-0005-0000-0000-00001F070000}"/>
    <cellStyle name="20% - Accent1 8 10 2" xfId="23351" xr:uid="{00000000-0005-0000-0000-000020070000}"/>
    <cellStyle name="20% - Accent1 8 11" xfId="17820" xr:uid="{00000000-0005-0000-0000-000021070000}"/>
    <cellStyle name="20% - Accent1 8 2" xfId="497" xr:uid="{00000000-0005-0000-0000-000022070000}"/>
    <cellStyle name="20% - Accent1 8 2 2" xfId="498" xr:uid="{00000000-0005-0000-0000-000023070000}"/>
    <cellStyle name="20% - Accent1 8 2 2 2" xfId="10602" xr:uid="{00000000-0005-0000-0000-000024070000}"/>
    <cellStyle name="20% - Accent1 8 2 2 2 2" xfId="24544" xr:uid="{00000000-0005-0000-0000-000025070000}"/>
    <cellStyle name="20% - Accent1 8 2 2 3" xfId="17822" xr:uid="{00000000-0005-0000-0000-000026070000}"/>
    <cellStyle name="20% - Accent1 8 2 3" xfId="499" xr:uid="{00000000-0005-0000-0000-000027070000}"/>
    <cellStyle name="20% - Accent1 8 2 3 2" xfId="12703" xr:uid="{00000000-0005-0000-0000-000028070000}"/>
    <cellStyle name="20% - Accent1 8 2 3 2 2" xfId="26415" xr:uid="{00000000-0005-0000-0000-000029070000}"/>
    <cellStyle name="20% - Accent1 8 2 3 3" xfId="17823" xr:uid="{00000000-0005-0000-0000-00002A070000}"/>
    <cellStyle name="20% - Accent1 8 2 4" xfId="500" xr:uid="{00000000-0005-0000-0000-00002B070000}"/>
    <cellStyle name="20% - Accent1 8 2 4 2" xfId="14629" xr:uid="{00000000-0005-0000-0000-00002C070000}"/>
    <cellStyle name="20% - Accent1 8 2 4 2 2" xfId="28178" xr:uid="{00000000-0005-0000-0000-00002D070000}"/>
    <cellStyle name="20% - Accent1 8 2 4 3" xfId="17824" xr:uid="{00000000-0005-0000-0000-00002E070000}"/>
    <cellStyle name="20% - Accent1 8 2 5" xfId="501" xr:uid="{00000000-0005-0000-0000-00002F070000}"/>
    <cellStyle name="20% - Accent1 8 2 5 2" xfId="16701" xr:uid="{00000000-0005-0000-0000-000030070000}"/>
    <cellStyle name="20% - Accent1 8 2 5 2 2" xfId="30108" xr:uid="{00000000-0005-0000-0000-000031070000}"/>
    <cellStyle name="20% - Accent1 8 2 5 3" xfId="17825" xr:uid="{00000000-0005-0000-0000-000032070000}"/>
    <cellStyle name="20% - Accent1 8 2 6" xfId="8877" xr:uid="{00000000-0005-0000-0000-000033070000}"/>
    <cellStyle name="20% - Accent1 8 2 6 2" xfId="23352" xr:uid="{00000000-0005-0000-0000-000034070000}"/>
    <cellStyle name="20% - Accent1 8 2 7" xfId="17821" xr:uid="{00000000-0005-0000-0000-000035070000}"/>
    <cellStyle name="20% - Accent1 8 3" xfId="502" xr:uid="{00000000-0005-0000-0000-000036070000}"/>
    <cellStyle name="20% - Accent1 8 3 2" xfId="503" xr:uid="{00000000-0005-0000-0000-000037070000}"/>
    <cellStyle name="20% - Accent1 8 3 2 2" xfId="14630" xr:uid="{00000000-0005-0000-0000-000038070000}"/>
    <cellStyle name="20% - Accent1 8 3 2 2 2" xfId="28179" xr:uid="{00000000-0005-0000-0000-000039070000}"/>
    <cellStyle name="20% - Accent1 8 3 2 3" xfId="17827" xr:uid="{00000000-0005-0000-0000-00003A070000}"/>
    <cellStyle name="20% - Accent1 8 3 3" xfId="10601" xr:uid="{00000000-0005-0000-0000-00003B070000}"/>
    <cellStyle name="20% - Accent1 8 3 3 2" xfId="24543" xr:uid="{00000000-0005-0000-0000-00003C070000}"/>
    <cellStyle name="20% - Accent1 8 3 4" xfId="17826" xr:uid="{00000000-0005-0000-0000-00003D070000}"/>
    <cellStyle name="20% - Accent1 8 4" xfId="504" xr:uid="{00000000-0005-0000-0000-00003E070000}"/>
    <cellStyle name="20% - Accent1 8 4 2" xfId="12079" xr:uid="{00000000-0005-0000-0000-00003F070000}"/>
    <cellStyle name="20% - Accent1 8 4 2 2" xfId="25793" xr:uid="{00000000-0005-0000-0000-000040070000}"/>
    <cellStyle name="20% - Accent1 8 4 3" xfId="17828" xr:uid="{00000000-0005-0000-0000-000041070000}"/>
    <cellStyle name="20% - Accent1 8 5" xfId="505" xr:uid="{00000000-0005-0000-0000-000042070000}"/>
    <cellStyle name="20% - Accent1 8 5 2" xfId="12569" xr:uid="{00000000-0005-0000-0000-000043070000}"/>
    <cellStyle name="20% - Accent1 8 5 2 2" xfId="26281" xr:uid="{00000000-0005-0000-0000-000044070000}"/>
    <cellStyle name="20% - Accent1 8 5 3" xfId="17829" xr:uid="{00000000-0005-0000-0000-000045070000}"/>
    <cellStyle name="20% - Accent1 8 6" xfId="506" xr:uid="{00000000-0005-0000-0000-000046070000}"/>
    <cellStyle name="20% - Accent1 8 6 2" xfId="13653" xr:uid="{00000000-0005-0000-0000-000047070000}"/>
    <cellStyle name="20% - Accent1 8 6 2 2" xfId="27202" xr:uid="{00000000-0005-0000-0000-000048070000}"/>
    <cellStyle name="20% - Accent1 8 6 3" xfId="17830" xr:uid="{00000000-0005-0000-0000-000049070000}"/>
    <cellStyle name="20% - Accent1 8 7" xfId="507" xr:uid="{00000000-0005-0000-0000-00004A070000}"/>
    <cellStyle name="20% - Accent1 8 7 2" xfId="14234" xr:uid="{00000000-0005-0000-0000-00004B070000}"/>
    <cellStyle name="20% - Accent1 8 7 2 2" xfId="27783" xr:uid="{00000000-0005-0000-0000-00004C070000}"/>
    <cellStyle name="20% - Accent1 8 7 3" xfId="17831" xr:uid="{00000000-0005-0000-0000-00004D070000}"/>
    <cellStyle name="20% - Accent1 8 8" xfId="508" xr:uid="{00000000-0005-0000-0000-00004E070000}"/>
    <cellStyle name="20% - Accent1 8 8 2" xfId="14628" xr:uid="{00000000-0005-0000-0000-00004F070000}"/>
    <cellStyle name="20% - Accent1 8 8 2 2" xfId="28177" xr:uid="{00000000-0005-0000-0000-000050070000}"/>
    <cellStyle name="20% - Accent1 8 8 3" xfId="17832" xr:uid="{00000000-0005-0000-0000-000051070000}"/>
    <cellStyle name="20% - Accent1 8 9" xfId="509" xr:uid="{00000000-0005-0000-0000-000052070000}"/>
    <cellStyle name="20% - Accent1 8 9 2" xfId="16120" xr:uid="{00000000-0005-0000-0000-000053070000}"/>
    <cellStyle name="20% - Accent1 8 9 2 2" xfId="29527" xr:uid="{00000000-0005-0000-0000-000054070000}"/>
    <cellStyle name="20% - Accent1 8 9 3" xfId="17833" xr:uid="{00000000-0005-0000-0000-000055070000}"/>
    <cellStyle name="20% - Accent1 9" xfId="510" xr:uid="{00000000-0005-0000-0000-000056070000}"/>
    <cellStyle name="20% - Accent1 9 2" xfId="511" xr:uid="{00000000-0005-0000-0000-000057070000}"/>
    <cellStyle name="20% - Accent1 9 2 2" xfId="10603" xr:uid="{00000000-0005-0000-0000-000058070000}"/>
    <cellStyle name="20% - Accent1 9 2 2 2" xfId="24545" xr:uid="{00000000-0005-0000-0000-000059070000}"/>
    <cellStyle name="20% - Accent1 9 2 3" xfId="17835" xr:uid="{00000000-0005-0000-0000-00005A070000}"/>
    <cellStyle name="20% - Accent1 9 3" xfId="512" xr:uid="{00000000-0005-0000-0000-00005B070000}"/>
    <cellStyle name="20% - Accent1 9 3 2" xfId="12572" xr:uid="{00000000-0005-0000-0000-00005C070000}"/>
    <cellStyle name="20% - Accent1 9 3 2 2" xfId="26284" xr:uid="{00000000-0005-0000-0000-00005D070000}"/>
    <cellStyle name="20% - Accent1 9 3 3" xfId="17836" xr:uid="{00000000-0005-0000-0000-00005E070000}"/>
    <cellStyle name="20% - Accent1 9 4" xfId="513" xr:uid="{00000000-0005-0000-0000-00005F070000}"/>
    <cellStyle name="20% - Accent1 9 4 2" xfId="14631" xr:uid="{00000000-0005-0000-0000-000060070000}"/>
    <cellStyle name="20% - Accent1 9 4 2 2" xfId="28180" xr:uid="{00000000-0005-0000-0000-000061070000}"/>
    <cellStyle name="20% - Accent1 9 4 3" xfId="17837" xr:uid="{00000000-0005-0000-0000-000062070000}"/>
    <cellStyle name="20% - Accent1 9 5" xfId="514" xr:uid="{00000000-0005-0000-0000-000063070000}"/>
    <cellStyle name="20% - Accent1 9 5 2" xfId="17085" xr:uid="{00000000-0005-0000-0000-000064070000}"/>
    <cellStyle name="20% - Accent1 9 5 2 2" xfId="30444" xr:uid="{00000000-0005-0000-0000-000065070000}"/>
    <cellStyle name="20% - Accent1 9 5 3" xfId="17838" xr:uid="{00000000-0005-0000-0000-000066070000}"/>
    <cellStyle name="20% - Accent1 9 6" xfId="8878" xr:uid="{00000000-0005-0000-0000-000067070000}"/>
    <cellStyle name="20% - Accent1 9 6 2" xfId="23353" xr:uid="{00000000-0005-0000-0000-000068070000}"/>
    <cellStyle name="20% - Accent1 9 7" xfId="17834" xr:uid="{00000000-0005-0000-0000-000069070000}"/>
    <cellStyle name="20% - Accent2" xfId="22" builtinId="34" customBuiltin="1"/>
    <cellStyle name="20% - Accent2 10" xfId="515" xr:uid="{00000000-0005-0000-0000-00006B070000}"/>
    <cellStyle name="20% - Accent2 10 2" xfId="516" xr:uid="{00000000-0005-0000-0000-00006C070000}"/>
    <cellStyle name="20% - Accent2 10 2 2" xfId="517" xr:uid="{00000000-0005-0000-0000-00006D070000}"/>
    <cellStyle name="20% - Accent2 10 2 2 2" xfId="12571" xr:uid="{00000000-0005-0000-0000-00006E070000}"/>
    <cellStyle name="20% - Accent2 10 2 2 2 2" xfId="26283" xr:uid="{00000000-0005-0000-0000-00006F070000}"/>
    <cellStyle name="20% - Accent2 10 2 2 3" xfId="17841" xr:uid="{00000000-0005-0000-0000-000070070000}"/>
    <cellStyle name="20% - Accent2 10 2 3" xfId="518" xr:uid="{00000000-0005-0000-0000-000071070000}"/>
    <cellStyle name="20% - Accent2 10 2 3 2" xfId="14634" xr:uid="{00000000-0005-0000-0000-000072070000}"/>
    <cellStyle name="20% - Accent2 10 2 3 2 2" xfId="28183" xr:uid="{00000000-0005-0000-0000-000073070000}"/>
    <cellStyle name="20% - Accent2 10 2 3 3" xfId="17842" xr:uid="{00000000-0005-0000-0000-000074070000}"/>
    <cellStyle name="20% - Accent2 10 2 4" xfId="10605" xr:uid="{00000000-0005-0000-0000-000075070000}"/>
    <cellStyle name="20% - Accent2 10 2 4 2" xfId="24547" xr:uid="{00000000-0005-0000-0000-000076070000}"/>
    <cellStyle name="20% - Accent2 10 2 5" xfId="17840" xr:uid="{00000000-0005-0000-0000-000077070000}"/>
    <cellStyle name="20% - Accent2 10 3" xfId="519" xr:uid="{00000000-0005-0000-0000-000078070000}"/>
    <cellStyle name="20% - Accent2 10 3 2" xfId="12393" xr:uid="{00000000-0005-0000-0000-000079070000}"/>
    <cellStyle name="20% - Accent2 10 3 2 2" xfId="26105" xr:uid="{00000000-0005-0000-0000-00007A070000}"/>
    <cellStyle name="20% - Accent2 10 3 3" xfId="17843" xr:uid="{00000000-0005-0000-0000-00007B070000}"/>
    <cellStyle name="20% - Accent2 10 4" xfId="520" xr:uid="{00000000-0005-0000-0000-00007C070000}"/>
    <cellStyle name="20% - Accent2 10 4 2" xfId="14633" xr:uid="{00000000-0005-0000-0000-00007D070000}"/>
    <cellStyle name="20% - Accent2 10 4 2 2" xfId="28182" xr:uid="{00000000-0005-0000-0000-00007E070000}"/>
    <cellStyle name="20% - Accent2 10 4 3" xfId="17844" xr:uid="{00000000-0005-0000-0000-00007F070000}"/>
    <cellStyle name="20% - Accent2 10 5" xfId="521" xr:uid="{00000000-0005-0000-0000-000080070000}"/>
    <cellStyle name="20% - Accent2 10 5 2" xfId="17175" xr:uid="{00000000-0005-0000-0000-000081070000}"/>
    <cellStyle name="20% - Accent2 10 5 2 2" xfId="30534" xr:uid="{00000000-0005-0000-0000-000082070000}"/>
    <cellStyle name="20% - Accent2 10 5 3" xfId="17845" xr:uid="{00000000-0005-0000-0000-000083070000}"/>
    <cellStyle name="20% - Accent2 10 6" xfId="8880" xr:uid="{00000000-0005-0000-0000-000084070000}"/>
    <cellStyle name="20% - Accent2 10 6 2" xfId="23355" xr:uid="{00000000-0005-0000-0000-000085070000}"/>
    <cellStyle name="20% - Accent2 10 7" xfId="17839" xr:uid="{00000000-0005-0000-0000-000086070000}"/>
    <cellStyle name="20% - Accent2 11" xfId="522" xr:uid="{00000000-0005-0000-0000-000087070000}"/>
    <cellStyle name="20% - Accent2 11 2" xfId="523" xr:uid="{00000000-0005-0000-0000-000088070000}"/>
    <cellStyle name="20% - Accent2 11 2 2" xfId="10606" xr:uid="{00000000-0005-0000-0000-000089070000}"/>
    <cellStyle name="20% - Accent2 11 2 2 2" xfId="24548" xr:uid="{00000000-0005-0000-0000-00008A070000}"/>
    <cellStyle name="20% - Accent2 11 2 3" xfId="17847" xr:uid="{00000000-0005-0000-0000-00008B070000}"/>
    <cellStyle name="20% - Accent2 11 3" xfId="524" xr:uid="{00000000-0005-0000-0000-00008C070000}"/>
    <cellStyle name="20% - Accent2 11 3 2" xfId="12527" xr:uid="{00000000-0005-0000-0000-00008D070000}"/>
    <cellStyle name="20% - Accent2 11 3 2 2" xfId="26239" xr:uid="{00000000-0005-0000-0000-00008E070000}"/>
    <cellStyle name="20% - Accent2 11 3 3" xfId="17848" xr:uid="{00000000-0005-0000-0000-00008F070000}"/>
    <cellStyle name="20% - Accent2 11 4" xfId="525" xr:uid="{00000000-0005-0000-0000-000090070000}"/>
    <cellStyle name="20% - Accent2 11 4 2" xfId="14635" xr:uid="{00000000-0005-0000-0000-000091070000}"/>
    <cellStyle name="20% - Accent2 11 4 2 2" xfId="28184" xr:uid="{00000000-0005-0000-0000-000092070000}"/>
    <cellStyle name="20% - Accent2 11 4 3" xfId="17849" xr:uid="{00000000-0005-0000-0000-000093070000}"/>
    <cellStyle name="20% - Accent2 11 5" xfId="526" xr:uid="{00000000-0005-0000-0000-000094070000}"/>
    <cellStyle name="20% - Accent2 11 5 2" xfId="17264" xr:uid="{00000000-0005-0000-0000-000095070000}"/>
    <cellStyle name="20% - Accent2 11 5 2 2" xfId="30623" xr:uid="{00000000-0005-0000-0000-000096070000}"/>
    <cellStyle name="20% - Accent2 11 5 3" xfId="17850" xr:uid="{00000000-0005-0000-0000-000097070000}"/>
    <cellStyle name="20% - Accent2 11 6" xfId="8881" xr:uid="{00000000-0005-0000-0000-000098070000}"/>
    <cellStyle name="20% - Accent2 11 6 2" xfId="23356" xr:uid="{00000000-0005-0000-0000-000099070000}"/>
    <cellStyle name="20% - Accent2 11 7" xfId="17846" xr:uid="{00000000-0005-0000-0000-00009A070000}"/>
    <cellStyle name="20% - Accent2 12" xfId="527" xr:uid="{00000000-0005-0000-0000-00009B070000}"/>
    <cellStyle name="20% - Accent2 12 2" xfId="528" xr:uid="{00000000-0005-0000-0000-00009C070000}"/>
    <cellStyle name="20% - Accent2 12 2 2" xfId="529" xr:uid="{00000000-0005-0000-0000-00009D070000}"/>
    <cellStyle name="20% - Accent2 12 2 2 2" xfId="10608" xr:uid="{00000000-0005-0000-0000-00009E070000}"/>
    <cellStyle name="20% - Accent2 12 2 2 2 2" xfId="24550" xr:uid="{00000000-0005-0000-0000-00009F070000}"/>
    <cellStyle name="20% - Accent2 12 2 2 3" xfId="17853" xr:uid="{00000000-0005-0000-0000-0000A0070000}"/>
    <cellStyle name="20% - Accent2 12 2 3" xfId="530" xr:uid="{00000000-0005-0000-0000-0000A1070000}"/>
    <cellStyle name="20% - Accent2 12 2 3 2" xfId="12445" xr:uid="{00000000-0005-0000-0000-0000A2070000}"/>
    <cellStyle name="20% - Accent2 12 2 3 2 2" xfId="26157" xr:uid="{00000000-0005-0000-0000-0000A3070000}"/>
    <cellStyle name="20% - Accent2 12 2 3 3" xfId="17854" xr:uid="{00000000-0005-0000-0000-0000A4070000}"/>
    <cellStyle name="20% - Accent2 12 2 4" xfId="531" xr:uid="{00000000-0005-0000-0000-0000A5070000}"/>
    <cellStyle name="20% - Accent2 12 2 4 2" xfId="14637" xr:uid="{00000000-0005-0000-0000-0000A6070000}"/>
    <cellStyle name="20% - Accent2 12 2 4 2 2" xfId="28186" xr:uid="{00000000-0005-0000-0000-0000A7070000}"/>
    <cellStyle name="20% - Accent2 12 2 4 3" xfId="17855" xr:uid="{00000000-0005-0000-0000-0000A8070000}"/>
    <cellStyle name="20% - Accent2 12 2 5" xfId="8883" xr:uid="{00000000-0005-0000-0000-0000A9070000}"/>
    <cellStyle name="20% - Accent2 12 2 5 2" xfId="23358" xr:uid="{00000000-0005-0000-0000-0000AA070000}"/>
    <cellStyle name="20% - Accent2 12 2 6" xfId="17852" xr:uid="{00000000-0005-0000-0000-0000AB070000}"/>
    <cellStyle name="20% - Accent2 12 3" xfId="532" xr:uid="{00000000-0005-0000-0000-0000AC070000}"/>
    <cellStyle name="20% - Accent2 12 3 2" xfId="10607" xr:uid="{00000000-0005-0000-0000-0000AD070000}"/>
    <cellStyle name="20% - Accent2 12 3 2 2" xfId="24549" xr:uid="{00000000-0005-0000-0000-0000AE070000}"/>
    <cellStyle name="20% - Accent2 12 3 3" xfId="17856" xr:uid="{00000000-0005-0000-0000-0000AF070000}"/>
    <cellStyle name="20% - Accent2 12 4" xfId="533" xr:uid="{00000000-0005-0000-0000-0000B0070000}"/>
    <cellStyle name="20% - Accent2 12 4 2" xfId="12547" xr:uid="{00000000-0005-0000-0000-0000B1070000}"/>
    <cellStyle name="20% - Accent2 12 4 2 2" xfId="26259" xr:uid="{00000000-0005-0000-0000-0000B2070000}"/>
    <cellStyle name="20% - Accent2 12 4 3" xfId="17857" xr:uid="{00000000-0005-0000-0000-0000B3070000}"/>
    <cellStyle name="20% - Accent2 12 5" xfId="534" xr:uid="{00000000-0005-0000-0000-0000B4070000}"/>
    <cellStyle name="20% - Accent2 12 5 2" xfId="14636" xr:uid="{00000000-0005-0000-0000-0000B5070000}"/>
    <cellStyle name="20% - Accent2 12 5 2 2" xfId="28185" xr:uid="{00000000-0005-0000-0000-0000B6070000}"/>
    <cellStyle name="20% - Accent2 12 5 3" xfId="17858" xr:uid="{00000000-0005-0000-0000-0000B7070000}"/>
    <cellStyle name="20% - Accent2 12 6" xfId="535" xr:uid="{00000000-0005-0000-0000-0000B8070000}"/>
    <cellStyle name="20% - Accent2 12 6 2" xfId="16416" xr:uid="{00000000-0005-0000-0000-0000B9070000}"/>
    <cellStyle name="20% - Accent2 12 6 2 2" xfId="29823" xr:uid="{00000000-0005-0000-0000-0000BA070000}"/>
    <cellStyle name="20% - Accent2 12 6 3" xfId="17859" xr:uid="{00000000-0005-0000-0000-0000BB070000}"/>
    <cellStyle name="20% - Accent2 12 7" xfId="8882" xr:uid="{00000000-0005-0000-0000-0000BC070000}"/>
    <cellStyle name="20% - Accent2 12 7 2" xfId="23357" xr:uid="{00000000-0005-0000-0000-0000BD070000}"/>
    <cellStyle name="20% - Accent2 12 8" xfId="17851" xr:uid="{00000000-0005-0000-0000-0000BE070000}"/>
    <cellStyle name="20% - Accent2 13" xfId="536" xr:uid="{00000000-0005-0000-0000-0000BF070000}"/>
    <cellStyle name="20% - Accent2 13 2" xfId="537" xr:uid="{00000000-0005-0000-0000-0000C0070000}"/>
    <cellStyle name="20% - Accent2 13 2 2" xfId="10609" xr:uid="{00000000-0005-0000-0000-0000C1070000}"/>
    <cellStyle name="20% - Accent2 13 2 2 2" xfId="24551" xr:uid="{00000000-0005-0000-0000-0000C2070000}"/>
    <cellStyle name="20% - Accent2 13 2 3" xfId="17861" xr:uid="{00000000-0005-0000-0000-0000C3070000}"/>
    <cellStyle name="20% - Accent2 13 3" xfId="538" xr:uid="{00000000-0005-0000-0000-0000C4070000}"/>
    <cellStyle name="20% - Accent2 13 3 2" xfId="12549" xr:uid="{00000000-0005-0000-0000-0000C5070000}"/>
    <cellStyle name="20% - Accent2 13 3 2 2" xfId="26261" xr:uid="{00000000-0005-0000-0000-0000C6070000}"/>
    <cellStyle name="20% - Accent2 13 3 3" xfId="17862" xr:uid="{00000000-0005-0000-0000-0000C7070000}"/>
    <cellStyle name="20% - Accent2 13 4" xfId="539" xr:uid="{00000000-0005-0000-0000-0000C8070000}"/>
    <cellStyle name="20% - Accent2 13 4 2" xfId="14638" xr:uid="{00000000-0005-0000-0000-0000C9070000}"/>
    <cellStyle name="20% - Accent2 13 4 2 2" xfId="28187" xr:uid="{00000000-0005-0000-0000-0000CA070000}"/>
    <cellStyle name="20% - Accent2 13 4 3" xfId="17863" xr:uid="{00000000-0005-0000-0000-0000CB070000}"/>
    <cellStyle name="20% - Accent2 13 5" xfId="8884" xr:uid="{00000000-0005-0000-0000-0000CC070000}"/>
    <cellStyle name="20% - Accent2 13 5 2" xfId="23359" xr:uid="{00000000-0005-0000-0000-0000CD070000}"/>
    <cellStyle name="20% - Accent2 13 6" xfId="17860" xr:uid="{00000000-0005-0000-0000-0000CE070000}"/>
    <cellStyle name="20% - Accent2 14" xfId="540" xr:uid="{00000000-0005-0000-0000-0000CF070000}"/>
    <cellStyle name="20% - Accent2 14 2" xfId="541" xr:uid="{00000000-0005-0000-0000-0000D0070000}"/>
    <cellStyle name="20% - Accent2 14 2 2" xfId="10610" xr:uid="{00000000-0005-0000-0000-0000D1070000}"/>
    <cellStyle name="20% - Accent2 14 2 2 2" xfId="24552" xr:uid="{00000000-0005-0000-0000-0000D2070000}"/>
    <cellStyle name="20% - Accent2 14 2 3" xfId="17865" xr:uid="{00000000-0005-0000-0000-0000D3070000}"/>
    <cellStyle name="20% - Accent2 14 3" xfId="542" xr:uid="{00000000-0005-0000-0000-0000D4070000}"/>
    <cellStyle name="20% - Accent2 14 3 2" xfId="12765" xr:uid="{00000000-0005-0000-0000-0000D5070000}"/>
    <cellStyle name="20% - Accent2 14 3 2 2" xfId="26477" xr:uid="{00000000-0005-0000-0000-0000D6070000}"/>
    <cellStyle name="20% - Accent2 14 3 3" xfId="17866" xr:uid="{00000000-0005-0000-0000-0000D7070000}"/>
    <cellStyle name="20% - Accent2 14 4" xfId="543" xr:uid="{00000000-0005-0000-0000-0000D8070000}"/>
    <cellStyle name="20% - Accent2 14 4 2" xfId="14639" xr:uid="{00000000-0005-0000-0000-0000D9070000}"/>
    <cellStyle name="20% - Accent2 14 4 2 2" xfId="28188" xr:uid="{00000000-0005-0000-0000-0000DA070000}"/>
    <cellStyle name="20% - Accent2 14 4 3" xfId="17867" xr:uid="{00000000-0005-0000-0000-0000DB070000}"/>
    <cellStyle name="20% - Accent2 14 5" xfId="8885" xr:uid="{00000000-0005-0000-0000-0000DC070000}"/>
    <cellStyle name="20% - Accent2 14 5 2" xfId="23360" xr:uid="{00000000-0005-0000-0000-0000DD070000}"/>
    <cellStyle name="20% - Accent2 14 6" xfId="17864" xr:uid="{00000000-0005-0000-0000-0000DE070000}"/>
    <cellStyle name="20% - Accent2 15" xfId="544" xr:uid="{00000000-0005-0000-0000-0000DF070000}"/>
    <cellStyle name="20% - Accent2 15 2" xfId="545" xr:uid="{00000000-0005-0000-0000-0000E0070000}"/>
    <cellStyle name="20% - Accent2 15 2 2" xfId="10611" xr:uid="{00000000-0005-0000-0000-0000E1070000}"/>
    <cellStyle name="20% - Accent2 15 2 2 2" xfId="24553" xr:uid="{00000000-0005-0000-0000-0000E2070000}"/>
    <cellStyle name="20% - Accent2 15 2 3" xfId="17869" xr:uid="{00000000-0005-0000-0000-0000E3070000}"/>
    <cellStyle name="20% - Accent2 15 3" xfId="546" xr:uid="{00000000-0005-0000-0000-0000E4070000}"/>
    <cellStyle name="20% - Accent2 15 3 2" xfId="12654" xr:uid="{00000000-0005-0000-0000-0000E5070000}"/>
    <cellStyle name="20% - Accent2 15 3 2 2" xfId="26366" xr:uid="{00000000-0005-0000-0000-0000E6070000}"/>
    <cellStyle name="20% - Accent2 15 3 3" xfId="17870" xr:uid="{00000000-0005-0000-0000-0000E7070000}"/>
    <cellStyle name="20% - Accent2 15 4" xfId="547" xr:uid="{00000000-0005-0000-0000-0000E8070000}"/>
    <cellStyle name="20% - Accent2 15 4 2" xfId="14640" xr:uid="{00000000-0005-0000-0000-0000E9070000}"/>
    <cellStyle name="20% - Accent2 15 4 2 2" xfId="28189" xr:uid="{00000000-0005-0000-0000-0000EA070000}"/>
    <cellStyle name="20% - Accent2 15 4 3" xfId="17871" xr:uid="{00000000-0005-0000-0000-0000EB070000}"/>
    <cellStyle name="20% - Accent2 15 5" xfId="8886" xr:uid="{00000000-0005-0000-0000-0000EC070000}"/>
    <cellStyle name="20% - Accent2 15 5 2" xfId="23361" xr:uid="{00000000-0005-0000-0000-0000ED070000}"/>
    <cellStyle name="20% - Accent2 15 6" xfId="17868" xr:uid="{00000000-0005-0000-0000-0000EE070000}"/>
    <cellStyle name="20% - Accent2 16" xfId="548" xr:uid="{00000000-0005-0000-0000-0000EF070000}"/>
    <cellStyle name="20% - Accent2 16 2" xfId="549" xr:uid="{00000000-0005-0000-0000-0000F0070000}"/>
    <cellStyle name="20% - Accent2 16 2 2" xfId="10612" xr:uid="{00000000-0005-0000-0000-0000F1070000}"/>
    <cellStyle name="20% - Accent2 16 2 2 2" xfId="24554" xr:uid="{00000000-0005-0000-0000-0000F2070000}"/>
    <cellStyle name="20% - Accent2 16 2 3" xfId="17873" xr:uid="{00000000-0005-0000-0000-0000F3070000}"/>
    <cellStyle name="20% - Accent2 16 3" xfId="550" xr:uid="{00000000-0005-0000-0000-0000F4070000}"/>
    <cellStyle name="20% - Accent2 16 3 2" xfId="12406" xr:uid="{00000000-0005-0000-0000-0000F5070000}"/>
    <cellStyle name="20% - Accent2 16 3 2 2" xfId="26118" xr:uid="{00000000-0005-0000-0000-0000F6070000}"/>
    <cellStyle name="20% - Accent2 16 3 3" xfId="17874" xr:uid="{00000000-0005-0000-0000-0000F7070000}"/>
    <cellStyle name="20% - Accent2 16 4" xfId="551" xr:uid="{00000000-0005-0000-0000-0000F8070000}"/>
    <cellStyle name="20% - Accent2 16 4 2" xfId="14641" xr:uid="{00000000-0005-0000-0000-0000F9070000}"/>
    <cellStyle name="20% - Accent2 16 4 2 2" xfId="28190" xr:uid="{00000000-0005-0000-0000-0000FA070000}"/>
    <cellStyle name="20% - Accent2 16 4 3" xfId="17875" xr:uid="{00000000-0005-0000-0000-0000FB070000}"/>
    <cellStyle name="20% - Accent2 16 5" xfId="8887" xr:uid="{00000000-0005-0000-0000-0000FC070000}"/>
    <cellStyle name="20% - Accent2 16 5 2" xfId="23362" xr:uid="{00000000-0005-0000-0000-0000FD070000}"/>
    <cellStyle name="20% - Accent2 16 6" xfId="17872" xr:uid="{00000000-0005-0000-0000-0000FE070000}"/>
    <cellStyle name="20% - Accent2 17" xfId="552" xr:uid="{00000000-0005-0000-0000-0000FF070000}"/>
    <cellStyle name="20% - Accent2 17 2" xfId="553" xr:uid="{00000000-0005-0000-0000-000000080000}"/>
    <cellStyle name="20% - Accent2 17 2 2" xfId="10613" xr:uid="{00000000-0005-0000-0000-000001080000}"/>
    <cellStyle name="20% - Accent2 17 2 2 2" xfId="24555" xr:uid="{00000000-0005-0000-0000-000002080000}"/>
    <cellStyle name="20% - Accent2 17 2 3" xfId="17877" xr:uid="{00000000-0005-0000-0000-000003080000}"/>
    <cellStyle name="20% - Accent2 17 3" xfId="554" xr:uid="{00000000-0005-0000-0000-000004080000}"/>
    <cellStyle name="20% - Accent2 17 3 2" xfId="12514" xr:uid="{00000000-0005-0000-0000-000005080000}"/>
    <cellStyle name="20% - Accent2 17 3 2 2" xfId="26226" xr:uid="{00000000-0005-0000-0000-000006080000}"/>
    <cellStyle name="20% - Accent2 17 3 3" xfId="17878" xr:uid="{00000000-0005-0000-0000-000007080000}"/>
    <cellStyle name="20% - Accent2 17 4" xfId="555" xr:uid="{00000000-0005-0000-0000-000008080000}"/>
    <cellStyle name="20% - Accent2 17 4 2" xfId="14642" xr:uid="{00000000-0005-0000-0000-000009080000}"/>
    <cellStyle name="20% - Accent2 17 4 2 2" xfId="28191" xr:uid="{00000000-0005-0000-0000-00000A080000}"/>
    <cellStyle name="20% - Accent2 17 4 3" xfId="17879" xr:uid="{00000000-0005-0000-0000-00000B080000}"/>
    <cellStyle name="20% - Accent2 17 5" xfId="8888" xr:uid="{00000000-0005-0000-0000-00000C080000}"/>
    <cellStyle name="20% - Accent2 17 5 2" xfId="23363" xr:uid="{00000000-0005-0000-0000-00000D080000}"/>
    <cellStyle name="20% - Accent2 17 6" xfId="17876" xr:uid="{00000000-0005-0000-0000-00000E080000}"/>
    <cellStyle name="20% - Accent2 18" xfId="556" xr:uid="{00000000-0005-0000-0000-00000F080000}"/>
    <cellStyle name="20% - Accent2 18 2" xfId="557" xr:uid="{00000000-0005-0000-0000-000010080000}"/>
    <cellStyle name="20% - Accent2 18 2 2" xfId="10614" xr:uid="{00000000-0005-0000-0000-000011080000}"/>
    <cellStyle name="20% - Accent2 18 2 2 2" xfId="24556" xr:uid="{00000000-0005-0000-0000-000012080000}"/>
    <cellStyle name="20% - Accent2 18 2 3" xfId="17881" xr:uid="{00000000-0005-0000-0000-000013080000}"/>
    <cellStyle name="20% - Accent2 18 3" xfId="558" xr:uid="{00000000-0005-0000-0000-000014080000}"/>
    <cellStyle name="20% - Accent2 18 3 2" xfId="12729" xr:uid="{00000000-0005-0000-0000-000015080000}"/>
    <cellStyle name="20% - Accent2 18 3 2 2" xfId="26441" xr:uid="{00000000-0005-0000-0000-000016080000}"/>
    <cellStyle name="20% - Accent2 18 3 3" xfId="17882" xr:uid="{00000000-0005-0000-0000-000017080000}"/>
    <cellStyle name="20% - Accent2 18 4" xfId="559" xr:uid="{00000000-0005-0000-0000-000018080000}"/>
    <cellStyle name="20% - Accent2 18 4 2" xfId="14643" xr:uid="{00000000-0005-0000-0000-000019080000}"/>
    <cellStyle name="20% - Accent2 18 4 2 2" xfId="28192" xr:uid="{00000000-0005-0000-0000-00001A080000}"/>
    <cellStyle name="20% - Accent2 18 4 3" xfId="17883" xr:uid="{00000000-0005-0000-0000-00001B080000}"/>
    <cellStyle name="20% - Accent2 18 5" xfId="8889" xr:uid="{00000000-0005-0000-0000-00001C080000}"/>
    <cellStyle name="20% - Accent2 18 5 2" xfId="23364" xr:uid="{00000000-0005-0000-0000-00001D080000}"/>
    <cellStyle name="20% - Accent2 18 6" xfId="17880" xr:uid="{00000000-0005-0000-0000-00001E080000}"/>
    <cellStyle name="20% - Accent2 19" xfId="560" xr:uid="{00000000-0005-0000-0000-00001F080000}"/>
    <cellStyle name="20% - Accent2 19 2" xfId="561" xr:uid="{00000000-0005-0000-0000-000020080000}"/>
    <cellStyle name="20% - Accent2 19 2 2" xfId="11700" xr:uid="{00000000-0005-0000-0000-000021080000}"/>
    <cellStyle name="20% - Accent2 19 2 2 2" xfId="25420" xr:uid="{00000000-0005-0000-0000-000022080000}"/>
    <cellStyle name="20% - Accent2 19 2 3" xfId="17885" xr:uid="{00000000-0005-0000-0000-000023080000}"/>
    <cellStyle name="20% - Accent2 19 3" xfId="562" xr:uid="{00000000-0005-0000-0000-000024080000}"/>
    <cellStyle name="20% - Accent2 19 3 2" xfId="12619" xr:uid="{00000000-0005-0000-0000-000025080000}"/>
    <cellStyle name="20% - Accent2 19 3 2 2" xfId="26331" xr:uid="{00000000-0005-0000-0000-000026080000}"/>
    <cellStyle name="20% - Accent2 19 3 3" xfId="17886" xr:uid="{00000000-0005-0000-0000-000027080000}"/>
    <cellStyle name="20% - Accent2 19 4" xfId="563" xr:uid="{00000000-0005-0000-0000-000028080000}"/>
    <cellStyle name="20% - Accent2 19 4 2" xfId="14644" xr:uid="{00000000-0005-0000-0000-000029080000}"/>
    <cellStyle name="20% - Accent2 19 4 2 2" xfId="28193" xr:uid="{00000000-0005-0000-0000-00002A080000}"/>
    <cellStyle name="20% - Accent2 19 4 3" xfId="17887" xr:uid="{00000000-0005-0000-0000-00002B080000}"/>
    <cellStyle name="20% - Accent2 19 5" xfId="10452" xr:uid="{00000000-0005-0000-0000-00002C080000}"/>
    <cellStyle name="20% - Accent2 19 5 2" xfId="24411" xr:uid="{00000000-0005-0000-0000-00002D080000}"/>
    <cellStyle name="20% - Accent2 19 6" xfId="17884" xr:uid="{00000000-0005-0000-0000-00002E080000}"/>
    <cellStyle name="20% - Accent2 2" xfId="564" xr:uid="{00000000-0005-0000-0000-00002F080000}"/>
    <cellStyle name="20% - Accent2 2 10" xfId="565" xr:uid="{00000000-0005-0000-0000-000030080000}"/>
    <cellStyle name="20% - Accent2 2 10 2" xfId="566" xr:uid="{00000000-0005-0000-0000-000031080000}"/>
    <cellStyle name="20% - Accent2 2 10 2 2" xfId="14646" xr:uid="{00000000-0005-0000-0000-000032080000}"/>
    <cellStyle name="20% - Accent2 2 10 2 2 2" xfId="28195" xr:uid="{00000000-0005-0000-0000-000033080000}"/>
    <cellStyle name="20% - Accent2 2 10 2 3" xfId="17890" xr:uid="{00000000-0005-0000-0000-000034080000}"/>
    <cellStyle name="20% - Accent2 2 10 3" xfId="11827" xr:uid="{00000000-0005-0000-0000-000035080000}"/>
    <cellStyle name="20% - Accent2 2 10 3 2" xfId="25542" xr:uid="{00000000-0005-0000-0000-000036080000}"/>
    <cellStyle name="20% - Accent2 2 10 4" xfId="17889" xr:uid="{00000000-0005-0000-0000-000037080000}"/>
    <cellStyle name="20% - Accent2 2 11" xfId="567" xr:uid="{00000000-0005-0000-0000-000038080000}"/>
    <cellStyle name="20% - Accent2 2 11 2" xfId="11753" xr:uid="{00000000-0005-0000-0000-000039080000}"/>
    <cellStyle name="20% - Accent2 2 11 2 2" xfId="25468" xr:uid="{00000000-0005-0000-0000-00003A080000}"/>
    <cellStyle name="20% - Accent2 2 11 3" xfId="17891" xr:uid="{00000000-0005-0000-0000-00003B080000}"/>
    <cellStyle name="20% - Accent2 2 12" xfId="568" xr:uid="{00000000-0005-0000-0000-00003C080000}"/>
    <cellStyle name="20% - Accent2 2 12 2" xfId="13426" xr:uid="{00000000-0005-0000-0000-00003D080000}"/>
    <cellStyle name="20% - Accent2 2 12 2 2" xfId="26975" xr:uid="{00000000-0005-0000-0000-00003E080000}"/>
    <cellStyle name="20% - Accent2 2 12 3" xfId="17892" xr:uid="{00000000-0005-0000-0000-00003F080000}"/>
    <cellStyle name="20% - Accent2 2 13" xfId="569" xr:uid="{00000000-0005-0000-0000-000040080000}"/>
    <cellStyle name="20% - Accent2 2 13 2" xfId="14007" xr:uid="{00000000-0005-0000-0000-000041080000}"/>
    <cellStyle name="20% - Accent2 2 13 2 2" xfId="27556" xr:uid="{00000000-0005-0000-0000-000042080000}"/>
    <cellStyle name="20% - Accent2 2 13 3" xfId="17893" xr:uid="{00000000-0005-0000-0000-000043080000}"/>
    <cellStyle name="20% - Accent2 2 14" xfId="570" xr:uid="{00000000-0005-0000-0000-000044080000}"/>
    <cellStyle name="20% - Accent2 2 14 2" xfId="14645" xr:uid="{00000000-0005-0000-0000-000045080000}"/>
    <cellStyle name="20% - Accent2 2 14 2 2" xfId="28194" xr:uid="{00000000-0005-0000-0000-000046080000}"/>
    <cellStyle name="20% - Accent2 2 14 3" xfId="17894" xr:uid="{00000000-0005-0000-0000-000047080000}"/>
    <cellStyle name="20% - Accent2 2 15" xfId="571" xr:uid="{00000000-0005-0000-0000-000048080000}"/>
    <cellStyle name="20% - Accent2 2 15 2" xfId="15893" xr:uid="{00000000-0005-0000-0000-000049080000}"/>
    <cellStyle name="20% - Accent2 2 15 2 2" xfId="29300" xr:uid="{00000000-0005-0000-0000-00004A080000}"/>
    <cellStyle name="20% - Accent2 2 15 3" xfId="17895" xr:uid="{00000000-0005-0000-0000-00004B080000}"/>
    <cellStyle name="20% - Accent2 2 16" xfId="8890" xr:uid="{00000000-0005-0000-0000-00004C080000}"/>
    <cellStyle name="20% - Accent2 2 16 2" xfId="23365" xr:uid="{00000000-0005-0000-0000-00004D080000}"/>
    <cellStyle name="20% - Accent2 2 17" xfId="17888" xr:uid="{00000000-0005-0000-0000-00004E080000}"/>
    <cellStyle name="20% - Accent2 2 2" xfId="572" xr:uid="{00000000-0005-0000-0000-00004F080000}"/>
    <cellStyle name="20% - Accent2 2 2 10" xfId="573" xr:uid="{00000000-0005-0000-0000-000050080000}"/>
    <cellStyle name="20% - Accent2 2 2 10 2" xfId="14647" xr:uid="{00000000-0005-0000-0000-000051080000}"/>
    <cellStyle name="20% - Accent2 2 2 10 2 2" xfId="28196" xr:uid="{00000000-0005-0000-0000-000052080000}"/>
    <cellStyle name="20% - Accent2 2 2 10 3" xfId="17897" xr:uid="{00000000-0005-0000-0000-000053080000}"/>
    <cellStyle name="20% - Accent2 2 2 11" xfId="574" xr:uid="{00000000-0005-0000-0000-000054080000}"/>
    <cellStyle name="20% - Accent2 2 2 11 2" xfId="15939" xr:uid="{00000000-0005-0000-0000-000055080000}"/>
    <cellStyle name="20% - Accent2 2 2 11 2 2" xfId="29346" xr:uid="{00000000-0005-0000-0000-000056080000}"/>
    <cellStyle name="20% - Accent2 2 2 11 3" xfId="17898" xr:uid="{00000000-0005-0000-0000-000057080000}"/>
    <cellStyle name="20% - Accent2 2 2 12" xfId="8891" xr:uid="{00000000-0005-0000-0000-000058080000}"/>
    <cellStyle name="20% - Accent2 2 2 12 2" xfId="23366" xr:uid="{00000000-0005-0000-0000-000059080000}"/>
    <cellStyle name="20% - Accent2 2 2 13" xfId="17896" xr:uid="{00000000-0005-0000-0000-00005A080000}"/>
    <cellStyle name="20% - Accent2 2 2 2" xfId="575" xr:uid="{00000000-0005-0000-0000-00005B080000}"/>
    <cellStyle name="20% - Accent2 2 2 2 10" xfId="576" xr:uid="{00000000-0005-0000-0000-00005C080000}"/>
    <cellStyle name="20% - Accent2 2 2 2 10 2" xfId="16082" xr:uid="{00000000-0005-0000-0000-00005D080000}"/>
    <cellStyle name="20% - Accent2 2 2 2 10 2 2" xfId="29489" xr:uid="{00000000-0005-0000-0000-00005E080000}"/>
    <cellStyle name="20% - Accent2 2 2 2 10 3" xfId="17900" xr:uid="{00000000-0005-0000-0000-00005F080000}"/>
    <cellStyle name="20% - Accent2 2 2 2 11" xfId="8892" xr:uid="{00000000-0005-0000-0000-000060080000}"/>
    <cellStyle name="20% - Accent2 2 2 2 11 2" xfId="23367" xr:uid="{00000000-0005-0000-0000-000061080000}"/>
    <cellStyle name="20% - Accent2 2 2 2 12" xfId="17899" xr:uid="{00000000-0005-0000-0000-000062080000}"/>
    <cellStyle name="20% - Accent2 2 2 2 2" xfId="577" xr:uid="{00000000-0005-0000-0000-000063080000}"/>
    <cellStyle name="20% - Accent2 2 2 2 2 10" xfId="8893" xr:uid="{00000000-0005-0000-0000-000064080000}"/>
    <cellStyle name="20% - Accent2 2 2 2 2 10 2" xfId="23368" xr:uid="{00000000-0005-0000-0000-000065080000}"/>
    <cellStyle name="20% - Accent2 2 2 2 2 11" xfId="17901" xr:uid="{00000000-0005-0000-0000-000066080000}"/>
    <cellStyle name="20% - Accent2 2 2 2 2 2" xfId="578" xr:uid="{00000000-0005-0000-0000-000067080000}"/>
    <cellStyle name="20% - Accent2 2 2 2 2 2 2" xfId="579" xr:uid="{00000000-0005-0000-0000-000068080000}"/>
    <cellStyle name="20% - Accent2 2 2 2 2 2 2 2" xfId="10619" xr:uid="{00000000-0005-0000-0000-000069080000}"/>
    <cellStyle name="20% - Accent2 2 2 2 2 2 2 2 2" xfId="24561" xr:uid="{00000000-0005-0000-0000-00006A080000}"/>
    <cellStyle name="20% - Accent2 2 2 2 2 2 2 3" xfId="17903" xr:uid="{00000000-0005-0000-0000-00006B080000}"/>
    <cellStyle name="20% - Accent2 2 2 2 2 2 3" xfId="580" xr:uid="{00000000-0005-0000-0000-00006C080000}"/>
    <cellStyle name="20% - Accent2 2 2 2 2 2 3 2" xfId="12651" xr:uid="{00000000-0005-0000-0000-00006D080000}"/>
    <cellStyle name="20% - Accent2 2 2 2 2 2 3 2 2" xfId="26363" xr:uid="{00000000-0005-0000-0000-00006E080000}"/>
    <cellStyle name="20% - Accent2 2 2 2 2 2 3 3" xfId="17904" xr:uid="{00000000-0005-0000-0000-00006F080000}"/>
    <cellStyle name="20% - Accent2 2 2 2 2 2 4" xfId="581" xr:uid="{00000000-0005-0000-0000-000070080000}"/>
    <cellStyle name="20% - Accent2 2 2 2 2 2 4 2" xfId="14650" xr:uid="{00000000-0005-0000-0000-000071080000}"/>
    <cellStyle name="20% - Accent2 2 2 2 2 2 4 2 2" xfId="28199" xr:uid="{00000000-0005-0000-0000-000072080000}"/>
    <cellStyle name="20% - Accent2 2 2 2 2 2 4 3" xfId="17905" xr:uid="{00000000-0005-0000-0000-000073080000}"/>
    <cellStyle name="20% - Accent2 2 2 2 2 2 5" xfId="582" xr:uid="{00000000-0005-0000-0000-000074080000}"/>
    <cellStyle name="20% - Accent2 2 2 2 2 2 5 2" xfId="16952" xr:uid="{00000000-0005-0000-0000-000075080000}"/>
    <cellStyle name="20% - Accent2 2 2 2 2 2 5 2 2" xfId="30359" xr:uid="{00000000-0005-0000-0000-000076080000}"/>
    <cellStyle name="20% - Accent2 2 2 2 2 2 5 3" xfId="17906" xr:uid="{00000000-0005-0000-0000-000077080000}"/>
    <cellStyle name="20% - Accent2 2 2 2 2 2 6" xfId="8894" xr:uid="{00000000-0005-0000-0000-000078080000}"/>
    <cellStyle name="20% - Accent2 2 2 2 2 2 6 2" xfId="23369" xr:uid="{00000000-0005-0000-0000-000079080000}"/>
    <cellStyle name="20% - Accent2 2 2 2 2 2 7" xfId="17902" xr:uid="{00000000-0005-0000-0000-00007A080000}"/>
    <cellStyle name="20% - Accent2 2 2 2 2 3" xfId="583" xr:uid="{00000000-0005-0000-0000-00007B080000}"/>
    <cellStyle name="20% - Accent2 2 2 2 2 3 2" xfId="584" xr:uid="{00000000-0005-0000-0000-00007C080000}"/>
    <cellStyle name="20% - Accent2 2 2 2 2 3 2 2" xfId="14651" xr:uid="{00000000-0005-0000-0000-00007D080000}"/>
    <cellStyle name="20% - Accent2 2 2 2 2 3 2 2 2" xfId="28200" xr:uid="{00000000-0005-0000-0000-00007E080000}"/>
    <cellStyle name="20% - Accent2 2 2 2 2 3 2 3" xfId="17908" xr:uid="{00000000-0005-0000-0000-00007F080000}"/>
    <cellStyle name="20% - Accent2 2 2 2 2 3 3" xfId="10618" xr:uid="{00000000-0005-0000-0000-000080080000}"/>
    <cellStyle name="20% - Accent2 2 2 2 2 3 3 2" xfId="24560" xr:uid="{00000000-0005-0000-0000-000081080000}"/>
    <cellStyle name="20% - Accent2 2 2 2 2 3 4" xfId="17907" xr:uid="{00000000-0005-0000-0000-000082080000}"/>
    <cellStyle name="20% - Accent2 2 2 2 2 4" xfId="585" xr:uid="{00000000-0005-0000-0000-000083080000}"/>
    <cellStyle name="20% - Accent2 2 2 2 2 4 2" xfId="12340" xr:uid="{00000000-0005-0000-0000-000084080000}"/>
    <cellStyle name="20% - Accent2 2 2 2 2 4 2 2" xfId="26052" xr:uid="{00000000-0005-0000-0000-000085080000}"/>
    <cellStyle name="20% - Accent2 2 2 2 2 4 3" xfId="17909" xr:uid="{00000000-0005-0000-0000-000086080000}"/>
    <cellStyle name="20% - Accent2 2 2 2 2 5" xfId="586" xr:uid="{00000000-0005-0000-0000-000087080000}"/>
    <cellStyle name="20% - Accent2 2 2 2 2 5 2" xfId="12779" xr:uid="{00000000-0005-0000-0000-000088080000}"/>
    <cellStyle name="20% - Accent2 2 2 2 2 5 2 2" xfId="26491" xr:uid="{00000000-0005-0000-0000-000089080000}"/>
    <cellStyle name="20% - Accent2 2 2 2 2 5 3" xfId="17910" xr:uid="{00000000-0005-0000-0000-00008A080000}"/>
    <cellStyle name="20% - Accent2 2 2 2 2 6" xfId="587" xr:uid="{00000000-0005-0000-0000-00008B080000}"/>
    <cellStyle name="20% - Accent2 2 2 2 2 6 2" xfId="13904" xr:uid="{00000000-0005-0000-0000-00008C080000}"/>
    <cellStyle name="20% - Accent2 2 2 2 2 6 2 2" xfId="27453" xr:uid="{00000000-0005-0000-0000-00008D080000}"/>
    <cellStyle name="20% - Accent2 2 2 2 2 6 3" xfId="17911" xr:uid="{00000000-0005-0000-0000-00008E080000}"/>
    <cellStyle name="20% - Accent2 2 2 2 2 7" xfId="588" xr:uid="{00000000-0005-0000-0000-00008F080000}"/>
    <cellStyle name="20% - Accent2 2 2 2 2 7 2" xfId="14485" xr:uid="{00000000-0005-0000-0000-000090080000}"/>
    <cellStyle name="20% - Accent2 2 2 2 2 7 2 2" xfId="28034" xr:uid="{00000000-0005-0000-0000-000091080000}"/>
    <cellStyle name="20% - Accent2 2 2 2 2 7 3" xfId="17912" xr:uid="{00000000-0005-0000-0000-000092080000}"/>
    <cellStyle name="20% - Accent2 2 2 2 2 8" xfId="589" xr:uid="{00000000-0005-0000-0000-000093080000}"/>
    <cellStyle name="20% - Accent2 2 2 2 2 8 2" xfId="14649" xr:uid="{00000000-0005-0000-0000-000094080000}"/>
    <cellStyle name="20% - Accent2 2 2 2 2 8 2 2" xfId="28198" xr:uid="{00000000-0005-0000-0000-000095080000}"/>
    <cellStyle name="20% - Accent2 2 2 2 2 8 3" xfId="17913" xr:uid="{00000000-0005-0000-0000-000096080000}"/>
    <cellStyle name="20% - Accent2 2 2 2 2 9" xfId="590" xr:uid="{00000000-0005-0000-0000-000097080000}"/>
    <cellStyle name="20% - Accent2 2 2 2 2 9 2" xfId="16371" xr:uid="{00000000-0005-0000-0000-000098080000}"/>
    <cellStyle name="20% - Accent2 2 2 2 2 9 2 2" xfId="29778" xr:uid="{00000000-0005-0000-0000-000099080000}"/>
    <cellStyle name="20% - Accent2 2 2 2 2 9 3" xfId="17914" xr:uid="{00000000-0005-0000-0000-00009A080000}"/>
    <cellStyle name="20% - Accent2 2 2 2 3" xfId="591" xr:uid="{00000000-0005-0000-0000-00009B080000}"/>
    <cellStyle name="20% - Accent2 2 2 2 3 2" xfId="592" xr:uid="{00000000-0005-0000-0000-00009C080000}"/>
    <cellStyle name="20% - Accent2 2 2 2 3 2 2" xfId="10620" xr:uid="{00000000-0005-0000-0000-00009D080000}"/>
    <cellStyle name="20% - Accent2 2 2 2 3 2 2 2" xfId="24562" xr:uid="{00000000-0005-0000-0000-00009E080000}"/>
    <cellStyle name="20% - Accent2 2 2 2 3 2 3" xfId="17916" xr:uid="{00000000-0005-0000-0000-00009F080000}"/>
    <cellStyle name="20% - Accent2 2 2 2 3 3" xfId="593" xr:uid="{00000000-0005-0000-0000-0000A0080000}"/>
    <cellStyle name="20% - Accent2 2 2 2 3 3 2" xfId="12546" xr:uid="{00000000-0005-0000-0000-0000A1080000}"/>
    <cellStyle name="20% - Accent2 2 2 2 3 3 2 2" xfId="26258" xr:uid="{00000000-0005-0000-0000-0000A2080000}"/>
    <cellStyle name="20% - Accent2 2 2 2 3 3 3" xfId="17917" xr:uid="{00000000-0005-0000-0000-0000A3080000}"/>
    <cellStyle name="20% - Accent2 2 2 2 3 4" xfId="594" xr:uid="{00000000-0005-0000-0000-0000A4080000}"/>
    <cellStyle name="20% - Accent2 2 2 2 3 4 2" xfId="14652" xr:uid="{00000000-0005-0000-0000-0000A5080000}"/>
    <cellStyle name="20% - Accent2 2 2 2 3 4 2 2" xfId="28201" xr:uid="{00000000-0005-0000-0000-0000A6080000}"/>
    <cellStyle name="20% - Accent2 2 2 2 3 4 3" xfId="17918" xr:uid="{00000000-0005-0000-0000-0000A7080000}"/>
    <cellStyle name="20% - Accent2 2 2 2 3 5" xfId="595" xr:uid="{00000000-0005-0000-0000-0000A8080000}"/>
    <cellStyle name="20% - Accent2 2 2 2 3 5 2" xfId="16663" xr:uid="{00000000-0005-0000-0000-0000A9080000}"/>
    <cellStyle name="20% - Accent2 2 2 2 3 5 2 2" xfId="30070" xr:uid="{00000000-0005-0000-0000-0000AA080000}"/>
    <cellStyle name="20% - Accent2 2 2 2 3 5 3" xfId="17919" xr:uid="{00000000-0005-0000-0000-0000AB080000}"/>
    <cellStyle name="20% - Accent2 2 2 2 3 6" xfId="8895" xr:uid="{00000000-0005-0000-0000-0000AC080000}"/>
    <cellStyle name="20% - Accent2 2 2 2 3 6 2" xfId="23370" xr:uid="{00000000-0005-0000-0000-0000AD080000}"/>
    <cellStyle name="20% - Accent2 2 2 2 3 7" xfId="17915" xr:uid="{00000000-0005-0000-0000-0000AE080000}"/>
    <cellStyle name="20% - Accent2 2 2 2 4" xfId="596" xr:uid="{00000000-0005-0000-0000-0000AF080000}"/>
    <cellStyle name="20% - Accent2 2 2 2 4 2" xfId="597" xr:uid="{00000000-0005-0000-0000-0000B0080000}"/>
    <cellStyle name="20% - Accent2 2 2 2 4 2 2" xfId="14653" xr:uid="{00000000-0005-0000-0000-0000B1080000}"/>
    <cellStyle name="20% - Accent2 2 2 2 4 2 2 2" xfId="28202" xr:uid="{00000000-0005-0000-0000-0000B2080000}"/>
    <cellStyle name="20% - Accent2 2 2 2 4 2 3" xfId="17921" xr:uid="{00000000-0005-0000-0000-0000B3080000}"/>
    <cellStyle name="20% - Accent2 2 2 2 4 3" xfId="10617" xr:uid="{00000000-0005-0000-0000-0000B4080000}"/>
    <cellStyle name="20% - Accent2 2 2 2 4 3 2" xfId="24559" xr:uid="{00000000-0005-0000-0000-0000B5080000}"/>
    <cellStyle name="20% - Accent2 2 2 2 4 4" xfId="17920" xr:uid="{00000000-0005-0000-0000-0000B6080000}"/>
    <cellStyle name="20% - Accent2 2 2 2 5" xfId="598" xr:uid="{00000000-0005-0000-0000-0000B7080000}"/>
    <cellStyle name="20% - Accent2 2 2 2 5 2" xfId="12040" xr:uid="{00000000-0005-0000-0000-0000B8080000}"/>
    <cellStyle name="20% - Accent2 2 2 2 5 2 2" xfId="25755" xr:uid="{00000000-0005-0000-0000-0000B9080000}"/>
    <cellStyle name="20% - Accent2 2 2 2 5 3" xfId="17922" xr:uid="{00000000-0005-0000-0000-0000BA080000}"/>
    <cellStyle name="20% - Accent2 2 2 2 6" xfId="599" xr:uid="{00000000-0005-0000-0000-0000BB080000}"/>
    <cellStyle name="20% - Accent2 2 2 2 6 2" xfId="12749" xr:uid="{00000000-0005-0000-0000-0000BC080000}"/>
    <cellStyle name="20% - Accent2 2 2 2 6 2 2" xfId="26461" xr:uid="{00000000-0005-0000-0000-0000BD080000}"/>
    <cellStyle name="20% - Accent2 2 2 2 6 3" xfId="17923" xr:uid="{00000000-0005-0000-0000-0000BE080000}"/>
    <cellStyle name="20% - Accent2 2 2 2 7" xfId="600" xr:uid="{00000000-0005-0000-0000-0000BF080000}"/>
    <cellStyle name="20% - Accent2 2 2 2 7 2" xfId="13615" xr:uid="{00000000-0005-0000-0000-0000C0080000}"/>
    <cellStyle name="20% - Accent2 2 2 2 7 2 2" xfId="27164" xr:uid="{00000000-0005-0000-0000-0000C1080000}"/>
    <cellStyle name="20% - Accent2 2 2 2 7 3" xfId="17924" xr:uid="{00000000-0005-0000-0000-0000C2080000}"/>
    <cellStyle name="20% - Accent2 2 2 2 8" xfId="601" xr:uid="{00000000-0005-0000-0000-0000C3080000}"/>
    <cellStyle name="20% - Accent2 2 2 2 8 2" xfId="14196" xr:uid="{00000000-0005-0000-0000-0000C4080000}"/>
    <cellStyle name="20% - Accent2 2 2 2 8 2 2" xfId="27745" xr:uid="{00000000-0005-0000-0000-0000C5080000}"/>
    <cellStyle name="20% - Accent2 2 2 2 8 3" xfId="17925" xr:uid="{00000000-0005-0000-0000-0000C6080000}"/>
    <cellStyle name="20% - Accent2 2 2 2 9" xfId="602" xr:uid="{00000000-0005-0000-0000-0000C7080000}"/>
    <cellStyle name="20% - Accent2 2 2 2 9 2" xfId="14648" xr:uid="{00000000-0005-0000-0000-0000C8080000}"/>
    <cellStyle name="20% - Accent2 2 2 2 9 2 2" xfId="28197" xr:uid="{00000000-0005-0000-0000-0000C9080000}"/>
    <cellStyle name="20% - Accent2 2 2 2 9 3" xfId="17926" xr:uid="{00000000-0005-0000-0000-0000CA080000}"/>
    <cellStyle name="20% - Accent2 2 2 3" xfId="603" xr:uid="{00000000-0005-0000-0000-0000CB080000}"/>
    <cellStyle name="20% - Accent2 2 2 3 10" xfId="8896" xr:uid="{00000000-0005-0000-0000-0000CC080000}"/>
    <cellStyle name="20% - Accent2 2 2 3 10 2" xfId="23371" xr:uid="{00000000-0005-0000-0000-0000CD080000}"/>
    <cellStyle name="20% - Accent2 2 2 3 11" xfId="17927" xr:uid="{00000000-0005-0000-0000-0000CE080000}"/>
    <cellStyle name="20% - Accent2 2 2 3 2" xfId="604" xr:uid="{00000000-0005-0000-0000-0000CF080000}"/>
    <cellStyle name="20% - Accent2 2 2 3 2 2" xfId="605" xr:uid="{00000000-0005-0000-0000-0000D0080000}"/>
    <cellStyle name="20% - Accent2 2 2 3 2 2 2" xfId="10622" xr:uid="{00000000-0005-0000-0000-0000D1080000}"/>
    <cellStyle name="20% - Accent2 2 2 3 2 2 2 2" xfId="24564" xr:uid="{00000000-0005-0000-0000-0000D2080000}"/>
    <cellStyle name="20% - Accent2 2 2 3 2 2 3" xfId="17929" xr:uid="{00000000-0005-0000-0000-0000D3080000}"/>
    <cellStyle name="20% - Accent2 2 2 3 2 3" xfId="606" xr:uid="{00000000-0005-0000-0000-0000D4080000}"/>
    <cellStyle name="20% - Accent2 2 2 3 2 3 2" xfId="12738" xr:uid="{00000000-0005-0000-0000-0000D5080000}"/>
    <cellStyle name="20% - Accent2 2 2 3 2 3 2 2" xfId="26450" xr:uid="{00000000-0005-0000-0000-0000D6080000}"/>
    <cellStyle name="20% - Accent2 2 2 3 2 3 3" xfId="17930" xr:uid="{00000000-0005-0000-0000-0000D7080000}"/>
    <cellStyle name="20% - Accent2 2 2 3 2 4" xfId="607" xr:uid="{00000000-0005-0000-0000-0000D8080000}"/>
    <cellStyle name="20% - Accent2 2 2 3 2 4 2" xfId="14655" xr:uid="{00000000-0005-0000-0000-0000D9080000}"/>
    <cellStyle name="20% - Accent2 2 2 3 2 4 2 2" xfId="28204" xr:uid="{00000000-0005-0000-0000-0000DA080000}"/>
    <cellStyle name="20% - Accent2 2 2 3 2 4 3" xfId="17931" xr:uid="{00000000-0005-0000-0000-0000DB080000}"/>
    <cellStyle name="20% - Accent2 2 2 3 2 5" xfId="608" xr:uid="{00000000-0005-0000-0000-0000DC080000}"/>
    <cellStyle name="20% - Accent2 2 2 3 2 5 2" xfId="16809" xr:uid="{00000000-0005-0000-0000-0000DD080000}"/>
    <cellStyle name="20% - Accent2 2 2 3 2 5 2 2" xfId="30216" xr:uid="{00000000-0005-0000-0000-0000DE080000}"/>
    <cellStyle name="20% - Accent2 2 2 3 2 5 3" xfId="17932" xr:uid="{00000000-0005-0000-0000-0000DF080000}"/>
    <cellStyle name="20% - Accent2 2 2 3 2 6" xfId="8897" xr:uid="{00000000-0005-0000-0000-0000E0080000}"/>
    <cellStyle name="20% - Accent2 2 2 3 2 6 2" xfId="23372" xr:uid="{00000000-0005-0000-0000-0000E1080000}"/>
    <cellStyle name="20% - Accent2 2 2 3 2 7" xfId="17928" xr:uid="{00000000-0005-0000-0000-0000E2080000}"/>
    <cellStyle name="20% - Accent2 2 2 3 3" xfId="609" xr:uid="{00000000-0005-0000-0000-0000E3080000}"/>
    <cellStyle name="20% - Accent2 2 2 3 3 2" xfId="610" xr:uid="{00000000-0005-0000-0000-0000E4080000}"/>
    <cellStyle name="20% - Accent2 2 2 3 3 2 2" xfId="14656" xr:uid="{00000000-0005-0000-0000-0000E5080000}"/>
    <cellStyle name="20% - Accent2 2 2 3 3 2 2 2" xfId="28205" xr:uid="{00000000-0005-0000-0000-0000E6080000}"/>
    <cellStyle name="20% - Accent2 2 2 3 3 2 3" xfId="17934" xr:uid="{00000000-0005-0000-0000-0000E7080000}"/>
    <cellStyle name="20% - Accent2 2 2 3 3 3" xfId="10621" xr:uid="{00000000-0005-0000-0000-0000E8080000}"/>
    <cellStyle name="20% - Accent2 2 2 3 3 3 2" xfId="24563" xr:uid="{00000000-0005-0000-0000-0000E9080000}"/>
    <cellStyle name="20% - Accent2 2 2 3 3 4" xfId="17933" xr:uid="{00000000-0005-0000-0000-0000EA080000}"/>
    <cellStyle name="20% - Accent2 2 2 3 4" xfId="611" xr:uid="{00000000-0005-0000-0000-0000EB080000}"/>
    <cellStyle name="20% - Accent2 2 2 3 4 2" xfId="12197" xr:uid="{00000000-0005-0000-0000-0000EC080000}"/>
    <cellStyle name="20% - Accent2 2 2 3 4 2 2" xfId="25909" xr:uid="{00000000-0005-0000-0000-0000ED080000}"/>
    <cellStyle name="20% - Accent2 2 2 3 4 3" xfId="17935" xr:uid="{00000000-0005-0000-0000-0000EE080000}"/>
    <cellStyle name="20% - Accent2 2 2 3 5" xfId="612" xr:uid="{00000000-0005-0000-0000-0000EF080000}"/>
    <cellStyle name="20% - Accent2 2 2 3 5 2" xfId="12652" xr:uid="{00000000-0005-0000-0000-0000F0080000}"/>
    <cellStyle name="20% - Accent2 2 2 3 5 2 2" xfId="26364" xr:uid="{00000000-0005-0000-0000-0000F1080000}"/>
    <cellStyle name="20% - Accent2 2 2 3 5 3" xfId="17936" xr:uid="{00000000-0005-0000-0000-0000F2080000}"/>
    <cellStyle name="20% - Accent2 2 2 3 6" xfId="613" xr:uid="{00000000-0005-0000-0000-0000F3080000}"/>
    <cellStyle name="20% - Accent2 2 2 3 6 2" xfId="13761" xr:uid="{00000000-0005-0000-0000-0000F4080000}"/>
    <cellStyle name="20% - Accent2 2 2 3 6 2 2" xfId="27310" xr:uid="{00000000-0005-0000-0000-0000F5080000}"/>
    <cellStyle name="20% - Accent2 2 2 3 6 3" xfId="17937" xr:uid="{00000000-0005-0000-0000-0000F6080000}"/>
    <cellStyle name="20% - Accent2 2 2 3 7" xfId="614" xr:uid="{00000000-0005-0000-0000-0000F7080000}"/>
    <cellStyle name="20% - Accent2 2 2 3 7 2" xfId="14342" xr:uid="{00000000-0005-0000-0000-0000F8080000}"/>
    <cellStyle name="20% - Accent2 2 2 3 7 2 2" xfId="27891" xr:uid="{00000000-0005-0000-0000-0000F9080000}"/>
    <cellStyle name="20% - Accent2 2 2 3 7 3" xfId="17938" xr:uid="{00000000-0005-0000-0000-0000FA080000}"/>
    <cellStyle name="20% - Accent2 2 2 3 8" xfId="615" xr:uid="{00000000-0005-0000-0000-0000FB080000}"/>
    <cellStyle name="20% - Accent2 2 2 3 8 2" xfId="14654" xr:uid="{00000000-0005-0000-0000-0000FC080000}"/>
    <cellStyle name="20% - Accent2 2 2 3 8 2 2" xfId="28203" xr:uid="{00000000-0005-0000-0000-0000FD080000}"/>
    <cellStyle name="20% - Accent2 2 2 3 8 3" xfId="17939" xr:uid="{00000000-0005-0000-0000-0000FE080000}"/>
    <cellStyle name="20% - Accent2 2 2 3 9" xfId="616" xr:uid="{00000000-0005-0000-0000-0000FF080000}"/>
    <cellStyle name="20% - Accent2 2 2 3 9 2" xfId="16228" xr:uid="{00000000-0005-0000-0000-000000090000}"/>
    <cellStyle name="20% - Accent2 2 2 3 9 2 2" xfId="29635" xr:uid="{00000000-0005-0000-0000-000001090000}"/>
    <cellStyle name="20% - Accent2 2 2 3 9 3" xfId="17940" xr:uid="{00000000-0005-0000-0000-000002090000}"/>
    <cellStyle name="20% - Accent2 2 2 4" xfId="617" xr:uid="{00000000-0005-0000-0000-000003090000}"/>
    <cellStyle name="20% - Accent2 2 2 4 2" xfId="618" xr:uid="{00000000-0005-0000-0000-000004090000}"/>
    <cellStyle name="20% - Accent2 2 2 4 2 2" xfId="10623" xr:uid="{00000000-0005-0000-0000-000005090000}"/>
    <cellStyle name="20% - Accent2 2 2 4 2 2 2" xfId="24565" xr:uid="{00000000-0005-0000-0000-000006090000}"/>
    <cellStyle name="20% - Accent2 2 2 4 2 3" xfId="17942" xr:uid="{00000000-0005-0000-0000-000007090000}"/>
    <cellStyle name="20% - Accent2 2 2 4 3" xfId="619" xr:uid="{00000000-0005-0000-0000-000008090000}"/>
    <cellStyle name="20% - Accent2 2 2 4 3 2" xfId="12539" xr:uid="{00000000-0005-0000-0000-000009090000}"/>
    <cellStyle name="20% - Accent2 2 2 4 3 2 2" xfId="26251" xr:uid="{00000000-0005-0000-0000-00000A090000}"/>
    <cellStyle name="20% - Accent2 2 2 4 3 3" xfId="17943" xr:uid="{00000000-0005-0000-0000-00000B090000}"/>
    <cellStyle name="20% - Accent2 2 2 4 4" xfId="620" xr:uid="{00000000-0005-0000-0000-00000C090000}"/>
    <cellStyle name="20% - Accent2 2 2 4 4 2" xfId="14657" xr:uid="{00000000-0005-0000-0000-00000D090000}"/>
    <cellStyle name="20% - Accent2 2 2 4 4 2 2" xfId="28206" xr:uid="{00000000-0005-0000-0000-00000E090000}"/>
    <cellStyle name="20% - Accent2 2 2 4 4 3" xfId="17944" xr:uid="{00000000-0005-0000-0000-00000F090000}"/>
    <cellStyle name="20% - Accent2 2 2 4 5" xfId="621" xr:uid="{00000000-0005-0000-0000-000010090000}"/>
    <cellStyle name="20% - Accent2 2 2 4 5 2" xfId="17156" xr:uid="{00000000-0005-0000-0000-000011090000}"/>
    <cellStyle name="20% - Accent2 2 2 4 5 2 2" xfId="30515" xr:uid="{00000000-0005-0000-0000-000012090000}"/>
    <cellStyle name="20% - Accent2 2 2 4 5 3" xfId="17945" xr:uid="{00000000-0005-0000-0000-000013090000}"/>
    <cellStyle name="20% - Accent2 2 2 4 6" xfId="8898" xr:uid="{00000000-0005-0000-0000-000014090000}"/>
    <cellStyle name="20% - Accent2 2 2 4 6 2" xfId="23373" xr:uid="{00000000-0005-0000-0000-000015090000}"/>
    <cellStyle name="20% - Accent2 2 2 4 7" xfId="17941" xr:uid="{00000000-0005-0000-0000-000016090000}"/>
    <cellStyle name="20% - Accent2 2 2 5" xfId="622" xr:uid="{00000000-0005-0000-0000-000017090000}"/>
    <cellStyle name="20% - Accent2 2 2 5 2" xfId="623" xr:uid="{00000000-0005-0000-0000-000018090000}"/>
    <cellStyle name="20% - Accent2 2 2 5 2 2" xfId="14658" xr:uid="{00000000-0005-0000-0000-000019090000}"/>
    <cellStyle name="20% - Accent2 2 2 5 2 2 2" xfId="28207" xr:uid="{00000000-0005-0000-0000-00001A090000}"/>
    <cellStyle name="20% - Accent2 2 2 5 2 3" xfId="17947" xr:uid="{00000000-0005-0000-0000-00001B090000}"/>
    <cellStyle name="20% - Accent2 2 2 5 3" xfId="624" xr:uid="{00000000-0005-0000-0000-00001C090000}"/>
    <cellStyle name="20% - Accent2 2 2 5 3 2" xfId="17245" xr:uid="{00000000-0005-0000-0000-00001D090000}"/>
    <cellStyle name="20% - Accent2 2 2 5 3 2 2" xfId="30604" xr:uid="{00000000-0005-0000-0000-00001E090000}"/>
    <cellStyle name="20% - Accent2 2 2 5 3 3" xfId="17948" xr:uid="{00000000-0005-0000-0000-00001F090000}"/>
    <cellStyle name="20% - Accent2 2 2 5 4" xfId="10616" xr:uid="{00000000-0005-0000-0000-000020090000}"/>
    <cellStyle name="20% - Accent2 2 2 5 4 2" xfId="24558" xr:uid="{00000000-0005-0000-0000-000021090000}"/>
    <cellStyle name="20% - Accent2 2 2 5 5" xfId="17946" xr:uid="{00000000-0005-0000-0000-000022090000}"/>
    <cellStyle name="20% - Accent2 2 2 6" xfId="625" xr:uid="{00000000-0005-0000-0000-000023090000}"/>
    <cellStyle name="20% - Accent2 2 2 6 2" xfId="626" xr:uid="{00000000-0005-0000-0000-000024090000}"/>
    <cellStyle name="20% - Accent2 2 2 6 2 2" xfId="16520" xr:uid="{00000000-0005-0000-0000-000025090000}"/>
    <cellStyle name="20% - Accent2 2 2 6 2 2 2" xfId="29927" xr:uid="{00000000-0005-0000-0000-000026090000}"/>
    <cellStyle name="20% - Accent2 2 2 6 2 3" xfId="17950" xr:uid="{00000000-0005-0000-0000-000027090000}"/>
    <cellStyle name="20% - Accent2 2 2 6 3" xfId="11895" xr:uid="{00000000-0005-0000-0000-000028090000}"/>
    <cellStyle name="20% - Accent2 2 2 6 3 2" xfId="25610" xr:uid="{00000000-0005-0000-0000-000029090000}"/>
    <cellStyle name="20% - Accent2 2 2 6 4" xfId="17949" xr:uid="{00000000-0005-0000-0000-00002A090000}"/>
    <cellStyle name="20% - Accent2 2 2 7" xfId="627" xr:uid="{00000000-0005-0000-0000-00002B090000}"/>
    <cellStyle name="20% - Accent2 2 2 7 2" xfId="11862" xr:uid="{00000000-0005-0000-0000-00002C090000}"/>
    <cellStyle name="20% - Accent2 2 2 7 2 2" xfId="25577" xr:uid="{00000000-0005-0000-0000-00002D090000}"/>
    <cellStyle name="20% - Accent2 2 2 7 3" xfId="17951" xr:uid="{00000000-0005-0000-0000-00002E090000}"/>
    <cellStyle name="20% - Accent2 2 2 8" xfId="628" xr:uid="{00000000-0005-0000-0000-00002F090000}"/>
    <cellStyle name="20% - Accent2 2 2 8 2" xfId="13472" xr:uid="{00000000-0005-0000-0000-000030090000}"/>
    <cellStyle name="20% - Accent2 2 2 8 2 2" xfId="27021" xr:uid="{00000000-0005-0000-0000-000031090000}"/>
    <cellStyle name="20% - Accent2 2 2 8 3" xfId="17952" xr:uid="{00000000-0005-0000-0000-000032090000}"/>
    <cellStyle name="20% - Accent2 2 2 9" xfId="629" xr:uid="{00000000-0005-0000-0000-000033090000}"/>
    <cellStyle name="20% - Accent2 2 2 9 2" xfId="14053" xr:uid="{00000000-0005-0000-0000-000034090000}"/>
    <cellStyle name="20% - Accent2 2 2 9 2 2" xfId="27602" xr:uid="{00000000-0005-0000-0000-000035090000}"/>
    <cellStyle name="20% - Accent2 2 2 9 3" xfId="17953" xr:uid="{00000000-0005-0000-0000-000036090000}"/>
    <cellStyle name="20% - Accent2 2 3" xfId="630" xr:uid="{00000000-0005-0000-0000-000037090000}"/>
    <cellStyle name="20% - Accent2 2 3 10" xfId="631" xr:uid="{00000000-0005-0000-0000-000038090000}"/>
    <cellStyle name="20% - Accent2 2 3 10 2" xfId="16036" xr:uid="{00000000-0005-0000-0000-000039090000}"/>
    <cellStyle name="20% - Accent2 2 3 10 2 2" xfId="29443" xr:uid="{00000000-0005-0000-0000-00003A090000}"/>
    <cellStyle name="20% - Accent2 2 3 10 3" xfId="17955" xr:uid="{00000000-0005-0000-0000-00003B090000}"/>
    <cellStyle name="20% - Accent2 2 3 11" xfId="8899" xr:uid="{00000000-0005-0000-0000-00003C090000}"/>
    <cellStyle name="20% - Accent2 2 3 11 2" xfId="23374" xr:uid="{00000000-0005-0000-0000-00003D090000}"/>
    <cellStyle name="20% - Accent2 2 3 12" xfId="17954" xr:uid="{00000000-0005-0000-0000-00003E090000}"/>
    <cellStyle name="20% - Accent2 2 3 2" xfId="632" xr:uid="{00000000-0005-0000-0000-00003F090000}"/>
    <cellStyle name="20% - Accent2 2 3 2 10" xfId="8900" xr:uid="{00000000-0005-0000-0000-000040090000}"/>
    <cellStyle name="20% - Accent2 2 3 2 10 2" xfId="23375" xr:uid="{00000000-0005-0000-0000-000041090000}"/>
    <cellStyle name="20% - Accent2 2 3 2 11" xfId="17956" xr:uid="{00000000-0005-0000-0000-000042090000}"/>
    <cellStyle name="20% - Accent2 2 3 2 2" xfId="633" xr:uid="{00000000-0005-0000-0000-000043090000}"/>
    <cellStyle name="20% - Accent2 2 3 2 2 2" xfId="634" xr:uid="{00000000-0005-0000-0000-000044090000}"/>
    <cellStyle name="20% - Accent2 2 3 2 2 2 2" xfId="10626" xr:uid="{00000000-0005-0000-0000-000045090000}"/>
    <cellStyle name="20% - Accent2 2 3 2 2 2 2 2" xfId="24568" xr:uid="{00000000-0005-0000-0000-000046090000}"/>
    <cellStyle name="20% - Accent2 2 3 2 2 2 3" xfId="17958" xr:uid="{00000000-0005-0000-0000-000047090000}"/>
    <cellStyle name="20% - Accent2 2 3 2 2 3" xfId="635" xr:uid="{00000000-0005-0000-0000-000048090000}"/>
    <cellStyle name="20% - Accent2 2 3 2 2 3 2" xfId="12636" xr:uid="{00000000-0005-0000-0000-000049090000}"/>
    <cellStyle name="20% - Accent2 2 3 2 2 3 2 2" xfId="26348" xr:uid="{00000000-0005-0000-0000-00004A090000}"/>
    <cellStyle name="20% - Accent2 2 3 2 2 3 3" xfId="17959" xr:uid="{00000000-0005-0000-0000-00004B090000}"/>
    <cellStyle name="20% - Accent2 2 3 2 2 4" xfId="636" xr:uid="{00000000-0005-0000-0000-00004C090000}"/>
    <cellStyle name="20% - Accent2 2 3 2 2 4 2" xfId="14661" xr:uid="{00000000-0005-0000-0000-00004D090000}"/>
    <cellStyle name="20% - Accent2 2 3 2 2 4 2 2" xfId="28210" xr:uid="{00000000-0005-0000-0000-00004E090000}"/>
    <cellStyle name="20% - Accent2 2 3 2 2 4 3" xfId="17960" xr:uid="{00000000-0005-0000-0000-00004F090000}"/>
    <cellStyle name="20% - Accent2 2 3 2 2 5" xfId="637" xr:uid="{00000000-0005-0000-0000-000050090000}"/>
    <cellStyle name="20% - Accent2 2 3 2 2 5 2" xfId="16906" xr:uid="{00000000-0005-0000-0000-000051090000}"/>
    <cellStyle name="20% - Accent2 2 3 2 2 5 2 2" xfId="30313" xr:uid="{00000000-0005-0000-0000-000052090000}"/>
    <cellStyle name="20% - Accent2 2 3 2 2 5 3" xfId="17961" xr:uid="{00000000-0005-0000-0000-000053090000}"/>
    <cellStyle name="20% - Accent2 2 3 2 2 6" xfId="8901" xr:uid="{00000000-0005-0000-0000-000054090000}"/>
    <cellStyle name="20% - Accent2 2 3 2 2 6 2" xfId="23376" xr:uid="{00000000-0005-0000-0000-000055090000}"/>
    <cellStyle name="20% - Accent2 2 3 2 2 7" xfId="17957" xr:uid="{00000000-0005-0000-0000-000056090000}"/>
    <cellStyle name="20% - Accent2 2 3 2 3" xfId="638" xr:uid="{00000000-0005-0000-0000-000057090000}"/>
    <cellStyle name="20% - Accent2 2 3 2 3 2" xfId="639" xr:uid="{00000000-0005-0000-0000-000058090000}"/>
    <cellStyle name="20% - Accent2 2 3 2 3 2 2" xfId="14662" xr:uid="{00000000-0005-0000-0000-000059090000}"/>
    <cellStyle name="20% - Accent2 2 3 2 3 2 2 2" xfId="28211" xr:uid="{00000000-0005-0000-0000-00005A090000}"/>
    <cellStyle name="20% - Accent2 2 3 2 3 2 3" xfId="17963" xr:uid="{00000000-0005-0000-0000-00005B090000}"/>
    <cellStyle name="20% - Accent2 2 3 2 3 3" xfId="10625" xr:uid="{00000000-0005-0000-0000-00005C090000}"/>
    <cellStyle name="20% - Accent2 2 3 2 3 3 2" xfId="24567" xr:uid="{00000000-0005-0000-0000-00005D090000}"/>
    <cellStyle name="20% - Accent2 2 3 2 3 4" xfId="17962" xr:uid="{00000000-0005-0000-0000-00005E090000}"/>
    <cellStyle name="20% - Accent2 2 3 2 4" xfId="640" xr:uid="{00000000-0005-0000-0000-00005F090000}"/>
    <cellStyle name="20% - Accent2 2 3 2 4 2" xfId="12294" xr:uid="{00000000-0005-0000-0000-000060090000}"/>
    <cellStyle name="20% - Accent2 2 3 2 4 2 2" xfId="26006" xr:uid="{00000000-0005-0000-0000-000061090000}"/>
    <cellStyle name="20% - Accent2 2 3 2 4 3" xfId="17964" xr:uid="{00000000-0005-0000-0000-000062090000}"/>
    <cellStyle name="20% - Accent2 2 3 2 5" xfId="641" xr:uid="{00000000-0005-0000-0000-000063090000}"/>
    <cellStyle name="20% - Accent2 2 3 2 5 2" xfId="12412" xr:uid="{00000000-0005-0000-0000-000064090000}"/>
    <cellStyle name="20% - Accent2 2 3 2 5 2 2" xfId="26124" xr:uid="{00000000-0005-0000-0000-000065090000}"/>
    <cellStyle name="20% - Accent2 2 3 2 5 3" xfId="17965" xr:uid="{00000000-0005-0000-0000-000066090000}"/>
    <cellStyle name="20% - Accent2 2 3 2 6" xfId="642" xr:uid="{00000000-0005-0000-0000-000067090000}"/>
    <cellStyle name="20% - Accent2 2 3 2 6 2" xfId="13858" xr:uid="{00000000-0005-0000-0000-000068090000}"/>
    <cellStyle name="20% - Accent2 2 3 2 6 2 2" xfId="27407" xr:uid="{00000000-0005-0000-0000-000069090000}"/>
    <cellStyle name="20% - Accent2 2 3 2 6 3" xfId="17966" xr:uid="{00000000-0005-0000-0000-00006A090000}"/>
    <cellStyle name="20% - Accent2 2 3 2 7" xfId="643" xr:uid="{00000000-0005-0000-0000-00006B090000}"/>
    <cellStyle name="20% - Accent2 2 3 2 7 2" xfId="14439" xr:uid="{00000000-0005-0000-0000-00006C090000}"/>
    <cellStyle name="20% - Accent2 2 3 2 7 2 2" xfId="27988" xr:uid="{00000000-0005-0000-0000-00006D090000}"/>
    <cellStyle name="20% - Accent2 2 3 2 7 3" xfId="17967" xr:uid="{00000000-0005-0000-0000-00006E090000}"/>
    <cellStyle name="20% - Accent2 2 3 2 8" xfId="644" xr:uid="{00000000-0005-0000-0000-00006F090000}"/>
    <cellStyle name="20% - Accent2 2 3 2 8 2" xfId="14660" xr:uid="{00000000-0005-0000-0000-000070090000}"/>
    <cellStyle name="20% - Accent2 2 3 2 8 2 2" xfId="28209" xr:uid="{00000000-0005-0000-0000-000071090000}"/>
    <cellStyle name="20% - Accent2 2 3 2 8 3" xfId="17968" xr:uid="{00000000-0005-0000-0000-000072090000}"/>
    <cellStyle name="20% - Accent2 2 3 2 9" xfId="645" xr:uid="{00000000-0005-0000-0000-000073090000}"/>
    <cellStyle name="20% - Accent2 2 3 2 9 2" xfId="16325" xr:uid="{00000000-0005-0000-0000-000074090000}"/>
    <cellStyle name="20% - Accent2 2 3 2 9 2 2" xfId="29732" xr:uid="{00000000-0005-0000-0000-000075090000}"/>
    <cellStyle name="20% - Accent2 2 3 2 9 3" xfId="17969" xr:uid="{00000000-0005-0000-0000-000076090000}"/>
    <cellStyle name="20% - Accent2 2 3 3" xfId="646" xr:uid="{00000000-0005-0000-0000-000077090000}"/>
    <cellStyle name="20% - Accent2 2 3 3 2" xfId="647" xr:uid="{00000000-0005-0000-0000-000078090000}"/>
    <cellStyle name="20% - Accent2 2 3 3 2 2" xfId="10627" xr:uid="{00000000-0005-0000-0000-000079090000}"/>
    <cellStyle name="20% - Accent2 2 3 3 2 2 2" xfId="24569" xr:uid="{00000000-0005-0000-0000-00007A090000}"/>
    <cellStyle name="20% - Accent2 2 3 3 2 3" xfId="17971" xr:uid="{00000000-0005-0000-0000-00007B090000}"/>
    <cellStyle name="20% - Accent2 2 3 3 3" xfId="648" xr:uid="{00000000-0005-0000-0000-00007C090000}"/>
    <cellStyle name="20% - Accent2 2 3 3 3 2" xfId="12667" xr:uid="{00000000-0005-0000-0000-00007D090000}"/>
    <cellStyle name="20% - Accent2 2 3 3 3 2 2" xfId="26379" xr:uid="{00000000-0005-0000-0000-00007E090000}"/>
    <cellStyle name="20% - Accent2 2 3 3 3 3" xfId="17972" xr:uid="{00000000-0005-0000-0000-00007F090000}"/>
    <cellStyle name="20% - Accent2 2 3 3 4" xfId="649" xr:uid="{00000000-0005-0000-0000-000080090000}"/>
    <cellStyle name="20% - Accent2 2 3 3 4 2" xfId="14663" xr:uid="{00000000-0005-0000-0000-000081090000}"/>
    <cellStyle name="20% - Accent2 2 3 3 4 2 2" xfId="28212" xr:uid="{00000000-0005-0000-0000-000082090000}"/>
    <cellStyle name="20% - Accent2 2 3 3 4 3" xfId="17973" xr:uid="{00000000-0005-0000-0000-000083090000}"/>
    <cellStyle name="20% - Accent2 2 3 3 5" xfId="650" xr:uid="{00000000-0005-0000-0000-000084090000}"/>
    <cellStyle name="20% - Accent2 2 3 3 5 2" xfId="16617" xr:uid="{00000000-0005-0000-0000-000085090000}"/>
    <cellStyle name="20% - Accent2 2 3 3 5 2 2" xfId="30024" xr:uid="{00000000-0005-0000-0000-000086090000}"/>
    <cellStyle name="20% - Accent2 2 3 3 5 3" xfId="17974" xr:uid="{00000000-0005-0000-0000-000087090000}"/>
    <cellStyle name="20% - Accent2 2 3 3 6" xfId="8902" xr:uid="{00000000-0005-0000-0000-000088090000}"/>
    <cellStyle name="20% - Accent2 2 3 3 6 2" xfId="23377" xr:uid="{00000000-0005-0000-0000-000089090000}"/>
    <cellStyle name="20% - Accent2 2 3 3 7" xfId="17970" xr:uid="{00000000-0005-0000-0000-00008A090000}"/>
    <cellStyle name="20% - Accent2 2 3 4" xfId="651" xr:uid="{00000000-0005-0000-0000-00008B090000}"/>
    <cellStyle name="20% - Accent2 2 3 4 2" xfId="652" xr:uid="{00000000-0005-0000-0000-00008C090000}"/>
    <cellStyle name="20% - Accent2 2 3 4 2 2" xfId="14664" xr:uid="{00000000-0005-0000-0000-00008D090000}"/>
    <cellStyle name="20% - Accent2 2 3 4 2 2 2" xfId="28213" xr:uid="{00000000-0005-0000-0000-00008E090000}"/>
    <cellStyle name="20% - Accent2 2 3 4 2 3" xfId="17976" xr:uid="{00000000-0005-0000-0000-00008F090000}"/>
    <cellStyle name="20% - Accent2 2 3 4 3" xfId="10624" xr:uid="{00000000-0005-0000-0000-000090090000}"/>
    <cellStyle name="20% - Accent2 2 3 4 3 2" xfId="24566" xr:uid="{00000000-0005-0000-0000-000091090000}"/>
    <cellStyle name="20% - Accent2 2 3 4 4" xfId="17975" xr:uid="{00000000-0005-0000-0000-000092090000}"/>
    <cellStyle name="20% - Accent2 2 3 5" xfId="653" xr:uid="{00000000-0005-0000-0000-000093090000}"/>
    <cellStyle name="20% - Accent2 2 3 5 2" xfId="11994" xr:uid="{00000000-0005-0000-0000-000094090000}"/>
    <cellStyle name="20% - Accent2 2 3 5 2 2" xfId="25709" xr:uid="{00000000-0005-0000-0000-000095090000}"/>
    <cellStyle name="20% - Accent2 2 3 5 3" xfId="17977" xr:uid="{00000000-0005-0000-0000-000096090000}"/>
    <cellStyle name="20% - Accent2 2 3 6" xfId="654" xr:uid="{00000000-0005-0000-0000-000097090000}"/>
    <cellStyle name="20% - Accent2 2 3 6 2" xfId="12594" xr:uid="{00000000-0005-0000-0000-000098090000}"/>
    <cellStyle name="20% - Accent2 2 3 6 2 2" xfId="26306" xr:uid="{00000000-0005-0000-0000-000099090000}"/>
    <cellStyle name="20% - Accent2 2 3 6 3" xfId="17978" xr:uid="{00000000-0005-0000-0000-00009A090000}"/>
    <cellStyle name="20% - Accent2 2 3 7" xfId="655" xr:uid="{00000000-0005-0000-0000-00009B090000}"/>
    <cellStyle name="20% - Accent2 2 3 7 2" xfId="13569" xr:uid="{00000000-0005-0000-0000-00009C090000}"/>
    <cellStyle name="20% - Accent2 2 3 7 2 2" xfId="27118" xr:uid="{00000000-0005-0000-0000-00009D090000}"/>
    <cellStyle name="20% - Accent2 2 3 7 3" xfId="17979" xr:uid="{00000000-0005-0000-0000-00009E090000}"/>
    <cellStyle name="20% - Accent2 2 3 8" xfId="656" xr:uid="{00000000-0005-0000-0000-00009F090000}"/>
    <cellStyle name="20% - Accent2 2 3 8 2" xfId="14150" xr:uid="{00000000-0005-0000-0000-0000A0090000}"/>
    <cellStyle name="20% - Accent2 2 3 8 2 2" xfId="27699" xr:uid="{00000000-0005-0000-0000-0000A1090000}"/>
    <cellStyle name="20% - Accent2 2 3 8 3" xfId="17980" xr:uid="{00000000-0005-0000-0000-0000A2090000}"/>
    <cellStyle name="20% - Accent2 2 3 9" xfId="657" xr:uid="{00000000-0005-0000-0000-0000A3090000}"/>
    <cellStyle name="20% - Accent2 2 3 9 2" xfId="14659" xr:uid="{00000000-0005-0000-0000-0000A4090000}"/>
    <cellStyle name="20% - Accent2 2 3 9 2 2" xfId="28208" xr:uid="{00000000-0005-0000-0000-0000A5090000}"/>
    <cellStyle name="20% - Accent2 2 3 9 3" xfId="17981" xr:uid="{00000000-0005-0000-0000-0000A6090000}"/>
    <cellStyle name="20% - Accent2 2 4" xfId="658" xr:uid="{00000000-0005-0000-0000-0000A7090000}"/>
    <cellStyle name="20% - Accent2 2 4 10" xfId="8903" xr:uid="{00000000-0005-0000-0000-0000A8090000}"/>
    <cellStyle name="20% - Accent2 2 4 10 2" xfId="23378" xr:uid="{00000000-0005-0000-0000-0000A9090000}"/>
    <cellStyle name="20% - Accent2 2 4 11" xfId="17982" xr:uid="{00000000-0005-0000-0000-0000AA090000}"/>
    <cellStyle name="20% - Accent2 2 4 2" xfId="659" xr:uid="{00000000-0005-0000-0000-0000AB090000}"/>
    <cellStyle name="20% - Accent2 2 4 2 2" xfId="660" xr:uid="{00000000-0005-0000-0000-0000AC090000}"/>
    <cellStyle name="20% - Accent2 2 4 2 2 2" xfId="10629" xr:uid="{00000000-0005-0000-0000-0000AD090000}"/>
    <cellStyle name="20% - Accent2 2 4 2 2 2 2" xfId="24571" xr:uid="{00000000-0005-0000-0000-0000AE090000}"/>
    <cellStyle name="20% - Accent2 2 4 2 2 3" xfId="17984" xr:uid="{00000000-0005-0000-0000-0000AF090000}"/>
    <cellStyle name="20% - Accent2 2 4 2 3" xfId="661" xr:uid="{00000000-0005-0000-0000-0000B0090000}"/>
    <cellStyle name="20% - Accent2 2 4 2 3 2" xfId="12763" xr:uid="{00000000-0005-0000-0000-0000B1090000}"/>
    <cellStyle name="20% - Accent2 2 4 2 3 2 2" xfId="26475" xr:uid="{00000000-0005-0000-0000-0000B2090000}"/>
    <cellStyle name="20% - Accent2 2 4 2 3 3" xfId="17985" xr:uid="{00000000-0005-0000-0000-0000B3090000}"/>
    <cellStyle name="20% - Accent2 2 4 2 4" xfId="662" xr:uid="{00000000-0005-0000-0000-0000B4090000}"/>
    <cellStyle name="20% - Accent2 2 4 2 4 2" xfId="14666" xr:uid="{00000000-0005-0000-0000-0000B5090000}"/>
    <cellStyle name="20% - Accent2 2 4 2 4 2 2" xfId="28215" xr:uid="{00000000-0005-0000-0000-0000B6090000}"/>
    <cellStyle name="20% - Accent2 2 4 2 4 3" xfId="17986" xr:uid="{00000000-0005-0000-0000-0000B7090000}"/>
    <cellStyle name="20% - Accent2 2 4 2 5" xfId="663" xr:uid="{00000000-0005-0000-0000-0000B8090000}"/>
    <cellStyle name="20% - Accent2 2 4 2 5 2" xfId="16763" xr:uid="{00000000-0005-0000-0000-0000B9090000}"/>
    <cellStyle name="20% - Accent2 2 4 2 5 2 2" xfId="30170" xr:uid="{00000000-0005-0000-0000-0000BA090000}"/>
    <cellStyle name="20% - Accent2 2 4 2 5 3" xfId="17987" xr:uid="{00000000-0005-0000-0000-0000BB090000}"/>
    <cellStyle name="20% - Accent2 2 4 2 6" xfId="8904" xr:uid="{00000000-0005-0000-0000-0000BC090000}"/>
    <cellStyle name="20% - Accent2 2 4 2 6 2" xfId="23379" xr:uid="{00000000-0005-0000-0000-0000BD090000}"/>
    <cellStyle name="20% - Accent2 2 4 2 7" xfId="17983" xr:uid="{00000000-0005-0000-0000-0000BE090000}"/>
    <cellStyle name="20% - Accent2 2 4 3" xfId="664" xr:uid="{00000000-0005-0000-0000-0000BF090000}"/>
    <cellStyle name="20% - Accent2 2 4 3 2" xfId="665" xr:uid="{00000000-0005-0000-0000-0000C0090000}"/>
    <cellStyle name="20% - Accent2 2 4 3 2 2" xfId="14667" xr:uid="{00000000-0005-0000-0000-0000C1090000}"/>
    <cellStyle name="20% - Accent2 2 4 3 2 2 2" xfId="28216" xr:uid="{00000000-0005-0000-0000-0000C2090000}"/>
    <cellStyle name="20% - Accent2 2 4 3 2 3" xfId="17989" xr:uid="{00000000-0005-0000-0000-0000C3090000}"/>
    <cellStyle name="20% - Accent2 2 4 3 3" xfId="10628" xr:uid="{00000000-0005-0000-0000-0000C4090000}"/>
    <cellStyle name="20% - Accent2 2 4 3 3 2" xfId="24570" xr:uid="{00000000-0005-0000-0000-0000C5090000}"/>
    <cellStyle name="20% - Accent2 2 4 3 4" xfId="17988" xr:uid="{00000000-0005-0000-0000-0000C6090000}"/>
    <cellStyle name="20% - Accent2 2 4 4" xfId="666" xr:uid="{00000000-0005-0000-0000-0000C7090000}"/>
    <cellStyle name="20% - Accent2 2 4 4 2" xfId="12151" xr:uid="{00000000-0005-0000-0000-0000C8090000}"/>
    <cellStyle name="20% - Accent2 2 4 4 2 2" xfId="25863" xr:uid="{00000000-0005-0000-0000-0000C9090000}"/>
    <cellStyle name="20% - Accent2 2 4 4 3" xfId="17990" xr:uid="{00000000-0005-0000-0000-0000CA090000}"/>
    <cellStyle name="20% - Accent2 2 4 5" xfId="667" xr:uid="{00000000-0005-0000-0000-0000CB090000}"/>
    <cellStyle name="20% - Accent2 2 4 5 2" xfId="12668" xr:uid="{00000000-0005-0000-0000-0000CC090000}"/>
    <cellStyle name="20% - Accent2 2 4 5 2 2" xfId="26380" xr:uid="{00000000-0005-0000-0000-0000CD090000}"/>
    <cellStyle name="20% - Accent2 2 4 5 3" xfId="17991" xr:uid="{00000000-0005-0000-0000-0000CE090000}"/>
    <cellStyle name="20% - Accent2 2 4 6" xfId="668" xr:uid="{00000000-0005-0000-0000-0000CF090000}"/>
    <cellStyle name="20% - Accent2 2 4 6 2" xfId="13715" xr:uid="{00000000-0005-0000-0000-0000D0090000}"/>
    <cellStyle name="20% - Accent2 2 4 6 2 2" xfId="27264" xr:uid="{00000000-0005-0000-0000-0000D1090000}"/>
    <cellStyle name="20% - Accent2 2 4 6 3" xfId="17992" xr:uid="{00000000-0005-0000-0000-0000D2090000}"/>
    <cellStyle name="20% - Accent2 2 4 7" xfId="669" xr:uid="{00000000-0005-0000-0000-0000D3090000}"/>
    <cellStyle name="20% - Accent2 2 4 7 2" xfId="14296" xr:uid="{00000000-0005-0000-0000-0000D4090000}"/>
    <cellStyle name="20% - Accent2 2 4 7 2 2" xfId="27845" xr:uid="{00000000-0005-0000-0000-0000D5090000}"/>
    <cellStyle name="20% - Accent2 2 4 7 3" xfId="17993" xr:uid="{00000000-0005-0000-0000-0000D6090000}"/>
    <cellStyle name="20% - Accent2 2 4 8" xfId="670" xr:uid="{00000000-0005-0000-0000-0000D7090000}"/>
    <cellStyle name="20% - Accent2 2 4 8 2" xfId="14665" xr:uid="{00000000-0005-0000-0000-0000D8090000}"/>
    <cellStyle name="20% - Accent2 2 4 8 2 2" xfId="28214" xr:uid="{00000000-0005-0000-0000-0000D9090000}"/>
    <cellStyle name="20% - Accent2 2 4 8 3" xfId="17994" xr:uid="{00000000-0005-0000-0000-0000DA090000}"/>
    <cellStyle name="20% - Accent2 2 4 9" xfId="671" xr:uid="{00000000-0005-0000-0000-0000DB090000}"/>
    <cellStyle name="20% - Accent2 2 4 9 2" xfId="16182" xr:uid="{00000000-0005-0000-0000-0000DC090000}"/>
    <cellStyle name="20% - Accent2 2 4 9 2 2" xfId="29589" xr:uid="{00000000-0005-0000-0000-0000DD090000}"/>
    <cellStyle name="20% - Accent2 2 4 9 3" xfId="17995" xr:uid="{00000000-0005-0000-0000-0000DE090000}"/>
    <cellStyle name="20% - Accent2 2 5" xfId="672" xr:uid="{00000000-0005-0000-0000-0000DF090000}"/>
    <cellStyle name="20% - Accent2 2 5 2" xfId="673" xr:uid="{00000000-0005-0000-0000-0000E0090000}"/>
    <cellStyle name="20% - Accent2 2 5 2 2" xfId="674" xr:uid="{00000000-0005-0000-0000-0000E1090000}"/>
    <cellStyle name="20% - Accent2 2 5 2 2 2" xfId="10631" xr:uid="{00000000-0005-0000-0000-0000E2090000}"/>
    <cellStyle name="20% - Accent2 2 5 2 2 2 2" xfId="24573" xr:uid="{00000000-0005-0000-0000-0000E3090000}"/>
    <cellStyle name="20% - Accent2 2 5 2 2 3" xfId="17998" xr:uid="{00000000-0005-0000-0000-0000E4090000}"/>
    <cellStyle name="20% - Accent2 2 5 2 3" xfId="675" xr:uid="{00000000-0005-0000-0000-0000E5090000}"/>
    <cellStyle name="20% - Accent2 2 5 2 3 2" xfId="12522" xr:uid="{00000000-0005-0000-0000-0000E6090000}"/>
    <cellStyle name="20% - Accent2 2 5 2 3 2 2" xfId="26234" xr:uid="{00000000-0005-0000-0000-0000E7090000}"/>
    <cellStyle name="20% - Accent2 2 5 2 3 3" xfId="17999" xr:uid="{00000000-0005-0000-0000-0000E8090000}"/>
    <cellStyle name="20% - Accent2 2 5 2 4" xfId="676" xr:uid="{00000000-0005-0000-0000-0000E9090000}"/>
    <cellStyle name="20% - Accent2 2 5 2 4 2" xfId="14669" xr:uid="{00000000-0005-0000-0000-0000EA090000}"/>
    <cellStyle name="20% - Accent2 2 5 2 4 2 2" xfId="28218" xr:uid="{00000000-0005-0000-0000-0000EB090000}"/>
    <cellStyle name="20% - Accent2 2 5 2 4 3" xfId="18000" xr:uid="{00000000-0005-0000-0000-0000EC090000}"/>
    <cellStyle name="20% - Accent2 2 5 2 5" xfId="8906" xr:uid="{00000000-0005-0000-0000-0000ED090000}"/>
    <cellStyle name="20% - Accent2 2 5 2 5 2" xfId="23381" xr:uid="{00000000-0005-0000-0000-0000EE090000}"/>
    <cellStyle name="20% - Accent2 2 5 2 6" xfId="17997" xr:uid="{00000000-0005-0000-0000-0000EF090000}"/>
    <cellStyle name="20% - Accent2 2 5 3" xfId="677" xr:uid="{00000000-0005-0000-0000-0000F0090000}"/>
    <cellStyle name="20% - Accent2 2 5 3 2" xfId="10630" xr:uid="{00000000-0005-0000-0000-0000F1090000}"/>
    <cellStyle name="20% - Accent2 2 5 3 2 2" xfId="24572" xr:uid="{00000000-0005-0000-0000-0000F2090000}"/>
    <cellStyle name="20% - Accent2 2 5 3 3" xfId="18001" xr:uid="{00000000-0005-0000-0000-0000F3090000}"/>
    <cellStyle name="20% - Accent2 2 5 4" xfId="678" xr:uid="{00000000-0005-0000-0000-0000F4090000}"/>
    <cellStyle name="20% - Accent2 2 5 4 2" xfId="12512" xr:uid="{00000000-0005-0000-0000-0000F5090000}"/>
    <cellStyle name="20% - Accent2 2 5 4 2 2" xfId="26224" xr:uid="{00000000-0005-0000-0000-0000F6090000}"/>
    <cellStyle name="20% - Accent2 2 5 4 3" xfId="18002" xr:uid="{00000000-0005-0000-0000-0000F7090000}"/>
    <cellStyle name="20% - Accent2 2 5 5" xfId="679" xr:uid="{00000000-0005-0000-0000-0000F8090000}"/>
    <cellStyle name="20% - Accent2 2 5 5 2" xfId="14668" xr:uid="{00000000-0005-0000-0000-0000F9090000}"/>
    <cellStyle name="20% - Accent2 2 5 5 2 2" xfId="28217" xr:uid="{00000000-0005-0000-0000-0000FA090000}"/>
    <cellStyle name="20% - Accent2 2 5 5 3" xfId="18003" xr:uid="{00000000-0005-0000-0000-0000FB090000}"/>
    <cellStyle name="20% - Accent2 2 5 6" xfId="680" xr:uid="{00000000-0005-0000-0000-0000FC090000}"/>
    <cellStyle name="20% - Accent2 2 5 6 2" xfId="16997" xr:uid="{00000000-0005-0000-0000-0000FD090000}"/>
    <cellStyle name="20% - Accent2 2 5 6 2 2" xfId="30404" xr:uid="{00000000-0005-0000-0000-0000FE090000}"/>
    <cellStyle name="20% - Accent2 2 5 6 3" xfId="18004" xr:uid="{00000000-0005-0000-0000-0000FF090000}"/>
    <cellStyle name="20% - Accent2 2 5 7" xfId="8905" xr:uid="{00000000-0005-0000-0000-0000000A0000}"/>
    <cellStyle name="20% - Accent2 2 5 7 2" xfId="23380" xr:uid="{00000000-0005-0000-0000-0000010A0000}"/>
    <cellStyle name="20% - Accent2 2 5 8" xfId="17996" xr:uid="{00000000-0005-0000-0000-0000020A0000}"/>
    <cellStyle name="20% - Accent2 2 6" xfId="681" xr:uid="{00000000-0005-0000-0000-0000030A0000}"/>
    <cellStyle name="20% - Accent2 2 6 2" xfId="682" xr:uid="{00000000-0005-0000-0000-0000040A0000}"/>
    <cellStyle name="20% - Accent2 2 6 2 2" xfId="10632" xr:uid="{00000000-0005-0000-0000-0000050A0000}"/>
    <cellStyle name="20% - Accent2 2 6 2 2 2" xfId="24574" xr:uid="{00000000-0005-0000-0000-0000060A0000}"/>
    <cellStyle name="20% - Accent2 2 6 2 3" xfId="18006" xr:uid="{00000000-0005-0000-0000-0000070A0000}"/>
    <cellStyle name="20% - Accent2 2 6 3" xfId="683" xr:uid="{00000000-0005-0000-0000-0000080A0000}"/>
    <cellStyle name="20% - Accent2 2 6 3 2" xfId="12679" xr:uid="{00000000-0005-0000-0000-0000090A0000}"/>
    <cellStyle name="20% - Accent2 2 6 3 2 2" xfId="26391" xr:uid="{00000000-0005-0000-0000-00000A0A0000}"/>
    <cellStyle name="20% - Accent2 2 6 3 3" xfId="18007" xr:uid="{00000000-0005-0000-0000-00000B0A0000}"/>
    <cellStyle name="20% - Accent2 2 6 4" xfId="684" xr:uid="{00000000-0005-0000-0000-00000C0A0000}"/>
    <cellStyle name="20% - Accent2 2 6 4 2" xfId="14670" xr:uid="{00000000-0005-0000-0000-00000D0A0000}"/>
    <cellStyle name="20% - Accent2 2 6 4 2 2" xfId="28219" xr:uid="{00000000-0005-0000-0000-00000E0A0000}"/>
    <cellStyle name="20% - Accent2 2 6 4 3" xfId="18008" xr:uid="{00000000-0005-0000-0000-00000F0A0000}"/>
    <cellStyle name="20% - Accent2 2 6 5" xfId="685" xr:uid="{00000000-0005-0000-0000-0000100A0000}"/>
    <cellStyle name="20% - Accent2 2 6 5 2" xfId="17110" xr:uid="{00000000-0005-0000-0000-0000110A0000}"/>
    <cellStyle name="20% - Accent2 2 6 5 2 2" xfId="30469" xr:uid="{00000000-0005-0000-0000-0000120A0000}"/>
    <cellStyle name="20% - Accent2 2 6 5 3" xfId="18009" xr:uid="{00000000-0005-0000-0000-0000130A0000}"/>
    <cellStyle name="20% - Accent2 2 6 6" xfId="8907" xr:uid="{00000000-0005-0000-0000-0000140A0000}"/>
    <cellStyle name="20% - Accent2 2 6 6 2" xfId="23382" xr:uid="{00000000-0005-0000-0000-0000150A0000}"/>
    <cellStyle name="20% - Accent2 2 6 7" xfId="18005" xr:uid="{00000000-0005-0000-0000-0000160A0000}"/>
    <cellStyle name="20% - Accent2 2 7" xfId="686" xr:uid="{00000000-0005-0000-0000-0000170A0000}"/>
    <cellStyle name="20% - Accent2 2 7 2" xfId="687" xr:uid="{00000000-0005-0000-0000-0000180A0000}"/>
    <cellStyle name="20% - Accent2 2 7 2 2" xfId="10633" xr:uid="{00000000-0005-0000-0000-0000190A0000}"/>
    <cellStyle name="20% - Accent2 2 7 2 2 2" xfId="24575" xr:uid="{00000000-0005-0000-0000-00001A0A0000}"/>
    <cellStyle name="20% - Accent2 2 7 2 3" xfId="18011" xr:uid="{00000000-0005-0000-0000-00001B0A0000}"/>
    <cellStyle name="20% - Accent2 2 7 3" xfId="688" xr:uid="{00000000-0005-0000-0000-00001C0A0000}"/>
    <cellStyle name="20% - Accent2 2 7 3 2" xfId="12455" xr:uid="{00000000-0005-0000-0000-00001D0A0000}"/>
    <cellStyle name="20% - Accent2 2 7 3 2 2" xfId="26167" xr:uid="{00000000-0005-0000-0000-00001E0A0000}"/>
    <cellStyle name="20% - Accent2 2 7 3 3" xfId="18012" xr:uid="{00000000-0005-0000-0000-00001F0A0000}"/>
    <cellStyle name="20% - Accent2 2 7 4" xfId="689" xr:uid="{00000000-0005-0000-0000-0000200A0000}"/>
    <cellStyle name="20% - Accent2 2 7 4 2" xfId="14671" xr:uid="{00000000-0005-0000-0000-0000210A0000}"/>
    <cellStyle name="20% - Accent2 2 7 4 2 2" xfId="28220" xr:uid="{00000000-0005-0000-0000-0000220A0000}"/>
    <cellStyle name="20% - Accent2 2 7 4 3" xfId="18013" xr:uid="{00000000-0005-0000-0000-0000230A0000}"/>
    <cellStyle name="20% - Accent2 2 7 5" xfId="690" xr:uid="{00000000-0005-0000-0000-0000240A0000}"/>
    <cellStyle name="20% - Accent2 2 7 5 2" xfId="17199" xr:uid="{00000000-0005-0000-0000-0000250A0000}"/>
    <cellStyle name="20% - Accent2 2 7 5 2 2" xfId="30558" xr:uid="{00000000-0005-0000-0000-0000260A0000}"/>
    <cellStyle name="20% - Accent2 2 7 5 3" xfId="18014" xr:uid="{00000000-0005-0000-0000-0000270A0000}"/>
    <cellStyle name="20% - Accent2 2 7 6" xfId="8908" xr:uid="{00000000-0005-0000-0000-0000280A0000}"/>
    <cellStyle name="20% - Accent2 2 7 6 2" xfId="23383" xr:uid="{00000000-0005-0000-0000-0000290A0000}"/>
    <cellStyle name="20% - Accent2 2 7 7" xfId="18010" xr:uid="{00000000-0005-0000-0000-00002A0A0000}"/>
    <cellStyle name="20% - Accent2 2 8" xfId="691" xr:uid="{00000000-0005-0000-0000-00002B0A0000}"/>
    <cellStyle name="20% - Accent2 2 8 2" xfId="692" xr:uid="{00000000-0005-0000-0000-00002C0A0000}"/>
    <cellStyle name="20% - Accent2 2 8 2 2" xfId="12561" xr:uid="{00000000-0005-0000-0000-00002D0A0000}"/>
    <cellStyle name="20% - Accent2 2 8 2 2 2" xfId="26273" xr:uid="{00000000-0005-0000-0000-00002E0A0000}"/>
    <cellStyle name="20% - Accent2 2 8 2 3" xfId="18016" xr:uid="{00000000-0005-0000-0000-00002F0A0000}"/>
    <cellStyle name="20% - Accent2 2 8 3" xfId="693" xr:uid="{00000000-0005-0000-0000-0000300A0000}"/>
    <cellStyle name="20% - Accent2 2 8 3 2" xfId="14672" xr:uid="{00000000-0005-0000-0000-0000310A0000}"/>
    <cellStyle name="20% - Accent2 2 8 3 2 2" xfId="28221" xr:uid="{00000000-0005-0000-0000-0000320A0000}"/>
    <cellStyle name="20% - Accent2 2 8 3 3" xfId="18017" xr:uid="{00000000-0005-0000-0000-0000330A0000}"/>
    <cellStyle name="20% - Accent2 2 8 4" xfId="694" xr:uid="{00000000-0005-0000-0000-0000340A0000}"/>
    <cellStyle name="20% - Accent2 2 8 4 2" xfId="16474" xr:uid="{00000000-0005-0000-0000-0000350A0000}"/>
    <cellStyle name="20% - Accent2 2 8 4 2 2" xfId="29881" xr:uid="{00000000-0005-0000-0000-0000360A0000}"/>
    <cellStyle name="20% - Accent2 2 8 4 3" xfId="18018" xr:uid="{00000000-0005-0000-0000-0000370A0000}"/>
    <cellStyle name="20% - Accent2 2 8 5" xfId="10518" xr:uid="{00000000-0005-0000-0000-0000380A0000}"/>
    <cellStyle name="20% - Accent2 2 8 5 2" xfId="24460" xr:uid="{00000000-0005-0000-0000-0000390A0000}"/>
    <cellStyle name="20% - Accent2 2 8 6" xfId="18015" xr:uid="{00000000-0005-0000-0000-00003A0A0000}"/>
    <cellStyle name="20% - Accent2 2 9" xfId="695" xr:uid="{00000000-0005-0000-0000-00003B0A0000}"/>
    <cellStyle name="20% - Accent2 2 9 2" xfId="696" xr:uid="{00000000-0005-0000-0000-00003C0A0000}"/>
    <cellStyle name="20% - Accent2 2 9 2 2" xfId="12778" xr:uid="{00000000-0005-0000-0000-00003D0A0000}"/>
    <cellStyle name="20% - Accent2 2 9 2 2 2" xfId="26490" xr:uid="{00000000-0005-0000-0000-00003E0A0000}"/>
    <cellStyle name="20% - Accent2 2 9 2 3" xfId="18020" xr:uid="{00000000-0005-0000-0000-00003F0A0000}"/>
    <cellStyle name="20% - Accent2 2 9 3" xfId="697" xr:uid="{00000000-0005-0000-0000-0000400A0000}"/>
    <cellStyle name="20% - Accent2 2 9 3 2" xfId="14673" xr:uid="{00000000-0005-0000-0000-0000410A0000}"/>
    <cellStyle name="20% - Accent2 2 9 3 2 2" xfId="28222" xr:uid="{00000000-0005-0000-0000-0000420A0000}"/>
    <cellStyle name="20% - Accent2 2 9 3 3" xfId="18021" xr:uid="{00000000-0005-0000-0000-0000430A0000}"/>
    <cellStyle name="20% - Accent2 2 9 4" xfId="10615" xr:uid="{00000000-0005-0000-0000-0000440A0000}"/>
    <cellStyle name="20% - Accent2 2 9 4 2" xfId="24557" xr:uid="{00000000-0005-0000-0000-0000450A0000}"/>
    <cellStyle name="20% - Accent2 2 9 5" xfId="18019" xr:uid="{00000000-0005-0000-0000-0000460A0000}"/>
    <cellStyle name="20% - Accent2 20" xfId="698" xr:uid="{00000000-0005-0000-0000-0000470A0000}"/>
    <cellStyle name="20% - Accent2 20 2" xfId="699" xr:uid="{00000000-0005-0000-0000-0000480A0000}"/>
    <cellStyle name="20% - Accent2 20 2 2" xfId="12666" xr:uid="{00000000-0005-0000-0000-0000490A0000}"/>
    <cellStyle name="20% - Accent2 20 2 2 2" xfId="26378" xr:uid="{00000000-0005-0000-0000-00004A0A0000}"/>
    <cellStyle name="20% - Accent2 20 2 3" xfId="18023" xr:uid="{00000000-0005-0000-0000-00004B0A0000}"/>
    <cellStyle name="20% - Accent2 20 3" xfId="700" xr:uid="{00000000-0005-0000-0000-00004C0A0000}"/>
    <cellStyle name="20% - Accent2 20 3 2" xfId="14674" xr:uid="{00000000-0005-0000-0000-00004D0A0000}"/>
    <cellStyle name="20% - Accent2 20 3 2 2" xfId="28223" xr:uid="{00000000-0005-0000-0000-00004E0A0000}"/>
    <cellStyle name="20% - Accent2 20 3 3" xfId="18024" xr:uid="{00000000-0005-0000-0000-00004F0A0000}"/>
    <cellStyle name="20% - Accent2 20 4" xfId="10493" xr:uid="{00000000-0005-0000-0000-0000500A0000}"/>
    <cellStyle name="20% - Accent2 20 4 2" xfId="24441" xr:uid="{00000000-0005-0000-0000-0000510A0000}"/>
    <cellStyle name="20% - Accent2 20 5" xfId="18022" xr:uid="{00000000-0005-0000-0000-0000520A0000}"/>
    <cellStyle name="20% - Accent2 21" xfId="701" xr:uid="{00000000-0005-0000-0000-0000530A0000}"/>
    <cellStyle name="20% - Accent2 21 2" xfId="702" xr:uid="{00000000-0005-0000-0000-0000540A0000}"/>
    <cellStyle name="20% - Accent2 21 2 2" xfId="12528" xr:uid="{00000000-0005-0000-0000-0000550A0000}"/>
    <cellStyle name="20% - Accent2 21 2 2 2" xfId="26240" xr:uid="{00000000-0005-0000-0000-0000560A0000}"/>
    <cellStyle name="20% - Accent2 21 2 3" xfId="18026" xr:uid="{00000000-0005-0000-0000-0000570A0000}"/>
    <cellStyle name="20% - Accent2 21 3" xfId="703" xr:uid="{00000000-0005-0000-0000-0000580A0000}"/>
    <cellStyle name="20% - Accent2 21 3 2" xfId="14675" xr:uid="{00000000-0005-0000-0000-0000590A0000}"/>
    <cellStyle name="20% - Accent2 21 3 2 2" xfId="28224" xr:uid="{00000000-0005-0000-0000-00005A0A0000}"/>
    <cellStyle name="20% - Accent2 21 3 3" xfId="18027" xr:uid="{00000000-0005-0000-0000-00005B0A0000}"/>
    <cellStyle name="20% - Accent2 21 4" xfId="10604" xr:uid="{00000000-0005-0000-0000-00005C0A0000}"/>
    <cellStyle name="20% - Accent2 21 4 2" xfId="24546" xr:uid="{00000000-0005-0000-0000-00005D0A0000}"/>
    <cellStyle name="20% - Accent2 21 5" xfId="18025" xr:uid="{00000000-0005-0000-0000-00005E0A0000}"/>
    <cellStyle name="20% - Accent2 22" xfId="704" xr:uid="{00000000-0005-0000-0000-00005F0A0000}"/>
    <cellStyle name="20% - Accent2 22 2" xfId="11729" xr:uid="{00000000-0005-0000-0000-0000600A0000}"/>
    <cellStyle name="20% - Accent2 22 2 2" xfId="25444" xr:uid="{00000000-0005-0000-0000-0000610A0000}"/>
    <cellStyle name="20% - Accent2 22 3" xfId="18028" xr:uid="{00000000-0005-0000-0000-0000620A0000}"/>
    <cellStyle name="20% - Accent2 23" xfId="705" xr:uid="{00000000-0005-0000-0000-0000630A0000}"/>
    <cellStyle name="20% - Accent2 23 2" xfId="12767" xr:uid="{00000000-0005-0000-0000-0000640A0000}"/>
    <cellStyle name="20% - Accent2 23 2 2" xfId="26479" xr:uid="{00000000-0005-0000-0000-0000650A0000}"/>
    <cellStyle name="20% - Accent2 23 3" xfId="18029" xr:uid="{00000000-0005-0000-0000-0000660A0000}"/>
    <cellStyle name="20% - Accent2 24" xfId="706" xr:uid="{00000000-0005-0000-0000-0000670A0000}"/>
    <cellStyle name="20% - Accent2 24 2" xfId="13368" xr:uid="{00000000-0005-0000-0000-0000680A0000}"/>
    <cellStyle name="20% - Accent2 24 2 2" xfId="26917" xr:uid="{00000000-0005-0000-0000-0000690A0000}"/>
    <cellStyle name="20% - Accent2 24 3" xfId="18030" xr:uid="{00000000-0005-0000-0000-00006A0A0000}"/>
    <cellStyle name="20% - Accent2 25" xfId="707" xr:uid="{00000000-0005-0000-0000-00006B0A0000}"/>
    <cellStyle name="20% - Accent2 25 2" xfId="13949" xr:uid="{00000000-0005-0000-0000-00006C0A0000}"/>
    <cellStyle name="20% - Accent2 25 2 2" xfId="27498" xr:uid="{00000000-0005-0000-0000-00006D0A0000}"/>
    <cellStyle name="20% - Accent2 25 3" xfId="18031" xr:uid="{00000000-0005-0000-0000-00006E0A0000}"/>
    <cellStyle name="20% - Accent2 26" xfId="708" xr:uid="{00000000-0005-0000-0000-00006F0A0000}"/>
    <cellStyle name="20% - Accent2 26 2" xfId="14632" xr:uid="{00000000-0005-0000-0000-0000700A0000}"/>
    <cellStyle name="20% - Accent2 26 2 2" xfId="28181" xr:uid="{00000000-0005-0000-0000-0000710A0000}"/>
    <cellStyle name="20% - Accent2 26 3" xfId="18032" xr:uid="{00000000-0005-0000-0000-0000720A0000}"/>
    <cellStyle name="20% - Accent2 27" xfId="709" xr:uid="{00000000-0005-0000-0000-0000730A0000}"/>
    <cellStyle name="20% - Accent2 27 2" xfId="15828" xr:uid="{00000000-0005-0000-0000-0000740A0000}"/>
    <cellStyle name="20% - Accent2 27 2 2" xfId="29235" xr:uid="{00000000-0005-0000-0000-0000750A0000}"/>
    <cellStyle name="20% - Accent2 27 3" xfId="18033" xr:uid="{00000000-0005-0000-0000-0000760A0000}"/>
    <cellStyle name="20% - Accent2 28" xfId="710" xr:uid="{00000000-0005-0000-0000-0000770A0000}"/>
    <cellStyle name="20% - Accent2 28 2" xfId="15835" xr:uid="{00000000-0005-0000-0000-0000780A0000}"/>
    <cellStyle name="20% - Accent2 28 2 2" xfId="29242" xr:uid="{00000000-0005-0000-0000-0000790A0000}"/>
    <cellStyle name="20% - Accent2 28 3" xfId="18034" xr:uid="{00000000-0005-0000-0000-00007A0A0000}"/>
    <cellStyle name="20% - Accent2 29" xfId="711" xr:uid="{00000000-0005-0000-0000-00007B0A0000}"/>
    <cellStyle name="20% - Accent2 29 2" xfId="8879" xr:uid="{00000000-0005-0000-0000-00007C0A0000}"/>
    <cellStyle name="20% - Accent2 29 2 2" xfId="23354" xr:uid="{00000000-0005-0000-0000-00007D0A0000}"/>
    <cellStyle name="20% - Accent2 29 3" xfId="18035" xr:uid="{00000000-0005-0000-0000-00007E0A0000}"/>
    <cellStyle name="20% - Accent2 3" xfId="712" xr:uid="{00000000-0005-0000-0000-00007F0A0000}"/>
    <cellStyle name="20% - Accent2 3 10" xfId="713" xr:uid="{00000000-0005-0000-0000-0000800A0000}"/>
    <cellStyle name="20% - Accent2 3 10 2" xfId="14030" xr:uid="{00000000-0005-0000-0000-0000810A0000}"/>
    <cellStyle name="20% - Accent2 3 10 2 2" xfId="27579" xr:uid="{00000000-0005-0000-0000-0000820A0000}"/>
    <cellStyle name="20% - Accent2 3 10 3" xfId="18037" xr:uid="{00000000-0005-0000-0000-0000830A0000}"/>
    <cellStyle name="20% - Accent2 3 11" xfId="714" xr:uid="{00000000-0005-0000-0000-0000840A0000}"/>
    <cellStyle name="20% - Accent2 3 11 2" xfId="14676" xr:uid="{00000000-0005-0000-0000-0000850A0000}"/>
    <cellStyle name="20% - Accent2 3 11 2 2" xfId="28225" xr:uid="{00000000-0005-0000-0000-0000860A0000}"/>
    <cellStyle name="20% - Accent2 3 11 3" xfId="18038" xr:uid="{00000000-0005-0000-0000-0000870A0000}"/>
    <cellStyle name="20% - Accent2 3 12" xfId="715" xr:uid="{00000000-0005-0000-0000-0000880A0000}"/>
    <cellStyle name="20% - Accent2 3 12 2" xfId="15916" xr:uid="{00000000-0005-0000-0000-0000890A0000}"/>
    <cellStyle name="20% - Accent2 3 12 2 2" xfId="29323" xr:uid="{00000000-0005-0000-0000-00008A0A0000}"/>
    <cellStyle name="20% - Accent2 3 12 3" xfId="18039" xr:uid="{00000000-0005-0000-0000-00008B0A0000}"/>
    <cellStyle name="20% - Accent2 3 13" xfId="8909" xr:uid="{00000000-0005-0000-0000-00008C0A0000}"/>
    <cellStyle name="20% - Accent2 3 13 2" xfId="23384" xr:uid="{00000000-0005-0000-0000-00008D0A0000}"/>
    <cellStyle name="20% - Accent2 3 14" xfId="18036" xr:uid="{00000000-0005-0000-0000-00008E0A0000}"/>
    <cellStyle name="20% - Accent2 3 2" xfId="716" xr:uid="{00000000-0005-0000-0000-00008F0A0000}"/>
    <cellStyle name="20% - Accent2 3 2 10" xfId="717" xr:uid="{00000000-0005-0000-0000-0000900A0000}"/>
    <cellStyle name="20% - Accent2 3 2 10 2" xfId="16059" xr:uid="{00000000-0005-0000-0000-0000910A0000}"/>
    <cellStyle name="20% - Accent2 3 2 10 2 2" xfId="29466" xr:uid="{00000000-0005-0000-0000-0000920A0000}"/>
    <cellStyle name="20% - Accent2 3 2 10 3" xfId="18041" xr:uid="{00000000-0005-0000-0000-0000930A0000}"/>
    <cellStyle name="20% - Accent2 3 2 11" xfId="8910" xr:uid="{00000000-0005-0000-0000-0000940A0000}"/>
    <cellStyle name="20% - Accent2 3 2 11 2" xfId="23385" xr:uid="{00000000-0005-0000-0000-0000950A0000}"/>
    <cellStyle name="20% - Accent2 3 2 12" xfId="18040" xr:uid="{00000000-0005-0000-0000-0000960A0000}"/>
    <cellStyle name="20% - Accent2 3 2 2" xfId="718" xr:uid="{00000000-0005-0000-0000-0000970A0000}"/>
    <cellStyle name="20% - Accent2 3 2 2 10" xfId="8911" xr:uid="{00000000-0005-0000-0000-0000980A0000}"/>
    <cellStyle name="20% - Accent2 3 2 2 10 2" xfId="23386" xr:uid="{00000000-0005-0000-0000-0000990A0000}"/>
    <cellStyle name="20% - Accent2 3 2 2 11" xfId="18042" xr:uid="{00000000-0005-0000-0000-00009A0A0000}"/>
    <cellStyle name="20% - Accent2 3 2 2 2" xfId="719" xr:uid="{00000000-0005-0000-0000-00009B0A0000}"/>
    <cellStyle name="20% - Accent2 3 2 2 2 2" xfId="720" xr:uid="{00000000-0005-0000-0000-00009C0A0000}"/>
    <cellStyle name="20% - Accent2 3 2 2 2 2 2" xfId="10637" xr:uid="{00000000-0005-0000-0000-00009D0A0000}"/>
    <cellStyle name="20% - Accent2 3 2 2 2 2 2 2" xfId="24579" xr:uid="{00000000-0005-0000-0000-00009E0A0000}"/>
    <cellStyle name="20% - Accent2 3 2 2 2 2 3" xfId="18044" xr:uid="{00000000-0005-0000-0000-00009F0A0000}"/>
    <cellStyle name="20% - Accent2 3 2 2 2 3" xfId="721" xr:uid="{00000000-0005-0000-0000-0000A00A0000}"/>
    <cellStyle name="20% - Accent2 3 2 2 2 3 2" xfId="12719" xr:uid="{00000000-0005-0000-0000-0000A10A0000}"/>
    <cellStyle name="20% - Accent2 3 2 2 2 3 2 2" xfId="26431" xr:uid="{00000000-0005-0000-0000-0000A20A0000}"/>
    <cellStyle name="20% - Accent2 3 2 2 2 3 3" xfId="18045" xr:uid="{00000000-0005-0000-0000-0000A30A0000}"/>
    <cellStyle name="20% - Accent2 3 2 2 2 4" xfId="722" xr:uid="{00000000-0005-0000-0000-0000A40A0000}"/>
    <cellStyle name="20% - Accent2 3 2 2 2 4 2" xfId="14679" xr:uid="{00000000-0005-0000-0000-0000A50A0000}"/>
    <cellStyle name="20% - Accent2 3 2 2 2 4 2 2" xfId="28228" xr:uid="{00000000-0005-0000-0000-0000A60A0000}"/>
    <cellStyle name="20% - Accent2 3 2 2 2 4 3" xfId="18046" xr:uid="{00000000-0005-0000-0000-0000A70A0000}"/>
    <cellStyle name="20% - Accent2 3 2 2 2 5" xfId="723" xr:uid="{00000000-0005-0000-0000-0000A80A0000}"/>
    <cellStyle name="20% - Accent2 3 2 2 2 5 2" xfId="16929" xr:uid="{00000000-0005-0000-0000-0000A90A0000}"/>
    <cellStyle name="20% - Accent2 3 2 2 2 5 2 2" xfId="30336" xr:uid="{00000000-0005-0000-0000-0000AA0A0000}"/>
    <cellStyle name="20% - Accent2 3 2 2 2 5 3" xfId="18047" xr:uid="{00000000-0005-0000-0000-0000AB0A0000}"/>
    <cellStyle name="20% - Accent2 3 2 2 2 6" xfId="8912" xr:uid="{00000000-0005-0000-0000-0000AC0A0000}"/>
    <cellStyle name="20% - Accent2 3 2 2 2 6 2" xfId="23387" xr:uid="{00000000-0005-0000-0000-0000AD0A0000}"/>
    <cellStyle name="20% - Accent2 3 2 2 2 7" xfId="18043" xr:uid="{00000000-0005-0000-0000-0000AE0A0000}"/>
    <cellStyle name="20% - Accent2 3 2 2 3" xfId="724" xr:uid="{00000000-0005-0000-0000-0000AF0A0000}"/>
    <cellStyle name="20% - Accent2 3 2 2 3 2" xfId="725" xr:uid="{00000000-0005-0000-0000-0000B00A0000}"/>
    <cellStyle name="20% - Accent2 3 2 2 3 2 2" xfId="14680" xr:uid="{00000000-0005-0000-0000-0000B10A0000}"/>
    <cellStyle name="20% - Accent2 3 2 2 3 2 2 2" xfId="28229" xr:uid="{00000000-0005-0000-0000-0000B20A0000}"/>
    <cellStyle name="20% - Accent2 3 2 2 3 2 3" xfId="18049" xr:uid="{00000000-0005-0000-0000-0000B30A0000}"/>
    <cellStyle name="20% - Accent2 3 2 2 3 3" xfId="10636" xr:uid="{00000000-0005-0000-0000-0000B40A0000}"/>
    <cellStyle name="20% - Accent2 3 2 2 3 3 2" xfId="24578" xr:uid="{00000000-0005-0000-0000-0000B50A0000}"/>
    <cellStyle name="20% - Accent2 3 2 2 3 4" xfId="18048" xr:uid="{00000000-0005-0000-0000-0000B60A0000}"/>
    <cellStyle name="20% - Accent2 3 2 2 4" xfId="726" xr:uid="{00000000-0005-0000-0000-0000B70A0000}"/>
    <cellStyle name="20% - Accent2 3 2 2 4 2" xfId="12317" xr:uid="{00000000-0005-0000-0000-0000B80A0000}"/>
    <cellStyle name="20% - Accent2 3 2 2 4 2 2" xfId="26029" xr:uid="{00000000-0005-0000-0000-0000B90A0000}"/>
    <cellStyle name="20% - Accent2 3 2 2 4 3" xfId="18050" xr:uid="{00000000-0005-0000-0000-0000BA0A0000}"/>
    <cellStyle name="20% - Accent2 3 2 2 5" xfId="727" xr:uid="{00000000-0005-0000-0000-0000BB0A0000}"/>
    <cellStyle name="20% - Accent2 3 2 2 5 2" xfId="12745" xr:uid="{00000000-0005-0000-0000-0000BC0A0000}"/>
    <cellStyle name="20% - Accent2 3 2 2 5 2 2" xfId="26457" xr:uid="{00000000-0005-0000-0000-0000BD0A0000}"/>
    <cellStyle name="20% - Accent2 3 2 2 5 3" xfId="18051" xr:uid="{00000000-0005-0000-0000-0000BE0A0000}"/>
    <cellStyle name="20% - Accent2 3 2 2 6" xfId="728" xr:uid="{00000000-0005-0000-0000-0000BF0A0000}"/>
    <cellStyle name="20% - Accent2 3 2 2 6 2" xfId="13881" xr:uid="{00000000-0005-0000-0000-0000C00A0000}"/>
    <cellStyle name="20% - Accent2 3 2 2 6 2 2" xfId="27430" xr:uid="{00000000-0005-0000-0000-0000C10A0000}"/>
    <cellStyle name="20% - Accent2 3 2 2 6 3" xfId="18052" xr:uid="{00000000-0005-0000-0000-0000C20A0000}"/>
    <cellStyle name="20% - Accent2 3 2 2 7" xfId="729" xr:uid="{00000000-0005-0000-0000-0000C30A0000}"/>
    <cellStyle name="20% - Accent2 3 2 2 7 2" xfId="14462" xr:uid="{00000000-0005-0000-0000-0000C40A0000}"/>
    <cellStyle name="20% - Accent2 3 2 2 7 2 2" xfId="28011" xr:uid="{00000000-0005-0000-0000-0000C50A0000}"/>
    <cellStyle name="20% - Accent2 3 2 2 7 3" xfId="18053" xr:uid="{00000000-0005-0000-0000-0000C60A0000}"/>
    <cellStyle name="20% - Accent2 3 2 2 8" xfId="730" xr:uid="{00000000-0005-0000-0000-0000C70A0000}"/>
    <cellStyle name="20% - Accent2 3 2 2 8 2" xfId="14678" xr:uid="{00000000-0005-0000-0000-0000C80A0000}"/>
    <cellStyle name="20% - Accent2 3 2 2 8 2 2" xfId="28227" xr:uid="{00000000-0005-0000-0000-0000C90A0000}"/>
    <cellStyle name="20% - Accent2 3 2 2 8 3" xfId="18054" xr:uid="{00000000-0005-0000-0000-0000CA0A0000}"/>
    <cellStyle name="20% - Accent2 3 2 2 9" xfId="731" xr:uid="{00000000-0005-0000-0000-0000CB0A0000}"/>
    <cellStyle name="20% - Accent2 3 2 2 9 2" xfId="16348" xr:uid="{00000000-0005-0000-0000-0000CC0A0000}"/>
    <cellStyle name="20% - Accent2 3 2 2 9 2 2" xfId="29755" xr:uid="{00000000-0005-0000-0000-0000CD0A0000}"/>
    <cellStyle name="20% - Accent2 3 2 2 9 3" xfId="18055" xr:uid="{00000000-0005-0000-0000-0000CE0A0000}"/>
    <cellStyle name="20% - Accent2 3 2 3" xfId="732" xr:uid="{00000000-0005-0000-0000-0000CF0A0000}"/>
    <cellStyle name="20% - Accent2 3 2 3 2" xfId="733" xr:uid="{00000000-0005-0000-0000-0000D00A0000}"/>
    <cellStyle name="20% - Accent2 3 2 3 2 2" xfId="10638" xr:uid="{00000000-0005-0000-0000-0000D10A0000}"/>
    <cellStyle name="20% - Accent2 3 2 3 2 2 2" xfId="24580" xr:uid="{00000000-0005-0000-0000-0000D20A0000}"/>
    <cellStyle name="20% - Accent2 3 2 3 2 3" xfId="18057" xr:uid="{00000000-0005-0000-0000-0000D30A0000}"/>
    <cellStyle name="20% - Accent2 3 2 3 3" xfId="734" xr:uid="{00000000-0005-0000-0000-0000D40A0000}"/>
    <cellStyle name="20% - Accent2 3 2 3 3 2" xfId="12641" xr:uid="{00000000-0005-0000-0000-0000D50A0000}"/>
    <cellStyle name="20% - Accent2 3 2 3 3 2 2" xfId="26353" xr:uid="{00000000-0005-0000-0000-0000D60A0000}"/>
    <cellStyle name="20% - Accent2 3 2 3 3 3" xfId="18058" xr:uid="{00000000-0005-0000-0000-0000D70A0000}"/>
    <cellStyle name="20% - Accent2 3 2 3 4" xfId="735" xr:uid="{00000000-0005-0000-0000-0000D80A0000}"/>
    <cellStyle name="20% - Accent2 3 2 3 4 2" xfId="14681" xr:uid="{00000000-0005-0000-0000-0000D90A0000}"/>
    <cellStyle name="20% - Accent2 3 2 3 4 2 2" xfId="28230" xr:uid="{00000000-0005-0000-0000-0000DA0A0000}"/>
    <cellStyle name="20% - Accent2 3 2 3 4 3" xfId="18059" xr:uid="{00000000-0005-0000-0000-0000DB0A0000}"/>
    <cellStyle name="20% - Accent2 3 2 3 5" xfId="736" xr:uid="{00000000-0005-0000-0000-0000DC0A0000}"/>
    <cellStyle name="20% - Accent2 3 2 3 5 2" xfId="16640" xr:uid="{00000000-0005-0000-0000-0000DD0A0000}"/>
    <cellStyle name="20% - Accent2 3 2 3 5 2 2" xfId="30047" xr:uid="{00000000-0005-0000-0000-0000DE0A0000}"/>
    <cellStyle name="20% - Accent2 3 2 3 5 3" xfId="18060" xr:uid="{00000000-0005-0000-0000-0000DF0A0000}"/>
    <cellStyle name="20% - Accent2 3 2 3 6" xfId="8913" xr:uid="{00000000-0005-0000-0000-0000E00A0000}"/>
    <cellStyle name="20% - Accent2 3 2 3 6 2" xfId="23388" xr:uid="{00000000-0005-0000-0000-0000E10A0000}"/>
    <cellStyle name="20% - Accent2 3 2 3 7" xfId="18056" xr:uid="{00000000-0005-0000-0000-0000E20A0000}"/>
    <cellStyle name="20% - Accent2 3 2 4" xfId="737" xr:uid="{00000000-0005-0000-0000-0000E30A0000}"/>
    <cellStyle name="20% - Accent2 3 2 4 2" xfId="738" xr:uid="{00000000-0005-0000-0000-0000E40A0000}"/>
    <cellStyle name="20% - Accent2 3 2 4 2 2" xfId="14682" xr:uid="{00000000-0005-0000-0000-0000E50A0000}"/>
    <cellStyle name="20% - Accent2 3 2 4 2 2 2" xfId="28231" xr:uid="{00000000-0005-0000-0000-0000E60A0000}"/>
    <cellStyle name="20% - Accent2 3 2 4 2 3" xfId="18062" xr:uid="{00000000-0005-0000-0000-0000E70A0000}"/>
    <cellStyle name="20% - Accent2 3 2 4 3" xfId="10635" xr:uid="{00000000-0005-0000-0000-0000E80A0000}"/>
    <cellStyle name="20% - Accent2 3 2 4 3 2" xfId="24577" xr:uid="{00000000-0005-0000-0000-0000E90A0000}"/>
    <cellStyle name="20% - Accent2 3 2 4 4" xfId="18061" xr:uid="{00000000-0005-0000-0000-0000EA0A0000}"/>
    <cellStyle name="20% - Accent2 3 2 5" xfId="739" xr:uid="{00000000-0005-0000-0000-0000EB0A0000}"/>
    <cellStyle name="20% - Accent2 3 2 5 2" xfId="12017" xr:uid="{00000000-0005-0000-0000-0000EC0A0000}"/>
    <cellStyle name="20% - Accent2 3 2 5 2 2" xfId="25732" xr:uid="{00000000-0005-0000-0000-0000ED0A0000}"/>
    <cellStyle name="20% - Accent2 3 2 5 3" xfId="18063" xr:uid="{00000000-0005-0000-0000-0000EE0A0000}"/>
    <cellStyle name="20% - Accent2 3 2 6" xfId="740" xr:uid="{00000000-0005-0000-0000-0000EF0A0000}"/>
    <cellStyle name="20% - Accent2 3 2 6 2" xfId="12631" xr:uid="{00000000-0005-0000-0000-0000F00A0000}"/>
    <cellStyle name="20% - Accent2 3 2 6 2 2" xfId="26343" xr:uid="{00000000-0005-0000-0000-0000F10A0000}"/>
    <cellStyle name="20% - Accent2 3 2 6 3" xfId="18064" xr:uid="{00000000-0005-0000-0000-0000F20A0000}"/>
    <cellStyle name="20% - Accent2 3 2 7" xfId="741" xr:uid="{00000000-0005-0000-0000-0000F30A0000}"/>
    <cellStyle name="20% - Accent2 3 2 7 2" xfId="13592" xr:uid="{00000000-0005-0000-0000-0000F40A0000}"/>
    <cellStyle name="20% - Accent2 3 2 7 2 2" xfId="27141" xr:uid="{00000000-0005-0000-0000-0000F50A0000}"/>
    <cellStyle name="20% - Accent2 3 2 7 3" xfId="18065" xr:uid="{00000000-0005-0000-0000-0000F60A0000}"/>
    <cellStyle name="20% - Accent2 3 2 8" xfId="742" xr:uid="{00000000-0005-0000-0000-0000F70A0000}"/>
    <cellStyle name="20% - Accent2 3 2 8 2" xfId="14173" xr:uid="{00000000-0005-0000-0000-0000F80A0000}"/>
    <cellStyle name="20% - Accent2 3 2 8 2 2" xfId="27722" xr:uid="{00000000-0005-0000-0000-0000F90A0000}"/>
    <cellStyle name="20% - Accent2 3 2 8 3" xfId="18066" xr:uid="{00000000-0005-0000-0000-0000FA0A0000}"/>
    <cellStyle name="20% - Accent2 3 2 9" xfId="743" xr:uid="{00000000-0005-0000-0000-0000FB0A0000}"/>
    <cellStyle name="20% - Accent2 3 2 9 2" xfId="14677" xr:uid="{00000000-0005-0000-0000-0000FC0A0000}"/>
    <cellStyle name="20% - Accent2 3 2 9 2 2" xfId="28226" xr:uid="{00000000-0005-0000-0000-0000FD0A0000}"/>
    <cellStyle name="20% - Accent2 3 2 9 3" xfId="18067" xr:uid="{00000000-0005-0000-0000-0000FE0A0000}"/>
    <cellStyle name="20% - Accent2 3 3" xfId="744" xr:uid="{00000000-0005-0000-0000-0000FF0A0000}"/>
    <cellStyle name="20% - Accent2 3 3 10" xfId="8914" xr:uid="{00000000-0005-0000-0000-0000000B0000}"/>
    <cellStyle name="20% - Accent2 3 3 10 2" xfId="23389" xr:uid="{00000000-0005-0000-0000-0000010B0000}"/>
    <cellStyle name="20% - Accent2 3 3 11" xfId="18068" xr:uid="{00000000-0005-0000-0000-0000020B0000}"/>
    <cellStyle name="20% - Accent2 3 3 2" xfId="745" xr:uid="{00000000-0005-0000-0000-0000030B0000}"/>
    <cellStyle name="20% - Accent2 3 3 2 2" xfId="746" xr:uid="{00000000-0005-0000-0000-0000040B0000}"/>
    <cellStyle name="20% - Accent2 3 3 2 2 2" xfId="10640" xr:uid="{00000000-0005-0000-0000-0000050B0000}"/>
    <cellStyle name="20% - Accent2 3 3 2 2 2 2" xfId="24582" xr:uid="{00000000-0005-0000-0000-0000060B0000}"/>
    <cellStyle name="20% - Accent2 3 3 2 2 3" xfId="18070" xr:uid="{00000000-0005-0000-0000-0000070B0000}"/>
    <cellStyle name="20% - Accent2 3 3 2 3" xfId="747" xr:uid="{00000000-0005-0000-0000-0000080B0000}"/>
    <cellStyle name="20% - Accent2 3 3 2 3 2" xfId="12780" xr:uid="{00000000-0005-0000-0000-0000090B0000}"/>
    <cellStyle name="20% - Accent2 3 3 2 3 2 2" xfId="26492" xr:uid="{00000000-0005-0000-0000-00000A0B0000}"/>
    <cellStyle name="20% - Accent2 3 3 2 3 3" xfId="18071" xr:uid="{00000000-0005-0000-0000-00000B0B0000}"/>
    <cellStyle name="20% - Accent2 3 3 2 4" xfId="748" xr:uid="{00000000-0005-0000-0000-00000C0B0000}"/>
    <cellStyle name="20% - Accent2 3 3 2 4 2" xfId="14684" xr:uid="{00000000-0005-0000-0000-00000D0B0000}"/>
    <cellStyle name="20% - Accent2 3 3 2 4 2 2" xfId="28233" xr:uid="{00000000-0005-0000-0000-00000E0B0000}"/>
    <cellStyle name="20% - Accent2 3 3 2 4 3" xfId="18072" xr:uid="{00000000-0005-0000-0000-00000F0B0000}"/>
    <cellStyle name="20% - Accent2 3 3 2 5" xfId="749" xr:uid="{00000000-0005-0000-0000-0000100B0000}"/>
    <cellStyle name="20% - Accent2 3 3 2 5 2" xfId="16786" xr:uid="{00000000-0005-0000-0000-0000110B0000}"/>
    <cellStyle name="20% - Accent2 3 3 2 5 2 2" xfId="30193" xr:uid="{00000000-0005-0000-0000-0000120B0000}"/>
    <cellStyle name="20% - Accent2 3 3 2 5 3" xfId="18073" xr:uid="{00000000-0005-0000-0000-0000130B0000}"/>
    <cellStyle name="20% - Accent2 3 3 2 6" xfId="8915" xr:uid="{00000000-0005-0000-0000-0000140B0000}"/>
    <cellStyle name="20% - Accent2 3 3 2 6 2" xfId="23390" xr:uid="{00000000-0005-0000-0000-0000150B0000}"/>
    <cellStyle name="20% - Accent2 3 3 2 7" xfId="18069" xr:uid="{00000000-0005-0000-0000-0000160B0000}"/>
    <cellStyle name="20% - Accent2 3 3 3" xfId="750" xr:uid="{00000000-0005-0000-0000-0000170B0000}"/>
    <cellStyle name="20% - Accent2 3 3 3 2" xfId="751" xr:uid="{00000000-0005-0000-0000-0000180B0000}"/>
    <cellStyle name="20% - Accent2 3 3 3 2 2" xfId="14685" xr:uid="{00000000-0005-0000-0000-0000190B0000}"/>
    <cellStyle name="20% - Accent2 3 3 3 2 2 2" xfId="28234" xr:uid="{00000000-0005-0000-0000-00001A0B0000}"/>
    <cellStyle name="20% - Accent2 3 3 3 2 3" xfId="18075" xr:uid="{00000000-0005-0000-0000-00001B0B0000}"/>
    <cellStyle name="20% - Accent2 3 3 3 3" xfId="10639" xr:uid="{00000000-0005-0000-0000-00001C0B0000}"/>
    <cellStyle name="20% - Accent2 3 3 3 3 2" xfId="24581" xr:uid="{00000000-0005-0000-0000-00001D0B0000}"/>
    <cellStyle name="20% - Accent2 3 3 3 4" xfId="18074" xr:uid="{00000000-0005-0000-0000-00001E0B0000}"/>
    <cellStyle name="20% - Accent2 3 3 4" xfId="752" xr:uid="{00000000-0005-0000-0000-00001F0B0000}"/>
    <cellStyle name="20% - Accent2 3 3 4 2" xfId="12174" xr:uid="{00000000-0005-0000-0000-0000200B0000}"/>
    <cellStyle name="20% - Accent2 3 3 4 2 2" xfId="25886" xr:uid="{00000000-0005-0000-0000-0000210B0000}"/>
    <cellStyle name="20% - Accent2 3 3 4 3" xfId="18076" xr:uid="{00000000-0005-0000-0000-0000220B0000}"/>
    <cellStyle name="20% - Accent2 3 3 5" xfId="753" xr:uid="{00000000-0005-0000-0000-0000230B0000}"/>
    <cellStyle name="20% - Accent2 3 3 5 2" xfId="12723" xr:uid="{00000000-0005-0000-0000-0000240B0000}"/>
    <cellStyle name="20% - Accent2 3 3 5 2 2" xfId="26435" xr:uid="{00000000-0005-0000-0000-0000250B0000}"/>
    <cellStyle name="20% - Accent2 3 3 5 3" xfId="18077" xr:uid="{00000000-0005-0000-0000-0000260B0000}"/>
    <cellStyle name="20% - Accent2 3 3 6" xfId="754" xr:uid="{00000000-0005-0000-0000-0000270B0000}"/>
    <cellStyle name="20% - Accent2 3 3 6 2" xfId="13738" xr:uid="{00000000-0005-0000-0000-0000280B0000}"/>
    <cellStyle name="20% - Accent2 3 3 6 2 2" xfId="27287" xr:uid="{00000000-0005-0000-0000-0000290B0000}"/>
    <cellStyle name="20% - Accent2 3 3 6 3" xfId="18078" xr:uid="{00000000-0005-0000-0000-00002A0B0000}"/>
    <cellStyle name="20% - Accent2 3 3 7" xfId="755" xr:uid="{00000000-0005-0000-0000-00002B0B0000}"/>
    <cellStyle name="20% - Accent2 3 3 7 2" xfId="14319" xr:uid="{00000000-0005-0000-0000-00002C0B0000}"/>
    <cellStyle name="20% - Accent2 3 3 7 2 2" xfId="27868" xr:uid="{00000000-0005-0000-0000-00002D0B0000}"/>
    <cellStyle name="20% - Accent2 3 3 7 3" xfId="18079" xr:uid="{00000000-0005-0000-0000-00002E0B0000}"/>
    <cellStyle name="20% - Accent2 3 3 8" xfId="756" xr:uid="{00000000-0005-0000-0000-00002F0B0000}"/>
    <cellStyle name="20% - Accent2 3 3 8 2" xfId="14683" xr:uid="{00000000-0005-0000-0000-0000300B0000}"/>
    <cellStyle name="20% - Accent2 3 3 8 2 2" xfId="28232" xr:uid="{00000000-0005-0000-0000-0000310B0000}"/>
    <cellStyle name="20% - Accent2 3 3 8 3" xfId="18080" xr:uid="{00000000-0005-0000-0000-0000320B0000}"/>
    <cellStyle name="20% - Accent2 3 3 9" xfId="757" xr:uid="{00000000-0005-0000-0000-0000330B0000}"/>
    <cellStyle name="20% - Accent2 3 3 9 2" xfId="16205" xr:uid="{00000000-0005-0000-0000-0000340B0000}"/>
    <cellStyle name="20% - Accent2 3 3 9 2 2" xfId="29612" xr:uid="{00000000-0005-0000-0000-0000350B0000}"/>
    <cellStyle name="20% - Accent2 3 3 9 3" xfId="18081" xr:uid="{00000000-0005-0000-0000-0000360B0000}"/>
    <cellStyle name="20% - Accent2 3 4" xfId="758" xr:uid="{00000000-0005-0000-0000-0000370B0000}"/>
    <cellStyle name="20% - Accent2 3 4 2" xfId="759" xr:uid="{00000000-0005-0000-0000-0000380B0000}"/>
    <cellStyle name="20% - Accent2 3 4 2 2" xfId="10641" xr:uid="{00000000-0005-0000-0000-0000390B0000}"/>
    <cellStyle name="20% - Accent2 3 4 2 2 2" xfId="24583" xr:uid="{00000000-0005-0000-0000-00003A0B0000}"/>
    <cellStyle name="20% - Accent2 3 4 2 3" xfId="18083" xr:uid="{00000000-0005-0000-0000-00003B0B0000}"/>
    <cellStyle name="20% - Accent2 3 4 3" xfId="760" xr:uid="{00000000-0005-0000-0000-00003C0B0000}"/>
    <cellStyle name="20% - Accent2 3 4 3 2" xfId="12747" xr:uid="{00000000-0005-0000-0000-00003D0B0000}"/>
    <cellStyle name="20% - Accent2 3 4 3 2 2" xfId="26459" xr:uid="{00000000-0005-0000-0000-00003E0B0000}"/>
    <cellStyle name="20% - Accent2 3 4 3 3" xfId="18084" xr:uid="{00000000-0005-0000-0000-00003F0B0000}"/>
    <cellStyle name="20% - Accent2 3 4 4" xfId="761" xr:uid="{00000000-0005-0000-0000-0000400B0000}"/>
    <cellStyle name="20% - Accent2 3 4 4 2" xfId="14686" xr:uid="{00000000-0005-0000-0000-0000410B0000}"/>
    <cellStyle name="20% - Accent2 3 4 4 2 2" xfId="28235" xr:uid="{00000000-0005-0000-0000-0000420B0000}"/>
    <cellStyle name="20% - Accent2 3 4 4 3" xfId="18085" xr:uid="{00000000-0005-0000-0000-0000430B0000}"/>
    <cellStyle name="20% - Accent2 3 4 5" xfId="762" xr:uid="{00000000-0005-0000-0000-0000440B0000}"/>
    <cellStyle name="20% - Accent2 3 4 5 2" xfId="17133" xr:uid="{00000000-0005-0000-0000-0000450B0000}"/>
    <cellStyle name="20% - Accent2 3 4 5 2 2" xfId="30492" xr:uid="{00000000-0005-0000-0000-0000460B0000}"/>
    <cellStyle name="20% - Accent2 3 4 5 3" xfId="18086" xr:uid="{00000000-0005-0000-0000-0000470B0000}"/>
    <cellStyle name="20% - Accent2 3 4 6" xfId="8916" xr:uid="{00000000-0005-0000-0000-0000480B0000}"/>
    <cellStyle name="20% - Accent2 3 4 6 2" xfId="23391" xr:uid="{00000000-0005-0000-0000-0000490B0000}"/>
    <cellStyle name="20% - Accent2 3 4 7" xfId="18082" xr:uid="{00000000-0005-0000-0000-00004A0B0000}"/>
    <cellStyle name="20% - Accent2 3 5" xfId="763" xr:uid="{00000000-0005-0000-0000-00004B0B0000}"/>
    <cellStyle name="20% - Accent2 3 5 2" xfId="764" xr:uid="{00000000-0005-0000-0000-00004C0B0000}"/>
    <cellStyle name="20% - Accent2 3 5 2 2" xfId="10642" xr:uid="{00000000-0005-0000-0000-00004D0B0000}"/>
    <cellStyle name="20% - Accent2 3 5 2 2 2" xfId="24584" xr:uid="{00000000-0005-0000-0000-00004E0B0000}"/>
    <cellStyle name="20% - Accent2 3 5 2 3" xfId="18088" xr:uid="{00000000-0005-0000-0000-00004F0B0000}"/>
    <cellStyle name="20% - Accent2 3 5 3" xfId="765" xr:uid="{00000000-0005-0000-0000-0000500B0000}"/>
    <cellStyle name="20% - Accent2 3 5 3 2" xfId="12413" xr:uid="{00000000-0005-0000-0000-0000510B0000}"/>
    <cellStyle name="20% - Accent2 3 5 3 2 2" xfId="26125" xr:uid="{00000000-0005-0000-0000-0000520B0000}"/>
    <cellStyle name="20% - Accent2 3 5 3 3" xfId="18089" xr:uid="{00000000-0005-0000-0000-0000530B0000}"/>
    <cellStyle name="20% - Accent2 3 5 4" xfId="766" xr:uid="{00000000-0005-0000-0000-0000540B0000}"/>
    <cellStyle name="20% - Accent2 3 5 4 2" xfId="14687" xr:uid="{00000000-0005-0000-0000-0000550B0000}"/>
    <cellStyle name="20% - Accent2 3 5 4 2 2" xfId="28236" xr:uid="{00000000-0005-0000-0000-0000560B0000}"/>
    <cellStyle name="20% - Accent2 3 5 4 3" xfId="18090" xr:uid="{00000000-0005-0000-0000-0000570B0000}"/>
    <cellStyle name="20% - Accent2 3 5 5" xfId="767" xr:uid="{00000000-0005-0000-0000-0000580B0000}"/>
    <cellStyle name="20% - Accent2 3 5 5 2" xfId="17222" xr:uid="{00000000-0005-0000-0000-0000590B0000}"/>
    <cellStyle name="20% - Accent2 3 5 5 2 2" xfId="30581" xr:uid="{00000000-0005-0000-0000-00005A0B0000}"/>
    <cellStyle name="20% - Accent2 3 5 5 3" xfId="18091" xr:uid="{00000000-0005-0000-0000-00005B0B0000}"/>
    <cellStyle name="20% - Accent2 3 5 6" xfId="8917" xr:uid="{00000000-0005-0000-0000-00005C0B0000}"/>
    <cellStyle name="20% - Accent2 3 5 6 2" xfId="23392" xr:uid="{00000000-0005-0000-0000-00005D0B0000}"/>
    <cellStyle name="20% - Accent2 3 5 7" xfId="18087" xr:uid="{00000000-0005-0000-0000-00005E0B0000}"/>
    <cellStyle name="20% - Accent2 3 6" xfId="768" xr:uid="{00000000-0005-0000-0000-00005F0B0000}"/>
    <cellStyle name="20% - Accent2 3 6 2" xfId="769" xr:uid="{00000000-0005-0000-0000-0000600B0000}"/>
    <cellStyle name="20% - Accent2 3 6 2 2" xfId="14688" xr:uid="{00000000-0005-0000-0000-0000610B0000}"/>
    <cellStyle name="20% - Accent2 3 6 2 2 2" xfId="28237" xr:uid="{00000000-0005-0000-0000-0000620B0000}"/>
    <cellStyle name="20% - Accent2 3 6 2 3" xfId="18093" xr:uid="{00000000-0005-0000-0000-0000630B0000}"/>
    <cellStyle name="20% - Accent2 3 6 3" xfId="770" xr:uid="{00000000-0005-0000-0000-0000640B0000}"/>
    <cellStyle name="20% - Accent2 3 6 3 2" xfId="16497" xr:uid="{00000000-0005-0000-0000-0000650B0000}"/>
    <cellStyle name="20% - Accent2 3 6 3 2 2" xfId="29904" xr:uid="{00000000-0005-0000-0000-0000660B0000}"/>
    <cellStyle name="20% - Accent2 3 6 3 3" xfId="18094" xr:uid="{00000000-0005-0000-0000-0000670B0000}"/>
    <cellStyle name="20% - Accent2 3 6 4" xfId="10634" xr:uid="{00000000-0005-0000-0000-0000680B0000}"/>
    <cellStyle name="20% - Accent2 3 6 4 2" xfId="24576" xr:uid="{00000000-0005-0000-0000-0000690B0000}"/>
    <cellStyle name="20% - Accent2 3 6 5" xfId="18092" xr:uid="{00000000-0005-0000-0000-00006A0B0000}"/>
    <cellStyle name="20% - Accent2 3 7" xfId="771" xr:uid="{00000000-0005-0000-0000-00006B0B0000}"/>
    <cellStyle name="20% - Accent2 3 7 2" xfId="11869" xr:uid="{00000000-0005-0000-0000-00006C0B0000}"/>
    <cellStyle name="20% - Accent2 3 7 2 2" xfId="25584" xr:uid="{00000000-0005-0000-0000-00006D0B0000}"/>
    <cellStyle name="20% - Accent2 3 7 3" xfId="18095" xr:uid="{00000000-0005-0000-0000-00006E0B0000}"/>
    <cellStyle name="20% - Accent2 3 8" xfId="772" xr:uid="{00000000-0005-0000-0000-00006F0B0000}"/>
    <cellStyle name="20% - Accent2 3 8 2" xfId="12744" xr:uid="{00000000-0005-0000-0000-0000700B0000}"/>
    <cellStyle name="20% - Accent2 3 8 2 2" xfId="26456" xr:uid="{00000000-0005-0000-0000-0000710B0000}"/>
    <cellStyle name="20% - Accent2 3 8 3" xfId="18096" xr:uid="{00000000-0005-0000-0000-0000720B0000}"/>
    <cellStyle name="20% - Accent2 3 9" xfId="773" xr:uid="{00000000-0005-0000-0000-0000730B0000}"/>
    <cellStyle name="20% - Accent2 3 9 2" xfId="13449" xr:uid="{00000000-0005-0000-0000-0000740B0000}"/>
    <cellStyle name="20% - Accent2 3 9 2 2" xfId="26998" xr:uid="{00000000-0005-0000-0000-0000750B0000}"/>
    <cellStyle name="20% - Accent2 3 9 3" xfId="18097" xr:uid="{00000000-0005-0000-0000-0000760B0000}"/>
    <cellStyle name="20% - Accent2 30" xfId="23239" xr:uid="{00000000-0005-0000-0000-0000770B0000}"/>
    <cellStyle name="20% - Accent2 4" xfId="774" xr:uid="{00000000-0005-0000-0000-0000780B0000}"/>
    <cellStyle name="20% - Accent2 4 10" xfId="775" xr:uid="{00000000-0005-0000-0000-0000790B0000}"/>
    <cellStyle name="20% - Accent2 4 10 2" xfId="14689" xr:uid="{00000000-0005-0000-0000-00007A0B0000}"/>
    <cellStyle name="20% - Accent2 4 10 2 2" xfId="28238" xr:uid="{00000000-0005-0000-0000-00007B0B0000}"/>
    <cellStyle name="20% - Accent2 4 10 3" xfId="18099" xr:uid="{00000000-0005-0000-0000-00007C0B0000}"/>
    <cellStyle name="20% - Accent2 4 11" xfId="776" xr:uid="{00000000-0005-0000-0000-00007D0B0000}"/>
    <cellStyle name="20% - Accent2 4 11 2" xfId="15869" xr:uid="{00000000-0005-0000-0000-00007E0B0000}"/>
    <cellStyle name="20% - Accent2 4 11 2 2" xfId="29276" xr:uid="{00000000-0005-0000-0000-00007F0B0000}"/>
    <cellStyle name="20% - Accent2 4 11 3" xfId="18100" xr:uid="{00000000-0005-0000-0000-0000800B0000}"/>
    <cellStyle name="20% - Accent2 4 12" xfId="8918" xr:uid="{00000000-0005-0000-0000-0000810B0000}"/>
    <cellStyle name="20% - Accent2 4 12 2" xfId="23393" xr:uid="{00000000-0005-0000-0000-0000820B0000}"/>
    <cellStyle name="20% - Accent2 4 13" xfId="18098" xr:uid="{00000000-0005-0000-0000-0000830B0000}"/>
    <cellStyle name="20% - Accent2 4 2" xfId="777" xr:uid="{00000000-0005-0000-0000-0000840B0000}"/>
    <cellStyle name="20% - Accent2 4 2 10" xfId="778" xr:uid="{00000000-0005-0000-0000-0000850B0000}"/>
    <cellStyle name="20% - Accent2 4 2 10 2" xfId="16012" xr:uid="{00000000-0005-0000-0000-0000860B0000}"/>
    <cellStyle name="20% - Accent2 4 2 10 2 2" xfId="29419" xr:uid="{00000000-0005-0000-0000-0000870B0000}"/>
    <cellStyle name="20% - Accent2 4 2 10 3" xfId="18102" xr:uid="{00000000-0005-0000-0000-0000880B0000}"/>
    <cellStyle name="20% - Accent2 4 2 11" xfId="8919" xr:uid="{00000000-0005-0000-0000-0000890B0000}"/>
    <cellStyle name="20% - Accent2 4 2 11 2" xfId="23394" xr:uid="{00000000-0005-0000-0000-00008A0B0000}"/>
    <cellStyle name="20% - Accent2 4 2 12" xfId="18101" xr:uid="{00000000-0005-0000-0000-00008B0B0000}"/>
    <cellStyle name="20% - Accent2 4 2 2" xfId="779" xr:uid="{00000000-0005-0000-0000-00008C0B0000}"/>
    <cellStyle name="20% - Accent2 4 2 2 10" xfId="8920" xr:uid="{00000000-0005-0000-0000-00008D0B0000}"/>
    <cellStyle name="20% - Accent2 4 2 2 10 2" xfId="23395" xr:uid="{00000000-0005-0000-0000-00008E0B0000}"/>
    <cellStyle name="20% - Accent2 4 2 2 11" xfId="18103" xr:uid="{00000000-0005-0000-0000-00008F0B0000}"/>
    <cellStyle name="20% - Accent2 4 2 2 2" xfId="780" xr:uid="{00000000-0005-0000-0000-0000900B0000}"/>
    <cellStyle name="20% - Accent2 4 2 2 2 2" xfId="781" xr:uid="{00000000-0005-0000-0000-0000910B0000}"/>
    <cellStyle name="20% - Accent2 4 2 2 2 2 2" xfId="10646" xr:uid="{00000000-0005-0000-0000-0000920B0000}"/>
    <cellStyle name="20% - Accent2 4 2 2 2 2 2 2" xfId="24588" xr:uid="{00000000-0005-0000-0000-0000930B0000}"/>
    <cellStyle name="20% - Accent2 4 2 2 2 2 3" xfId="18105" xr:uid="{00000000-0005-0000-0000-0000940B0000}"/>
    <cellStyle name="20% - Accent2 4 2 2 2 3" xfId="782" xr:uid="{00000000-0005-0000-0000-0000950B0000}"/>
    <cellStyle name="20% - Accent2 4 2 2 2 3 2" xfId="12604" xr:uid="{00000000-0005-0000-0000-0000960B0000}"/>
    <cellStyle name="20% - Accent2 4 2 2 2 3 2 2" xfId="26316" xr:uid="{00000000-0005-0000-0000-0000970B0000}"/>
    <cellStyle name="20% - Accent2 4 2 2 2 3 3" xfId="18106" xr:uid="{00000000-0005-0000-0000-0000980B0000}"/>
    <cellStyle name="20% - Accent2 4 2 2 2 4" xfId="783" xr:uid="{00000000-0005-0000-0000-0000990B0000}"/>
    <cellStyle name="20% - Accent2 4 2 2 2 4 2" xfId="14692" xr:uid="{00000000-0005-0000-0000-00009A0B0000}"/>
    <cellStyle name="20% - Accent2 4 2 2 2 4 2 2" xfId="28241" xr:uid="{00000000-0005-0000-0000-00009B0B0000}"/>
    <cellStyle name="20% - Accent2 4 2 2 2 4 3" xfId="18107" xr:uid="{00000000-0005-0000-0000-00009C0B0000}"/>
    <cellStyle name="20% - Accent2 4 2 2 2 5" xfId="784" xr:uid="{00000000-0005-0000-0000-00009D0B0000}"/>
    <cellStyle name="20% - Accent2 4 2 2 2 5 2" xfId="16882" xr:uid="{00000000-0005-0000-0000-00009E0B0000}"/>
    <cellStyle name="20% - Accent2 4 2 2 2 5 2 2" xfId="30289" xr:uid="{00000000-0005-0000-0000-00009F0B0000}"/>
    <cellStyle name="20% - Accent2 4 2 2 2 5 3" xfId="18108" xr:uid="{00000000-0005-0000-0000-0000A00B0000}"/>
    <cellStyle name="20% - Accent2 4 2 2 2 6" xfId="8921" xr:uid="{00000000-0005-0000-0000-0000A10B0000}"/>
    <cellStyle name="20% - Accent2 4 2 2 2 6 2" xfId="23396" xr:uid="{00000000-0005-0000-0000-0000A20B0000}"/>
    <cellStyle name="20% - Accent2 4 2 2 2 7" xfId="18104" xr:uid="{00000000-0005-0000-0000-0000A30B0000}"/>
    <cellStyle name="20% - Accent2 4 2 2 3" xfId="785" xr:uid="{00000000-0005-0000-0000-0000A40B0000}"/>
    <cellStyle name="20% - Accent2 4 2 2 3 2" xfId="786" xr:uid="{00000000-0005-0000-0000-0000A50B0000}"/>
    <cellStyle name="20% - Accent2 4 2 2 3 2 2" xfId="14693" xr:uid="{00000000-0005-0000-0000-0000A60B0000}"/>
    <cellStyle name="20% - Accent2 4 2 2 3 2 2 2" xfId="28242" xr:uid="{00000000-0005-0000-0000-0000A70B0000}"/>
    <cellStyle name="20% - Accent2 4 2 2 3 2 3" xfId="18110" xr:uid="{00000000-0005-0000-0000-0000A80B0000}"/>
    <cellStyle name="20% - Accent2 4 2 2 3 3" xfId="10645" xr:uid="{00000000-0005-0000-0000-0000A90B0000}"/>
    <cellStyle name="20% - Accent2 4 2 2 3 3 2" xfId="24587" xr:uid="{00000000-0005-0000-0000-0000AA0B0000}"/>
    <cellStyle name="20% - Accent2 4 2 2 3 4" xfId="18109" xr:uid="{00000000-0005-0000-0000-0000AB0B0000}"/>
    <cellStyle name="20% - Accent2 4 2 2 4" xfId="787" xr:uid="{00000000-0005-0000-0000-0000AC0B0000}"/>
    <cellStyle name="20% - Accent2 4 2 2 4 2" xfId="12270" xr:uid="{00000000-0005-0000-0000-0000AD0B0000}"/>
    <cellStyle name="20% - Accent2 4 2 2 4 2 2" xfId="25982" xr:uid="{00000000-0005-0000-0000-0000AE0B0000}"/>
    <cellStyle name="20% - Accent2 4 2 2 4 3" xfId="18111" xr:uid="{00000000-0005-0000-0000-0000AF0B0000}"/>
    <cellStyle name="20% - Accent2 4 2 2 5" xfId="788" xr:uid="{00000000-0005-0000-0000-0000B00B0000}"/>
    <cellStyle name="20% - Accent2 4 2 2 5 2" xfId="11768" xr:uid="{00000000-0005-0000-0000-0000B10B0000}"/>
    <cellStyle name="20% - Accent2 4 2 2 5 2 2" xfId="25483" xr:uid="{00000000-0005-0000-0000-0000B20B0000}"/>
    <cellStyle name="20% - Accent2 4 2 2 5 3" xfId="18112" xr:uid="{00000000-0005-0000-0000-0000B30B0000}"/>
    <cellStyle name="20% - Accent2 4 2 2 6" xfId="789" xr:uid="{00000000-0005-0000-0000-0000B40B0000}"/>
    <cellStyle name="20% - Accent2 4 2 2 6 2" xfId="13834" xr:uid="{00000000-0005-0000-0000-0000B50B0000}"/>
    <cellStyle name="20% - Accent2 4 2 2 6 2 2" xfId="27383" xr:uid="{00000000-0005-0000-0000-0000B60B0000}"/>
    <cellStyle name="20% - Accent2 4 2 2 6 3" xfId="18113" xr:uid="{00000000-0005-0000-0000-0000B70B0000}"/>
    <cellStyle name="20% - Accent2 4 2 2 7" xfId="790" xr:uid="{00000000-0005-0000-0000-0000B80B0000}"/>
    <cellStyle name="20% - Accent2 4 2 2 7 2" xfId="14415" xr:uid="{00000000-0005-0000-0000-0000B90B0000}"/>
    <cellStyle name="20% - Accent2 4 2 2 7 2 2" xfId="27964" xr:uid="{00000000-0005-0000-0000-0000BA0B0000}"/>
    <cellStyle name="20% - Accent2 4 2 2 7 3" xfId="18114" xr:uid="{00000000-0005-0000-0000-0000BB0B0000}"/>
    <cellStyle name="20% - Accent2 4 2 2 8" xfId="791" xr:uid="{00000000-0005-0000-0000-0000BC0B0000}"/>
    <cellStyle name="20% - Accent2 4 2 2 8 2" xfId="14691" xr:uid="{00000000-0005-0000-0000-0000BD0B0000}"/>
    <cellStyle name="20% - Accent2 4 2 2 8 2 2" xfId="28240" xr:uid="{00000000-0005-0000-0000-0000BE0B0000}"/>
    <cellStyle name="20% - Accent2 4 2 2 8 3" xfId="18115" xr:uid="{00000000-0005-0000-0000-0000BF0B0000}"/>
    <cellStyle name="20% - Accent2 4 2 2 9" xfId="792" xr:uid="{00000000-0005-0000-0000-0000C00B0000}"/>
    <cellStyle name="20% - Accent2 4 2 2 9 2" xfId="16301" xr:uid="{00000000-0005-0000-0000-0000C10B0000}"/>
    <cellStyle name="20% - Accent2 4 2 2 9 2 2" xfId="29708" xr:uid="{00000000-0005-0000-0000-0000C20B0000}"/>
    <cellStyle name="20% - Accent2 4 2 2 9 3" xfId="18116" xr:uid="{00000000-0005-0000-0000-0000C30B0000}"/>
    <cellStyle name="20% - Accent2 4 2 3" xfId="793" xr:uid="{00000000-0005-0000-0000-0000C40B0000}"/>
    <cellStyle name="20% - Accent2 4 2 3 2" xfId="794" xr:uid="{00000000-0005-0000-0000-0000C50B0000}"/>
    <cellStyle name="20% - Accent2 4 2 3 2 2" xfId="10647" xr:uid="{00000000-0005-0000-0000-0000C60B0000}"/>
    <cellStyle name="20% - Accent2 4 2 3 2 2 2" xfId="24589" xr:uid="{00000000-0005-0000-0000-0000C70B0000}"/>
    <cellStyle name="20% - Accent2 4 2 3 2 3" xfId="18118" xr:uid="{00000000-0005-0000-0000-0000C80B0000}"/>
    <cellStyle name="20% - Accent2 4 2 3 3" xfId="795" xr:uid="{00000000-0005-0000-0000-0000C90B0000}"/>
    <cellStyle name="20% - Accent2 4 2 3 3 2" xfId="11751" xr:uid="{00000000-0005-0000-0000-0000CA0B0000}"/>
    <cellStyle name="20% - Accent2 4 2 3 3 2 2" xfId="25466" xr:uid="{00000000-0005-0000-0000-0000CB0B0000}"/>
    <cellStyle name="20% - Accent2 4 2 3 3 3" xfId="18119" xr:uid="{00000000-0005-0000-0000-0000CC0B0000}"/>
    <cellStyle name="20% - Accent2 4 2 3 4" xfId="796" xr:uid="{00000000-0005-0000-0000-0000CD0B0000}"/>
    <cellStyle name="20% - Accent2 4 2 3 4 2" xfId="14694" xr:uid="{00000000-0005-0000-0000-0000CE0B0000}"/>
    <cellStyle name="20% - Accent2 4 2 3 4 2 2" xfId="28243" xr:uid="{00000000-0005-0000-0000-0000CF0B0000}"/>
    <cellStyle name="20% - Accent2 4 2 3 4 3" xfId="18120" xr:uid="{00000000-0005-0000-0000-0000D00B0000}"/>
    <cellStyle name="20% - Accent2 4 2 3 5" xfId="797" xr:uid="{00000000-0005-0000-0000-0000D10B0000}"/>
    <cellStyle name="20% - Accent2 4 2 3 5 2" xfId="16593" xr:uid="{00000000-0005-0000-0000-0000D20B0000}"/>
    <cellStyle name="20% - Accent2 4 2 3 5 2 2" xfId="30000" xr:uid="{00000000-0005-0000-0000-0000D30B0000}"/>
    <cellStyle name="20% - Accent2 4 2 3 5 3" xfId="18121" xr:uid="{00000000-0005-0000-0000-0000D40B0000}"/>
    <cellStyle name="20% - Accent2 4 2 3 6" xfId="8922" xr:uid="{00000000-0005-0000-0000-0000D50B0000}"/>
    <cellStyle name="20% - Accent2 4 2 3 6 2" xfId="23397" xr:uid="{00000000-0005-0000-0000-0000D60B0000}"/>
    <cellStyle name="20% - Accent2 4 2 3 7" xfId="18117" xr:uid="{00000000-0005-0000-0000-0000D70B0000}"/>
    <cellStyle name="20% - Accent2 4 2 4" xfId="798" xr:uid="{00000000-0005-0000-0000-0000D80B0000}"/>
    <cellStyle name="20% - Accent2 4 2 4 2" xfId="799" xr:uid="{00000000-0005-0000-0000-0000D90B0000}"/>
    <cellStyle name="20% - Accent2 4 2 4 2 2" xfId="14695" xr:uid="{00000000-0005-0000-0000-0000DA0B0000}"/>
    <cellStyle name="20% - Accent2 4 2 4 2 2 2" xfId="28244" xr:uid="{00000000-0005-0000-0000-0000DB0B0000}"/>
    <cellStyle name="20% - Accent2 4 2 4 2 3" xfId="18123" xr:uid="{00000000-0005-0000-0000-0000DC0B0000}"/>
    <cellStyle name="20% - Accent2 4 2 4 3" xfId="10644" xr:uid="{00000000-0005-0000-0000-0000DD0B0000}"/>
    <cellStyle name="20% - Accent2 4 2 4 3 2" xfId="24586" xr:uid="{00000000-0005-0000-0000-0000DE0B0000}"/>
    <cellStyle name="20% - Accent2 4 2 4 4" xfId="18122" xr:uid="{00000000-0005-0000-0000-0000DF0B0000}"/>
    <cellStyle name="20% - Accent2 4 2 5" xfId="800" xr:uid="{00000000-0005-0000-0000-0000E00B0000}"/>
    <cellStyle name="20% - Accent2 4 2 5 2" xfId="11970" xr:uid="{00000000-0005-0000-0000-0000E10B0000}"/>
    <cellStyle name="20% - Accent2 4 2 5 2 2" xfId="25685" xr:uid="{00000000-0005-0000-0000-0000E20B0000}"/>
    <cellStyle name="20% - Accent2 4 2 5 3" xfId="18124" xr:uid="{00000000-0005-0000-0000-0000E30B0000}"/>
    <cellStyle name="20% - Accent2 4 2 6" xfId="801" xr:uid="{00000000-0005-0000-0000-0000E40B0000}"/>
    <cellStyle name="20% - Accent2 4 2 6 2" xfId="12735" xr:uid="{00000000-0005-0000-0000-0000E50B0000}"/>
    <cellStyle name="20% - Accent2 4 2 6 2 2" xfId="26447" xr:uid="{00000000-0005-0000-0000-0000E60B0000}"/>
    <cellStyle name="20% - Accent2 4 2 6 3" xfId="18125" xr:uid="{00000000-0005-0000-0000-0000E70B0000}"/>
    <cellStyle name="20% - Accent2 4 2 7" xfId="802" xr:uid="{00000000-0005-0000-0000-0000E80B0000}"/>
    <cellStyle name="20% - Accent2 4 2 7 2" xfId="13545" xr:uid="{00000000-0005-0000-0000-0000E90B0000}"/>
    <cellStyle name="20% - Accent2 4 2 7 2 2" xfId="27094" xr:uid="{00000000-0005-0000-0000-0000EA0B0000}"/>
    <cellStyle name="20% - Accent2 4 2 7 3" xfId="18126" xr:uid="{00000000-0005-0000-0000-0000EB0B0000}"/>
    <cellStyle name="20% - Accent2 4 2 8" xfId="803" xr:uid="{00000000-0005-0000-0000-0000EC0B0000}"/>
    <cellStyle name="20% - Accent2 4 2 8 2" xfId="14126" xr:uid="{00000000-0005-0000-0000-0000ED0B0000}"/>
    <cellStyle name="20% - Accent2 4 2 8 2 2" xfId="27675" xr:uid="{00000000-0005-0000-0000-0000EE0B0000}"/>
    <cellStyle name="20% - Accent2 4 2 8 3" xfId="18127" xr:uid="{00000000-0005-0000-0000-0000EF0B0000}"/>
    <cellStyle name="20% - Accent2 4 2 9" xfId="804" xr:uid="{00000000-0005-0000-0000-0000F00B0000}"/>
    <cellStyle name="20% - Accent2 4 2 9 2" xfId="14690" xr:uid="{00000000-0005-0000-0000-0000F10B0000}"/>
    <cellStyle name="20% - Accent2 4 2 9 2 2" xfId="28239" xr:uid="{00000000-0005-0000-0000-0000F20B0000}"/>
    <cellStyle name="20% - Accent2 4 2 9 3" xfId="18128" xr:uid="{00000000-0005-0000-0000-0000F30B0000}"/>
    <cellStyle name="20% - Accent2 4 3" xfId="805" xr:uid="{00000000-0005-0000-0000-0000F40B0000}"/>
    <cellStyle name="20% - Accent2 4 3 10" xfId="8923" xr:uid="{00000000-0005-0000-0000-0000F50B0000}"/>
    <cellStyle name="20% - Accent2 4 3 10 2" xfId="23398" xr:uid="{00000000-0005-0000-0000-0000F60B0000}"/>
    <cellStyle name="20% - Accent2 4 3 11" xfId="18129" xr:uid="{00000000-0005-0000-0000-0000F70B0000}"/>
    <cellStyle name="20% - Accent2 4 3 2" xfId="806" xr:uid="{00000000-0005-0000-0000-0000F80B0000}"/>
    <cellStyle name="20% - Accent2 4 3 2 2" xfId="807" xr:uid="{00000000-0005-0000-0000-0000F90B0000}"/>
    <cellStyle name="20% - Accent2 4 3 2 2 2" xfId="10649" xr:uid="{00000000-0005-0000-0000-0000FA0B0000}"/>
    <cellStyle name="20% - Accent2 4 3 2 2 2 2" xfId="24591" xr:uid="{00000000-0005-0000-0000-0000FB0B0000}"/>
    <cellStyle name="20% - Accent2 4 3 2 2 3" xfId="18131" xr:uid="{00000000-0005-0000-0000-0000FC0B0000}"/>
    <cellStyle name="20% - Accent2 4 3 2 3" xfId="808" xr:uid="{00000000-0005-0000-0000-0000FD0B0000}"/>
    <cellStyle name="20% - Accent2 4 3 2 3 2" xfId="12573" xr:uid="{00000000-0005-0000-0000-0000FE0B0000}"/>
    <cellStyle name="20% - Accent2 4 3 2 3 2 2" xfId="26285" xr:uid="{00000000-0005-0000-0000-0000FF0B0000}"/>
    <cellStyle name="20% - Accent2 4 3 2 3 3" xfId="18132" xr:uid="{00000000-0005-0000-0000-0000000C0000}"/>
    <cellStyle name="20% - Accent2 4 3 2 4" xfId="809" xr:uid="{00000000-0005-0000-0000-0000010C0000}"/>
    <cellStyle name="20% - Accent2 4 3 2 4 2" xfId="14697" xr:uid="{00000000-0005-0000-0000-0000020C0000}"/>
    <cellStyle name="20% - Accent2 4 3 2 4 2 2" xfId="28246" xr:uid="{00000000-0005-0000-0000-0000030C0000}"/>
    <cellStyle name="20% - Accent2 4 3 2 4 3" xfId="18133" xr:uid="{00000000-0005-0000-0000-0000040C0000}"/>
    <cellStyle name="20% - Accent2 4 3 2 5" xfId="810" xr:uid="{00000000-0005-0000-0000-0000050C0000}"/>
    <cellStyle name="20% - Accent2 4 3 2 5 2" xfId="16742" xr:uid="{00000000-0005-0000-0000-0000060C0000}"/>
    <cellStyle name="20% - Accent2 4 3 2 5 2 2" xfId="30149" xr:uid="{00000000-0005-0000-0000-0000070C0000}"/>
    <cellStyle name="20% - Accent2 4 3 2 5 3" xfId="18134" xr:uid="{00000000-0005-0000-0000-0000080C0000}"/>
    <cellStyle name="20% - Accent2 4 3 2 6" xfId="8924" xr:uid="{00000000-0005-0000-0000-0000090C0000}"/>
    <cellStyle name="20% - Accent2 4 3 2 6 2" xfId="23399" xr:uid="{00000000-0005-0000-0000-00000A0C0000}"/>
    <cellStyle name="20% - Accent2 4 3 2 7" xfId="18130" xr:uid="{00000000-0005-0000-0000-00000B0C0000}"/>
    <cellStyle name="20% - Accent2 4 3 3" xfId="811" xr:uid="{00000000-0005-0000-0000-00000C0C0000}"/>
    <cellStyle name="20% - Accent2 4 3 3 2" xfId="812" xr:uid="{00000000-0005-0000-0000-00000D0C0000}"/>
    <cellStyle name="20% - Accent2 4 3 3 2 2" xfId="14698" xr:uid="{00000000-0005-0000-0000-00000E0C0000}"/>
    <cellStyle name="20% - Accent2 4 3 3 2 2 2" xfId="28247" xr:uid="{00000000-0005-0000-0000-00000F0C0000}"/>
    <cellStyle name="20% - Accent2 4 3 3 2 3" xfId="18136" xr:uid="{00000000-0005-0000-0000-0000100C0000}"/>
    <cellStyle name="20% - Accent2 4 3 3 3" xfId="10648" xr:uid="{00000000-0005-0000-0000-0000110C0000}"/>
    <cellStyle name="20% - Accent2 4 3 3 3 2" xfId="24590" xr:uid="{00000000-0005-0000-0000-0000120C0000}"/>
    <cellStyle name="20% - Accent2 4 3 3 4" xfId="18135" xr:uid="{00000000-0005-0000-0000-0000130C0000}"/>
    <cellStyle name="20% - Accent2 4 3 4" xfId="813" xr:uid="{00000000-0005-0000-0000-0000140C0000}"/>
    <cellStyle name="20% - Accent2 4 3 4 2" xfId="12130" xr:uid="{00000000-0005-0000-0000-0000150C0000}"/>
    <cellStyle name="20% - Accent2 4 3 4 2 2" xfId="25842" xr:uid="{00000000-0005-0000-0000-0000160C0000}"/>
    <cellStyle name="20% - Accent2 4 3 4 3" xfId="18137" xr:uid="{00000000-0005-0000-0000-0000170C0000}"/>
    <cellStyle name="20% - Accent2 4 3 5" xfId="814" xr:uid="{00000000-0005-0000-0000-0000180C0000}"/>
    <cellStyle name="20% - Accent2 4 3 5 2" xfId="11773" xr:uid="{00000000-0005-0000-0000-0000190C0000}"/>
    <cellStyle name="20% - Accent2 4 3 5 2 2" xfId="25488" xr:uid="{00000000-0005-0000-0000-00001A0C0000}"/>
    <cellStyle name="20% - Accent2 4 3 5 3" xfId="18138" xr:uid="{00000000-0005-0000-0000-00001B0C0000}"/>
    <cellStyle name="20% - Accent2 4 3 6" xfId="815" xr:uid="{00000000-0005-0000-0000-00001C0C0000}"/>
    <cellStyle name="20% - Accent2 4 3 6 2" xfId="13694" xr:uid="{00000000-0005-0000-0000-00001D0C0000}"/>
    <cellStyle name="20% - Accent2 4 3 6 2 2" xfId="27243" xr:uid="{00000000-0005-0000-0000-00001E0C0000}"/>
    <cellStyle name="20% - Accent2 4 3 6 3" xfId="18139" xr:uid="{00000000-0005-0000-0000-00001F0C0000}"/>
    <cellStyle name="20% - Accent2 4 3 7" xfId="816" xr:uid="{00000000-0005-0000-0000-0000200C0000}"/>
    <cellStyle name="20% - Accent2 4 3 7 2" xfId="14275" xr:uid="{00000000-0005-0000-0000-0000210C0000}"/>
    <cellStyle name="20% - Accent2 4 3 7 2 2" xfId="27824" xr:uid="{00000000-0005-0000-0000-0000220C0000}"/>
    <cellStyle name="20% - Accent2 4 3 7 3" xfId="18140" xr:uid="{00000000-0005-0000-0000-0000230C0000}"/>
    <cellStyle name="20% - Accent2 4 3 8" xfId="817" xr:uid="{00000000-0005-0000-0000-0000240C0000}"/>
    <cellStyle name="20% - Accent2 4 3 8 2" xfId="14696" xr:uid="{00000000-0005-0000-0000-0000250C0000}"/>
    <cellStyle name="20% - Accent2 4 3 8 2 2" xfId="28245" xr:uid="{00000000-0005-0000-0000-0000260C0000}"/>
    <cellStyle name="20% - Accent2 4 3 8 3" xfId="18141" xr:uid="{00000000-0005-0000-0000-0000270C0000}"/>
    <cellStyle name="20% - Accent2 4 3 9" xfId="818" xr:uid="{00000000-0005-0000-0000-0000280C0000}"/>
    <cellStyle name="20% - Accent2 4 3 9 2" xfId="16161" xr:uid="{00000000-0005-0000-0000-0000290C0000}"/>
    <cellStyle name="20% - Accent2 4 3 9 2 2" xfId="29568" xr:uid="{00000000-0005-0000-0000-00002A0C0000}"/>
    <cellStyle name="20% - Accent2 4 3 9 3" xfId="18142" xr:uid="{00000000-0005-0000-0000-00002B0C0000}"/>
    <cellStyle name="20% - Accent2 4 4" xfId="819" xr:uid="{00000000-0005-0000-0000-00002C0C0000}"/>
    <cellStyle name="20% - Accent2 4 4 2" xfId="820" xr:uid="{00000000-0005-0000-0000-00002D0C0000}"/>
    <cellStyle name="20% - Accent2 4 4 2 2" xfId="10650" xr:uid="{00000000-0005-0000-0000-00002E0C0000}"/>
    <cellStyle name="20% - Accent2 4 4 2 2 2" xfId="24592" xr:uid="{00000000-0005-0000-0000-00002F0C0000}"/>
    <cellStyle name="20% - Accent2 4 4 2 3" xfId="18144" xr:uid="{00000000-0005-0000-0000-0000300C0000}"/>
    <cellStyle name="20% - Accent2 4 4 3" xfId="821" xr:uid="{00000000-0005-0000-0000-0000310C0000}"/>
    <cellStyle name="20% - Accent2 4 4 3 2" xfId="12530" xr:uid="{00000000-0005-0000-0000-0000320C0000}"/>
    <cellStyle name="20% - Accent2 4 4 3 2 2" xfId="26242" xr:uid="{00000000-0005-0000-0000-0000330C0000}"/>
    <cellStyle name="20% - Accent2 4 4 3 3" xfId="18145" xr:uid="{00000000-0005-0000-0000-0000340C0000}"/>
    <cellStyle name="20% - Accent2 4 4 4" xfId="822" xr:uid="{00000000-0005-0000-0000-0000350C0000}"/>
    <cellStyle name="20% - Accent2 4 4 4 2" xfId="14699" xr:uid="{00000000-0005-0000-0000-0000360C0000}"/>
    <cellStyle name="20% - Accent2 4 4 4 2 2" xfId="28248" xr:uid="{00000000-0005-0000-0000-0000370C0000}"/>
    <cellStyle name="20% - Accent2 4 4 4 3" xfId="18146" xr:uid="{00000000-0005-0000-0000-0000380C0000}"/>
    <cellStyle name="20% - Accent2 4 4 5" xfId="823" xr:uid="{00000000-0005-0000-0000-0000390C0000}"/>
    <cellStyle name="20% - Accent2 4 4 5 2" xfId="16450" xr:uid="{00000000-0005-0000-0000-00003A0C0000}"/>
    <cellStyle name="20% - Accent2 4 4 5 2 2" xfId="29857" xr:uid="{00000000-0005-0000-0000-00003B0C0000}"/>
    <cellStyle name="20% - Accent2 4 4 5 3" xfId="18147" xr:uid="{00000000-0005-0000-0000-00003C0C0000}"/>
    <cellStyle name="20% - Accent2 4 4 6" xfId="8925" xr:uid="{00000000-0005-0000-0000-00003D0C0000}"/>
    <cellStyle name="20% - Accent2 4 4 6 2" xfId="23400" xr:uid="{00000000-0005-0000-0000-00003E0C0000}"/>
    <cellStyle name="20% - Accent2 4 4 7" xfId="18143" xr:uid="{00000000-0005-0000-0000-00003F0C0000}"/>
    <cellStyle name="20% - Accent2 4 5" xfId="824" xr:uid="{00000000-0005-0000-0000-0000400C0000}"/>
    <cellStyle name="20% - Accent2 4 5 2" xfId="825" xr:uid="{00000000-0005-0000-0000-0000410C0000}"/>
    <cellStyle name="20% - Accent2 4 5 2 2" xfId="14700" xr:uid="{00000000-0005-0000-0000-0000420C0000}"/>
    <cellStyle name="20% - Accent2 4 5 2 2 2" xfId="28249" xr:uid="{00000000-0005-0000-0000-0000430C0000}"/>
    <cellStyle name="20% - Accent2 4 5 2 3" xfId="18149" xr:uid="{00000000-0005-0000-0000-0000440C0000}"/>
    <cellStyle name="20% - Accent2 4 5 3" xfId="10643" xr:uid="{00000000-0005-0000-0000-0000450C0000}"/>
    <cellStyle name="20% - Accent2 4 5 3 2" xfId="24585" xr:uid="{00000000-0005-0000-0000-0000460C0000}"/>
    <cellStyle name="20% - Accent2 4 5 4" xfId="18148" xr:uid="{00000000-0005-0000-0000-0000470C0000}"/>
    <cellStyle name="20% - Accent2 4 6" xfId="826" xr:uid="{00000000-0005-0000-0000-0000480C0000}"/>
    <cellStyle name="20% - Accent2 4 6 2" xfId="11801" xr:uid="{00000000-0005-0000-0000-0000490C0000}"/>
    <cellStyle name="20% - Accent2 4 6 2 2" xfId="25516" xr:uid="{00000000-0005-0000-0000-00004A0C0000}"/>
    <cellStyle name="20% - Accent2 4 6 3" xfId="18150" xr:uid="{00000000-0005-0000-0000-00004B0C0000}"/>
    <cellStyle name="20% - Accent2 4 7" xfId="827" xr:uid="{00000000-0005-0000-0000-00004C0C0000}"/>
    <cellStyle name="20% - Accent2 4 7 2" xfId="12538" xr:uid="{00000000-0005-0000-0000-00004D0C0000}"/>
    <cellStyle name="20% - Accent2 4 7 2 2" xfId="26250" xr:uid="{00000000-0005-0000-0000-00004E0C0000}"/>
    <cellStyle name="20% - Accent2 4 7 3" xfId="18151" xr:uid="{00000000-0005-0000-0000-00004F0C0000}"/>
    <cellStyle name="20% - Accent2 4 8" xfId="828" xr:uid="{00000000-0005-0000-0000-0000500C0000}"/>
    <cellStyle name="20% - Accent2 4 8 2" xfId="13402" xr:uid="{00000000-0005-0000-0000-0000510C0000}"/>
    <cellStyle name="20% - Accent2 4 8 2 2" xfId="26951" xr:uid="{00000000-0005-0000-0000-0000520C0000}"/>
    <cellStyle name="20% - Accent2 4 8 3" xfId="18152" xr:uid="{00000000-0005-0000-0000-0000530C0000}"/>
    <cellStyle name="20% - Accent2 4 9" xfId="829" xr:uid="{00000000-0005-0000-0000-0000540C0000}"/>
    <cellStyle name="20% - Accent2 4 9 2" xfId="13983" xr:uid="{00000000-0005-0000-0000-0000550C0000}"/>
    <cellStyle name="20% - Accent2 4 9 2 2" xfId="27532" xr:uid="{00000000-0005-0000-0000-0000560C0000}"/>
    <cellStyle name="20% - Accent2 4 9 3" xfId="18153" xr:uid="{00000000-0005-0000-0000-0000570C0000}"/>
    <cellStyle name="20% - Accent2 5" xfId="830" xr:uid="{00000000-0005-0000-0000-0000580C0000}"/>
    <cellStyle name="20% - Accent2 5 10" xfId="831" xr:uid="{00000000-0005-0000-0000-0000590C0000}"/>
    <cellStyle name="20% - Accent2 5 10 2" xfId="14701" xr:uid="{00000000-0005-0000-0000-00005A0C0000}"/>
    <cellStyle name="20% - Accent2 5 10 2 2" xfId="28250" xr:uid="{00000000-0005-0000-0000-00005B0C0000}"/>
    <cellStyle name="20% - Accent2 5 10 3" xfId="18155" xr:uid="{00000000-0005-0000-0000-00005C0C0000}"/>
    <cellStyle name="20% - Accent2 5 11" xfId="832" xr:uid="{00000000-0005-0000-0000-00005D0C0000}"/>
    <cellStyle name="20% - Accent2 5 11 2" xfId="15852" xr:uid="{00000000-0005-0000-0000-00005E0C0000}"/>
    <cellStyle name="20% - Accent2 5 11 2 2" xfId="29259" xr:uid="{00000000-0005-0000-0000-00005F0C0000}"/>
    <cellStyle name="20% - Accent2 5 11 3" xfId="18156" xr:uid="{00000000-0005-0000-0000-0000600C0000}"/>
    <cellStyle name="20% - Accent2 5 12" xfId="8926" xr:uid="{00000000-0005-0000-0000-0000610C0000}"/>
    <cellStyle name="20% - Accent2 5 12 2" xfId="23401" xr:uid="{00000000-0005-0000-0000-0000620C0000}"/>
    <cellStyle name="20% - Accent2 5 13" xfId="18154" xr:uid="{00000000-0005-0000-0000-0000630C0000}"/>
    <cellStyle name="20% - Accent2 5 2" xfId="833" xr:uid="{00000000-0005-0000-0000-0000640C0000}"/>
    <cellStyle name="20% - Accent2 5 2 10" xfId="834" xr:uid="{00000000-0005-0000-0000-0000650C0000}"/>
    <cellStyle name="20% - Accent2 5 2 10 2" xfId="15995" xr:uid="{00000000-0005-0000-0000-0000660C0000}"/>
    <cellStyle name="20% - Accent2 5 2 10 2 2" xfId="29402" xr:uid="{00000000-0005-0000-0000-0000670C0000}"/>
    <cellStyle name="20% - Accent2 5 2 10 3" xfId="18158" xr:uid="{00000000-0005-0000-0000-0000680C0000}"/>
    <cellStyle name="20% - Accent2 5 2 11" xfId="8927" xr:uid="{00000000-0005-0000-0000-0000690C0000}"/>
    <cellStyle name="20% - Accent2 5 2 11 2" xfId="23402" xr:uid="{00000000-0005-0000-0000-00006A0C0000}"/>
    <cellStyle name="20% - Accent2 5 2 12" xfId="18157" xr:uid="{00000000-0005-0000-0000-00006B0C0000}"/>
    <cellStyle name="20% - Accent2 5 2 2" xfId="835" xr:uid="{00000000-0005-0000-0000-00006C0C0000}"/>
    <cellStyle name="20% - Accent2 5 2 2 10" xfId="8928" xr:uid="{00000000-0005-0000-0000-00006D0C0000}"/>
    <cellStyle name="20% - Accent2 5 2 2 10 2" xfId="23403" xr:uid="{00000000-0005-0000-0000-00006E0C0000}"/>
    <cellStyle name="20% - Accent2 5 2 2 11" xfId="18159" xr:uid="{00000000-0005-0000-0000-00006F0C0000}"/>
    <cellStyle name="20% - Accent2 5 2 2 2" xfId="836" xr:uid="{00000000-0005-0000-0000-0000700C0000}"/>
    <cellStyle name="20% - Accent2 5 2 2 2 2" xfId="837" xr:uid="{00000000-0005-0000-0000-0000710C0000}"/>
    <cellStyle name="20% - Accent2 5 2 2 2 2 2" xfId="10654" xr:uid="{00000000-0005-0000-0000-0000720C0000}"/>
    <cellStyle name="20% - Accent2 5 2 2 2 2 2 2" xfId="24596" xr:uid="{00000000-0005-0000-0000-0000730C0000}"/>
    <cellStyle name="20% - Accent2 5 2 2 2 2 3" xfId="18161" xr:uid="{00000000-0005-0000-0000-0000740C0000}"/>
    <cellStyle name="20% - Accent2 5 2 2 2 3" xfId="838" xr:uid="{00000000-0005-0000-0000-0000750C0000}"/>
    <cellStyle name="20% - Accent2 5 2 2 2 3 2" xfId="12462" xr:uid="{00000000-0005-0000-0000-0000760C0000}"/>
    <cellStyle name="20% - Accent2 5 2 2 2 3 2 2" xfId="26174" xr:uid="{00000000-0005-0000-0000-0000770C0000}"/>
    <cellStyle name="20% - Accent2 5 2 2 2 3 3" xfId="18162" xr:uid="{00000000-0005-0000-0000-0000780C0000}"/>
    <cellStyle name="20% - Accent2 5 2 2 2 4" xfId="839" xr:uid="{00000000-0005-0000-0000-0000790C0000}"/>
    <cellStyle name="20% - Accent2 5 2 2 2 4 2" xfId="14704" xr:uid="{00000000-0005-0000-0000-00007A0C0000}"/>
    <cellStyle name="20% - Accent2 5 2 2 2 4 2 2" xfId="28253" xr:uid="{00000000-0005-0000-0000-00007B0C0000}"/>
    <cellStyle name="20% - Accent2 5 2 2 2 4 3" xfId="18163" xr:uid="{00000000-0005-0000-0000-00007C0C0000}"/>
    <cellStyle name="20% - Accent2 5 2 2 2 5" xfId="840" xr:uid="{00000000-0005-0000-0000-00007D0C0000}"/>
    <cellStyle name="20% - Accent2 5 2 2 2 5 2" xfId="16865" xr:uid="{00000000-0005-0000-0000-00007E0C0000}"/>
    <cellStyle name="20% - Accent2 5 2 2 2 5 2 2" xfId="30272" xr:uid="{00000000-0005-0000-0000-00007F0C0000}"/>
    <cellStyle name="20% - Accent2 5 2 2 2 5 3" xfId="18164" xr:uid="{00000000-0005-0000-0000-0000800C0000}"/>
    <cellStyle name="20% - Accent2 5 2 2 2 6" xfId="8929" xr:uid="{00000000-0005-0000-0000-0000810C0000}"/>
    <cellStyle name="20% - Accent2 5 2 2 2 6 2" xfId="23404" xr:uid="{00000000-0005-0000-0000-0000820C0000}"/>
    <cellStyle name="20% - Accent2 5 2 2 2 7" xfId="18160" xr:uid="{00000000-0005-0000-0000-0000830C0000}"/>
    <cellStyle name="20% - Accent2 5 2 2 3" xfId="841" xr:uid="{00000000-0005-0000-0000-0000840C0000}"/>
    <cellStyle name="20% - Accent2 5 2 2 3 2" xfId="842" xr:uid="{00000000-0005-0000-0000-0000850C0000}"/>
    <cellStyle name="20% - Accent2 5 2 2 3 2 2" xfId="14705" xr:uid="{00000000-0005-0000-0000-0000860C0000}"/>
    <cellStyle name="20% - Accent2 5 2 2 3 2 2 2" xfId="28254" xr:uid="{00000000-0005-0000-0000-0000870C0000}"/>
    <cellStyle name="20% - Accent2 5 2 2 3 2 3" xfId="18166" xr:uid="{00000000-0005-0000-0000-0000880C0000}"/>
    <cellStyle name="20% - Accent2 5 2 2 3 3" xfId="10653" xr:uid="{00000000-0005-0000-0000-0000890C0000}"/>
    <cellStyle name="20% - Accent2 5 2 2 3 3 2" xfId="24595" xr:uid="{00000000-0005-0000-0000-00008A0C0000}"/>
    <cellStyle name="20% - Accent2 5 2 2 3 4" xfId="18165" xr:uid="{00000000-0005-0000-0000-00008B0C0000}"/>
    <cellStyle name="20% - Accent2 5 2 2 4" xfId="843" xr:uid="{00000000-0005-0000-0000-00008C0C0000}"/>
    <cellStyle name="20% - Accent2 5 2 2 4 2" xfId="12253" xr:uid="{00000000-0005-0000-0000-00008D0C0000}"/>
    <cellStyle name="20% - Accent2 5 2 2 4 2 2" xfId="25965" xr:uid="{00000000-0005-0000-0000-00008E0C0000}"/>
    <cellStyle name="20% - Accent2 5 2 2 4 3" xfId="18167" xr:uid="{00000000-0005-0000-0000-00008F0C0000}"/>
    <cellStyle name="20% - Accent2 5 2 2 5" xfId="844" xr:uid="{00000000-0005-0000-0000-0000900C0000}"/>
    <cellStyle name="20% - Accent2 5 2 2 5 2" xfId="12555" xr:uid="{00000000-0005-0000-0000-0000910C0000}"/>
    <cellStyle name="20% - Accent2 5 2 2 5 2 2" xfId="26267" xr:uid="{00000000-0005-0000-0000-0000920C0000}"/>
    <cellStyle name="20% - Accent2 5 2 2 5 3" xfId="18168" xr:uid="{00000000-0005-0000-0000-0000930C0000}"/>
    <cellStyle name="20% - Accent2 5 2 2 6" xfId="845" xr:uid="{00000000-0005-0000-0000-0000940C0000}"/>
    <cellStyle name="20% - Accent2 5 2 2 6 2" xfId="13817" xr:uid="{00000000-0005-0000-0000-0000950C0000}"/>
    <cellStyle name="20% - Accent2 5 2 2 6 2 2" xfId="27366" xr:uid="{00000000-0005-0000-0000-0000960C0000}"/>
    <cellStyle name="20% - Accent2 5 2 2 6 3" xfId="18169" xr:uid="{00000000-0005-0000-0000-0000970C0000}"/>
    <cellStyle name="20% - Accent2 5 2 2 7" xfId="846" xr:uid="{00000000-0005-0000-0000-0000980C0000}"/>
    <cellStyle name="20% - Accent2 5 2 2 7 2" xfId="14398" xr:uid="{00000000-0005-0000-0000-0000990C0000}"/>
    <cellStyle name="20% - Accent2 5 2 2 7 2 2" xfId="27947" xr:uid="{00000000-0005-0000-0000-00009A0C0000}"/>
    <cellStyle name="20% - Accent2 5 2 2 7 3" xfId="18170" xr:uid="{00000000-0005-0000-0000-00009B0C0000}"/>
    <cellStyle name="20% - Accent2 5 2 2 8" xfId="847" xr:uid="{00000000-0005-0000-0000-00009C0C0000}"/>
    <cellStyle name="20% - Accent2 5 2 2 8 2" xfId="14703" xr:uid="{00000000-0005-0000-0000-00009D0C0000}"/>
    <cellStyle name="20% - Accent2 5 2 2 8 2 2" xfId="28252" xr:uid="{00000000-0005-0000-0000-00009E0C0000}"/>
    <cellStyle name="20% - Accent2 5 2 2 8 3" xfId="18171" xr:uid="{00000000-0005-0000-0000-00009F0C0000}"/>
    <cellStyle name="20% - Accent2 5 2 2 9" xfId="848" xr:uid="{00000000-0005-0000-0000-0000A00C0000}"/>
    <cellStyle name="20% - Accent2 5 2 2 9 2" xfId="16284" xr:uid="{00000000-0005-0000-0000-0000A10C0000}"/>
    <cellStyle name="20% - Accent2 5 2 2 9 2 2" xfId="29691" xr:uid="{00000000-0005-0000-0000-0000A20C0000}"/>
    <cellStyle name="20% - Accent2 5 2 2 9 3" xfId="18172" xr:uid="{00000000-0005-0000-0000-0000A30C0000}"/>
    <cellStyle name="20% - Accent2 5 2 3" xfId="849" xr:uid="{00000000-0005-0000-0000-0000A40C0000}"/>
    <cellStyle name="20% - Accent2 5 2 3 2" xfId="850" xr:uid="{00000000-0005-0000-0000-0000A50C0000}"/>
    <cellStyle name="20% - Accent2 5 2 3 2 2" xfId="10655" xr:uid="{00000000-0005-0000-0000-0000A60C0000}"/>
    <cellStyle name="20% - Accent2 5 2 3 2 2 2" xfId="24597" xr:uid="{00000000-0005-0000-0000-0000A70C0000}"/>
    <cellStyle name="20% - Accent2 5 2 3 2 3" xfId="18174" xr:uid="{00000000-0005-0000-0000-0000A80C0000}"/>
    <cellStyle name="20% - Accent2 5 2 3 3" xfId="851" xr:uid="{00000000-0005-0000-0000-0000A90C0000}"/>
    <cellStyle name="20% - Accent2 5 2 3 3 2" xfId="12435" xr:uid="{00000000-0005-0000-0000-0000AA0C0000}"/>
    <cellStyle name="20% - Accent2 5 2 3 3 2 2" xfId="26147" xr:uid="{00000000-0005-0000-0000-0000AB0C0000}"/>
    <cellStyle name="20% - Accent2 5 2 3 3 3" xfId="18175" xr:uid="{00000000-0005-0000-0000-0000AC0C0000}"/>
    <cellStyle name="20% - Accent2 5 2 3 4" xfId="852" xr:uid="{00000000-0005-0000-0000-0000AD0C0000}"/>
    <cellStyle name="20% - Accent2 5 2 3 4 2" xfId="14706" xr:uid="{00000000-0005-0000-0000-0000AE0C0000}"/>
    <cellStyle name="20% - Accent2 5 2 3 4 2 2" xfId="28255" xr:uid="{00000000-0005-0000-0000-0000AF0C0000}"/>
    <cellStyle name="20% - Accent2 5 2 3 4 3" xfId="18176" xr:uid="{00000000-0005-0000-0000-0000B00C0000}"/>
    <cellStyle name="20% - Accent2 5 2 3 5" xfId="853" xr:uid="{00000000-0005-0000-0000-0000B10C0000}"/>
    <cellStyle name="20% - Accent2 5 2 3 5 2" xfId="16576" xr:uid="{00000000-0005-0000-0000-0000B20C0000}"/>
    <cellStyle name="20% - Accent2 5 2 3 5 2 2" xfId="29983" xr:uid="{00000000-0005-0000-0000-0000B30C0000}"/>
    <cellStyle name="20% - Accent2 5 2 3 5 3" xfId="18177" xr:uid="{00000000-0005-0000-0000-0000B40C0000}"/>
    <cellStyle name="20% - Accent2 5 2 3 6" xfId="8930" xr:uid="{00000000-0005-0000-0000-0000B50C0000}"/>
    <cellStyle name="20% - Accent2 5 2 3 6 2" xfId="23405" xr:uid="{00000000-0005-0000-0000-0000B60C0000}"/>
    <cellStyle name="20% - Accent2 5 2 3 7" xfId="18173" xr:uid="{00000000-0005-0000-0000-0000B70C0000}"/>
    <cellStyle name="20% - Accent2 5 2 4" xfId="854" xr:uid="{00000000-0005-0000-0000-0000B80C0000}"/>
    <cellStyle name="20% - Accent2 5 2 4 2" xfId="855" xr:uid="{00000000-0005-0000-0000-0000B90C0000}"/>
    <cellStyle name="20% - Accent2 5 2 4 2 2" xfId="14707" xr:uid="{00000000-0005-0000-0000-0000BA0C0000}"/>
    <cellStyle name="20% - Accent2 5 2 4 2 2 2" xfId="28256" xr:uid="{00000000-0005-0000-0000-0000BB0C0000}"/>
    <cellStyle name="20% - Accent2 5 2 4 2 3" xfId="18179" xr:uid="{00000000-0005-0000-0000-0000BC0C0000}"/>
    <cellStyle name="20% - Accent2 5 2 4 3" xfId="10652" xr:uid="{00000000-0005-0000-0000-0000BD0C0000}"/>
    <cellStyle name="20% - Accent2 5 2 4 3 2" xfId="24594" xr:uid="{00000000-0005-0000-0000-0000BE0C0000}"/>
    <cellStyle name="20% - Accent2 5 2 4 4" xfId="18178" xr:uid="{00000000-0005-0000-0000-0000BF0C0000}"/>
    <cellStyle name="20% - Accent2 5 2 5" xfId="856" xr:uid="{00000000-0005-0000-0000-0000C00C0000}"/>
    <cellStyle name="20% - Accent2 5 2 5 2" xfId="11953" xr:uid="{00000000-0005-0000-0000-0000C10C0000}"/>
    <cellStyle name="20% - Accent2 5 2 5 2 2" xfId="25668" xr:uid="{00000000-0005-0000-0000-0000C20C0000}"/>
    <cellStyle name="20% - Accent2 5 2 5 3" xfId="18180" xr:uid="{00000000-0005-0000-0000-0000C30C0000}"/>
    <cellStyle name="20% - Accent2 5 2 6" xfId="857" xr:uid="{00000000-0005-0000-0000-0000C40C0000}"/>
    <cellStyle name="20% - Accent2 5 2 6 2" xfId="12492" xr:uid="{00000000-0005-0000-0000-0000C50C0000}"/>
    <cellStyle name="20% - Accent2 5 2 6 2 2" xfId="26204" xr:uid="{00000000-0005-0000-0000-0000C60C0000}"/>
    <cellStyle name="20% - Accent2 5 2 6 3" xfId="18181" xr:uid="{00000000-0005-0000-0000-0000C70C0000}"/>
    <cellStyle name="20% - Accent2 5 2 7" xfId="858" xr:uid="{00000000-0005-0000-0000-0000C80C0000}"/>
    <cellStyle name="20% - Accent2 5 2 7 2" xfId="13528" xr:uid="{00000000-0005-0000-0000-0000C90C0000}"/>
    <cellStyle name="20% - Accent2 5 2 7 2 2" xfId="27077" xr:uid="{00000000-0005-0000-0000-0000CA0C0000}"/>
    <cellStyle name="20% - Accent2 5 2 7 3" xfId="18182" xr:uid="{00000000-0005-0000-0000-0000CB0C0000}"/>
    <cellStyle name="20% - Accent2 5 2 8" xfId="859" xr:uid="{00000000-0005-0000-0000-0000CC0C0000}"/>
    <cellStyle name="20% - Accent2 5 2 8 2" xfId="14109" xr:uid="{00000000-0005-0000-0000-0000CD0C0000}"/>
    <cellStyle name="20% - Accent2 5 2 8 2 2" xfId="27658" xr:uid="{00000000-0005-0000-0000-0000CE0C0000}"/>
    <cellStyle name="20% - Accent2 5 2 8 3" xfId="18183" xr:uid="{00000000-0005-0000-0000-0000CF0C0000}"/>
    <cellStyle name="20% - Accent2 5 2 9" xfId="860" xr:uid="{00000000-0005-0000-0000-0000D00C0000}"/>
    <cellStyle name="20% - Accent2 5 2 9 2" xfId="14702" xr:uid="{00000000-0005-0000-0000-0000D10C0000}"/>
    <cellStyle name="20% - Accent2 5 2 9 2 2" xfId="28251" xr:uid="{00000000-0005-0000-0000-0000D20C0000}"/>
    <cellStyle name="20% - Accent2 5 2 9 3" xfId="18184" xr:uid="{00000000-0005-0000-0000-0000D30C0000}"/>
    <cellStyle name="20% - Accent2 5 3" xfId="861" xr:uid="{00000000-0005-0000-0000-0000D40C0000}"/>
    <cellStyle name="20% - Accent2 5 3 10" xfId="8931" xr:uid="{00000000-0005-0000-0000-0000D50C0000}"/>
    <cellStyle name="20% - Accent2 5 3 10 2" xfId="23406" xr:uid="{00000000-0005-0000-0000-0000D60C0000}"/>
    <cellStyle name="20% - Accent2 5 3 11" xfId="18185" xr:uid="{00000000-0005-0000-0000-0000D70C0000}"/>
    <cellStyle name="20% - Accent2 5 3 2" xfId="862" xr:uid="{00000000-0005-0000-0000-0000D80C0000}"/>
    <cellStyle name="20% - Accent2 5 3 2 2" xfId="863" xr:uid="{00000000-0005-0000-0000-0000D90C0000}"/>
    <cellStyle name="20% - Accent2 5 3 2 2 2" xfId="10657" xr:uid="{00000000-0005-0000-0000-0000DA0C0000}"/>
    <cellStyle name="20% - Accent2 5 3 2 2 2 2" xfId="24599" xr:uid="{00000000-0005-0000-0000-0000DB0C0000}"/>
    <cellStyle name="20% - Accent2 5 3 2 2 3" xfId="18187" xr:uid="{00000000-0005-0000-0000-0000DC0C0000}"/>
    <cellStyle name="20% - Accent2 5 3 2 3" xfId="864" xr:uid="{00000000-0005-0000-0000-0000DD0C0000}"/>
    <cellStyle name="20% - Accent2 5 3 2 3 2" xfId="12535" xr:uid="{00000000-0005-0000-0000-0000DE0C0000}"/>
    <cellStyle name="20% - Accent2 5 3 2 3 2 2" xfId="26247" xr:uid="{00000000-0005-0000-0000-0000DF0C0000}"/>
    <cellStyle name="20% - Accent2 5 3 2 3 3" xfId="18188" xr:uid="{00000000-0005-0000-0000-0000E00C0000}"/>
    <cellStyle name="20% - Accent2 5 3 2 4" xfId="865" xr:uid="{00000000-0005-0000-0000-0000E10C0000}"/>
    <cellStyle name="20% - Accent2 5 3 2 4 2" xfId="14709" xr:uid="{00000000-0005-0000-0000-0000E20C0000}"/>
    <cellStyle name="20% - Accent2 5 3 2 4 2 2" xfId="28258" xr:uid="{00000000-0005-0000-0000-0000E30C0000}"/>
    <cellStyle name="20% - Accent2 5 3 2 4 3" xfId="18189" xr:uid="{00000000-0005-0000-0000-0000E40C0000}"/>
    <cellStyle name="20% - Accent2 5 3 2 5" xfId="866" xr:uid="{00000000-0005-0000-0000-0000E50C0000}"/>
    <cellStyle name="20% - Accent2 5 3 2 5 2" xfId="16719" xr:uid="{00000000-0005-0000-0000-0000E60C0000}"/>
    <cellStyle name="20% - Accent2 5 3 2 5 2 2" xfId="30126" xr:uid="{00000000-0005-0000-0000-0000E70C0000}"/>
    <cellStyle name="20% - Accent2 5 3 2 5 3" xfId="18190" xr:uid="{00000000-0005-0000-0000-0000E80C0000}"/>
    <cellStyle name="20% - Accent2 5 3 2 6" xfId="8932" xr:uid="{00000000-0005-0000-0000-0000E90C0000}"/>
    <cellStyle name="20% - Accent2 5 3 2 6 2" xfId="23407" xr:uid="{00000000-0005-0000-0000-0000EA0C0000}"/>
    <cellStyle name="20% - Accent2 5 3 2 7" xfId="18186" xr:uid="{00000000-0005-0000-0000-0000EB0C0000}"/>
    <cellStyle name="20% - Accent2 5 3 3" xfId="867" xr:uid="{00000000-0005-0000-0000-0000EC0C0000}"/>
    <cellStyle name="20% - Accent2 5 3 3 2" xfId="868" xr:uid="{00000000-0005-0000-0000-0000ED0C0000}"/>
    <cellStyle name="20% - Accent2 5 3 3 2 2" xfId="14710" xr:uid="{00000000-0005-0000-0000-0000EE0C0000}"/>
    <cellStyle name="20% - Accent2 5 3 3 2 2 2" xfId="28259" xr:uid="{00000000-0005-0000-0000-0000EF0C0000}"/>
    <cellStyle name="20% - Accent2 5 3 3 2 3" xfId="18192" xr:uid="{00000000-0005-0000-0000-0000F00C0000}"/>
    <cellStyle name="20% - Accent2 5 3 3 3" xfId="10656" xr:uid="{00000000-0005-0000-0000-0000F10C0000}"/>
    <cellStyle name="20% - Accent2 5 3 3 3 2" xfId="24598" xr:uid="{00000000-0005-0000-0000-0000F20C0000}"/>
    <cellStyle name="20% - Accent2 5 3 3 4" xfId="18191" xr:uid="{00000000-0005-0000-0000-0000F30C0000}"/>
    <cellStyle name="20% - Accent2 5 3 4" xfId="869" xr:uid="{00000000-0005-0000-0000-0000F40C0000}"/>
    <cellStyle name="20% - Accent2 5 3 4 2" xfId="12107" xr:uid="{00000000-0005-0000-0000-0000F50C0000}"/>
    <cellStyle name="20% - Accent2 5 3 4 2 2" xfId="25819" xr:uid="{00000000-0005-0000-0000-0000F60C0000}"/>
    <cellStyle name="20% - Accent2 5 3 4 3" xfId="18193" xr:uid="{00000000-0005-0000-0000-0000F70C0000}"/>
    <cellStyle name="20% - Accent2 5 3 5" xfId="870" xr:uid="{00000000-0005-0000-0000-0000F80C0000}"/>
    <cellStyle name="20% - Accent2 5 3 5 2" xfId="11741" xr:uid="{00000000-0005-0000-0000-0000F90C0000}"/>
    <cellStyle name="20% - Accent2 5 3 5 2 2" xfId="25456" xr:uid="{00000000-0005-0000-0000-0000FA0C0000}"/>
    <cellStyle name="20% - Accent2 5 3 5 3" xfId="18194" xr:uid="{00000000-0005-0000-0000-0000FB0C0000}"/>
    <cellStyle name="20% - Accent2 5 3 6" xfId="871" xr:uid="{00000000-0005-0000-0000-0000FC0C0000}"/>
    <cellStyle name="20% - Accent2 5 3 6 2" xfId="13671" xr:uid="{00000000-0005-0000-0000-0000FD0C0000}"/>
    <cellStyle name="20% - Accent2 5 3 6 2 2" xfId="27220" xr:uid="{00000000-0005-0000-0000-0000FE0C0000}"/>
    <cellStyle name="20% - Accent2 5 3 6 3" xfId="18195" xr:uid="{00000000-0005-0000-0000-0000FF0C0000}"/>
    <cellStyle name="20% - Accent2 5 3 7" xfId="872" xr:uid="{00000000-0005-0000-0000-0000000D0000}"/>
    <cellStyle name="20% - Accent2 5 3 7 2" xfId="14252" xr:uid="{00000000-0005-0000-0000-0000010D0000}"/>
    <cellStyle name="20% - Accent2 5 3 7 2 2" xfId="27801" xr:uid="{00000000-0005-0000-0000-0000020D0000}"/>
    <cellStyle name="20% - Accent2 5 3 7 3" xfId="18196" xr:uid="{00000000-0005-0000-0000-0000030D0000}"/>
    <cellStyle name="20% - Accent2 5 3 8" xfId="873" xr:uid="{00000000-0005-0000-0000-0000040D0000}"/>
    <cellStyle name="20% - Accent2 5 3 8 2" xfId="14708" xr:uid="{00000000-0005-0000-0000-0000050D0000}"/>
    <cellStyle name="20% - Accent2 5 3 8 2 2" xfId="28257" xr:uid="{00000000-0005-0000-0000-0000060D0000}"/>
    <cellStyle name="20% - Accent2 5 3 8 3" xfId="18197" xr:uid="{00000000-0005-0000-0000-0000070D0000}"/>
    <cellStyle name="20% - Accent2 5 3 9" xfId="874" xr:uid="{00000000-0005-0000-0000-0000080D0000}"/>
    <cellStyle name="20% - Accent2 5 3 9 2" xfId="16138" xr:uid="{00000000-0005-0000-0000-0000090D0000}"/>
    <cellStyle name="20% - Accent2 5 3 9 2 2" xfId="29545" xr:uid="{00000000-0005-0000-0000-00000A0D0000}"/>
    <cellStyle name="20% - Accent2 5 3 9 3" xfId="18198" xr:uid="{00000000-0005-0000-0000-00000B0D0000}"/>
    <cellStyle name="20% - Accent2 5 4" xfId="875" xr:uid="{00000000-0005-0000-0000-00000C0D0000}"/>
    <cellStyle name="20% - Accent2 5 4 2" xfId="876" xr:uid="{00000000-0005-0000-0000-00000D0D0000}"/>
    <cellStyle name="20% - Accent2 5 4 2 2" xfId="10658" xr:uid="{00000000-0005-0000-0000-00000E0D0000}"/>
    <cellStyle name="20% - Accent2 5 4 2 2 2" xfId="24600" xr:uid="{00000000-0005-0000-0000-00000F0D0000}"/>
    <cellStyle name="20% - Accent2 5 4 2 3" xfId="18200" xr:uid="{00000000-0005-0000-0000-0000100D0000}"/>
    <cellStyle name="20% - Accent2 5 4 3" xfId="877" xr:uid="{00000000-0005-0000-0000-0000110D0000}"/>
    <cellStyle name="20% - Accent2 5 4 3 2" xfId="12556" xr:uid="{00000000-0005-0000-0000-0000120D0000}"/>
    <cellStyle name="20% - Accent2 5 4 3 2 2" xfId="26268" xr:uid="{00000000-0005-0000-0000-0000130D0000}"/>
    <cellStyle name="20% - Accent2 5 4 3 3" xfId="18201" xr:uid="{00000000-0005-0000-0000-0000140D0000}"/>
    <cellStyle name="20% - Accent2 5 4 4" xfId="878" xr:uid="{00000000-0005-0000-0000-0000150D0000}"/>
    <cellStyle name="20% - Accent2 5 4 4 2" xfId="14711" xr:uid="{00000000-0005-0000-0000-0000160D0000}"/>
    <cellStyle name="20% - Accent2 5 4 4 2 2" xfId="28260" xr:uid="{00000000-0005-0000-0000-0000170D0000}"/>
    <cellStyle name="20% - Accent2 5 4 4 3" xfId="18202" xr:uid="{00000000-0005-0000-0000-0000180D0000}"/>
    <cellStyle name="20% - Accent2 5 4 5" xfId="879" xr:uid="{00000000-0005-0000-0000-0000190D0000}"/>
    <cellStyle name="20% - Accent2 5 4 5 2" xfId="16433" xr:uid="{00000000-0005-0000-0000-00001A0D0000}"/>
    <cellStyle name="20% - Accent2 5 4 5 2 2" xfId="29840" xr:uid="{00000000-0005-0000-0000-00001B0D0000}"/>
    <cellStyle name="20% - Accent2 5 4 5 3" xfId="18203" xr:uid="{00000000-0005-0000-0000-00001C0D0000}"/>
    <cellStyle name="20% - Accent2 5 4 6" xfId="8933" xr:uid="{00000000-0005-0000-0000-00001D0D0000}"/>
    <cellStyle name="20% - Accent2 5 4 6 2" xfId="23408" xr:uid="{00000000-0005-0000-0000-00001E0D0000}"/>
    <cellStyle name="20% - Accent2 5 4 7" xfId="18199" xr:uid="{00000000-0005-0000-0000-00001F0D0000}"/>
    <cellStyle name="20% - Accent2 5 5" xfId="880" xr:uid="{00000000-0005-0000-0000-0000200D0000}"/>
    <cellStyle name="20% - Accent2 5 5 2" xfId="881" xr:uid="{00000000-0005-0000-0000-0000210D0000}"/>
    <cellStyle name="20% - Accent2 5 5 2 2" xfId="14712" xr:uid="{00000000-0005-0000-0000-0000220D0000}"/>
    <cellStyle name="20% - Accent2 5 5 2 2 2" xfId="28261" xr:uid="{00000000-0005-0000-0000-0000230D0000}"/>
    <cellStyle name="20% - Accent2 5 5 2 3" xfId="18205" xr:uid="{00000000-0005-0000-0000-0000240D0000}"/>
    <cellStyle name="20% - Accent2 5 5 3" xfId="10651" xr:uid="{00000000-0005-0000-0000-0000250D0000}"/>
    <cellStyle name="20% - Accent2 5 5 3 2" xfId="24593" xr:uid="{00000000-0005-0000-0000-0000260D0000}"/>
    <cellStyle name="20% - Accent2 5 5 4" xfId="18204" xr:uid="{00000000-0005-0000-0000-0000270D0000}"/>
    <cellStyle name="20% - Accent2 5 6" xfId="882" xr:uid="{00000000-0005-0000-0000-0000280D0000}"/>
    <cellStyle name="20% - Accent2 5 6 2" xfId="11784" xr:uid="{00000000-0005-0000-0000-0000290D0000}"/>
    <cellStyle name="20% - Accent2 5 6 2 2" xfId="25499" xr:uid="{00000000-0005-0000-0000-00002A0D0000}"/>
    <cellStyle name="20% - Accent2 5 6 3" xfId="18206" xr:uid="{00000000-0005-0000-0000-00002B0D0000}"/>
    <cellStyle name="20% - Accent2 5 7" xfId="883" xr:uid="{00000000-0005-0000-0000-00002C0D0000}"/>
    <cellStyle name="20% - Accent2 5 7 2" xfId="12401" xr:uid="{00000000-0005-0000-0000-00002D0D0000}"/>
    <cellStyle name="20% - Accent2 5 7 2 2" xfId="26113" xr:uid="{00000000-0005-0000-0000-00002E0D0000}"/>
    <cellStyle name="20% - Accent2 5 7 3" xfId="18207" xr:uid="{00000000-0005-0000-0000-00002F0D0000}"/>
    <cellStyle name="20% - Accent2 5 8" xfId="884" xr:uid="{00000000-0005-0000-0000-0000300D0000}"/>
    <cellStyle name="20% - Accent2 5 8 2" xfId="13385" xr:uid="{00000000-0005-0000-0000-0000310D0000}"/>
    <cellStyle name="20% - Accent2 5 8 2 2" xfId="26934" xr:uid="{00000000-0005-0000-0000-0000320D0000}"/>
    <cellStyle name="20% - Accent2 5 8 3" xfId="18208" xr:uid="{00000000-0005-0000-0000-0000330D0000}"/>
    <cellStyle name="20% - Accent2 5 9" xfId="885" xr:uid="{00000000-0005-0000-0000-0000340D0000}"/>
    <cellStyle name="20% - Accent2 5 9 2" xfId="13966" xr:uid="{00000000-0005-0000-0000-0000350D0000}"/>
    <cellStyle name="20% - Accent2 5 9 2 2" xfId="27515" xr:uid="{00000000-0005-0000-0000-0000360D0000}"/>
    <cellStyle name="20% - Accent2 5 9 3" xfId="18209" xr:uid="{00000000-0005-0000-0000-0000370D0000}"/>
    <cellStyle name="20% - Accent2 6" xfId="886" xr:uid="{00000000-0005-0000-0000-0000380D0000}"/>
    <cellStyle name="20% - Accent2 6 10" xfId="887" xr:uid="{00000000-0005-0000-0000-0000390D0000}"/>
    <cellStyle name="20% - Accent2 6 10 2" xfId="14713" xr:uid="{00000000-0005-0000-0000-00003A0D0000}"/>
    <cellStyle name="20% - Accent2 6 10 2 2" xfId="28262" xr:uid="{00000000-0005-0000-0000-00003B0D0000}"/>
    <cellStyle name="20% - Accent2 6 10 3" xfId="18211" xr:uid="{00000000-0005-0000-0000-00003C0D0000}"/>
    <cellStyle name="20% - Accent2 6 11" xfId="888" xr:uid="{00000000-0005-0000-0000-00003D0D0000}"/>
    <cellStyle name="20% - Accent2 6 11 2" xfId="15958" xr:uid="{00000000-0005-0000-0000-00003E0D0000}"/>
    <cellStyle name="20% - Accent2 6 11 2 2" xfId="29365" xr:uid="{00000000-0005-0000-0000-00003F0D0000}"/>
    <cellStyle name="20% - Accent2 6 11 3" xfId="18212" xr:uid="{00000000-0005-0000-0000-0000400D0000}"/>
    <cellStyle name="20% - Accent2 6 12" xfId="8934" xr:uid="{00000000-0005-0000-0000-0000410D0000}"/>
    <cellStyle name="20% - Accent2 6 12 2" xfId="23409" xr:uid="{00000000-0005-0000-0000-0000420D0000}"/>
    <cellStyle name="20% - Accent2 6 13" xfId="18210" xr:uid="{00000000-0005-0000-0000-0000430D0000}"/>
    <cellStyle name="20% - Accent2 6 2" xfId="889" xr:uid="{00000000-0005-0000-0000-0000440D0000}"/>
    <cellStyle name="20% - Accent2 6 2 10" xfId="890" xr:uid="{00000000-0005-0000-0000-0000450D0000}"/>
    <cellStyle name="20% - Accent2 6 2 10 2" xfId="16101" xr:uid="{00000000-0005-0000-0000-0000460D0000}"/>
    <cellStyle name="20% - Accent2 6 2 10 2 2" xfId="29508" xr:uid="{00000000-0005-0000-0000-0000470D0000}"/>
    <cellStyle name="20% - Accent2 6 2 10 3" xfId="18214" xr:uid="{00000000-0005-0000-0000-0000480D0000}"/>
    <cellStyle name="20% - Accent2 6 2 11" xfId="8935" xr:uid="{00000000-0005-0000-0000-0000490D0000}"/>
    <cellStyle name="20% - Accent2 6 2 11 2" xfId="23410" xr:uid="{00000000-0005-0000-0000-00004A0D0000}"/>
    <cellStyle name="20% - Accent2 6 2 12" xfId="18213" xr:uid="{00000000-0005-0000-0000-00004B0D0000}"/>
    <cellStyle name="20% - Accent2 6 2 2" xfId="891" xr:uid="{00000000-0005-0000-0000-00004C0D0000}"/>
    <cellStyle name="20% - Accent2 6 2 2 10" xfId="8936" xr:uid="{00000000-0005-0000-0000-00004D0D0000}"/>
    <cellStyle name="20% - Accent2 6 2 2 10 2" xfId="23411" xr:uid="{00000000-0005-0000-0000-00004E0D0000}"/>
    <cellStyle name="20% - Accent2 6 2 2 11" xfId="18215" xr:uid="{00000000-0005-0000-0000-00004F0D0000}"/>
    <cellStyle name="20% - Accent2 6 2 2 2" xfId="892" xr:uid="{00000000-0005-0000-0000-0000500D0000}"/>
    <cellStyle name="20% - Accent2 6 2 2 2 2" xfId="893" xr:uid="{00000000-0005-0000-0000-0000510D0000}"/>
    <cellStyle name="20% - Accent2 6 2 2 2 2 2" xfId="10662" xr:uid="{00000000-0005-0000-0000-0000520D0000}"/>
    <cellStyle name="20% - Accent2 6 2 2 2 2 2 2" xfId="24604" xr:uid="{00000000-0005-0000-0000-0000530D0000}"/>
    <cellStyle name="20% - Accent2 6 2 2 2 2 3" xfId="18217" xr:uid="{00000000-0005-0000-0000-0000540D0000}"/>
    <cellStyle name="20% - Accent2 6 2 2 2 3" xfId="894" xr:uid="{00000000-0005-0000-0000-0000550D0000}"/>
    <cellStyle name="20% - Accent2 6 2 2 2 3 2" xfId="12682" xr:uid="{00000000-0005-0000-0000-0000560D0000}"/>
    <cellStyle name="20% - Accent2 6 2 2 2 3 2 2" xfId="26394" xr:uid="{00000000-0005-0000-0000-0000570D0000}"/>
    <cellStyle name="20% - Accent2 6 2 2 2 3 3" xfId="18218" xr:uid="{00000000-0005-0000-0000-0000580D0000}"/>
    <cellStyle name="20% - Accent2 6 2 2 2 4" xfId="895" xr:uid="{00000000-0005-0000-0000-0000590D0000}"/>
    <cellStyle name="20% - Accent2 6 2 2 2 4 2" xfId="14716" xr:uid="{00000000-0005-0000-0000-00005A0D0000}"/>
    <cellStyle name="20% - Accent2 6 2 2 2 4 2 2" xfId="28265" xr:uid="{00000000-0005-0000-0000-00005B0D0000}"/>
    <cellStyle name="20% - Accent2 6 2 2 2 4 3" xfId="18219" xr:uid="{00000000-0005-0000-0000-00005C0D0000}"/>
    <cellStyle name="20% - Accent2 6 2 2 2 5" xfId="896" xr:uid="{00000000-0005-0000-0000-00005D0D0000}"/>
    <cellStyle name="20% - Accent2 6 2 2 2 5 2" xfId="16971" xr:uid="{00000000-0005-0000-0000-00005E0D0000}"/>
    <cellStyle name="20% - Accent2 6 2 2 2 5 2 2" xfId="30378" xr:uid="{00000000-0005-0000-0000-00005F0D0000}"/>
    <cellStyle name="20% - Accent2 6 2 2 2 5 3" xfId="18220" xr:uid="{00000000-0005-0000-0000-0000600D0000}"/>
    <cellStyle name="20% - Accent2 6 2 2 2 6" xfId="8937" xr:uid="{00000000-0005-0000-0000-0000610D0000}"/>
    <cellStyle name="20% - Accent2 6 2 2 2 6 2" xfId="23412" xr:uid="{00000000-0005-0000-0000-0000620D0000}"/>
    <cellStyle name="20% - Accent2 6 2 2 2 7" xfId="18216" xr:uid="{00000000-0005-0000-0000-0000630D0000}"/>
    <cellStyle name="20% - Accent2 6 2 2 3" xfId="897" xr:uid="{00000000-0005-0000-0000-0000640D0000}"/>
    <cellStyle name="20% - Accent2 6 2 2 3 2" xfId="898" xr:uid="{00000000-0005-0000-0000-0000650D0000}"/>
    <cellStyle name="20% - Accent2 6 2 2 3 2 2" xfId="14717" xr:uid="{00000000-0005-0000-0000-0000660D0000}"/>
    <cellStyle name="20% - Accent2 6 2 2 3 2 2 2" xfId="28266" xr:uid="{00000000-0005-0000-0000-0000670D0000}"/>
    <cellStyle name="20% - Accent2 6 2 2 3 2 3" xfId="18222" xr:uid="{00000000-0005-0000-0000-0000680D0000}"/>
    <cellStyle name="20% - Accent2 6 2 2 3 3" xfId="10661" xr:uid="{00000000-0005-0000-0000-0000690D0000}"/>
    <cellStyle name="20% - Accent2 6 2 2 3 3 2" xfId="24603" xr:uid="{00000000-0005-0000-0000-00006A0D0000}"/>
    <cellStyle name="20% - Accent2 6 2 2 3 4" xfId="18221" xr:uid="{00000000-0005-0000-0000-00006B0D0000}"/>
    <cellStyle name="20% - Accent2 6 2 2 4" xfId="899" xr:uid="{00000000-0005-0000-0000-00006C0D0000}"/>
    <cellStyle name="20% - Accent2 6 2 2 4 2" xfId="12359" xr:uid="{00000000-0005-0000-0000-00006D0D0000}"/>
    <cellStyle name="20% - Accent2 6 2 2 4 2 2" xfId="26071" xr:uid="{00000000-0005-0000-0000-00006E0D0000}"/>
    <cellStyle name="20% - Accent2 6 2 2 4 3" xfId="18223" xr:uid="{00000000-0005-0000-0000-00006F0D0000}"/>
    <cellStyle name="20% - Accent2 6 2 2 5" xfId="900" xr:uid="{00000000-0005-0000-0000-0000700D0000}"/>
    <cellStyle name="20% - Accent2 6 2 2 5 2" xfId="12774" xr:uid="{00000000-0005-0000-0000-0000710D0000}"/>
    <cellStyle name="20% - Accent2 6 2 2 5 2 2" xfId="26486" xr:uid="{00000000-0005-0000-0000-0000720D0000}"/>
    <cellStyle name="20% - Accent2 6 2 2 5 3" xfId="18224" xr:uid="{00000000-0005-0000-0000-0000730D0000}"/>
    <cellStyle name="20% - Accent2 6 2 2 6" xfId="901" xr:uid="{00000000-0005-0000-0000-0000740D0000}"/>
    <cellStyle name="20% - Accent2 6 2 2 6 2" xfId="13923" xr:uid="{00000000-0005-0000-0000-0000750D0000}"/>
    <cellStyle name="20% - Accent2 6 2 2 6 2 2" xfId="27472" xr:uid="{00000000-0005-0000-0000-0000760D0000}"/>
    <cellStyle name="20% - Accent2 6 2 2 6 3" xfId="18225" xr:uid="{00000000-0005-0000-0000-0000770D0000}"/>
    <cellStyle name="20% - Accent2 6 2 2 7" xfId="902" xr:uid="{00000000-0005-0000-0000-0000780D0000}"/>
    <cellStyle name="20% - Accent2 6 2 2 7 2" xfId="14504" xr:uid="{00000000-0005-0000-0000-0000790D0000}"/>
    <cellStyle name="20% - Accent2 6 2 2 7 2 2" xfId="28053" xr:uid="{00000000-0005-0000-0000-00007A0D0000}"/>
    <cellStyle name="20% - Accent2 6 2 2 7 3" xfId="18226" xr:uid="{00000000-0005-0000-0000-00007B0D0000}"/>
    <cellStyle name="20% - Accent2 6 2 2 8" xfId="903" xr:uid="{00000000-0005-0000-0000-00007C0D0000}"/>
    <cellStyle name="20% - Accent2 6 2 2 8 2" xfId="14715" xr:uid="{00000000-0005-0000-0000-00007D0D0000}"/>
    <cellStyle name="20% - Accent2 6 2 2 8 2 2" xfId="28264" xr:uid="{00000000-0005-0000-0000-00007E0D0000}"/>
    <cellStyle name="20% - Accent2 6 2 2 8 3" xfId="18227" xr:uid="{00000000-0005-0000-0000-00007F0D0000}"/>
    <cellStyle name="20% - Accent2 6 2 2 9" xfId="904" xr:uid="{00000000-0005-0000-0000-0000800D0000}"/>
    <cellStyle name="20% - Accent2 6 2 2 9 2" xfId="16390" xr:uid="{00000000-0005-0000-0000-0000810D0000}"/>
    <cellStyle name="20% - Accent2 6 2 2 9 2 2" xfId="29797" xr:uid="{00000000-0005-0000-0000-0000820D0000}"/>
    <cellStyle name="20% - Accent2 6 2 2 9 3" xfId="18228" xr:uid="{00000000-0005-0000-0000-0000830D0000}"/>
    <cellStyle name="20% - Accent2 6 2 3" xfId="905" xr:uid="{00000000-0005-0000-0000-0000840D0000}"/>
    <cellStyle name="20% - Accent2 6 2 3 2" xfId="906" xr:uid="{00000000-0005-0000-0000-0000850D0000}"/>
    <cellStyle name="20% - Accent2 6 2 3 2 2" xfId="10663" xr:uid="{00000000-0005-0000-0000-0000860D0000}"/>
    <cellStyle name="20% - Accent2 6 2 3 2 2 2" xfId="24605" xr:uid="{00000000-0005-0000-0000-0000870D0000}"/>
    <cellStyle name="20% - Accent2 6 2 3 2 3" xfId="18230" xr:uid="{00000000-0005-0000-0000-0000880D0000}"/>
    <cellStyle name="20% - Accent2 6 2 3 3" xfId="907" xr:uid="{00000000-0005-0000-0000-0000890D0000}"/>
    <cellStyle name="20% - Accent2 6 2 3 3 2" xfId="11846" xr:uid="{00000000-0005-0000-0000-00008A0D0000}"/>
    <cellStyle name="20% - Accent2 6 2 3 3 2 2" xfId="25561" xr:uid="{00000000-0005-0000-0000-00008B0D0000}"/>
    <cellStyle name="20% - Accent2 6 2 3 3 3" xfId="18231" xr:uid="{00000000-0005-0000-0000-00008C0D0000}"/>
    <cellStyle name="20% - Accent2 6 2 3 4" xfId="908" xr:uid="{00000000-0005-0000-0000-00008D0D0000}"/>
    <cellStyle name="20% - Accent2 6 2 3 4 2" xfId="14718" xr:uid="{00000000-0005-0000-0000-00008E0D0000}"/>
    <cellStyle name="20% - Accent2 6 2 3 4 2 2" xfId="28267" xr:uid="{00000000-0005-0000-0000-00008F0D0000}"/>
    <cellStyle name="20% - Accent2 6 2 3 4 3" xfId="18232" xr:uid="{00000000-0005-0000-0000-0000900D0000}"/>
    <cellStyle name="20% - Accent2 6 2 3 5" xfId="909" xr:uid="{00000000-0005-0000-0000-0000910D0000}"/>
    <cellStyle name="20% - Accent2 6 2 3 5 2" xfId="16682" xr:uid="{00000000-0005-0000-0000-0000920D0000}"/>
    <cellStyle name="20% - Accent2 6 2 3 5 2 2" xfId="30089" xr:uid="{00000000-0005-0000-0000-0000930D0000}"/>
    <cellStyle name="20% - Accent2 6 2 3 5 3" xfId="18233" xr:uid="{00000000-0005-0000-0000-0000940D0000}"/>
    <cellStyle name="20% - Accent2 6 2 3 6" xfId="8938" xr:uid="{00000000-0005-0000-0000-0000950D0000}"/>
    <cellStyle name="20% - Accent2 6 2 3 6 2" xfId="23413" xr:uid="{00000000-0005-0000-0000-0000960D0000}"/>
    <cellStyle name="20% - Accent2 6 2 3 7" xfId="18229" xr:uid="{00000000-0005-0000-0000-0000970D0000}"/>
    <cellStyle name="20% - Accent2 6 2 4" xfId="910" xr:uid="{00000000-0005-0000-0000-0000980D0000}"/>
    <cellStyle name="20% - Accent2 6 2 4 2" xfId="911" xr:uid="{00000000-0005-0000-0000-0000990D0000}"/>
    <cellStyle name="20% - Accent2 6 2 4 2 2" xfId="14719" xr:uid="{00000000-0005-0000-0000-00009A0D0000}"/>
    <cellStyle name="20% - Accent2 6 2 4 2 2 2" xfId="28268" xr:uid="{00000000-0005-0000-0000-00009B0D0000}"/>
    <cellStyle name="20% - Accent2 6 2 4 2 3" xfId="18235" xr:uid="{00000000-0005-0000-0000-00009C0D0000}"/>
    <cellStyle name="20% - Accent2 6 2 4 3" xfId="10660" xr:uid="{00000000-0005-0000-0000-00009D0D0000}"/>
    <cellStyle name="20% - Accent2 6 2 4 3 2" xfId="24602" xr:uid="{00000000-0005-0000-0000-00009E0D0000}"/>
    <cellStyle name="20% - Accent2 6 2 4 4" xfId="18234" xr:uid="{00000000-0005-0000-0000-00009F0D0000}"/>
    <cellStyle name="20% - Accent2 6 2 5" xfId="912" xr:uid="{00000000-0005-0000-0000-0000A00D0000}"/>
    <cellStyle name="20% - Accent2 6 2 5 2" xfId="12059" xr:uid="{00000000-0005-0000-0000-0000A10D0000}"/>
    <cellStyle name="20% - Accent2 6 2 5 2 2" xfId="25774" xr:uid="{00000000-0005-0000-0000-0000A20D0000}"/>
    <cellStyle name="20% - Accent2 6 2 5 3" xfId="18236" xr:uid="{00000000-0005-0000-0000-0000A30D0000}"/>
    <cellStyle name="20% - Accent2 6 2 6" xfId="913" xr:uid="{00000000-0005-0000-0000-0000A40D0000}"/>
    <cellStyle name="20% - Accent2 6 2 6 2" xfId="12773" xr:uid="{00000000-0005-0000-0000-0000A50D0000}"/>
    <cellStyle name="20% - Accent2 6 2 6 2 2" xfId="26485" xr:uid="{00000000-0005-0000-0000-0000A60D0000}"/>
    <cellStyle name="20% - Accent2 6 2 6 3" xfId="18237" xr:uid="{00000000-0005-0000-0000-0000A70D0000}"/>
    <cellStyle name="20% - Accent2 6 2 7" xfId="914" xr:uid="{00000000-0005-0000-0000-0000A80D0000}"/>
    <cellStyle name="20% - Accent2 6 2 7 2" xfId="13634" xr:uid="{00000000-0005-0000-0000-0000A90D0000}"/>
    <cellStyle name="20% - Accent2 6 2 7 2 2" xfId="27183" xr:uid="{00000000-0005-0000-0000-0000AA0D0000}"/>
    <cellStyle name="20% - Accent2 6 2 7 3" xfId="18238" xr:uid="{00000000-0005-0000-0000-0000AB0D0000}"/>
    <cellStyle name="20% - Accent2 6 2 8" xfId="915" xr:uid="{00000000-0005-0000-0000-0000AC0D0000}"/>
    <cellStyle name="20% - Accent2 6 2 8 2" xfId="14215" xr:uid="{00000000-0005-0000-0000-0000AD0D0000}"/>
    <cellStyle name="20% - Accent2 6 2 8 2 2" xfId="27764" xr:uid="{00000000-0005-0000-0000-0000AE0D0000}"/>
    <cellStyle name="20% - Accent2 6 2 8 3" xfId="18239" xr:uid="{00000000-0005-0000-0000-0000AF0D0000}"/>
    <cellStyle name="20% - Accent2 6 2 9" xfId="916" xr:uid="{00000000-0005-0000-0000-0000B00D0000}"/>
    <cellStyle name="20% - Accent2 6 2 9 2" xfId="14714" xr:uid="{00000000-0005-0000-0000-0000B10D0000}"/>
    <cellStyle name="20% - Accent2 6 2 9 2 2" xfId="28263" xr:uid="{00000000-0005-0000-0000-0000B20D0000}"/>
    <cellStyle name="20% - Accent2 6 2 9 3" xfId="18240" xr:uid="{00000000-0005-0000-0000-0000B30D0000}"/>
    <cellStyle name="20% - Accent2 6 3" xfId="917" xr:uid="{00000000-0005-0000-0000-0000B40D0000}"/>
    <cellStyle name="20% - Accent2 6 3 10" xfId="8939" xr:uid="{00000000-0005-0000-0000-0000B50D0000}"/>
    <cellStyle name="20% - Accent2 6 3 10 2" xfId="23414" xr:uid="{00000000-0005-0000-0000-0000B60D0000}"/>
    <cellStyle name="20% - Accent2 6 3 11" xfId="18241" xr:uid="{00000000-0005-0000-0000-0000B70D0000}"/>
    <cellStyle name="20% - Accent2 6 3 2" xfId="918" xr:uid="{00000000-0005-0000-0000-0000B80D0000}"/>
    <cellStyle name="20% - Accent2 6 3 2 2" xfId="919" xr:uid="{00000000-0005-0000-0000-0000B90D0000}"/>
    <cellStyle name="20% - Accent2 6 3 2 2 2" xfId="10665" xr:uid="{00000000-0005-0000-0000-0000BA0D0000}"/>
    <cellStyle name="20% - Accent2 6 3 2 2 2 2" xfId="24607" xr:uid="{00000000-0005-0000-0000-0000BB0D0000}"/>
    <cellStyle name="20% - Accent2 6 3 2 2 3" xfId="18243" xr:uid="{00000000-0005-0000-0000-0000BC0D0000}"/>
    <cellStyle name="20% - Accent2 6 3 2 3" xfId="920" xr:uid="{00000000-0005-0000-0000-0000BD0D0000}"/>
    <cellStyle name="20% - Accent2 6 3 2 3 2" xfId="12715" xr:uid="{00000000-0005-0000-0000-0000BE0D0000}"/>
    <cellStyle name="20% - Accent2 6 3 2 3 2 2" xfId="26427" xr:uid="{00000000-0005-0000-0000-0000BF0D0000}"/>
    <cellStyle name="20% - Accent2 6 3 2 3 3" xfId="18244" xr:uid="{00000000-0005-0000-0000-0000C00D0000}"/>
    <cellStyle name="20% - Accent2 6 3 2 4" xfId="921" xr:uid="{00000000-0005-0000-0000-0000C10D0000}"/>
    <cellStyle name="20% - Accent2 6 3 2 4 2" xfId="14721" xr:uid="{00000000-0005-0000-0000-0000C20D0000}"/>
    <cellStyle name="20% - Accent2 6 3 2 4 2 2" xfId="28270" xr:uid="{00000000-0005-0000-0000-0000C30D0000}"/>
    <cellStyle name="20% - Accent2 6 3 2 4 3" xfId="18245" xr:uid="{00000000-0005-0000-0000-0000C40D0000}"/>
    <cellStyle name="20% - Accent2 6 3 2 5" xfId="922" xr:uid="{00000000-0005-0000-0000-0000C50D0000}"/>
    <cellStyle name="20% - Accent2 6 3 2 5 2" xfId="16828" xr:uid="{00000000-0005-0000-0000-0000C60D0000}"/>
    <cellStyle name="20% - Accent2 6 3 2 5 2 2" xfId="30235" xr:uid="{00000000-0005-0000-0000-0000C70D0000}"/>
    <cellStyle name="20% - Accent2 6 3 2 5 3" xfId="18246" xr:uid="{00000000-0005-0000-0000-0000C80D0000}"/>
    <cellStyle name="20% - Accent2 6 3 2 6" xfId="8940" xr:uid="{00000000-0005-0000-0000-0000C90D0000}"/>
    <cellStyle name="20% - Accent2 6 3 2 6 2" xfId="23415" xr:uid="{00000000-0005-0000-0000-0000CA0D0000}"/>
    <cellStyle name="20% - Accent2 6 3 2 7" xfId="18242" xr:uid="{00000000-0005-0000-0000-0000CB0D0000}"/>
    <cellStyle name="20% - Accent2 6 3 3" xfId="923" xr:uid="{00000000-0005-0000-0000-0000CC0D0000}"/>
    <cellStyle name="20% - Accent2 6 3 3 2" xfId="924" xr:uid="{00000000-0005-0000-0000-0000CD0D0000}"/>
    <cellStyle name="20% - Accent2 6 3 3 2 2" xfId="14722" xr:uid="{00000000-0005-0000-0000-0000CE0D0000}"/>
    <cellStyle name="20% - Accent2 6 3 3 2 2 2" xfId="28271" xr:uid="{00000000-0005-0000-0000-0000CF0D0000}"/>
    <cellStyle name="20% - Accent2 6 3 3 2 3" xfId="18248" xr:uid="{00000000-0005-0000-0000-0000D00D0000}"/>
    <cellStyle name="20% - Accent2 6 3 3 3" xfId="10664" xr:uid="{00000000-0005-0000-0000-0000D10D0000}"/>
    <cellStyle name="20% - Accent2 6 3 3 3 2" xfId="24606" xr:uid="{00000000-0005-0000-0000-0000D20D0000}"/>
    <cellStyle name="20% - Accent2 6 3 3 4" xfId="18247" xr:uid="{00000000-0005-0000-0000-0000D30D0000}"/>
    <cellStyle name="20% - Accent2 6 3 4" xfId="925" xr:uid="{00000000-0005-0000-0000-0000D40D0000}"/>
    <cellStyle name="20% - Accent2 6 3 4 2" xfId="12216" xr:uid="{00000000-0005-0000-0000-0000D50D0000}"/>
    <cellStyle name="20% - Accent2 6 3 4 2 2" xfId="25928" xr:uid="{00000000-0005-0000-0000-0000D60D0000}"/>
    <cellStyle name="20% - Accent2 6 3 4 3" xfId="18249" xr:uid="{00000000-0005-0000-0000-0000D70D0000}"/>
    <cellStyle name="20% - Accent2 6 3 5" xfId="926" xr:uid="{00000000-0005-0000-0000-0000D80D0000}"/>
    <cellStyle name="20% - Accent2 6 3 5 2" xfId="12720" xr:uid="{00000000-0005-0000-0000-0000D90D0000}"/>
    <cellStyle name="20% - Accent2 6 3 5 2 2" xfId="26432" xr:uid="{00000000-0005-0000-0000-0000DA0D0000}"/>
    <cellStyle name="20% - Accent2 6 3 5 3" xfId="18250" xr:uid="{00000000-0005-0000-0000-0000DB0D0000}"/>
    <cellStyle name="20% - Accent2 6 3 6" xfId="927" xr:uid="{00000000-0005-0000-0000-0000DC0D0000}"/>
    <cellStyle name="20% - Accent2 6 3 6 2" xfId="13780" xr:uid="{00000000-0005-0000-0000-0000DD0D0000}"/>
    <cellStyle name="20% - Accent2 6 3 6 2 2" xfId="27329" xr:uid="{00000000-0005-0000-0000-0000DE0D0000}"/>
    <cellStyle name="20% - Accent2 6 3 6 3" xfId="18251" xr:uid="{00000000-0005-0000-0000-0000DF0D0000}"/>
    <cellStyle name="20% - Accent2 6 3 7" xfId="928" xr:uid="{00000000-0005-0000-0000-0000E00D0000}"/>
    <cellStyle name="20% - Accent2 6 3 7 2" xfId="14361" xr:uid="{00000000-0005-0000-0000-0000E10D0000}"/>
    <cellStyle name="20% - Accent2 6 3 7 2 2" xfId="27910" xr:uid="{00000000-0005-0000-0000-0000E20D0000}"/>
    <cellStyle name="20% - Accent2 6 3 7 3" xfId="18252" xr:uid="{00000000-0005-0000-0000-0000E30D0000}"/>
    <cellStyle name="20% - Accent2 6 3 8" xfId="929" xr:uid="{00000000-0005-0000-0000-0000E40D0000}"/>
    <cellStyle name="20% - Accent2 6 3 8 2" xfId="14720" xr:uid="{00000000-0005-0000-0000-0000E50D0000}"/>
    <cellStyle name="20% - Accent2 6 3 8 2 2" xfId="28269" xr:uid="{00000000-0005-0000-0000-0000E60D0000}"/>
    <cellStyle name="20% - Accent2 6 3 8 3" xfId="18253" xr:uid="{00000000-0005-0000-0000-0000E70D0000}"/>
    <cellStyle name="20% - Accent2 6 3 9" xfId="930" xr:uid="{00000000-0005-0000-0000-0000E80D0000}"/>
    <cellStyle name="20% - Accent2 6 3 9 2" xfId="16247" xr:uid="{00000000-0005-0000-0000-0000E90D0000}"/>
    <cellStyle name="20% - Accent2 6 3 9 2 2" xfId="29654" xr:uid="{00000000-0005-0000-0000-0000EA0D0000}"/>
    <cellStyle name="20% - Accent2 6 3 9 3" xfId="18254" xr:uid="{00000000-0005-0000-0000-0000EB0D0000}"/>
    <cellStyle name="20% - Accent2 6 4" xfId="931" xr:uid="{00000000-0005-0000-0000-0000EC0D0000}"/>
    <cellStyle name="20% - Accent2 6 4 2" xfId="932" xr:uid="{00000000-0005-0000-0000-0000ED0D0000}"/>
    <cellStyle name="20% - Accent2 6 4 2 2" xfId="10666" xr:uid="{00000000-0005-0000-0000-0000EE0D0000}"/>
    <cellStyle name="20% - Accent2 6 4 2 2 2" xfId="24608" xr:uid="{00000000-0005-0000-0000-0000EF0D0000}"/>
    <cellStyle name="20% - Accent2 6 4 2 3" xfId="18256" xr:uid="{00000000-0005-0000-0000-0000F00D0000}"/>
    <cellStyle name="20% - Accent2 6 4 3" xfId="933" xr:uid="{00000000-0005-0000-0000-0000F10D0000}"/>
    <cellStyle name="20% - Accent2 6 4 3 2" xfId="12742" xr:uid="{00000000-0005-0000-0000-0000F20D0000}"/>
    <cellStyle name="20% - Accent2 6 4 3 2 2" xfId="26454" xr:uid="{00000000-0005-0000-0000-0000F30D0000}"/>
    <cellStyle name="20% - Accent2 6 4 3 3" xfId="18257" xr:uid="{00000000-0005-0000-0000-0000F40D0000}"/>
    <cellStyle name="20% - Accent2 6 4 4" xfId="934" xr:uid="{00000000-0005-0000-0000-0000F50D0000}"/>
    <cellStyle name="20% - Accent2 6 4 4 2" xfId="14723" xr:uid="{00000000-0005-0000-0000-0000F60D0000}"/>
    <cellStyle name="20% - Accent2 6 4 4 2 2" xfId="28272" xr:uid="{00000000-0005-0000-0000-0000F70D0000}"/>
    <cellStyle name="20% - Accent2 6 4 4 3" xfId="18258" xr:uid="{00000000-0005-0000-0000-0000F80D0000}"/>
    <cellStyle name="20% - Accent2 6 4 5" xfId="935" xr:uid="{00000000-0005-0000-0000-0000F90D0000}"/>
    <cellStyle name="20% - Accent2 6 4 5 2" xfId="16539" xr:uid="{00000000-0005-0000-0000-0000FA0D0000}"/>
    <cellStyle name="20% - Accent2 6 4 5 2 2" xfId="29946" xr:uid="{00000000-0005-0000-0000-0000FB0D0000}"/>
    <cellStyle name="20% - Accent2 6 4 5 3" xfId="18259" xr:uid="{00000000-0005-0000-0000-0000FC0D0000}"/>
    <cellStyle name="20% - Accent2 6 4 6" xfId="8941" xr:uid="{00000000-0005-0000-0000-0000FD0D0000}"/>
    <cellStyle name="20% - Accent2 6 4 6 2" xfId="23416" xr:uid="{00000000-0005-0000-0000-0000FE0D0000}"/>
    <cellStyle name="20% - Accent2 6 4 7" xfId="18255" xr:uid="{00000000-0005-0000-0000-0000FF0D0000}"/>
    <cellStyle name="20% - Accent2 6 5" xfId="936" xr:uid="{00000000-0005-0000-0000-0000000E0000}"/>
    <cellStyle name="20% - Accent2 6 5 2" xfId="937" xr:uid="{00000000-0005-0000-0000-0000010E0000}"/>
    <cellStyle name="20% - Accent2 6 5 2 2" xfId="14724" xr:uid="{00000000-0005-0000-0000-0000020E0000}"/>
    <cellStyle name="20% - Accent2 6 5 2 2 2" xfId="28273" xr:uid="{00000000-0005-0000-0000-0000030E0000}"/>
    <cellStyle name="20% - Accent2 6 5 2 3" xfId="18261" xr:uid="{00000000-0005-0000-0000-0000040E0000}"/>
    <cellStyle name="20% - Accent2 6 5 3" xfId="10659" xr:uid="{00000000-0005-0000-0000-0000050E0000}"/>
    <cellStyle name="20% - Accent2 6 5 3 2" xfId="24601" xr:uid="{00000000-0005-0000-0000-0000060E0000}"/>
    <cellStyle name="20% - Accent2 6 5 4" xfId="18260" xr:uid="{00000000-0005-0000-0000-0000070E0000}"/>
    <cellStyle name="20% - Accent2 6 6" xfId="938" xr:uid="{00000000-0005-0000-0000-0000080E0000}"/>
    <cellStyle name="20% - Accent2 6 6 2" xfId="11914" xr:uid="{00000000-0005-0000-0000-0000090E0000}"/>
    <cellStyle name="20% - Accent2 6 6 2 2" xfId="25629" xr:uid="{00000000-0005-0000-0000-00000A0E0000}"/>
    <cellStyle name="20% - Accent2 6 6 3" xfId="18262" xr:uid="{00000000-0005-0000-0000-00000B0E0000}"/>
    <cellStyle name="20% - Accent2 6 7" xfId="939" xr:uid="{00000000-0005-0000-0000-00000C0E0000}"/>
    <cellStyle name="20% - Accent2 6 7 2" xfId="12416" xr:uid="{00000000-0005-0000-0000-00000D0E0000}"/>
    <cellStyle name="20% - Accent2 6 7 2 2" xfId="26128" xr:uid="{00000000-0005-0000-0000-00000E0E0000}"/>
    <cellStyle name="20% - Accent2 6 7 3" xfId="18263" xr:uid="{00000000-0005-0000-0000-00000F0E0000}"/>
    <cellStyle name="20% - Accent2 6 8" xfId="940" xr:uid="{00000000-0005-0000-0000-0000100E0000}"/>
    <cellStyle name="20% - Accent2 6 8 2" xfId="13491" xr:uid="{00000000-0005-0000-0000-0000110E0000}"/>
    <cellStyle name="20% - Accent2 6 8 2 2" xfId="27040" xr:uid="{00000000-0005-0000-0000-0000120E0000}"/>
    <cellStyle name="20% - Accent2 6 8 3" xfId="18264" xr:uid="{00000000-0005-0000-0000-0000130E0000}"/>
    <cellStyle name="20% - Accent2 6 9" xfId="941" xr:uid="{00000000-0005-0000-0000-0000140E0000}"/>
    <cellStyle name="20% - Accent2 6 9 2" xfId="14072" xr:uid="{00000000-0005-0000-0000-0000150E0000}"/>
    <cellStyle name="20% - Accent2 6 9 2 2" xfId="27621" xr:uid="{00000000-0005-0000-0000-0000160E0000}"/>
    <cellStyle name="20% - Accent2 6 9 3" xfId="18265" xr:uid="{00000000-0005-0000-0000-0000170E0000}"/>
    <cellStyle name="20% - Accent2 7" xfId="942" xr:uid="{00000000-0005-0000-0000-0000180E0000}"/>
    <cellStyle name="20% - Accent2 7 10" xfId="943" xr:uid="{00000000-0005-0000-0000-0000190E0000}"/>
    <cellStyle name="20% - Accent2 7 10 2" xfId="15979" xr:uid="{00000000-0005-0000-0000-00001A0E0000}"/>
    <cellStyle name="20% - Accent2 7 10 2 2" xfId="29386" xr:uid="{00000000-0005-0000-0000-00001B0E0000}"/>
    <cellStyle name="20% - Accent2 7 10 3" xfId="18267" xr:uid="{00000000-0005-0000-0000-00001C0E0000}"/>
    <cellStyle name="20% - Accent2 7 11" xfId="8942" xr:uid="{00000000-0005-0000-0000-00001D0E0000}"/>
    <cellStyle name="20% - Accent2 7 11 2" xfId="23417" xr:uid="{00000000-0005-0000-0000-00001E0E0000}"/>
    <cellStyle name="20% - Accent2 7 12" xfId="18266" xr:uid="{00000000-0005-0000-0000-00001F0E0000}"/>
    <cellStyle name="20% - Accent2 7 2" xfId="944" xr:uid="{00000000-0005-0000-0000-0000200E0000}"/>
    <cellStyle name="20% - Accent2 7 2 10" xfId="8943" xr:uid="{00000000-0005-0000-0000-0000210E0000}"/>
    <cellStyle name="20% - Accent2 7 2 10 2" xfId="23418" xr:uid="{00000000-0005-0000-0000-0000220E0000}"/>
    <cellStyle name="20% - Accent2 7 2 11" xfId="18268" xr:uid="{00000000-0005-0000-0000-0000230E0000}"/>
    <cellStyle name="20% - Accent2 7 2 2" xfId="945" xr:uid="{00000000-0005-0000-0000-0000240E0000}"/>
    <cellStyle name="20% - Accent2 7 2 2 2" xfId="946" xr:uid="{00000000-0005-0000-0000-0000250E0000}"/>
    <cellStyle name="20% - Accent2 7 2 2 2 2" xfId="10669" xr:uid="{00000000-0005-0000-0000-0000260E0000}"/>
    <cellStyle name="20% - Accent2 7 2 2 2 2 2" xfId="24611" xr:uid="{00000000-0005-0000-0000-0000270E0000}"/>
    <cellStyle name="20% - Accent2 7 2 2 2 3" xfId="18270" xr:uid="{00000000-0005-0000-0000-0000280E0000}"/>
    <cellStyle name="20% - Accent2 7 2 2 3" xfId="947" xr:uid="{00000000-0005-0000-0000-0000290E0000}"/>
    <cellStyle name="20% - Accent2 7 2 2 3 2" xfId="12472" xr:uid="{00000000-0005-0000-0000-00002A0E0000}"/>
    <cellStyle name="20% - Accent2 7 2 2 3 2 2" xfId="26184" xr:uid="{00000000-0005-0000-0000-00002B0E0000}"/>
    <cellStyle name="20% - Accent2 7 2 2 3 3" xfId="18271" xr:uid="{00000000-0005-0000-0000-00002C0E0000}"/>
    <cellStyle name="20% - Accent2 7 2 2 4" xfId="948" xr:uid="{00000000-0005-0000-0000-00002D0E0000}"/>
    <cellStyle name="20% - Accent2 7 2 2 4 2" xfId="14727" xr:uid="{00000000-0005-0000-0000-00002E0E0000}"/>
    <cellStyle name="20% - Accent2 7 2 2 4 2 2" xfId="28276" xr:uid="{00000000-0005-0000-0000-00002F0E0000}"/>
    <cellStyle name="20% - Accent2 7 2 2 4 3" xfId="18272" xr:uid="{00000000-0005-0000-0000-0000300E0000}"/>
    <cellStyle name="20% - Accent2 7 2 2 5" xfId="949" xr:uid="{00000000-0005-0000-0000-0000310E0000}"/>
    <cellStyle name="20% - Accent2 7 2 2 5 2" xfId="16849" xr:uid="{00000000-0005-0000-0000-0000320E0000}"/>
    <cellStyle name="20% - Accent2 7 2 2 5 2 2" xfId="30256" xr:uid="{00000000-0005-0000-0000-0000330E0000}"/>
    <cellStyle name="20% - Accent2 7 2 2 5 3" xfId="18273" xr:uid="{00000000-0005-0000-0000-0000340E0000}"/>
    <cellStyle name="20% - Accent2 7 2 2 6" xfId="8944" xr:uid="{00000000-0005-0000-0000-0000350E0000}"/>
    <cellStyle name="20% - Accent2 7 2 2 6 2" xfId="23419" xr:uid="{00000000-0005-0000-0000-0000360E0000}"/>
    <cellStyle name="20% - Accent2 7 2 2 7" xfId="18269" xr:uid="{00000000-0005-0000-0000-0000370E0000}"/>
    <cellStyle name="20% - Accent2 7 2 3" xfId="950" xr:uid="{00000000-0005-0000-0000-0000380E0000}"/>
    <cellStyle name="20% - Accent2 7 2 3 2" xfId="951" xr:uid="{00000000-0005-0000-0000-0000390E0000}"/>
    <cellStyle name="20% - Accent2 7 2 3 2 2" xfId="14728" xr:uid="{00000000-0005-0000-0000-00003A0E0000}"/>
    <cellStyle name="20% - Accent2 7 2 3 2 2 2" xfId="28277" xr:uid="{00000000-0005-0000-0000-00003B0E0000}"/>
    <cellStyle name="20% - Accent2 7 2 3 2 3" xfId="18275" xr:uid="{00000000-0005-0000-0000-00003C0E0000}"/>
    <cellStyle name="20% - Accent2 7 2 3 3" xfId="10668" xr:uid="{00000000-0005-0000-0000-00003D0E0000}"/>
    <cellStyle name="20% - Accent2 7 2 3 3 2" xfId="24610" xr:uid="{00000000-0005-0000-0000-00003E0E0000}"/>
    <cellStyle name="20% - Accent2 7 2 3 4" xfId="18274" xr:uid="{00000000-0005-0000-0000-00003F0E0000}"/>
    <cellStyle name="20% - Accent2 7 2 4" xfId="952" xr:uid="{00000000-0005-0000-0000-0000400E0000}"/>
    <cellStyle name="20% - Accent2 7 2 4 2" xfId="12237" xr:uid="{00000000-0005-0000-0000-0000410E0000}"/>
    <cellStyle name="20% - Accent2 7 2 4 2 2" xfId="25949" xr:uid="{00000000-0005-0000-0000-0000420E0000}"/>
    <cellStyle name="20% - Accent2 7 2 4 3" xfId="18276" xr:uid="{00000000-0005-0000-0000-0000430E0000}"/>
    <cellStyle name="20% - Accent2 7 2 5" xfId="953" xr:uid="{00000000-0005-0000-0000-0000440E0000}"/>
    <cellStyle name="20% - Accent2 7 2 5 2" xfId="11833" xr:uid="{00000000-0005-0000-0000-0000450E0000}"/>
    <cellStyle name="20% - Accent2 7 2 5 2 2" xfId="25548" xr:uid="{00000000-0005-0000-0000-0000460E0000}"/>
    <cellStyle name="20% - Accent2 7 2 5 3" xfId="18277" xr:uid="{00000000-0005-0000-0000-0000470E0000}"/>
    <cellStyle name="20% - Accent2 7 2 6" xfId="954" xr:uid="{00000000-0005-0000-0000-0000480E0000}"/>
    <cellStyle name="20% - Accent2 7 2 6 2" xfId="13801" xr:uid="{00000000-0005-0000-0000-0000490E0000}"/>
    <cellStyle name="20% - Accent2 7 2 6 2 2" xfId="27350" xr:uid="{00000000-0005-0000-0000-00004A0E0000}"/>
    <cellStyle name="20% - Accent2 7 2 6 3" xfId="18278" xr:uid="{00000000-0005-0000-0000-00004B0E0000}"/>
    <cellStyle name="20% - Accent2 7 2 7" xfId="955" xr:uid="{00000000-0005-0000-0000-00004C0E0000}"/>
    <cellStyle name="20% - Accent2 7 2 7 2" xfId="14382" xr:uid="{00000000-0005-0000-0000-00004D0E0000}"/>
    <cellStyle name="20% - Accent2 7 2 7 2 2" xfId="27931" xr:uid="{00000000-0005-0000-0000-00004E0E0000}"/>
    <cellStyle name="20% - Accent2 7 2 7 3" xfId="18279" xr:uid="{00000000-0005-0000-0000-00004F0E0000}"/>
    <cellStyle name="20% - Accent2 7 2 8" xfId="956" xr:uid="{00000000-0005-0000-0000-0000500E0000}"/>
    <cellStyle name="20% - Accent2 7 2 8 2" xfId="14726" xr:uid="{00000000-0005-0000-0000-0000510E0000}"/>
    <cellStyle name="20% - Accent2 7 2 8 2 2" xfId="28275" xr:uid="{00000000-0005-0000-0000-0000520E0000}"/>
    <cellStyle name="20% - Accent2 7 2 8 3" xfId="18280" xr:uid="{00000000-0005-0000-0000-0000530E0000}"/>
    <cellStyle name="20% - Accent2 7 2 9" xfId="957" xr:uid="{00000000-0005-0000-0000-0000540E0000}"/>
    <cellStyle name="20% - Accent2 7 2 9 2" xfId="16268" xr:uid="{00000000-0005-0000-0000-0000550E0000}"/>
    <cellStyle name="20% - Accent2 7 2 9 2 2" xfId="29675" xr:uid="{00000000-0005-0000-0000-0000560E0000}"/>
    <cellStyle name="20% - Accent2 7 2 9 3" xfId="18281" xr:uid="{00000000-0005-0000-0000-0000570E0000}"/>
    <cellStyle name="20% - Accent2 7 3" xfId="958" xr:uid="{00000000-0005-0000-0000-0000580E0000}"/>
    <cellStyle name="20% - Accent2 7 3 2" xfId="959" xr:uid="{00000000-0005-0000-0000-0000590E0000}"/>
    <cellStyle name="20% - Accent2 7 3 2 2" xfId="10670" xr:uid="{00000000-0005-0000-0000-00005A0E0000}"/>
    <cellStyle name="20% - Accent2 7 3 2 2 2" xfId="24612" xr:uid="{00000000-0005-0000-0000-00005B0E0000}"/>
    <cellStyle name="20% - Accent2 7 3 2 3" xfId="18283" xr:uid="{00000000-0005-0000-0000-00005C0E0000}"/>
    <cellStyle name="20% - Accent2 7 3 3" xfId="960" xr:uid="{00000000-0005-0000-0000-00005D0E0000}"/>
    <cellStyle name="20% - Accent2 7 3 3 2" xfId="12593" xr:uid="{00000000-0005-0000-0000-00005E0E0000}"/>
    <cellStyle name="20% - Accent2 7 3 3 2 2" xfId="26305" xr:uid="{00000000-0005-0000-0000-00005F0E0000}"/>
    <cellStyle name="20% - Accent2 7 3 3 3" xfId="18284" xr:uid="{00000000-0005-0000-0000-0000600E0000}"/>
    <cellStyle name="20% - Accent2 7 3 4" xfId="961" xr:uid="{00000000-0005-0000-0000-0000610E0000}"/>
    <cellStyle name="20% - Accent2 7 3 4 2" xfId="14729" xr:uid="{00000000-0005-0000-0000-0000620E0000}"/>
    <cellStyle name="20% - Accent2 7 3 4 2 2" xfId="28278" xr:uid="{00000000-0005-0000-0000-0000630E0000}"/>
    <cellStyle name="20% - Accent2 7 3 4 3" xfId="18285" xr:uid="{00000000-0005-0000-0000-0000640E0000}"/>
    <cellStyle name="20% - Accent2 7 3 5" xfId="962" xr:uid="{00000000-0005-0000-0000-0000650E0000}"/>
    <cellStyle name="20% - Accent2 7 3 5 2" xfId="16560" xr:uid="{00000000-0005-0000-0000-0000660E0000}"/>
    <cellStyle name="20% - Accent2 7 3 5 2 2" xfId="29967" xr:uid="{00000000-0005-0000-0000-0000670E0000}"/>
    <cellStyle name="20% - Accent2 7 3 5 3" xfId="18286" xr:uid="{00000000-0005-0000-0000-0000680E0000}"/>
    <cellStyle name="20% - Accent2 7 3 6" xfId="8945" xr:uid="{00000000-0005-0000-0000-0000690E0000}"/>
    <cellStyle name="20% - Accent2 7 3 6 2" xfId="23420" xr:uid="{00000000-0005-0000-0000-00006A0E0000}"/>
    <cellStyle name="20% - Accent2 7 3 7" xfId="18282" xr:uid="{00000000-0005-0000-0000-00006B0E0000}"/>
    <cellStyle name="20% - Accent2 7 4" xfId="963" xr:uid="{00000000-0005-0000-0000-00006C0E0000}"/>
    <cellStyle name="20% - Accent2 7 4 2" xfId="964" xr:uid="{00000000-0005-0000-0000-00006D0E0000}"/>
    <cellStyle name="20% - Accent2 7 4 2 2" xfId="14730" xr:uid="{00000000-0005-0000-0000-00006E0E0000}"/>
    <cellStyle name="20% - Accent2 7 4 2 2 2" xfId="28279" xr:uid="{00000000-0005-0000-0000-00006F0E0000}"/>
    <cellStyle name="20% - Accent2 7 4 2 3" xfId="18288" xr:uid="{00000000-0005-0000-0000-0000700E0000}"/>
    <cellStyle name="20% - Accent2 7 4 3" xfId="10667" xr:uid="{00000000-0005-0000-0000-0000710E0000}"/>
    <cellStyle name="20% - Accent2 7 4 3 2" xfId="24609" xr:uid="{00000000-0005-0000-0000-0000720E0000}"/>
    <cellStyle name="20% - Accent2 7 4 4" xfId="18287" xr:uid="{00000000-0005-0000-0000-0000730E0000}"/>
    <cellStyle name="20% - Accent2 7 5" xfId="965" xr:uid="{00000000-0005-0000-0000-0000740E0000}"/>
    <cellStyle name="20% - Accent2 7 5 2" xfId="11935" xr:uid="{00000000-0005-0000-0000-0000750E0000}"/>
    <cellStyle name="20% - Accent2 7 5 2 2" xfId="25650" xr:uid="{00000000-0005-0000-0000-0000760E0000}"/>
    <cellStyle name="20% - Accent2 7 5 3" xfId="18289" xr:uid="{00000000-0005-0000-0000-0000770E0000}"/>
    <cellStyle name="20% - Accent2 7 6" xfId="966" xr:uid="{00000000-0005-0000-0000-0000780E0000}"/>
    <cellStyle name="20% - Accent2 7 6 2" xfId="12575" xr:uid="{00000000-0005-0000-0000-0000790E0000}"/>
    <cellStyle name="20% - Accent2 7 6 2 2" xfId="26287" xr:uid="{00000000-0005-0000-0000-00007A0E0000}"/>
    <cellStyle name="20% - Accent2 7 6 3" xfId="18290" xr:uid="{00000000-0005-0000-0000-00007B0E0000}"/>
    <cellStyle name="20% - Accent2 7 7" xfId="967" xr:uid="{00000000-0005-0000-0000-00007C0E0000}"/>
    <cellStyle name="20% - Accent2 7 7 2" xfId="13512" xr:uid="{00000000-0005-0000-0000-00007D0E0000}"/>
    <cellStyle name="20% - Accent2 7 7 2 2" xfId="27061" xr:uid="{00000000-0005-0000-0000-00007E0E0000}"/>
    <cellStyle name="20% - Accent2 7 7 3" xfId="18291" xr:uid="{00000000-0005-0000-0000-00007F0E0000}"/>
    <cellStyle name="20% - Accent2 7 8" xfId="968" xr:uid="{00000000-0005-0000-0000-0000800E0000}"/>
    <cellStyle name="20% - Accent2 7 8 2" xfId="14093" xr:uid="{00000000-0005-0000-0000-0000810E0000}"/>
    <cellStyle name="20% - Accent2 7 8 2 2" xfId="27642" xr:uid="{00000000-0005-0000-0000-0000820E0000}"/>
    <cellStyle name="20% - Accent2 7 8 3" xfId="18292" xr:uid="{00000000-0005-0000-0000-0000830E0000}"/>
    <cellStyle name="20% - Accent2 7 9" xfId="969" xr:uid="{00000000-0005-0000-0000-0000840E0000}"/>
    <cellStyle name="20% - Accent2 7 9 2" xfId="14725" xr:uid="{00000000-0005-0000-0000-0000850E0000}"/>
    <cellStyle name="20% - Accent2 7 9 2 2" xfId="28274" xr:uid="{00000000-0005-0000-0000-0000860E0000}"/>
    <cellStyle name="20% - Accent2 7 9 3" xfId="18293" xr:uid="{00000000-0005-0000-0000-0000870E0000}"/>
    <cellStyle name="20% - Accent2 8" xfId="970" xr:uid="{00000000-0005-0000-0000-0000880E0000}"/>
    <cellStyle name="20% - Accent2 8 10" xfId="8946" xr:uid="{00000000-0005-0000-0000-0000890E0000}"/>
    <cellStyle name="20% - Accent2 8 10 2" xfId="23421" xr:uid="{00000000-0005-0000-0000-00008A0E0000}"/>
    <cellStyle name="20% - Accent2 8 11" xfId="18294" xr:uid="{00000000-0005-0000-0000-00008B0E0000}"/>
    <cellStyle name="20% - Accent2 8 2" xfId="971" xr:uid="{00000000-0005-0000-0000-00008C0E0000}"/>
    <cellStyle name="20% - Accent2 8 2 2" xfId="972" xr:uid="{00000000-0005-0000-0000-00008D0E0000}"/>
    <cellStyle name="20% - Accent2 8 2 2 2" xfId="10672" xr:uid="{00000000-0005-0000-0000-00008E0E0000}"/>
    <cellStyle name="20% - Accent2 8 2 2 2 2" xfId="24614" xr:uid="{00000000-0005-0000-0000-00008F0E0000}"/>
    <cellStyle name="20% - Accent2 8 2 2 3" xfId="18296" xr:uid="{00000000-0005-0000-0000-0000900E0000}"/>
    <cellStyle name="20% - Accent2 8 2 3" xfId="973" xr:uid="{00000000-0005-0000-0000-0000910E0000}"/>
    <cellStyle name="20% - Accent2 8 2 3 2" xfId="12786" xr:uid="{00000000-0005-0000-0000-0000920E0000}"/>
    <cellStyle name="20% - Accent2 8 2 3 2 2" xfId="26498" xr:uid="{00000000-0005-0000-0000-0000930E0000}"/>
    <cellStyle name="20% - Accent2 8 2 3 3" xfId="18297" xr:uid="{00000000-0005-0000-0000-0000940E0000}"/>
    <cellStyle name="20% - Accent2 8 2 4" xfId="974" xr:uid="{00000000-0005-0000-0000-0000950E0000}"/>
    <cellStyle name="20% - Accent2 8 2 4 2" xfId="14732" xr:uid="{00000000-0005-0000-0000-0000960E0000}"/>
    <cellStyle name="20% - Accent2 8 2 4 2 2" xfId="28281" xr:uid="{00000000-0005-0000-0000-0000970E0000}"/>
    <cellStyle name="20% - Accent2 8 2 4 3" xfId="18298" xr:uid="{00000000-0005-0000-0000-0000980E0000}"/>
    <cellStyle name="20% - Accent2 8 2 5" xfId="975" xr:uid="{00000000-0005-0000-0000-0000990E0000}"/>
    <cellStyle name="20% - Accent2 8 2 5 2" xfId="16702" xr:uid="{00000000-0005-0000-0000-00009A0E0000}"/>
    <cellStyle name="20% - Accent2 8 2 5 2 2" xfId="30109" xr:uid="{00000000-0005-0000-0000-00009B0E0000}"/>
    <cellStyle name="20% - Accent2 8 2 5 3" xfId="18299" xr:uid="{00000000-0005-0000-0000-00009C0E0000}"/>
    <cellStyle name="20% - Accent2 8 2 6" xfId="8947" xr:uid="{00000000-0005-0000-0000-00009D0E0000}"/>
    <cellStyle name="20% - Accent2 8 2 6 2" xfId="23422" xr:uid="{00000000-0005-0000-0000-00009E0E0000}"/>
    <cellStyle name="20% - Accent2 8 2 7" xfId="18295" xr:uid="{00000000-0005-0000-0000-00009F0E0000}"/>
    <cellStyle name="20% - Accent2 8 3" xfId="976" xr:uid="{00000000-0005-0000-0000-0000A00E0000}"/>
    <cellStyle name="20% - Accent2 8 3 2" xfId="977" xr:uid="{00000000-0005-0000-0000-0000A10E0000}"/>
    <cellStyle name="20% - Accent2 8 3 2 2" xfId="14733" xr:uid="{00000000-0005-0000-0000-0000A20E0000}"/>
    <cellStyle name="20% - Accent2 8 3 2 2 2" xfId="28282" xr:uid="{00000000-0005-0000-0000-0000A30E0000}"/>
    <cellStyle name="20% - Accent2 8 3 2 3" xfId="18301" xr:uid="{00000000-0005-0000-0000-0000A40E0000}"/>
    <cellStyle name="20% - Accent2 8 3 3" xfId="10671" xr:uid="{00000000-0005-0000-0000-0000A50E0000}"/>
    <cellStyle name="20% - Accent2 8 3 3 2" xfId="24613" xr:uid="{00000000-0005-0000-0000-0000A60E0000}"/>
    <cellStyle name="20% - Accent2 8 3 4" xfId="18300" xr:uid="{00000000-0005-0000-0000-0000A70E0000}"/>
    <cellStyle name="20% - Accent2 8 4" xfId="978" xr:uid="{00000000-0005-0000-0000-0000A80E0000}"/>
    <cellStyle name="20% - Accent2 8 4 2" xfId="12080" xr:uid="{00000000-0005-0000-0000-0000A90E0000}"/>
    <cellStyle name="20% - Accent2 8 4 2 2" xfId="25794" xr:uid="{00000000-0005-0000-0000-0000AA0E0000}"/>
    <cellStyle name="20% - Accent2 8 4 3" xfId="18302" xr:uid="{00000000-0005-0000-0000-0000AB0E0000}"/>
    <cellStyle name="20% - Accent2 8 5" xfId="979" xr:uid="{00000000-0005-0000-0000-0000AC0E0000}"/>
    <cellStyle name="20% - Accent2 8 5 2" xfId="12529" xr:uid="{00000000-0005-0000-0000-0000AD0E0000}"/>
    <cellStyle name="20% - Accent2 8 5 2 2" xfId="26241" xr:uid="{00000000-0005-0000-0000-0000AE0E0000}"/>
    <cellStyle name="20% - Accent2 8 5 3" xfId="18303" xr:uid="{00000000-0005-0000-0000-0000AF0E0000}"/>
    <cellStyle name="20% - Accent2 8 6" xfId="980" xr:uid="{00000000-0005-0000-0000-0000B00E0000}"/>
    <cellStyle name="20% - Accent2 8 6 2" xfId="13654" xr:uid="{00000000-0005-0000-0000-0000B10E0000}"/>
    <cellStyle name="20% - Accent2 8 6 2 2" xfId="27203" xr:uid="{00000000-0005-0000-0000-0000B20E0000}"/>
    <cellStyle name="20% - Accent2 8 6 3" xfId="18304" xr:uid="{00000000-0005-0000-0000-0000B30E0000}"/>
    <cellStyle name="20% - Accent2 8 7" xfId="981" xr:uid="{00000000-0005-0000-0000-0000B40E0000}"/>
    <cellStyle name="20% - Accent2 8 7 2" xfId="14235" xr:uid="{00000000-0005-0000-0000-0000B50E0000}"/>
    <cellStyle name="20% - Accent2 8 7 2 2" xfId="27784" xr:uid="{00000000-0005-0000-0000-0000B60E0000}"/>
    <cellStyle name="20% - Accent2 8 7 3" xfId="18305" xr:uid="{00000000-0005-0000-0000-0000B70E0000}"/>
    <cellStyle name="20% - Accent2 8 8" xfId="982" xr:uid="{00000000-0005-0000-0000-0000B80E0000}"/>
    <cellStyle name="20% - Accent2 8 8 2" xfId="14731" xr:uid="{00000000-0005-0000-0000-0000B90E0000}"/>
    <cellStyle name="20% - Accent2 8 8 2 2" xfId="28280" xr:uid="{00000000-0005-0000-0000-0000BA0E0000}"/>
    <cellStyle name="20% - Accent2 8 8 3" xfId="18306" xr:uid="{00000000-0005-0000-0000-0000BB0E0000}"/>
    <cellStyle name="20% - Accent2 8 9" xfId="983" xr:uid="{00000000-0005-0000-0000-0000BC0E0000}"/>
    <cellStyle name="20% - Accent2 8 9 2" xfId="16121" xr:uid="{00000000-0005-0000-0000-0000BD0E0000}"/>
    <cellStyle name="20% - Accent2 8 9 2 2" xfId="29528" xr:uid="{00000000-0005-0000-0000-0000BE0E0000}"/>
    <cellStyle name="20% - Accent2 8 9 3" xfId="18307" xr:uid="{00000000-0005-0000-0000-0000BF0E0000}"/>
    <cellStyle name="20% - Accent2 9" xfId="984" xr:uid="{00000000-0005-0000-0000-0000C00E0000}"/>
    <cellStyle name="20% - Accent2 9 2" xfId="985" xr:uid="{00000000-0005-0000-0000-0000C10E0000}"/>
    <cellStyle name="20% - Accent2 9 2 2" xfId="10673" xr:uid="{00000000-0005-0000-0000-0000C20E0000}"/>
    <cellStyle name="20% - Accent2 9 2 2 2" xfId="24615" xr:uid="{00000000-0005-0000-0000-0000C30E0000}"/>
    <cellStyle name="20% - Accent2 9 2 3" xfId="18309" xr:uid="{00000000-0005-0000-0000-0000C40E0000}"/>
    <cellStyle name="20% - Accent2 9 3" xfId="986" xr:uid="{00000000-0005-0000-0000-0000C50E0000}"/>
    <cellStyle name="20% - Accent2 9 3 2" xfId="12601" xr:uid="{00000000-0005-0000-0000-0000C60E0000}"/>
    <cellStyle name="20% - Accent2 9 3 2 2" xfId="26313" xr:uid="{00000000-0005-0000-0000-0000C70E0000}"/>
    <cellStyle name="20% - Accent2 9 3 3" xfId="18310" xr:uid="{00000000-0005-0000-0000-0000C80E0000}"/>
    <cellStyle name="20% - Accent2 9 4" xfId="987" xr:uid="{00000000-0005-0000-0000-0000C90E0000}"/>
    <cellStyle name="20% - Accent2 9 4 2" xfId="14734" xr:uid="{00000000-0005-0000-0000-0000CA0E0000}"/>
    <cellStyle name="20% - Accent2 9 4 2 2" xfId="28283" xr:uid="{00000000-0005-0000-0000-0000CB0E0000}"/>
    <cellStyle name="20% - Accent2 9 4 3" xfId="18311" xr:uid="{00000000-0005-0000-0000-0000CC0E0000}"/>
    <cellStyle name="20% - Accent2 9 5" xfId="988" xr:uid="{00000000-0005-0000-0000-0000CD0E0000}"/>
    <cellStyle name="20% - Accent2 9 5 2" xfId="17086" xr:uid="{00000000-0005-0000-0000-0000CE0E0000}"/>
    <cellStyle name="20% - Accent2 9 5 2 2" xfId="30445" xr:uid="{00000000-0005-0000-0000-0000CF0E0000}"/>
    <cellStyle name="20% - Accent2 9 5 3" xfId="18312" xr:uid="{00000000-0005-0000-0000-0000D00E0000}"/>
    <cellStyle name="20% - Accent2 9 6" xfId="8948" xr:uid="{00000000-0005-0000-0000-0000D10E0000}"/>
    <cellStyle name="20% - Accent2 9 6 2" xfId="23423" xr:uid="{00000000-0005-0000-0000-0000D20E0000}"/>
    <cellStyle name="20% - Accent2 9 7" xfId="18308" xr:uid="{00000000-0005-0000-0000-0000D30E0000}"/>
    <cellStyle name="20% - Accent3" xfId="26" builtinId="38" customBuiltin="1"/>
    <cellStyle name="20% - Accent3 10" xfId="989" xr:uid="{00000000-0005-0000-0000-0000D50E0000}"/>
    <cellStyle name="20% - Accent3 10 2" xfId="990" xr:uid="{00000000-0005-0000-0000-0000D60E0000}"/>
    <cellStyle name="20% - Accent3 10 2 2" xfId="991" xr:uid="{00000000-0005-0000-0000-0000D70E0000}"/>
    <cellStyle name="20% - Accent3 10 2 2 2" xfId="12446" xr:uid="{00000000-0005-0000-0000-0000D80E0000}"/>
    <cellStyle name="20% - Accent3 10 2 2 2 2" xfId="26158" xr:uid="{00000000-0005-0000-0000-0000D90E0000}"/>
    <cellStyle name="20% - Accent3 10 2 2 3" xfId="18315" xr:uid="{00000000-0005-0000-0000-0000DA0E0000}"/>
    <cellStyle name="20% - Accent3 10 2 3" xfId="992" xr:uid="{00000000-0005-0000-0000-0000DB0E0000}"/>
    <cellStyle name="20% - Accent3 10 2 3 2" xfId="14737" xr:uid="{00000000-0005-0000-0000-0000DC0E0000}"/>
    <cellStyle name="20% - Accent3 10 2 3 2 2" xfId="28286" xr:uid="{00000000-0005-0000-0000-0000DD0E0000}"/>
    <cellStyle name="20% - Accent3 10 2 3 3" xfId="18316" xr:uid="{00000000-0005-0000-0000-0000DE0E0000}"/>
    <cellStyle name="20% - Accent3 10 2 4" xfId="10675" xr:uid="{00000000-0005-0000-0000-0000DF0E0000}"/>
    <cellStyle name="20% - Accent3 10 2 4 2" xfId="24617" xr:uid="{00000000-0005-0000-0000-0000E00E0000}"/>
    <cellStyle name="20% - Accent3 10 2 5" xfId="18314" xr:uid="{00000000-0005-0000-0000-0000E10E0000}"/>
    <cellStyle name="20% - Accent3 10 3" xfId="993" xr:uid="{00000000-0005-0000-0000-0000E20E0000}"/>
    <cellStyle name="20% - Accent3 10 3 2" xfId="12655" xr:uid="{00000000-0005-0000-0000-0000E30E0000}"/>
    <cellStyle name="20% - Accent3 10 3 2 2" xfId="26367" xr:uid="{00000000-0005-0000-0000-0000E40E0000}"/>
    <cellStyle name="20% - Accent3 10 3 3" xfId="18317" xr:uid="{00000000-0005-0000-0000-0000E50E0000}"/>
    <cellStyle name="20% - Accent3 10 4" xfId="994" xr:uid="{00000000-0005-0000-0000-0000E60E0000}"/>
    <cellStyle name="20% - Accent3 10 4 2" xfId="14736" xr:uid="{00000000-0005-0000-0000-0000E70E0000}"/>
    <cellStyle name="20% - Accent3 10 4 2 2" xfId="28285" xr:uid="{00000000-0005-0000-0000-0000E80E0000}"/>
    <cellStyle name="20% - Accent3 10 4 3" xfId="18318" xr:uid="{00000000-0005-0000-0000-0000E90E0000}"/>
    <cellStyle name="20% - Accent3 10 5" xfId="995" xr:uid="{00000000-0005-0000-0000-0000EA0E0000}"/>
    <cellStyle name="20% - Accent3 10 5 2" xfId="17176" xr:uid="{00000000-0005-0000-0000-0000EB0E0000}"/>
    <cellStyle name="20% - Accent3 10 5 2 2" xfId="30535" xr:uid="{00000000-0005-0000-0000-0000EC0E0000}"/>
    <cellStyle name="20% - Accent3 10 5 3" xfId="18319" xr:uid="{00000000-0005-0000-0000-0000ED0E0000}"/>
    <cellStyle name="20% - Accent3 10 6" xfId="8950" xr:uid="{00000000-0005-0000-0000-0000EE0E0000}"/>
    <cellStyle name="20% - Accent3 10 6 2" xfId="23425" xr:uid="{00000000-0005-0000-0000-0000EF0E0000}"/>
    <cellStyle name="20% - Accent3 10 7" xfId="18313" xr:uid="{00000000-0005-0000-0000-0000F00E0000}"/>
    <cellStyle name="20% - Accent3 11" xfId="996" xr:uid="{00000000-0005-0000-0000-0000F10E0000}"/>
    <cellStyle name="20% - Accent3 11 2" xfId="997" xr:uid="{00000000-0005-0000-0000-0000F20E0000}"/>
    <cellStyle name="20% - Accent3 11 2 2" xfId="10676" xr:uid="{00000000-0005-0000-0000-0000F30E0000}"/>
    <cellStyle name="20% - Accent3 11 2 2 2" xfId="24618" xr:uid="{00000000-0005-0000-0000-0000F40E0000}"/>
    <cellStyle name="20% - Accent3 11 2 3" xfId="18321" xr:uid="{00000000-0005-0000-0000-0000F50E0000}"/>
    <cellStyle name="20% - Accent3 11 3" xfId="998" xr:uid="{00000000-0005-0000-0000-0000F60E0000}"/>
    <cellStyle name="20% - Accent3 11 3 2" xfId="12788" xr:uid="{00000000-0005-0000-0000-0000F70E0000}"/>
    <cellStyle name="20% - Accent3 11 3 2 2" xfId="26500" xr:uid="{00000000-0005-0000-0000-0000F80E0000}"/>
    <cellStyle name="20% - Accent3 11 3 3" xfId="18322" xr:uid="{00000000-0005-0000-0000-0000F90E0000}"/>
    <cellStyle name="20% - Accent3 11 4" xfId="999" xr:uid="{00000000-0005-0000-0000-0000FA0E0000}"/>
    <cellStyle name="20% - Accent3 11 4 2" xfId="14738" xr:uid="{00000000-0005-0000-0000-0000FB0E0000}"/>
    <cellStyle name="20% - Accent3 11 4 2 2" xfId="28287" xr:uid="{00000000-0005-0000-0000-0000FC0E0000}"/>
    <cellStyle name="20% - Accent3 11 4 3" xfId="18323" xr:uid="{00000000-0005-0000-0000-0000FD0E0000}"/>
    <cellStyle name="20% - Accent3 11 5" xfId="1000" xr:uid="{00000000-0005-0000-0000-0000FE0E0000}"/>
    <cellStyle name="20% - Accent3 11 5 2" xfId="17265" xr:uid="{00000000-0005-0000-0000-0000FF0E0000}"/>
    <cellStyle name="20% - Accent3 11 5 2 2" xfId="30624" xr:uid="{00000000-0005-0000-0000-0000000F0000}"/>
    <cellStyle name="20% - Accent3 11 5 3" xfId="18324" xr:uid="{00000000-0005-0000-0000-0000010F0000}"/>
    <cellStyle name="20% - Accent3 11 6" xfId="8951" xr:uid="{00000000-0005-0000-0000-0000020F0000}"/>
    <cellStyle name="20% - Accent3 11 6 2" xfId="23426" xr:uid="{00000000-0005-0000-0000-0000030F0000}"/>
    <cellStyle name="20% - Accent3 11 7" xfId="18320" xr:uid="{00000000-0005-0000-0000-0000040F0000}"/>
    <cellStyle name="20% - Accent3 12" xfId="1001" xr:uid="{00000000-0005-0000-0000-0000050F0000}"/>
    <cellStyle name="20% - Accent3 12 2" xfId="1002" xr:uid="{00000000-0005-0000-0000-0000060F0000}"/>
    <cellStyle name="20% - Accent3 12 2 2" xfId="1003" xr:uid="{00000000-0005-0000-0000-0000070F0000}"/>
    <cellStyle name="20% - Accent3 12 2 2 2" xfId="10678" xr:uid="{00000000-0005-0000-0000-0000080F0000}"/>
    <cellStyle name="20% - Accent3 12 2 2 2 2" xfId="24620" xr:uid="{00000000-0005-0000-0000-0000090F0000}"/>
    <cellStyle name="20% - Accent3 12 2 2 3" xfId="18327" xr:uid="{00000000-0005-0000-0000-00000A0F0000}"/>
    <cellStyle name="20% - Accent3 12 2 3" xfId="1004" xr:uid="{00000000-0005-0000-0000-00000B0F0000}"/>
    <cellStyle name="20% - Accent3 12 2 3 2" xfId="12617" xr:uid="{00000000-0005-0000-0000-00000C0F0000}"/>
    <cellStyle name="20% - Accent3 12 2 3 2 2" xfId="26329" xr:uid="{00000000-0005-0000-0000-00000D0F0000}"/>
    <cellStyle name="20% - Accent3 12 2 3 3" xfId="18328" xr:uid="{00000000-0005-0000-0000-00000E0F0000}"/>
    <cellStyle name="20% - Accent3 12 2 4" xfId="1005" xr:uid="{00000000-0005-0000-0000-00000F0F0000}"/>
    <cellStyle name="20% - Accent3 12 2 4 2" xfId="14740" xr:uid="{00000000-0005-0000-0000-0000100F0000}"/>
    <cellStyle name="20% - Accent3 12 2 4 2 2" xfId="28289" xr:uid="{00000000-0005-0000-0000-0000110F0000}"/>
    <cellStyle name="20% - Accent3 12 2 4 3" xfId="18329" xr:uid="{00000000-0005-0000-0000-0000120F0000}"/>
    <cellStyle name="20% - Accent3 12 2 5" xfId="8953" xr:uid="{00000000-0005-0000-0000-0000130F0000}"/>
    <cellStyle name="20% - Accent3 12 2 5 2" xfId="23428" xr:uid="{00000000-0005-0000-0000-0000140F0000}"/>
    <cellStyle name="20% - Accent3 12 2 6" xfId="18326" xr:uid="{00000000-0005-0000-0000-0000150F0000}"/>
    <cellStyle name="20% - Accent3 12 3" xfId="1006" xr:uid="{00000000-0005-0000-0000-0000160F0000}"/>
    <cellStyle name="20% - Accent3 12 3 2" xfId="10677" xr:uid="{00000000-0005-0000-0000-0000170F0000}"/>
    <cellStyle name="20% - Accent3 12 3 2 2" xfId="24619" xr:uid="{00000000-0005-0000-0000-0000180F0000}"/>
    <cellStyle name="20% - Accent3 12 3 3" xfId="18330" xr:uid="{00000000-0005-0000-0000-0000190F0000}"/>
    <cellStyle name="20% - Accent3 12 4" xfId="1007" xr:uid="{00000000-0005-0000-0000-00001A0F0000}"/>
    <cellStyle name="20% - Accent3 12 4 2" xfId="12743" xr:uid="{00000000-0005-0000-0000-00001B0F0000}"/>
    <cellStyle name="20% - Accent3 12 4 2 2" xfId="26455" xr:uid="{00000000-0005-0000-0000-00001C0F0000}"/>
    <cellStyle name="20% - Accent3 12 4 3" xfId="18331" xr:uid="{00000000-0005-0000-0000-00001D0F0000}"/>
    <cellStyle name="20% - Accent3 12 5" xfId="1008" xr:uid="{00000000-0005-0000-0000-00001E0F0000}"/>
    <cellStyle name="20% - Accent3 12 5 2" xfId="14739" xr:uid="{00000000-0005-0000-0000-00001F0F0000}"/>
    <cellStyle name="20% - Accent3 12 5 2 2" xfId="28288" xr:uid="{00000000-0005-0000-0000-0000200F0000}"/>
    <cellStyle name="20% - Accent3 12 5 3" xfId="18332" xr:uid="{00000000-0005-0000-0000-0000210F0000}"/>
    <cellStyle name="20% - Accent3 12 6" xfId="1009" xr:uid="{00000000-0005-0000-0000-0000220F0000}"/>
    <cellStyle name="20% - Accent3 12 6 2" xfId="16417" xr:uid="{00000000-0005-0000-0000-0000230F0000}"/>
    <cellStyle name="20% - Accent3 12 6 2 2" xfId="29824" xr:uid="{00000000-0005-0000-0000-0000240F0000}"/>
    <cellStyle name="20% - Accent3 12 6 3" xfId="18333" xr:uid="{00000000-0005-0000-0000-0000250F0000}"/>
    <cellStyle name="20% - Accent3 12 7" xfId="8952" xr:uid="{00000000-0005-0000-0000-0000260F0000}"/>
    <cellStyle name="20% - Accent3 12 7 2" xfId="23427" xr:uid="{00000000-0005-0000-0000-0000270F0000}"/>
    <cellStyle name="20% - Accent3 12 8" xfId="18325" xr:uid="{00000000-0005-0000-0000-0000280F0000}"/>
    <cellStyle name="20% - Accent3 13" xfId="1010" xr:uid="{00000000-0005-0000-0000-0000290F0000}"/>
    <cellStyle name="20% - Accent3 13 2" xfId="1011" xr:uid="{00000000-0005-0000-0000-00002A0F0000}"/>
    <cellStyle name="20% - Accent3 13 2 2" xfId="10679" xr:uid="{00000000-0005-0000-0000-00002B0F0000}"/>
    <cellStyle name="20% - Accent3 13 2 2 2" xfId="24621" xr:uid="{00000000-0005-0000-0000-00002C0F0000}"/>
    <cellStyle name="20% - Accent3 13 2 3" xfId="18335" xr:uid="{00000000-0005-0000-0000-00002D0F0000}"/>
    <cellStyle name="20% - Accent3 13 3" xfId="1012" xr:uid="{00000000-0005-0000-0000-00002E0F0000}"/>
    <cellStyle name="20% - Accent3 13 3 2" xfId="12775" xr:uid="{00000000-0005-0000-0000-00002F0F0000}"/>
    <cellStyle name="20% - Accent3 13 3 2 2" xfId="26487" xr:uid="{00000000-0005-0000-0000-0000300F0000}"/>
    <cellStyle name="20% - Accent3 13 3 3" xfId="18336" xr:uid="{00000000-0005-0000-0000-0000310F0000}"/>
    <cellStyle name="20% - Accent3 13 4" xfId="1013" xr:uid="{00000000-0005-0000-0000-0000320F0000}"/>
    <cellStyle name="20% - Accent3 13 4 2" xfId="14741" xr:uid="{00000000-0005-0000-0000-0000330F0000}"/>
    <cellStyle name="20% - Accent3 13 4 2 2" xfId="28290" xr:uid="{00000000-0005-0000-0000-0000340F0000}"/>
    <cellStyle name="20% - Accent3 13 4 3" xfId="18337" xr:uid="{00000000-0005-0000-0000-0000350F0000}"/>
    <cellStyle name="20% - Accent3 13 5" xfId="8954" xr:uid="{00000000-0005-0000-0000-0000360F0000}"/>
    <cellStyle name="20% - Accent3 13 5 2" xfId="23429" xr:uid="{00000000-0005-0000-0000-0000370F0000}"/>
    <cellStyle name="20% - Accent3 13 6" xfId="18334" xr:uid="{00000000-0005-0000-0000-0000380F0000}"/>
    <cellStyle name="20% - Accent3 14" xfId="1014" xr:uid="{00000000-0005-0000-0000-0000390F0000}"/>
    <cellStyle name="20% - Accent3 14 2" xfId="1015" xr:uid="{00000000-0005-0000-0000-00003A0F0000}"/>
    <cellStyle name="20% - Accent3 14 2 2" xfId="10680" xr:uid="{00000000-0005-0000-0000-00003B0F0000}"/>
    <cellStyle name="20% - Accent3 14 2 2 2" xfId="24622" xr:uid="{00000000-0005-0000-0000-00003C0F0000}"/>
    <cellStyle name="20% - Accent3 14 2 3" xfId="18339" xr:uid="{00000000-0005-0000-0000-00003D0F0000}"/>
    <cellStyle name="20% - Accent3 14 3" xfId="1016" xr:uid="{00000000-0005-0000-0000-00003E0F0000}"/>
    <cellStyle name="20% - Accent3 14 3 2" xfId="12441" xr:uid="{00000000-0005-0000-0000-00003F0F0000}"/>
    <cellStyle name="20% - Accent3 14 3 2 2" xfId="26153" xr:uid="{00000000-0005-0000-0000-0000400F0000}"/>
    <cellStyle name="20% - Accent3 14 3 3" xfId="18340" xr:uid="{00000000-0005-0000-0000-0000410F0000}"/>
    <cellStyle name="20% - Accent3 14 4" xfId="1017" xr:uid="{00000000-0005-0000-0000-0000420F0000}"/>
    <cellStyle name="20% - Accent3 14 4 2" xfId="14742" xr:uid="{00000000-0005-0000-0000-0000430F0000}"/>
    <cellStyle name="20% - Accent3 14 4 2 2" xfId="28291" xr:uid="{00000000-0005-0000-0000-0000440F0000}"/>
    <cellStyle name="20% - Accent3 14 4 3" xfId="18341" xr:uid="{00000000-0005-0000-0000-0000450F0000}"/>
    <cellStyle name="20% - Accent3 14 5" xfId="8955" xr:uid="{00000000-0005-0000-0000-0000460F0000}"/>
    <cellStyle name="20% - Accent3 14 5 2" xfId="23430" xr:uid="{00000000-0005-0000-0000-0000470F0000}"/>
    <cellStyle name="20% - Accent3 14 6" xfId="18338" xr:uid="{00000000-0005-0000-0000-0000480F0000}"/>
    <cellStyle name="20% - Accent3 15" xfId="1018" xr:uid="{00000000-0005-0000-0000-0000490F0000}"/>
    <cellStyle name="20% - Accent3 15 2" xfId="1019" xr:uid="{00000000-0005-0000-0000-00004A0F0000}"/>
    <cellStyle name="20% - Accent3 15 2 2" xfId="10681" xr:uid="{00000000-0005-0000-0000-00004B0F0000}"/>
    <cellStyle name="20% - Accent3 15 2 2 2" xfId="24623" xr:uid="{00000000-0005-0000-0000-00004C0F0000}"/>
    <cellStyle name="20% - Accent3 15 2 3" xfId="18343" xr:uid="{00000000-0005-0000-0000-00004D0F0000}"/>
    <cellStyle name="20% - Accent3 15 3" xfId="1020" xr:uid="{00000000-0005-0000-0000-00004E0F0000}"/>
    <cellStyle name="20% - Accent3 15 3 2" xfId="12544" xr:uid="{00000000-0005-0000-0000-00004F0F0000}"/>
    <cellStyle name="20% - Accent3 15 3 2 2" xfId="26256" xr:uid="{00000000-0005-0000-0000-0000500F0000}"/>
    <cellStyle name="20% - Accent3 15 3 3" xfId="18344" xr:uid="{00000000-0005-0000-0000-0000510F0000}"/>
    <cellStyle name="20% - Accent3 15 4" xfId="1021" xr:uid="{00000000-0005-0000-0000-0000520F0000}"/>
    <cellStyle name="20% - Accent3 15 4 2" xfId="14743" xr:uid="{00000000-0005-0000-0000-0000530F0000}"/>
    <cellStyle name="20% - Accent3 15 4 2 2" xfId="28292" xr:uid="{00000000-0005-0000-0000-0000540F0000}"/>
    <cellStyle name="20% - Accent3 15 4 3" xfId="18345" xr:uid="{00000000-0005-0000-0000-0000550F0000}"/>
    <cellStyle name="20% - Accent3 15 5" xfId="8956" xr:uid="{00000000-0005-0000-0000-0000560F0000}"/>
    <cellStyle name="20% - Accent3 15 5 2" xfId="23431" xr:uid="{00000000-0005-0000-0000-0000570F0000}"/>
    <cellStyle name="20% - Accent3 15 6" xfId="18342" xr:uid="{00000000-0005-0000-0000-0000580F0000}"/>
    <cellStyle name="20% - Accent3 16" xfId="1022" xr:uid="{00000000-0005-0000-0000-0000590F0000}"/>
    <cellStyle name="20% - Accent3 16 2" xfId="1023" xr:uid="{00000000-0005-0000-0000-00005A0F0000}"/>
    <cellStyle name="20% - Accent3 16 2 2" xfId="10682" xr:uid="{00000000-0005-0000-0000-00005B0F0000}"/>
    <cellStyle name="20% - Accent3 16 2 2 2" xfId="24624" xr:uid="{00000000-0005-0000-0000-00005C0F0000}"/>
    <cellStyle name="20% - Accent3 16 2 3" xfId="18347" xr:uid="{00000000-0005-0000-0000-00005D0F0000}"/>
    <cellStyle name="20% - Accent3 16 3" xfId="1024" xr:uid="{00000000-0005-0000-0000-00005E0F0000}"/>
    <cellStyle name="20% - Accent3 16 3 2" xfId="11767" xr:uid="{00000000-0005-0000-0000-00005F0F0000}"/>
    <cellStyle name="20% - Accent3 16 3 2 2" xfId="25482" xr:uid="{00000000-0005-0000-0000-0000600F0000}"/>
    <cellStyle name="20% - Accent3 16 3 3" xfId="18348" xr:uid="{00000000-0005-0000-0000-0000610F0000}"/>
    <cellStyle name="20% - Accent3 16 4" xfId="1025" xr:uid="{00000000-0005-0000-0000-0000620F0000}"/>
    <cellStyle name="20% - Accent3 16 4 2" xfId="14744" xr:uid="{00000000-0005-0000-0000-0000630F0000}"/>
    <cellStyle name="20% - Accent3 16 4 2 2" xfId="28293" xr:uid="{00000000-0005-0000-0000-0000640F0000}"/>
    <cellStyle name="20% - Accent3 16 4 3" xfId="18349" xr:uid="{00000000-0005-0000-0000-0000650F0000}"/>
    <cellStyle name="20% - Accent3 16 5" xfId="8957" xr:uid="{00000000-0005-0000-0000-0000660F0000}"/>
    <cellStyle name="20% - Accent3 16 5 2" xfId="23432" xr:uid="{00000000-0005-0000-0000-0000670F0000}"/>
    <cellStyle name="20% - Accent3 16 6" xfId="18346" xr:uid="{00000000-0005-0000-0000-0000680F0000}"/>
    <cellStyle name="20% - Accent3 17" xfId="1026" xr:uid="{00000000-0005-0000-0000-0000690F0000}"/>
    <cellStyle name="20% - Accent3 17 2" xfId="1027" xr:uid="{00000000-0005-0000-0000-00006A0F0000}"/>
    <cellStyle name="20% - Accent3 17 2 2" xfId="10683" xr:uid="{00000000-0005-0000-0000-00006B0F0000}"/>
    <cellStyle name="20% - Accent3 17 2 2 2" xfId="24625" xr:uid="{00000000-0005-0000-0000-00006C0F0000}"/>
    <cellStyle name="20% - Accent3 17 2 3" xfId="18351" xr:uid="{00000000-0005-0000-0000-00006D0F0000}"/>
    <cellStyle name="20% - Accent3 17 3" xfId="1028" xr:uid="{00000000-0005-0000-0000-00006E0F0000}"/>
    <cellStyle name="20% - Accent3 17 3 2" xfId="12761" xr:uid="{00000000-0005-0000-0000-00006F0F0000}"/>
    <cellStyle name="20% - Accent3 17 3 2 2" xfId="26473" xr:uid="{00000000-0005-0000-0000-0000700F0000}"/>
    <cellStyle name="20% - Accent3 17 3 3" xfId="18352" xr:uid="{00000000-0005-0000-0000-0000710F0000}"/>
    <cellStyle name="20% - Accent3 17 4" xfId="1029" xr:uid="{00000000-0005-0000-0000-0000720F0000}"/>
    <cellStyle name="20% - Accent3 17 4 2" xfId="14745" xr:uid="{00000000-0005-0000-0000-0000730F0000}"/>
    <cellStyle name="20% - Accent3 17 4 2 2" xfId="28294" xr:uid="{00000000-0005-0000-0000-0000740F0000}"/>
    <cellStyle name="20% - Accent3 17 4 3" xfId="18353" xr:uid="{00000000-0005-0000-0000-0000750F0000}"/>
    <cellStyle name="20% - Accent3 17 5" xfId="8958" xr:uid="{00000000-0005-0000-0000-0000760F0000}"/>
    <cellStyle name="20% - Accent3 17 5 2" xfId="23433" xr:uid="{00000000-0005-0000-0000-0000770F0000}"/>
    <cellStyle name="20% - Accent3 17 6" xfId="18350" xr:uid="{00000000-0005-0000-0000-0000780F0000}"/>
    <cellStyle name="20% - Accent3 18" xfId="1030" xr:uid="{00000000-0005-0000-0000-0000790F0000}"/>
    <cellStyle name="20% - Accent3 18 2" xfId="1031" xr:uid="{00000000-0005-0000-0000-00007A0F0000}"/>
    <cellStyle name="20% - Accent3 18 2 2" xfId="10684" xr:uid="{00000000-0005-0000-0000-00007B0F0000}"/>
    <cellStyle name="20% - Accent3 18 2 2 2" xfId="24626" xr:uid="{00000000-0005-0000-0000-00007C0F0000}"/>
    <cellStyle name="20% - Accent3 18 2 3" xfId="18355" xr:uid="{00000000-0005-0000-0000-00007D0F0000}"/>
    <cellStyle name="20% - Accent3 18 3" xfId="1032" xr:uid="{00000000-0005-0000-0000-00007E0F0000}"/>
    <cellStyle name="20% - Accent3 18 3 2" xfId="12649" xr:uid="{00000000-0005-0000-0000-00007F0F0000}"/>
    <cellStyle name="20% - Accent3 18 3 2 2" xfId="26361" xr:uid="{00000000-0005-0000-0000-0000800F0000}"/>
    <cellStyle name="20% - Accent3 18 3 3" xfId="18356" xr:uid="{00000000-0005-0000-0000-0000810F0000}"/>
    <cellStyle name="20% - Accent3 18 4" xfId="1033" xr:uid="{00000000-0005-0000-0000-0000820F0000}"/>
    <cellStyle name="20% - Accent3 18 4 2" xfId="14746" xr:uid="{00000000-0005-0000-0000-0000830F0000}"/>
    <cellStyle name="20% - Accent3 18 4 2 2" xfId="28295" xr:uid="{00000000-0005-0000-0000-0000840F0000}"/>
    <cellStyle name="20% - Accent3 18 4 3" xfId="18357" xr:uid="{00000000-0005-0000-0000-0000850F0000}"/>
    <cellStyle name="20% - Accent3 18 5" xfId="8959" xr:uid="{00000000-0005-0000-0000-0000860F0000}"/>
    <cellStyle name="20% - Accent3 18 5 2" xfId="23434" xr:uid="{00000000-0005-0000-0000-0000870F0000}"/>
    <cellStyle name="20% - Accent3 18 6" xfId="18354" xr:uid="{00000000-0005-0000-0000-0000880F0000}"/>
    <cellStyle name="20% - Accent3 19" xfId="1034" xr:uid="{00000000-0005-0000-0000-0000890F0000}"/>
    <cellStyle name="20% - Accent3 19 2" xfId="1035" xr:uid="{00000000-0005-0000-0000-00008A0F0000}"/>
    <cellStyle name="20% - Accent3 19 2 2" xfId="11701" xr:uid="{00000000-0005-0000-0000-00008B0F0000}"/>
    <cellStyle name="20% - Accent3 19 2 2 2" xfId="25421" xr:uid="{00000000-0005-0000-0000-00008C0F0000}"/>
    <cellStyle name="20% - Accent3 19 2 3" xfId="18359" xr:uid="{00000000-0005-0000-0000-00008D0F0000}"/>
    <cellStyle name="20% - Accent3 19 3" xfId="1036" xr:uid="{00000000-0005-0000-0000-00008E0F0000}"/>
    <cellStyle name="20% - Accent3 19 3 2" xfId="12391" xr:uid="{00000000-0005-0000-0000-00008F0F0000}"/>
    <cellStyle name="20% - Accent3 19 3 2 2" xfId="26103" xr:uid="{00000000-0005-0000-0000-0000900F0000}"/>
    <cellStyle name="20% - Accent3 19 3 3" xfId="18360" xr:uid="{00000000-0005-0000-0000-0000910F0000}"/>
    <cellStyle name="20% - Accent3 19 4" xfId="1037" xr:uid="{00000000-0005-0000-0000-0000920F0000}"/>
    <cellStyle name="20% - Accent3 19 4 2" xfId="14747" xr:uid="{00000000-0005-0000-0000-0000930F0000}"/>
    <cellStyle name="20% - Accent3 19 4 2 2" xfId="28296" xr:uid="{00000000-0005-0000-0000-0000940F0000}"/>
    <cellStyle name="20% - Accent3 19 4 3" xfId="18361" xr:uid="{00000000-0005-0000-0000-0000950F0000}"/>
    <cellStyle name="20% - Accent3 19 5" xfId="10453" xr:uid="{00000000-0005-0000-0000-0000960F0000}"/>
    <cellStyle name="20% - Accent3 19 5 2" xfId="24412" xr:uid="{00000000-0005-0000-0000-0000970F0000}"/>
    <cellStyle name="20% - Accent3 19 6" xfId="18358" xr:uid="{00000000-0005-0000-0000-0000980F0000}"/>
    <cellStyle name="20% - Accent3 2" xfId="1038" xr:uid="{00000000-0005-0000-0000-0000990F0000}"/>
    <cellStyle name="20% - Accent3 2 10" xfId="1039" xr:uid="{00000000-0005-0000-0000-00009A0F0000}"/>
    <cellStyle name="20% - Accent3 2 10 2" xfId="1040" xr:uid="{00000000-0005-0000-0000-00009B0F0000}"/>
    <cellStyle name="20% - Accent3 2 10 2 2" xfId="14749" xr:uid="{00000000-0005-0000-0000-00009C0F0000}"/>
    <cellStyle name="20% - Accent3 2 10 2 2 2" xfId="28298" xr:uid="{00000000-0005-0000-0000-00009D0F0000}"/>
    <cellStyle name="20% - Accent3 2 10 2 3" xfId="18364" xr:uid="{00000000-0005-0000-0000-00009E0F0000}"/>
    <cellStyle name="20% - Accent3 2 10 3" xfId="11829" xr:uid="{00000000-0005-0000-0000-00009F0F0000}"/>
    <cellStyle name="20% - Accent3 2 10 3 2" xfId="25544" xr:uid="{00000000-0005-0000-0000-0000A00F0000}"/>
    <cellStyle name="20% - Accent3 2 10 4" xfId="18363" xr:uid="{00000000-0005-0000-0000-0000A10F0000}"/>
    <cellStyle name="20% - Accent3 2 11" xfId="1041" xr:uid="{00000000-0005-0000-0000-0000A20F0000}"/>
    <cellStyle name="20% - Accent3 2 11 2" xfId="12442" xr:uid="{00000000-0005-0000-0000-0000A30F0000}"/>
    <cellStyle name="20% - Accent3 2 11 2 2" xfId="26154" xr:uid="{00000000-0005-0000-0000-0000A40F0000}"/>
    <cellStyle name="20% - Accent3 2 11 3" xfId="18365" xr:uid="{00000000-0005-0000-0000-0000A50F0000}"/>
    <cellStyle name="20% - Accent3 2 12" xfId="1042" xr:uid="{00000000-0005-0000-0000-0000A60F0000}"/>
    <cellStyle name="20% - Accent3 2 12 2" xfId="13428" xr:uid="{00000000-0005-0000-0000-0000A70F0000}"/>
    <cellStyle name="20% - Accent3 2 12 2 2" xfId="26977" xr:uid="{00000000-0005-0000-0000-0000A80F0000}"/>
    <cellStyle name="20% - Accent3 2 12 3" xfId="18366" xr:uid="{00000000-0005-0000-0000-0000A90F0000}"/>
    <cellStyle name="20% - Accent3 2 13" xfId="1043" xr:uid="{00000000-0005-0000-0000-0000AA0F0000}"/>
    <cellStyle name="20% - Accent3 2 13 2" xfId="14009" xr:uid="{00000000-0005-0000-0000-0000AB0F0000}"/>
    <cellStyle name="20% - Accent3 2 13 2 2" xfId="27558" xr:uid="{00000000-0005-0000-0000-0000AC0F0000}"/>
    <cellStyle name="20% - Accent3 2 13 3" xfId="18367" xr:uid="{00000000-0005-0000-0000-0000AD0F0000}"/>
    <cellStyle name="20% - Accent3 2 14" xfId="1044" xr:uid="{00000000-0005-0000-0000-0000AE0F0000}"/>
    <cellStyle name="20% - Accent3 2 14 2" xfId="14748" xr:uid="{00000000-0005-0000-0000-0000AF0F0000}"/>
    <cellStyle name="20% - Accent3 2 14 2 2" xfId="28297" xr:uid="{00000000-0005-0000-0000-0000B00F0000}"/>
    <cellStyle name="20% - Accent3 2 14 3" xfId="18368" xr:uid="{00000000-0005-0000-0000-0000B10F0000}"/>
    <cellStyle name="20% - Accent3 2 15" xfId="1045" xr:uid="{00000000-0005-0000-0000-0000B20F0000}"/>
    <cellStyle name="20% - Accent3 2 15 2" xfId="15895" xr:uid="{00000000-0005-0000-0000-0000B30F0000}"/>
    <cellStyle name="20% - Accent3 2 15 2 2" xfId="29302" xr:uid="{00000000-0005-0000-0000-0000B40F0000}"/>
    <cellStyle name="20% - Accent3 2 15 3" xfId="18369" xr:uid="{00000000-0005-0000-0000-0000B50F0000}"/>
    <cellStyle name="20% - Accent3 2 16" xfId="8960" xr:uid="{00000000-0005-0000-0000-0000B60F0000}"/>
    <cellStyle name="20% - Accent3 2 16 2" xfId="23435" xr:uid="{00000000-0005-0000-0000-0000B70F0000}"/>
    <cellStyle name="20% - Accent3 2 17" xfId="18362" xr:uid="{00000000-0005-0000-0000-0000B80F0000}"/>
    <cellStyle name="20% - Accent3 2 2" xfId="1046" xr:uid="{00000000-0005-0000-0000-0000B90F0000}"/>
    <cellStyle name="20% - Accent3 2 2 10" xfId="1047" xr:uid="{00000000-0005-0000-0000-0000BA0F0000}"/>
    <cellStyle name="20% - Accent3 2 2 10 2" xfId="14750" xr:uid="{00000000-0005-0000-0000-0000BB0F0000}"/>
    <cellStyle name="20% - Accent3 2 2 10 2 2" xfId="28299" xr:uid="{00000000-0005-0000-0000-0000BC0F0000}"/>
    <cellStyle name="20% - Accent3 2 2 10 3" xfId="18371" xr:uid="{00000000-0005-0000-0000-0000BD0F0000}"/>
    <cellStyle name="20% - Accent3 2 2 11" xfId="1048" xr:uid="{00000000-0005-0000-0000-0000BE0F0000}"/>
    <cellStyle name="20% - Accent3 2 2 11 2" xfId="15941" xr:uid="{00000000-0005-0000-0000-0000BF0F0000}"/>
    <cellStyle name="20% - Accent3 2 2 11 2 2" xfId="29348" xr:uid="{00000000-0005-0000-0000-0000C00F0000}"/>
    <cellStyle name="20% - Accent3 2 2 11 3" xfId="18372" xr:uid="{00000000-0005-0000-0000-0000C10F0000}"/>
    <cellStyle name="20% - Accent3 2 2 12" xfId="8961" xr:uid="{00000000-0005-0000-0000-0000C20F0000}"/>
    <cellStyle name="20% - Accent3 2 2 12 2" xfId="23436" xr:uid="{00000000-0005-0000-0000-0000C30F0000}"/>
    <cellStyle name="20% - Accent3 2 2 13" xfId="18370" xr:uid="{00000000-0005-0000-0000-0000C40F0000}"/>
    <cellStyle name="20% - Accent3 2 2 2" xfId="1049" xr:uid="{00000000-0005-0000-0000-0000C50F0000}"/>
    <cellStyle name="20% - Accent3 2 2 2 10" xfId="1050" xr:uid="{00000000-0005-0000-0000-0000C60F0000}"/>
    <cellStyle name="20% - Accent3 2 2 2 10 2" xfId="16084" xr:uid="{00000000-0005-0000-0000-0000C70F0000}"/>
    <cellStyle name="20% - Accent3 2 2 2 10 2 2" xfId="29491" xr:uid="{00000000-0005-0000-0000-0000C80F0000}"/>
    <cellStyle name="20% - Accent3 2 2 2 10 3" xfId="18374" xr:uid="{00000000-0005-0000-0000-0000C90F0000}"/>
    <cellStyle name="20% - Accent3 2 2 2 11" xfId="8962" xr:uid="{00000000-0005-0000-0000-0000CA0F0000}"/>
    <cellStyle name="20% - Accent3 2 2 2 11 2" xfId="23437" xr:uid="{00000000-0005-0000-0000-0000CB0F0000}"/>
    <cellStyle name="20% - Accent3 2 2 2 12" xfId="18373" xr:uid="{00000000-0005-0000-0000-0000CC0F0000}"/>
    <cellStyle name="20% - Accent3 2 2 2 2" xfId="1051" xr:uid="{00000000-0005-0000-0000-0000CD0F0000}"/>
    <cellStyle name="20% - Accent3 2 2 2 2 10" xfId="8963" xr:uid="{00000000-0005-0000-0000-0000CE0F0000}"/>
    <cellStyle name="20% - Accent3 2 2 2 2 10 2" xfId="23438" xr:uid="{00000000-0005-0000-0000-0000CF0F0000}"/>
    <cellStyle name="20% - Accent3 2 2 2 2 11" xfId="18375" xr:uid="{00000000-0005-0000-0000-0000D00F0000}"/>
    <cellStyle name="20% - Accent3 2 2 2 2 2" xfId="1052" xr:uid="{00000000-0005-0000-0000-0000D10F0000}"/>
    <cellStyle name="20% - Accent3 2 2 2 2 2 2" xfId="1053" xr:uid="{00000000-0005-0000-0000-0000D20F0000}"/>
    <cellStyle name="20% - Accent3 2 2 2 2 2 2 2" xfId="10689" xr:uid="{00000000-0005-0000-0000-0000D30F0000}"/>
    <cellStyle name="20% - Accent3 2 2 2 2 2 2 2 2" xfId="24631" xr:uid="{00000000-0005-0000-0000-0000D40F0000}"/>
    <cellStyle name="20% - Accent3 2 2 2 2 2 2 3" xfId="18377" xr:uid="{00000000-0005-0000-0000-0000D50F0000}"/>
    <cellStyle name="20% - Accent3 2 2 2 2 2 3" xfId="1054" xr:uid="{00000000-0005-0000-0000-0000D60F0000}"/>
    <cellStyle name="20% - Accent3 2 2 2 2 2 3 2" xfId="12662" xr:uid="{00000000-0005-0000-0000-0000D70F0000}"/>
    <cellStyle name="20% - Accent3 2 2 2 2 2 3 2 2" xfId="26374" xr:uid="{00000000-0005-0000-0000-0000D80F0000}"/>
    <cellStyle name="20% - Accent3 2 2 2 2 2 3 3" xfId="18378" xr:uid="{00000000-0005-0000-0000-0000D90F0000}"/>
    <cellStyle name="20% - Accent3 2 2 2 2 2 4" xfId="1055" xr:uid="{00000000-0005-0000-0000-0000DA0F0000}"/>
    <cellStyle name="20% - Accent3 2 2 2 2 2 4 2" xfId="14753" xr:uid="{00000000-0005-0000-0000-0000DB0F0000}"/>
    <cellStyle name="20% - Accent3 2 2 2 2 2 4 2 2" xfId="28302" xr:uid="{00000000-0005-0000-0000-0000DC0F0000}"/>
    <cellStyle name="20% - Accent3 2 2 2 2 2 4 3" xfId="18379" xr:uid="{00000000-0005-0000-0000-0000DD0F0000}"/>
    <cellStyle name="20% - Accent3 2 2 2 2 2 5" xfId="1056" xr:uid="{00000000-0005-0000-0000-0000DE0F0000}"/>
    <cellStyle name="20% - Accent3 2 2 2 2 2 5 2" xfId="16954" xr:uid="{00000000-0005-0000-0000-0000DF0F0000}"/>
    <cellStyle name="20% - Accent3 2 2 2 2 2 5 2 2" xfId="30361" xr:uid="{00000000-0005-0000-0000-0000E00F0000}"/>
    <cellStyle name="20% - Accent3 2 2 2 2 2 5 3" xfId="18380" xr:uid="{00000000-0005-0000-0000-0000E10F0000}"/>
    <cellStyle name="20% - Accent3 2 2 2 2 2 6" xfId="8964" xr:uid="{00000000-0005-0000-0000-0000E20F0000}"/>
    <cellStyle name="20% - Accent3 2 2 2 2 2 6 2" xfId="23439" xr:uid="{00000000-0005-0000-0000-0000E30F0000}"/>
    <cellStyle name="20% - Accent3 2 2 2 2 2 7" xfId="18376" xr:uid="{00000000-0005-0000-0000-0000E40F0000}"/>
    <cellStyle name="20% - Accent3 2 2 2 2 3" xfId="1057" xr:uid="{00000000-0005-0000-0000-0000E50F0000}"/>
    <cellStyle name="20% - Accent3 2 2 2 2 3 2" xfId="1058" xr:uid="{00000000-0005-0000-0000-0000E60F0000}"/>
    <cellStyle name="20% - Accent3 2 2 2 2 3 2 2" xfId="14754" xr:uid="{00000000-0005-0000-0000-0000E70F0000}"/>
    <cellStyle name="20% - Accent3 2 2 2 2 3 2 2 2" xfId="28303" xr:uid="{00000000-0005-0000-0000-0000E80F0000}"/>
    <cellStyle name="20% - Accent3 2 2 2 2 3 2 3" xfId="18382" xr:uid="{00000000-0005-0000-0000-0000E90F0000}"/>
    <cellStyle name="20% - Accent3 2 2 2 2 3 3" xfId="10688" xr:uid="{00000000-0005-0000-0000-0000EA0F0000}"/>
    <cellStyle name="20% - Accent3 2 2 2 2 3 3 2" xfId="24630" xr:uid="{00000000-0005-0000-0000-0000EB0F0000}"/>
    <cellStyle name="20% - Accent3 2 2 2 2 3 4" xfId="18381" xr:uid="{00000000-0005-0000-0000-0000EC0F0000}"/>
    <cellStyle name="20% - Accent3 2 2 2 2 4" xfId="1059" xr:uid="{00000000-0005-0000-0000-0000ED0F0000}"/>
    <cellStyle name="20% - Accent3 2 2 2 2 4 2" xfId="12342" xr:uid="{00000000-0005-0000-0000-0000EE0F0000}"/>
    <cellStyle name="20% - Accent3 2 2 2 2 4 2 2" xfId="26054" xr:uid="{00000000-0005-0000-0000-0000EF0F0000}"/>
    <cellStyle name="20% - Accent3 2 2 2 2 4 3" xfId="18383" xr:uid="{00000000-0005-0000-0000-0000F00F0000}"/>
    <cellStyle name="20% - Accent3 2 2 2 2 5" xfId="1060" xr:uid="{00000000-0005-0000-0000-0000F10F0000}"/>
    <cellStyle name="20% - Accent3 2 2 2 2 5 2" xfId="12430" xr:uid="{00000000-0005-0000-0000-0000F20F0000}"/>
    <cellStyle name="20% - Accent3 2 2 2 2 5 2 2" xfId="26142" xr:uid="{00000000-0005-0000-0000-0000F30F0000}"/>
    <cellStyle name="20% - Accent3 2 2 2 2 5 3" xfId="18384" xr:uid="{00000000-0005-0000-0000-0000F40F0000}"/>
    <cellStyle name="20% - Accent3 2 2 2 2 6" xfId="1061" xr:uid="{00000000-0005-0000-0000-0000F50F0000}"/>
    <cellStyle name="20% - Accent3 2 2 2 2 6 2" xfId="13906" xr:uid="{00000000-0005-0000-0000-0000F60F0000}"/>
    <cellStyle name="20% - Accent3 2 2 2 2 6 2 2" xfId="27455" xr:uid="{00000000-0005-0000-0000-0000F70F0000}"/>
    <cellStyle name="20% - Accent3 2 2 2 2 6 3" xfId="18385" xr:uid="{00000000-0005-0000-0000-0000F80F0000}"/>
    <cellStyle name="20% - Accent3 2 2 2 2 7" xfId="1062" xr:uid="{00000000-0005-0000-0000-0000F90F0000}"/>
    <cellStyle name="20% - Accent3 2 2 2 2 7 2" xfId="14487" xr:uid="{00000000-0005-0000-0000-0000FA0F0000}"/>
    <cellStyle name="20% - Accent3 2 2 2 2 7 2 2" xfId="28036" xr:uid="{00000000-0005-0000-0000-0000FB0F0000}"/>
    <cellStyle name="20% - Accent3 2 2 2 2 7 3" xfId="18386" xr:uid="{00000000-0005-0000-0000-0000FC0F0000}"/>
    <cellStyle name="20% - Accent3 2 2 2 2 8" xfId="1063" xr:uid="{00000000-0005-0000-0000-0000FD0F0000}"/>
    <cellStyle name="20% - Accent3 2 2 2 2 8 2" xfId="14752" xr:uid="{00000000-0005-0000-0000-0000FE0F0000}"/>
    <cellStyle name="20% - Accent3 2 2 2 2 8 2 2" xfId="28301" xr:uid="{00000000-0005-0000-0000-0000FF0F0000}"/>
    <cellStyle name="20% - Accent3 2 2 2 2 8 3" xfId="18387" xr:uid="{00000000-0005-0000-0000-000000100000}"/>
    <cellStyle name="20% - Accent3 2 2 2 2 9" xfId="1064" xr:uid="{00000000-0005-0000-0000-000001100000}"/>
    <cellStyle name="20% - Accent3 2 2 2 2 9 2" xfId="16373" xr:uid="{00000000-0005-0000-0000-000002100000}"/>
    <cellStyle name="20% - Accent3 2 2 2 2 9 2 2" xfId="29780" xr:uid="{00000000-0005-0000-0000-000003100000}"/>
    <cellStyle name="20% - Accent3 2 2 2 2 9 3" xfId="18388" xr:uid="{00000000-0005-0000-0000-000004100000}"/>
    <cellStyle name="20% - Accent3 2 2 2 3" xfId="1065" xr:uid="{00000000-0005-0000-0000-000005100000}"/>
    <cellStyle name="20% - Accent3 2 2 2 3 2" xfId="1066" xr:uid="{00000000-0005-0000-0000-000006100000}"/>
    <cellStyle name="20% - Accent3 2 2 2 3 2 2" xfId="10690" xr:uid="{00000000-0005-0000-0000-000007100000}"/>
    <cellStyle name="20% - Accent3 2 2 2 3 2 2 2" xfId="24632" xr:uid="{00000000-0005-0000-0000-000008100000}"/>
    <cellStyle name="20% - Accent3 2 2 2 3 2 3" xfId="18390" xr:uid="{00000000-0005-0000-0000-000009100000}"/>
    <cellStyle name="20% - Accent3 2 2 2 3 3" xfId="1067" xr:uid="{00000000-0005-0000-0000-00000A100000}"/>
    <cellStyle name="20% - Accent3 2 2 2 3 3 2" xfId="12566" xr:uid="{00000000-0005-0000-0000-00000B100000}"/>
    <cellStyle name="20% - Accent3 2 2 2 3 3 2 2" xfId="26278" xr:uid="{00000000-0005-0000-0000-00000C100000}"/>
    <cellStyle name="20% - Accent3 2 2 2 3 3 3" xfId="18391" xr:uid="{00000000-0005-0000-0000-00000D100000}"/>
    <cellStyle name="20% - Accent3 2 2 2 3 4" xfId="1068" xr:uid="{00000000-0005-0000-0000-00000E100000}"/>
    <cellStyle name="20% - Accent3 2 2 2 3 4 2" xfId="14755" xr:uid="{00000000-0005-0000-0000-00000F100000}"/>
    <cellStyle name="20% - Accent3 2 2 2 3 4 2 2" xfId="28304" xr:uid="{00000000-0005-0000-0000-000010100000}"/>
    <cellStyle name="20% - Accent3 2 2 2 3 4 3" xfId="18392" xr:uid="{00000000-0005-0000-0000-000011100000}"/>
    <cellStyle name="20% - Accent3 2 2 2 3 5" xfId="1069" xr:uid="{00000000-0005-0000-0000-000012100000}"/>
    <cellStyle name="20% - Accent3 2 2 2 3 5 2" xfId="16665" xr:uid="{00000000-0005-0000-0000-000013100000}"/>
    <cellStyle name="20% - Accent3 2 2 2 3 5 2 2" xfId="30072" xr:uid="{00000000-0005-0000-0000-000014100000}"/>
    <cellStyle name="20% - Accent3 2 2 2 3 5 3" xfId="18393" xr:uid="{00000000-0005-0000-0000-000015100000}"/>
    <cellStyle name="20% - Accent3 2 2 2 3 6" xfId="8965" xr:uid="{00000000-0005-0000-0000-000016100000}"/>
    <cellStyle name="20% - Accent3 2 2 2 3 6 2" xfId="23440" xr:uid="{00000000-0005-0000-0000-000017100000}"/>
    <cellStyle name="20% - Accent3 2 2 2 3 7" xfId="18389" xr:uid="{00000000-0005-0000-0000-000018100000}"/>
    <cellStyle name="20% - Accent3 2 2 2 4" xfId="1070" xr:uid="{00000000-0005-0000-0000-000019100000}"/>
    <cellStyle name="20% - Accent3 2 2 2 4 2" xfId="1071" xr:uid="{00000000-0005-0000-0000-00001A100000}"/>
    <cellStyle name="20% - Accent3 2 2 2 4 2 2" xfId="14756" xr:uid="{00000000-0005-0000-0000-00001B100000}"/>
    <cellStyle name="20% - Accent3 2 2 2 4 2 2 2" xfId="28305" xr:uid="{00000000-0005-0000-0000-00001C100000}"/>
    <cellStyle name="20% - Accent3 2 2 2 4 2 3" xfId="18395" xr:uid="{00000000-0005-0000-0000-00001D100000}"/>
    <cellStyle name="20% - Accent3 2 2 2 4 3" xfId="10687" xr:uid="{00000000-0005-0000-0000-00001E100000}"/>
    <cellStyle name="20% - Accent3 2 2 2 4 3 2" xfId="24629" xr:uid="{00000000-0005-0000-0000-00001F100000}"/>
    <cellStyle name="20% - Accent3 2 2 2 4 4" xfId="18394" xr:uid="{00000000-0005-0000-0000-000020100000}"/>
    <cellStyle name="20% - Accent3 2 2 2 5" xfId="1072" xr:uid="{00000000-0005-0000-0000-000021100000}"/>
    <cellStyle name="20% - Accent3 2 2 2 5 2" xfId="12042" xr:uid="{00000000-0005-0000-0000-000022100000}"/>
    <cellStyle name="20% - Accent3 2 2 2 5 2 2" xfId="25757" xr:uid="{00000000-0005-0000-0000-000023100000}"/>
    <cellStyle name="20% - Accent3 2 2 2 5 3" xfId="18396" xr:uid="{00000000-0005-0000-0000-000024100000}"/>
    <cellStyle name="20% - Accent3 2 2 2 6" xfId="1073" xr:uid="{00000000-0005-0000-0000-000025100000}"/>
    <cellStyle name="20% - Accent3 2 2 2 6 2" xfId="12409" xr:uid="{00000000-0005-0000-0000-000026100000}"/>
    <cellStyle name="20% - Accent3 2 2 2 6 2 2" xfId="26121" xr:uid="{00000000-0005-0000-0000-000027100000}"/>
    <cellStyle name="20% - Accent3 2 2 2 6 3" xfId="18397" xr:uid="{00000000-0005-0000-0000-000028100000}"/>
    <cellStyle name="20% - Accent3 2 2 2 7" xfId="1074" xr:uid="{00000000-0005-0000-0000-000029100000}"/>
    <cellStyle name="20% - Accent3 2 2 2 7 2" xfId="13617" xr:uid="{00000000-0005-0000-0000-00002A100000}"/>
    <cellStyle name="20% - Accent3 2 2 2 7 2 2" xfId="27166" xr:uid="{00000000-0005-0000-0000-00002B100000}"/>
    <cellStyle name="20% - Accent3 2 2 2 7 3" xfId="18398" xr:uid="{00000000-0005-0000-0000-00002C100000}"/>
    <cellStyle name="20% - Accent3 2 2 2 8" xfId="1075" xr:uid="{00000000-0005-0000-0000-00002D100000}"/>
    <cellStyle name="20% - Accent3 2 2 2 8 2" xfId="14198" xr:uid="{00000000-0005-0000-0000-00002E100000}"/>
    <cellStyle name="20% - Accent3 2 2 2 8 2 2" xfId="27747" xr:uid="{00000000-0005-0000-0000-00002F100000}"/>
    <cellStyle name="20% - Accent3 2 2 2 8 3" xfId="18399" xr:uid="{00000000-0005-0000-0000-000030100000}"/>
    <cellStyle name="20% - Accent3 2 2 2 9" xfId="1076" xr:uid="{00000000-0005-0000-0000-000031100000}"/>
    <cellStyle name="20% - Accent3 2 2 2 9 2" xfId="14751" xr:uid="{00000000-0005-0000-0000-000032100000}"/>
    <cellStyle name="20% - Accent3 2 2 2 9 2 2" xfId="28300" xr:uid="{00000000-0005-0000-0000-000033100000}"/>
    <cellStyle name="20% - Accent3 2 2 2 9 3" xfId="18400" xr:uid="{00000000-0005-0000-0000-000034100000}"/>
    <cellStyle name="20% - Accent3 2 2 3" xfId="1077" xr:uid="{00000000-0005-0000-0000-000035100000}"/>
    <cellStyle name="20% - Accent3 2 2 3 10" xfId="8966" xr:uid="{00000000-0005-0000-0000-000036100000}"/>
    <cellStyle name="20% - Accent3 2 2 3 10 2" xfId="23441" xr:uid="{00000000-0005-0000-0000-000037100000}"/>
    <cellStyle name="20% - Accent3 2 2 3 11" xfId="18401" xr:uid="{00000000-0005-0000-0000-000038100000}"/>
    <cellStyle name="20% - Accent3 2 2 3 2" xfId="1078" xr:uid="{00000000-0005-0000-0000-000039100000}"/>
    <cellStyle name="20% - Accent3 2 2 3 2 2" xfId="1079" xr:uid="{00000000-0005-0000-0000-00003A100000}"/>
    <cellStyle name="20% - Accent3 2 2 3 2 2 2" xfId="10692" xr:uid="{00000000-0005-0000-0000-00003B100000}"/>
    <cellStyle name="20% - Accent3 2 2 3 2 2 2 2" xfId="24634" xr:uid="{00000000-0005-0000-0000-00003C100000}"/>
    <cellStyle name="20% - Accent3 2 2 3 2 2 3" xfId="18403" xr:uid="{00000000-0005-0000-0000-00003D100000}"/>
    <cellStyle name="20% - Accent3 2 2 3 2 3" xfId="1080" xr:uid="{00000000-0005-0000-0000-00003E100000}"/>
    <cellStyle name="20% - Accent3 2 2 3 2 3 2" xfId="12501" xr:uid="{00000000-0005-0000-0000-00003F100000}"/>
    <cellStyle name="20% - Accent3 2 2 3 2 3 2 2" xfId="26213" xr:uid="{00000000-0005-0000-0000-000040100000}"/>
    <cellStyle name="20% - Accent3 2 2 3 2 3 3" xfId="18404" xr:uid="{00000000-0005-0000-0000-000041100000}"/>
    <cellStyle name="20% - Accent3 2 2 3 2 4" xfId="1081" xr:uid="{00000000-0005-0000-0000-000042100000}"/>
    <cellStyle name="20% - Accent3 2 2 3 2 4 2" xfId="14758" xr:uid="{00000000-0005-0000-0000-000043100000}"/>
    <cellStyle name="20% - Accent3 2 2 3 2 4 2 2" xfId="28307" xr:uid="{00000000-0005-0000-0000-000044100000}"/>
    <cellStyle name="20% - Accent3 2 2 3 2 4 3" xfId="18405" xr:uid="{00000000-0005-0000-0000-000045100000}"/>
    <cellStyle name="20% - Accent3 2 2 3 2 5" xfId="1082" xr:uid="{00000000-0005-0000-0000-000046100000}"/>
    <cellStyle name="20% - Accent3 2 2 3 2 5 2" xfId="16811" xr:uid="{00000000-0005-0000-0000-000047100000}"/>
    <cellStyle name="20% - Accent3 2 2 3 2 5 2 2" xfId="30218" xr:uid="{00000000-0005-0000-0000-000048100000}"/>
    <cellStyle name="20% - Accent3 2 2 3 2 5 3" xfId="18406" xr:uid="{00000000-0005-0000-0000-000049100000}"/>
    <cellStyle name="20% - Accent3 2 2 3 2 6" xfId="8967" xr:uid="{00000000-0005-0000-0000-00004A100000}"/>
    <cellStyle name="20% - Accent3 2 2 3 2 6 2" xfId="23442" xr:uid="{00000000-0005-0000-0000-00004B100000}"/>
    <cellStyle name="20% - Accent3 2 2 3 2 7" xfId="18402" xr:uid="{00000000-0005-0000-0000-00004C100000}"/>
    <cellStyle name="20% - Accent3 2 2 3 3" xfId="1083" xr:uid="{00000000-0005-0000-0000-00004D100000}"/>
    <cellStyle name="20% - Accent3 2 2 3 3 2" xfId="1084" xr:uid="{00000000-0005-0000-0000-00004E100000}"/>
    <cellStyle name="20% - Accent3 2 2 3 3 2 2" xfId="14759" xr:uid="{00000000-0005-0000-0000-00004F100000}"/>
    <cellStyle name="20% - Accent3 2 2 3 3 2 2 2" xfId="28308" xr:uid="{00000000-0005-0000-0000-000050100000}"/>
    <cellStyle name="20% - Accent3 2 2 3 3 2 3" xfId="18408" xr:uid="{00000000-0005-0000-0000-000051100000}"/>
    <cellStyle name="20% - Accent3 2 2 3 3 3" xfId="10691" xr:uid="{00000000-0005-0000-0000-000052100000}"/>
    <cellStyle name="20% - Accent3 2 2 3 3 3 2" xfId="24633" xr:uid="{00000000-0005-0000-0000-000053100000}"/>
    <cellStyle name="20% - Accent3 2 2 3 3 4" xfId="18407" xr:uid="{00000000-0005-0000-0000-000054100000}"/>
    <cellStyle name="20% - Accent3 2 2 3 4" xfId="1085" xr:uid="{00000000-0005-0000-0000-000055100000}"/>
    <cellStyle name="20% - Accent3 2 2 3 4 2" xfId="12199" xr:uid="{00000000-0005-0000-0000-000056100000}"/>
    <cellStyle name="20% - Accent3 2 2 3 4 2 2" xfId="25911" xr:uid="{00000000-0005-0000-0000-000057100000}"/>
    <cellStyle name="20% - Accent3 2 2 3 4 3" xfId="18409" xr:uid="{00000000-0005-0000-0000-000058100000}"/>
    <cellStyle name="20% - Accent3 2 2 3 5" xfId="1086" xr:uid="{00000000-0005-0000-0000-000059100000}"/>
    <cellStyle name="20% - Accent3 2 2 3 5 2" xfId="11860" xr:uid="{00000000-0005-0000-0000-00005A100000}"/>
    <cellStyle name="20% - Accent3 2 2 3 5 2 2" xfId="25575" xr:uid="{00000000-0005-0000-0000-00005B100000}"/>
    <cellStyle name="20% - Accent3 2 2 3 5 3" xfId="18410" xr:uid="{00000000-0005-0000-0000-00005C100000}"/>
    <cellStyle name="20% - Accent3 2 2 3 6" xfId="1087" xr:uid="{00000000-0005-0000-0000-00005D100000}"/>
    <cellStyle name="20% - Accent3 2 2 3 6 2" xfId="13763" xr:uid="{00000000-0005-0000-0000-00005E100000}"/>
    <cellStyle name="20% - Accent3 2 2 3 6 2 2" xfId="27312" xr:uid="{00000000-0005-0000-0000-00005F100000}"/>
    <cellStyle name="20% - Accent3 2 2 3 6 3" xfId="18411" xr:uid="{00000000-0005-0000-0000-000060100000}"/>
    <cellStyle name="20% - Accent3 2 2 3 7" xfId="1088" xr:uid="{00000000-0005-0000-0000-000061100000}"/>
    <cellStyle name="20% - Accent3 2 2 3 7 2" xfId="14344" xr:uid="{00000000-0005-0000-0000-000062100000}"/>
    <cellStyle name="20% - Accent3 2 2 3 7 2 2" xfId="27893" xr:uid="{00000000-0005-0000-0000-000063100000}"/>
    <cellStyle name="20% - Accent3 2 2 3 7 3" xfId="18412" xr:uid="{00000000-0005-0000-0000-000064100000}"/>
    <cellStyle name="20% - Accent3 2 2 3 8" xfId="1089" xr:uid="{00000000-0005-0000-0000-000065100000}"/>
    <cellStyle name="20% - Accent3 2 2 3 8 2" xfId="14757" xr:uid="{00000000-0005-0000-0000-000066100000}"/>
    <cellStyle name="20% - Accent3 2 2 3 8 2 2" xfId="28306" xr:uid="{00000000-0005-0000-0000-000067100000}"/>
    <cellStyle name="20% - Accent3 2 2 3 8 3" xfId="18413" xr:uid="{00000000-0005-0000-0000-000068100000}"/>
    <cellStyle name="20% - Accent3 2 2 3 9" xfId="1090" xr:uid="{00000000-0005-0000-0000-000069100000}"/>
    <cellStyle name="20% - Accent3 2 2 3 9 2" xfId="16230" xr:uid="{00000000-0005-0000-0000-00006A100000}"/>
    <cellStyle name="20% - Accent3 2 2 3 9 2 2" xfId="29637" xr:uid="{00000000-0005-0000-0000-00006B100000}"/>
    <cellStyle name="20% - Accent3 2 2 3 9 3" xfId="18414" xr:uid="{00000000-0005-0000-0000-00006C100000}"/>
    <cellStyle name="20% - Accent3 2 2 4" xfId="1091" xr:uid="{00000000-0005-0000-0000-00006D100000}"/>
    <cellStyle name="20% - Accent3 2 2 4 2" xfId="1092" xr:uid="{00000000-0005-0000-0000-00006E100000}"/>
    <cellStyle name="20% - Accent3 2 2 4 2 2" xfId="10693" xr:uid="{00000000-0005-0000-0000-00006F100000}"/>
    <cellStyle name="20% - Accent3 2 2 4 2 2 2" xfId="24635" xr:uid="{00000000-0005-0000-0000-000070100000}"/>
    <cellStyle name="20% - Accent3 2 2 4 2 3" xfId="18416" xr:uid="{00000000-0005-0000-0000-000071100000}"/>
    <cellStyle name="20% - Accent3 2 2 4 3" xfId="1093" xr:uid="{00000000-0005-0000-0000-000072100000}"/>
    <cellStyle name="20% - Accent3 2 2 4 3 2" xfId="12751" xr:uid="{00000000-0005-0000-0000-000073100000}"/>
    <cellStyle name="20% - Accent3 2 2 4 3 2 2" xfId="26463" xr:uid="{00000000-0005-0000-0000-000074100000}"/>
    <cellStyle name="20% - Accent3 2 2 4 3 3" xfId="18417" xr:uid="{00000000-0005-0000-0000-000075100000}"/>
    <cellStyle name="20% - Accent3 2 2 4 4" xfId="1094" xr:uid="{00000000-0005-0000-0000-000076100000}"/>
    <cellStyle name="20% - Accent3 2 2 4 4 2" xfId="14760" xr:uid="{00000000-0005-0000-0000-000077100000}"/>
    <cellStyle name="20% - Accent3 2 2 4 4 2 2" xfId="28309" xr:uid="{00000000-0005-0000-0000-000078100000}"/>
    <cellStyle name="20% - Accent3 2 2 4 4 3" xfId="18418" xr:uid="{00000000-0005-0000-0000-000079100000}"/>
    <cellStyle name="20% - Accent3 2 2 4 5" xfId="1095" xr:uid="{00000000-0005-0000-0000-00007A100000}"/>
    <cellStyle name="20% - Accent3 2 2 4 5 2" xfId="17158" xr:uid="{00000000-0005-0000-0000-00007B100000}"/>
    <cellStyle name="20% - Accent3 2 2 4 5 2 2" xfId="30517" xr:uid="{00000000-0005-0000-0000-00007C100000}"/>
    <cellStyle name="20% - Accent3 2 2 4 5 3" xfId="18419" xr:uid="{00000000-0005-0000-0000-00007D100000}"/>
    <cellStyle name="20% - Accent3 2 2 4 6" xfId="8968" xr:uid="{00000000-0005-0000-0000-00007E100000}"/>
    <cellStyle name="20% - Accent3 2 2 4 6 2" xfId="23443" xr:uid="{00000000-0005-0000-0000-00007F100000}"/>
    <cellStyle name="20% - Accent3 2 2 4 7" xfId="18415" xr:uid="{00000000-0005-0000-0000-000080100000}"/>
    <cellStyle name="20% - Accent3 2 2 5" xfId="1096" xr:uid="{00000000-0005-0000-0000-000081100000}"/>
    <cellStyle name="20% - Accent3 2 2 5 2" xfId="1097" xr:uid="{00000000-0005-0000-0000-000082100000}"/>
    <cellStyle name="20% - Accent3 2 2 5 2 2" xfId="14761" xr:uid="{00000000-0005-0000-0000-000083100000}"/>
    <cellStyle name="20% - Accent3 2 2 5 2 2 2" xfId="28310" xr:uid="{00000000-0005-0000-0000-000084100000}"/>
    <cellStyle name="20% - Accent3 2 2 5 2 3" xfId="18421" xr:uid="{00000000-0005-0000-0000-000085100000}"/>
    <cellStyle name="20% - Accent3 2 2 5 3" xfId="1098" xr:uid="{00000000-0005-0000-0000-000086100000}"/>
    <cellStyle name="20% - Accent3 2 2 5 3 2" xfId="17247" xr:uid="{00000000-0005-0000-0000-000087100000}"/>
    <cellStyle name="20% - Accent3 2 2 5 3 2 2" xfId="30606" xr:uid="{00000000-0005-0000-0000-000088100000}"/>
    <cellStyle name="20% - Accent3 2 2 5 3 3" xfId="18422" xr:uid="{00000000-0005-0000-0000-000089100000}"/>
    <cellStyle name="20% - Accent3 2 2 5 4" xfId="10686" xr:uid="{00000000-0005-0000-0000-00008A100000}"/>
    <cellStyle name="20% - Accent3 2 2 5 4 2" xfId="24628" xr:uid="{00000000-0005-0000-0000-00008B100000}"/>
    <cellStyle name="20% - Accent3 2 2 5 5" xfId="18420" xr:uid="{00000000-0005-0000-0000-00008C100000}"/>
    <cellStyle name="20% - Accent3 2 2 6" xfId="1099" xr:uid="{00000000-0005-0000-0000-00008D100000}"/>
    <cellStyle name="20% - Accent3 2 2 6 2" xfId="1100" xr:uid="{00000000-0005-0000-0000-00008E100000}"/>
    <cellStyle name="20% - Accent3 2 2 6 2 2" xfId="16522" xr:uid="{00000000-0005-0000-0000-00008F100000}"/>
    <cellStyle name="20% - Accent3 2 2 6 2 2 2" xfId="29929" xr:uid="{00000000-0005-0000-0000-000090100000}"/>
    <cellStyle name="20% - Accent3 2 2 6 2 3" xfId="18424" xr:uid="{00000000-0005-0000-0000-000091100000}"/>
    <cellStyle name="20% - Accent3 2 2 6 3" xfId="11897" xr:uid="{00000000-0005-0000-0000-000092100000}"/>
    <cellStyle name="20% - Accent3 2 2 6 3 2" xfId="25612" xr:uid="{00000000-0005-0000-0000-000093100000}"/>
    <cellStyle name="20% - Accent3 2 2 6 4" xfId="18423" xr:uid="{00000000-0005-0000-0000-000094100000}"/>
    <cellStyle name="20% - Accent3 2 2 7" xfId="1101" xr:uid="{00000000-0005-0000-0000-000095100000}"/>
    <cellStyle name="20% - Accent3 2 2 7 2" xfId="12635" xr:uid="{00000000-0005-0000-0000-000096100000}"/>
    <cellStyle name="20% - Accent3 2 2 7 2 2" xfId="26347" xr:uid="{00000000-0005-0000-0000-000097100000}"/>
    <cellStyle name="20% - Accent3 2 2 7 3" xfId="18425" xr:uid="{00000000-0005-0000-0000-000098100000}"/>
    <cellStyle name="20% - Accent3 2 2 8" xfId="1102" xr:uid="{00000000-0005-0000-0000-000099100000}"/>
    <cellStyle name="20% - Accent3 2 2 8 2" xfId="13474" xr:uid="{00000000-0005-0000-0000-00009A100000}"/>
    <cellStyle name="20% - Accent3 2 2 8 2 2" xfId="27023" xr:uid="{00000000-0005-0000-0000-00009B100000}"/>
    <cellStyle name="20% - Accent3 2 2 8 3" xfId="18426" xr:uid="{00000000-0005-0000-0000-00009C100000}"/>
    <cellStyle name="20% - Accent3 2 2 9" xfId="1103" xr:uid="{00000000-0005-0000-0000-00009D100000}"/>
    <cellStyle name="20% - Accent3 2 2 9 2" xfId="14055" xr:uid="{00000000-0005-0000-0000-00009E100000}"/>
    <cellStyle name="20% - Accent3 2 2 9 2 2" xfId="27604" xr:uid="{00000000-0005-0000-0000-00009F100000}"/>
    <cellStyle name="20% - Accent3 2 2 9 3" xfId="18427" xr:uid="{00000000-0005-0000-0000-0000A0100000}"/>
    <cellStyle name="20% - Accent3 2 3" xfId="1104" xr:uid="{00000000-0005-0000-0000-0000A1100000}"/>
    <cellStyle name="20% - Accent3 2 3 10" xfId="1105" xr:uid="{00000000-0005-0000-0000-0000A2100000}"/>
    <cellStyle name="20% - Accent3 2 3 10 2" xfId="16038" xr:uid="{00000000-0005-0000-0000-0000A3100000}"/>
    <cellStyle name="20% - Accent3 2 3 10 2 2" xfId="29445" xr:uid="{00000000-0005-0000-0000-0000A4100000}"/>
    <cellStyle name="20% - Accent3 2 3 10 3" xfId="18429" xr:uid="{00000000-0005-0000-0000-0000A5100000}"/>
    <cellStyle name="20% - Accent3 2 3 11" xfId="8969" xr:uid="{00000000-0005-0000-0000-0000A6100000}"/>
    <cellStyle name="20% - Accent3 2 3 11 2" xfId="23444" xr:uid="{00000000-0005-0000-0000-0000A7100000}"/>
    <cellStyle name="20% - Accent3 2 3 12" xfId="18428" xr:uid="{00000000-0005-0000-0000-0000A8100000}"/>
    <cellStyle name="20% - Accent3 2 3 2" xfId="1106" xr:uid="{00000000-0005-0000-0000-0000A9100000}"/>
    <cellStyle name="20% - Accent3 2 3 2 10" xfId="8970" xr:uid="{00000000-0005-0000-0000-0000AA100000}"/>
    <cellStyle name="20% - Accent3 2 3 2 10 2" xfId="23445" xr:uid="{00000000-0005-0000-0000-0000AB100000}"/>
    <cellStyle name="20% - Accent3 2 3 2 11" xfId="18430" xr:uid="{00000000-0005-0000-0000-0000AC100000}"/>
    <cellStyle name="20% - Accent3 2 3 2 2" xfId="1107" xr:uid="{00000000-0005-0000-0000-0000AD100000}"/>
    <cellStyle name="20% - Accent3 2 3 2 2 2" xfId="1108" xr:uid="{00000000-0005-0000-0000-0000AE100000}"/>
    <cellStyle name="20% - Accent3 2 3 2 2 2 2" xfId="10696" xr:uid="{00000000-0005-0000-0000-0000AF100000}"/>
    <cellStyle name="20% - Accent3 2 3 2 2 2 2 2" xfId="24638" xr:uid="{00000000-0005-0000-0000-0000B0100000}"/>
    <cellStyle name="20% - Accent3 2 3 2 2 2 3" xfId="18432" xr:uid="{00000000-0005-0000-0000-0000B1100000}"/>
    <cellStyle name="20% - Accent3 2 3 2 2 3" xfId="1109" xr:uid="{00000000-0005-0000-0000-0000B2100000}"/>
    <cellStyle name="20% - Accent3 2 3 2 2 3 2" xfId="12660" xr:uid="{00000000-0005-0000-0000-0000B3100000}"/>
    <cellStyle name="20% - Accent3 2 3 2 2 3 2 2" xfId="26372" xr:uid="{00000000-0005-0000-0000-0000B4100000}"/>
    <cellStyle name="20% - Accent3 2 3 2 2 3 3" xfId="18433" xr:uid="{00000000-0005-0000-0000-0000B5100000}"/>
    <cellStyle name="20% - Accent3 2 3 2 2 4" xfId="1110" xr:uid="{00000000-0005-0000-0000-0000B6100000}"/>
    <cellStyle name="20% - Accent3 2 3 2 2 4 2" xfId="14764" xr:uid="{00000000-0005-0000-0000-0000B7100000}"/>
    <cellStyle name="20% - Accent3 2 3 2 2 4 2 2" xfId="28313" xr:uid="{00000000-0005-0000-0000-0000B8100000}"/>
    <cellStyle name="20% - Accent3 2 3 2 2 4 3" xfId="18434" xr:uid="{00000000-0005-0000-0000-0000B9100000}"/>
    <cellStyle name="20% - Accent3 2 3 2 2 5" xfId="1111" xr:uid="{00000000-0005-0000-0000-0000BA100000}"/>
    <cellStyle name="20% - Accent3 2 3 2 2 5 2" xfId="16908" xr:uid="{00000000-0005-0000-0000-0000BB100000}"/>
    <cellStyle name="20% - Accent3 2 3 2 2 5 2 2" xfId="30315" xr:uid="{00000000-0005-0000-0000-0000BC100000}"/>
    <cellStyle name="20% - Accent3 2 3 2 2 5 3" xfId="18435" xr:uid="{00000000-0005-0000-0000-0000BD100000}"/>
    <cellStyle name="20% - Accent3 2 3 2 2 6" xfId="8971" xr:uid="{00000000-0005-0000-0000-0000BE100000}"/>
    <cellStyle name="20% - Accent3 2 3 2 2 6 2" xfId="23446" xr:uid="{00000000-0005-0000-0000-0000BF100000}"/>
    <cellStyle name="20% - Accent3 2 3 2 2 7" xfId="18431" xr:uid="{00000000-0005-0000-0000-0000C0100000}"/>
    <cellStyle name="20% - Accent3 2 3 2 3" xfId="1112" xr:uid="{00000000-0005-0000-0000-0000C1100000}"/>
    <cellStyle name="20% - Accent3 2 3 2 3 2" xfId="1113" xr:uid="{00000000-0005-0000-0000-0000C2100000}"/>
    <cellStyle name="20% - Accent3 2 3 2 3 2 2" xfId="14765" xr:uid="{00000000-0005-0000-0000-0000C3100000}"/>
    <cellStyle name="20% - Accent3 2 3 2 3 2 2 2" xfId="28314" xr:uid="{00000000-0005-0000-0000-0000C4100000}"/>
    <cellStyle name="20% - Accent3 2 3 2 3 2 3" xfId="18437" xr:uid="{00000000-0005-0000-0000-0000C5100000}"/>
    <cellStyle name="20% - Accent3 2 3 2 3 3" xfId="10695" xr:uid="{00000000-0005-0000-0000-0000C6100000}"/>
    <cellStyle name="20% - Accent3 2 3 2 3 3 2" xfId="24637" xr:uid="{00000000-0005-0000-0000-0000C7100000}"/>
    <cellStyle name="20% - Accent3 2 3 2 3 4" xfId="18436" xr:uid="{00000000-0005-0000-0000-0000C8100000}"/>
    <cellStyle name="20% - Accent3 2 3 2 4" xfId="1114" xr:uid="{00000000-0005-0000-0000-0000C9100000}"/>
    <cellStyle name="20% - Accent3 2 3 2 4 2" xfId="12296" xr:uid="{00000000-0005-0000-0000-0000CA100000}"/>
    <cellStyle name="20% - Accent3 2 3 2 4 2 2" xfId="26008" xr:uid="{00000000-0005-0000-0000-0000CB100000}"/>
    <cellStyle name="20% - Accent3 2 3 2 4 3" xfId="18438" xr:uid="{00000000-0005-0000-0000-0000CC100000}"/>
    <cellStyle name="20% - Accent3 2 3 2 5" xfId="1115" xr:uid="{00000000-0005-0000-0000-0000CD100000}"/>
    <cellStyle name="20% - Accent3 2 3 2 5 2" xfId="12438" xr:uid="{00000000-0005-0000-0000-0000CE100000}"/>
    <cellStyle name="20% - Accent3 2 3 2 5 2 2" xfId="26150" xr:uid="{00000000-0005-0000-0000-0000CF100000}"/>
    <cellStyle name="20% - Accent3 2 3 2 5 3" xfId="18439" xr:uid="{00000000-0005-0000-0000-0000D0100000}"/>
    <cellStyle name="20% - Accent3 2 3 2 6" xfId="1116" xr:uid="{00000000-0005-0000-0000-0000D1100000}"/>
    <cellStyle name="20% - Accent3 2 3 2 6 2" xfId="13860" xr:uid="{00000000-0005-0000-0000-0000D2100000}"/>
    <cellStyle name="20% - Accent3 2 3 2 6 2 2" xfId="27409" xr:uid="{00000000-0005-0000-0000-0000D3100000}"/>
    <cellStyle name="20% - Accent3 2 3 2 6 3" xfId="18440" xr:uid="{00000000-0005-0000-0000-0000D4100000}"/>
    <cellStyle name="20% - Accent3 2 3 2 7" xfId="1117" xr:uid="{00000000-0005-0000-0000-0000D5100000}"/>
    <cellStyle name="20% - Accent3 2 3 2 7 2" xfId="14441" xr:uid="{00000000-0005-0000-0000-0000D6100000}"/>
    <cellStyle name="20% - Accent3 2 3 2 7 2 2" xfId="27990" xr:uid="{00000000-0005-0000-0000-0000D7100000}"/>
    <cellStyle name="20% - Accent3 2 3 2 7 3" xfId="18441" xr:uid="{00000000-0005-0000-0000-0000D8100000}"/>
    <cellStyle name="20% - Accent3 2 3 2 8" xfId="1118" xr:uid="{00000000-0005-0000-0000-0000D9100000}"/>
    <cellStyle name="20% - Accent3 2 3 2 8 2" xfId="14763" xr:uid="{00000000-0005-0000-0000-0000DA100000}"/>
    <cellStyle name="20% - Accent3 2 3 2 8 2 2" xfId="28312" xr:uid="{00000000-0005-0000-0000-0000DB100000}"/>
    <cellStyle name="20% - Accent3 2 3 2 8 3" xfId="18442" xr:uid="{00000000-0005-0000-0000-0000DC100000}"/>
    <cellStyle name="20% - Accent3 2 3 2 9" xfId="1119" xr:uid="{00000000-0005-0000-0000-0000DD100000}"/>
    <cellStyle name="20% - Accent3 2 3 2 9 2" xfId="16327" xr:uid="{00000000-0005-0000-0000-0000DE100000}"/>
    <cellStyle name="20% - Accent3 2 3 2 9 2 2" xfId="29734" xr:uid="{00000000-0005-0000-0000-0000DF100000}"/>
    <cellStyle name="20% - Accent3 2 3 2 9 3" xfId="18443" xr:uid="{00000000-0005-0000-0000-0000E0100000}"/>
    <cellStyle name="20% - Accent3 2 3 3" xfId="1120" xr:uid="{00000000-0005-0000-0000-0000E1100000}"/>
    <cellStyle name="20% - Accent3 2 3 3 2" xfId="1121" xr:uid="{00000000-0005-0000-0000-0000E2100000}"/>
    <cellStyle name="20% - Accent3 2 3 3 2 2" xfId="10697" xr:uid="{00000000-0005-0000-0000-0000E3100000}"/>
    <cellStyle name="20% - Accent3 2 3 3 2 2 2" xfId="24639" xr:uid="{00000000-0005-0000-0000-0000E4100000}"/>
    <cellStyle name="20% - Accent3 2 3 3 2 3" xfId="18445" xr:uid="{00000000-0005-0000-0000-0000E5100000}"/>
    <cellStyle name="20% - Accent3 2 3 3 3" xfId="1122" xr:uid="{00000000-0005-0000-0000-0000E6100000}"/>
    <cellStyle name="20% - Accent3 2 3 3 3 2" xfId="12661" xr:uid="{00000000-0005-0000-0000-0000E7100000}"/>
    <cellStyle name="20% - Accent3 2 3 3 3 2 2" xfId="26373" xr:uid="{00000000-0005-0000-0000-0000E8100000}"/>
    <cellStyle name="20% - Accent3 2 3 3 3 3" xfId="18446" xr:uid="{00000000-0005-0000-0000-0000E9100000}"/>
    <cellStyle name="20% - Accent3 2 3 3 4" xfId="1123" xr:uid="{00000000-0005-0000-0000-0000EA100000}"/>
    <cellStyle name="20% - Accent3 2 3 3 4 2" xfId="14766" xr:uid="{00000000-0005-0000-0000-0000EB100000}"/>
    <cellStyle name="20% - Accent3 2 3 3 4 2 2" xfId="28315" xr:uid="{00000000-0005-0000-0000-0000EC100000}"/>
    <cellStyle name="20% - Accent3 2 3 3 4 3" xfId="18447" xr:uid="{00000000-0005-0000-0000-0000ED100000}"/>
    <cellStyle name="20% - Accent3 2 3 3 5" xfId="1124" xr:uid="{00000000-0005-0000-0000-0000EE100000}"/>
    <cellStyle name="20% - Accent3 2 3 3 5 2" xfId="16619" xr:uid="{00000000-0005-0000-0000-0000EF100000}"/>
    <cellStyle name="20% - Accent3 2 3 3 5 2 2" xfId="30026" xr:uid="{00000000-0005-0000-0000-0000F0100000}"/>
    <cellStyle name="20% - Accent3 2 3 3 5 3" xfId="18448" xr:uid="{00000000-0005-0000-0000-0000F1100000}"/>
    <cellStyle name="20% - Accent3 2 3 3 6" xfId="8972" xr:uid="{00000000-0005-0000-0000-0000F2100000}"/>
    <cellStyle name="20% - Accent3 2 3 3 6 2" xfId="23447" xr:uid="{00000000-0005-0000-0000-0000F3100000}"/>
    <cellStyle name="20% - Accent3 2 3 3 7" xfId="18444" xr:uid="{00000000-0005-0000-0000-0000F4100000}"/>
    <cellStyle name="20% - Accent3 2 3 4" xfId="1125" xr:uid="{00000000-0005-0000-0000-0000F5100000}"/>
    <cellStyle name="20% - Accent3 2 3 4 2" xfId="1126" xr:uid="{00000000-0005-0000-0000-0000F6100000}"/>
    <cellStyle name="20% - Accent3 2 3 4 2 2" xfId="14767" xr:uid="{00000000-0005-0000-0000-0000F7100000}"/>
    <cellStyle name="20% - Accent3 2 3 4 2 2 2" xfId="28316" xr:uid="{00000000-0005-0000-0000-0000F8100000}"/>
    <cellStyle name="20% - Accent3 2 3 4 2 3" xfId="18450" xr:uid="{00000000-0005-0000-0000-0000F9100000}"/>
    <cellStyle name="20% - Accent3 2 3 4 3" xfId="10694" xr:uid="{00000000-0005-0000-0000-0000FA100000}"/>
    <cellStyle name="20% - Accent3 2 3 4 3 2" xfId="24636" xr:uid="{00000000-0005-0000-0000-0000FB100000}"/>
    <cellStyle name="20% - Accent3 2 3 4 4" xfId="18449" xr:uid="{00000000-0005-0000-0000-0000FC100000}"/>
    <cellStyle name="20% - Accent3 2 3 5" xfId="1127" xr:uid="{00000000-0005-0000-0000-0000FD100000}"/>
    <cellStyle name="20% - Accent3 2 3 5 2" xfId="11996" xr:uid="{00000000-0005-0000-0000-0000FE100000}"/>
    <cellStyle name="20% - Accent3 2 3 5 2 2" xfId="25711" xr:uid="{00000000-0005-0000-0000-0000FF100000}"/>
    <cellStyle name="20% - Accent3 2 3 5 3" xfId="18451" xr:uid="{00000000-0005-0000-0000-000000110000}"/>
    <cellStyle name="20% - Accent3 2 3 6" xfId="1128" xr:uid="{00000000-0005-0000-0000-000001110000}"/>
    <cellStyle name="20% - Accent3 2 3 6 2" xfId="12776" xr:uid="{00000000-0005-0000-0000-000002110000}"/>
    <cellStyle name="20% - Accent3 2 3 6 2 2" xfId="26488" xr:uid="{00000000-0005-0000-0000-000003110000}"/>
    <cellStyle name="20% - Accent3 2 3 6 3" xfId="18452" xr:uid="{00000000-0005-0000-0000-000004110000}"/>
    <cellStyle name="20% - Accent3 2 3 7" xfId="1129" xr:uid="{00000000-0005-0000-0000-000005110000}"/>
    <cellStyle name="20% - Accent3 2 3 7 2" xfId="13571" xr:uid="{00000000-0005-0000-0000-000006110000}"/>
    <cellStyle name="20% - Accent3 2 3 7 2 2" xfId="27120" xr:uid="{00000000-0005-0000-0000-000007110000}"/>
    <cellStyle name="20% - Accent3 2 3 7 3" xfId="18453" xr:uid="{00000000-0005-0000-0000-000008110000}"/>
    <cellStyle name="20% - Accent3 2 3 8" xfId="1130" xr:uid="{00000000-0005-0000-0000-000009110000}"/>
    <cellStyle name="20% - Accent3 2 3 8 2" xfId="14152" xr:uid="{00000000-0005-0000-0000-00000A110000}"/>
    <cellStyle name="20% - Accent3 2 3 8 2 2" xfId="27701" xr:uid="{00000000-0005-0000-0000-00000B110000}"/>
    <cellStyle name="20% - Accent3 2 3 8 3" xfId="18454" xr:uid="{00000000-0005-0000-0000-00000C110000}"/>
    <cellStyle name="20% - Accent3 2 3 9" xfId="1131" xr:uid="{00000000-0005-0000-0000-00000D110000}"/>
    <cellStyle name="20% - Accent3 2 3 9 2" xfId="14762" xr:uid="{00000000-0005-0000-0000-00000E110000}"/>
    <cellStyle name="20% - Accent3 2 3 9 2 2" xfId="28311" xr:uid="{00000000-0005-0000-0000-00000F110000}"/>
    <cellStyle name="20% - Accent3 2 3 9 3" xfId="18455" xr:uid="{00000000-0005-0000-0000-000010110000}"/>
    <cellStyle name="20% - Accent3 2 4" xfId="1132" xr:uid="{00000000-0005-0000-0000-000011110000}"/>
    <cellStyle name="20% - Accent3 2 4 10" xfId="8973" xr:uid="{00000000-0005-0000-0000-000012110000}"/>
    <cellStyle name="20% - Accent3 2 4 10 2" xfId="23448" xr:uid="{00000000-0005-0000-0000-000013110000}"/>
    <cellStyle name="20% - Accent3 2 4 11" xfId="18456" xr:uid="{00000000-0005-0000-0000-000014110000}"/>
    <cellStyle name="20% - Accent3 2 4 2" xfId="1133" xr:uid="{00000000-0005-0000-0000-000015110000}"/>
    <cellStyle name="20% - Accent3 2 4 2 2" xfId="1134" xr:uid="{00000000-0005-0000-0000-000016110000}"/>
    <cellStyle name="20% - Accent3 2 4 2 2 2" xfId="10699" xr:uid="{00000000-0005-0000-0000-000017110000}"/>
    <cellStyle name="20% - Accent3 2 4 2 2 2 2" xfId="24641" xr:uid="{00000000-0005-0000-0000-000018110000}"/>
    <cellStyle name="20% - Accent3 2 4 2 2 3" xfId="18458" xr:uid="{00000000-0005-0000-0000-000019110000}"/>
    <cellStyle name="20% - Accent3 2 4 2 3" xfId="1135" xr:uid="{00000000-0005-0000-0000-00001A110000}"/>
    <cellStyle name="20% - Accent3 2 4 2 3 2" xfId="12797" xr:uid="{00000000-0005-0000-0000-00001B110000}"/>
    <cellStyle name="20% - Accent3 2 4 2 3 2 2" xfId="26509" xr:uid="{00000000-0005-0000-0000-00001C110000}"/>
    <cellStyle name="20% - Accent3 2 4 2 3 3" xfId="18459" xr:uid="{00000000-0005-0000-0000-00001D110000}"/>
    <cellStyle name="20% - Accent3 2 4 2 4" xfId="1136" xr:uid="{00000000-0005-0000-0000-00001E110000}"/>
    <cellStyle name="20% - Accent3 2 4 2 4 2" xfId="14769" xr:uid="{00000000-0005-0000-0000-00001F110000}"/>
    <cellStyle name="20% - Accent3 2 4 2 4 2 2" xfId="28318" xr:uid="{00000000-0005-0000-0000-000020110000}"/>
    <cellStyle name="20% - Accent3 2 4 2 4 3" xfId="18460" xr:uid="{00000000-0005-0000-0000-000021110000}"/>
    <cellStyle name="20% - Accent3 2 4 2 5" xfId="1137" xr:uid="{00000000-0005-0000-0000-000022110000}"/>
    <cellStyle name="20% - Accent3 2 4 2 5 2" xfId="16765" xr:uid="{00000000-0005-0000-0000-000023110000}"/>
    <cellStyle name="20% - Accent3 2 4 2 5 2 2" xfId="30172" xr:uid="{00000000-0005-0000-0000-000024110000}"/>
    <cellStyle name="20% - Accent3 2 4 2 5 3" xfId="18461" xr:uid="{00000000-0005-0000-0000-000025110000}"/>
    <cellStyle name="20% - Accent3 2 4 2 6" xfId="8974" xr:uid="{00000000-0005-0000-0000-000026110000}"/>
    <cellStyle name="20% - Accent3 2 4 2 6 2" xfId="23449" xr:uid="{00000000-0005-0000-0000-000027110000}"/>
    <cellStyle name="20% - Accent3 2 4 2 7" xfId="18457" xr:uid="{00000000-0005-0000-0000-000028110000}"/>
    <cellStyle name="20% - Accent3 2 4 3" xfId="1138" xr:uid="{00000000-0005-0000-0000-000029110000}"/>
    <cellStyle name="20% - Accent3 2 4 3 2" xfId="1139" xr:uid="{00000000-0005-0000-0000-00002A110000}"/>
    <cellStyle name="20% - Accent3 2 4 3 2 2" xfId="14770" xr:uid="{00000000-0005-0000-0000-00002B110000}"/>
    <cellStyle name="20% - Accent3 2 4 3 2 2 2" xfId="28319" xr:uid="{00000000-0005-0000-0000-00002C110000}"/>
    <cellStyle name="20% - Accent3 2 4 3 2 3" xfId="18463" xr:uid="{00000000-0005-0000-0000-00002D110000}"/>
    <cellStyle name="20% - Accent3 2 4 3 3" xfId="10698" xr:uid="{00000000-0005-0000-0000-00002E110000}"/>
    <cellStyle name="20% - Accent3 2 4 3 3 2" xfId="24640" xr:uid="{00000000-0005-0000-0000-00002F110000}"/>
    <cellStyle name="20% - Accent3 2 4 3 4" xfId="18462" xr:uid="{00000000-0005-0000-0000-000030110000}"/>
    <cellStyle name="20% - Accent3 2 4 4" xfId="1140" xr:uid="{00000000-0005-0000-0000-000031110000}"/>
    <cellStyle name="20% - Accent3 2 4 4 2" xfId="12153" xr:uid="{00000000-0005-0000-0000-000032110000}"/>
    <cellStyle name="20% - Accent3 2 4 4 2 2" xfId="25865" xr:uid="{00000000-0005-0000-0000-000033110000}"/>
    <cellStyle name="20% - Accent3 2 4 4 3" xfId="18464" xr:uid="{00000000-0005-0000-0000-000034110000}"/>
    <cellStyle name="20% - Accent3 2 4 5" xfId="1141" xr:uid="{00000000-0005-0000-0000-000035110000}"/>
    <cellStyle name="20% - Accent3 2 4 5 2" xfId="12482" xr:uid="{00000000-0005-0000-0000-000036110000}"/>
    <cellStyle name="20% - Accent3 2 4 5 2 2" xfId="26194" xr:uid="{00000000-0005-0000-0000-000037110000}"/>
    <cellStyle name="20% - Accent3 2 4 5 3" xfId="18465" xr:uid="{00000000-0005-0000-0000-000038110000}"/>
    <cellStyle name="20% - Accent3 2 4 6" xfId="1142" xr:uid="{00000000-0005-0000-0000-000039110000}"/>
    <cellStyle name="20% - Accent3 2 4 6 2" xfId="13717" xr:uid="{00000000-0005-0000-0000-00003A110000}"/>
    <cellStyle name="20% - Accent3 2 4 6 2 2" xfId="27266" xr:uid="{00000000-0005-0000-0000-00003B110000}"/>
    <cellStyle name="20% - Accent3 2 4 6 3" xfId="18466" xr:uid="{00000000-0005-0000-0000-00003C110000}"/>
    <cellStyle name="20% - Accent3 2 4 7" xfId="1143" xr:uid="{00000000-0005-0000-0000-00003D110000}"/>
    <cellStyle name="20% - Accent3 2 4 7 2" xfId="14298" xr:uid="{00000000-0005-0000-0000-00003E110000}"/>
    <cellStyle name="20% - Accent3 2 4 7 2 2" xfId="27847" xr:uid="{00000000-0005-0000-0000-00003F110000}"/>
    <cellStyle name="20% - Accent3 2 4 7 3" xfId="18467" xr:uid="{00000000-0005-0000-0000-000040110000}"/>
    <cellStyle name="20% - Accent3 2 4 8" xfId="1144" xr:uid="{00000000-0005-0000-0000-000041110000}"/>
    <cellStyle name="20% - Accent3 2 4 8 2" xfId="14768" xr:uid="{00000000-0005-0000-0000-000042110000}"/>
    <cellStyle name="20% - Accent3 2 4 8 2 2" xfId="28317" xr:uid="{00000000-0005-0000-0000-000043110000}"/>
    <cellStyle name="20% - Accent3 2 4 8 3" xfId="18468" xr:uid="{00000000-0005-0000-0000-000044110000}"/>
    <cellStyle name="20% - Accent3 2 4 9" xfId="1145" xr:uid="{00000000-0005-0000-0000-000045110000}"/>
    <cellStyle name="20% - Accent3 2 4 9 2" xfId="16184" xr:uid="{00000000-0005-0000-0000-000046110000}"/>
    <cellStyle name="20% - Accent3 2 4 9 2 2" xfId="29591" xr:uid="{00000000-0005-0000-0000-000047110000}"/>
    <cellStyle name="20% - Accent3 2 4 9 3" xfId="18469" xr:uid="{00000000-0005-0000-0000-000048110000}"/>
    <cellStyle name="20% - Accent3 2 5" xfId="1146" xr:uid="{00000000-0005-0000-0000-000049110000}"/>
    <cellStyle name="20% - Accent3 2 5 2" xfId="1147" xr:uid="{00000000-0005-0000-0000-00004A110000}"/>
    <cellStyle name="20% - Accent3 2 5 2 2" xfId="1148" xr:uid="{00000000-0005-0000-0000-00004B110000}"/>
    <cellStyle name="20% - Accent3 2 5 2 2 2" xfId="10701" xr:uid="{00000000-0005-0000-0000-00004C110000}"/>
    <cellStyle name="20% - Accent3 2 5 2 2 2 2" xfId="24643" xr:uid="{00000000-0005-0000-0000-00004D110000}"/>
    <cellStyle name="20% - Accent3 2 5 2 2 3" xfId="18472" xr:uid="{00000000-0005-0000-0000-00004E110000}"/>
    <cellStyle name="20% - Accent3 2 5 2 3" xfId="1149" xr:uid="{00000000-0005-0000-0000-00004F110000}"/>
    <cellStyle name="20% - Accent3 2 5 2 3 2" xfId="12610" xr:uid="{00000000-0005-0000-0000-000050110000}"/>
    <cellStyle name="20% - Accent3 2 5 2 3 2 2" xfId="26322" xr:uid="{00000000-0005-0000-0000-000051110000}"/>
    <cellStyle name="20% - Accent3 2 5 2 3 3" xfId="18473" xr:uid="{00000000-0005-0000-0000-000052110000}"/>
    <cellStyle name="20% - Accent3 2 5 2 4" xfId="1150" xr:uid="{00000000-0005-0000-0000-000053110000}"/>
    <cellStyle name="20% - Accent3 2 5 2 4 2" xfId="14772" xr:uid="{00000000-0005-0000-0000-000054110000}"/>
    <cellStyle name="20% - Accent3 2 5 2 4 2 2" xfId="28321" xr:uid="{00000000-0005-0000-0000-000055110000}"/>
    <cellStyle name="20% - Accent3 2 5 2 4 3" xfId="18474" xr:uid="{00000000-0005-0000-0000-000056110000}"/>
    <cellStyle name="20% - Accent3 2 5 2 5" xfId="8976" xr:uid="{00000000-0005-0000-0000-000057110000}"/>
    <cellStyle name="20% - Accent3 2 5 2 5 2" xfId="23451" xr:uid="{00000000-0005-0000-0000-000058110000}"/>
    <cellStyle name="20% - Accent3 2 5 2 6" xfId="18471" xr:uid="{00000000-0005-0000-0000-000059110000}"/>
    <cellStyle name="20% - Accent3 2 5 3" xfId="1151" xr:uid="{00000000-0005-0000-0000-00005A110000}"/>
    <cellStyle name="20% - Accent3 2 5 3 2" xfId="10700" xr:uid="{00000000-0005-0000-0000-00005B110000}"/>
    <cellStyle name="20% - Accent3 2 5 3 2 2" xfId="24642" xr:uid="{00000000-0005-0000-0000-00005C110000}"/>
    <cellStyle name="20% - Accent3 2 5 3 3" xfId="18475" xr:uid="{00000000-0005-0000-0000-00005D110000}"/>
    <cellStyle name="20% - Accent3 2 5 4" xfId="1152" xr:uid="{00000000-0005-0000-0000-00005E110000}"/>
    <cellStyle name="20% - Accent3 2 5 4 2" xfId="12613" xr:uid="{00000000-0005-0000-0000-00005F110000}"/>
    <cellStyle name="20% - Accent3 2 5 4 2 2" xfId="26325" xr:uid="{00000000-0005-0000-0000-000060110000}"/>
    <cellStyle name="20% - Accent3 2 5 4 3" xfId="18476" xr:uid="{00000000-0005-0000-0000-000061110000}"/>
    <cellStyle name="20% - Accent3 2 5 5" xfId="1153" xr:uid="{00000000-0005-0000-0000-000062110000}"/>
    <cellStyle name="20% - Accent3 2 5 5 2" xfId="14771" xr:uid="{00000000-0005-0000-0000-000063110000}"/>
    <cellStyle name="20% - Accent3 2 5 5 2 2" xfId="28320" xr:uid="{00000000-0005-0000-0000-000064110000}"/>
    <cellStyle name="20% - Accent3 2 5 5 3" xfId="18477" xr:uid="{00000000-0005-0000-0000-000065110000}"/>
    <cellStyle name="20% - Accent3 2 5 6" xfId="1154" xr:uid="{00000000-0005-0000-0000-000066110000}"/>
    <cellStyle name="20% - Accent3 2 5 6 2" xfId="16998" xr:uid="{00000000-0005-0000-0000-000067110000}"/>
    <cellStyle name="20% - Accent3 2 5 6 2 2" xfId="30405" xr:uid="{00000000-0005-0000-0000-000068110000}"/>
    <cellStyle name="20% - Accent3 2 5 6 3" xfId="18478" xr:uid="{00000000-0005-0000-0000-000069110000}"/>
    <cellStyle name="20% - Accent3 2 5 7" xfId="8975" xr:uid="{00000000-0005-0000-0000-00006A110000}"/>
    <cellStyle name="20% - Accent3 2 5 7 2" xfId="23450" xr:uid="{00000000-0005-0000-0000-00006B110000}"/>
    <cellStyle name="20% - Accent3 2 5 8" xfId="18470" xr:uid="{00000000-0005-0000-0000-00006C110000}"/>
    <cellStyle name="20% - Accent3 2 6" xfId="1155" xr:uid="{00000000-0005-0000-0000-00006D110000}"/>
    <cellStyle name="20% - Accent3 2 6 2" xfId="1156" xr:uid="{00000000-0005-0000-0000-00006E110000}"/>
    <cellStyle name="20% - Accent3 2 6 2 2" xfId="10702" xr:uid="{00000000-0005-0000-0000-00006F110000}"/>
    <cellStyle name="20% - Accent3 2 6 2 2 2" xfId="24644" xr:uid="{00000000-0005-0000-0000-000070110000}"/>
    <cellStyle name="20% - Accent3 2 6 2 3" xfId="18480" xr:uid="{00000000-0005-0000-0000-000071110000}"/>
    <cellStyle name="20% - Accent3 2 6 3" xfId="1157" xr:uid="{00000000-0005-0000-0000-000072110000}"/>
    <cellStyle name="20% - Accent3 2 6 3 2" xfId="12629" xr:uid="{00000000-0005-0000-0000-000073110000}"/>
    <cellStyle name="20% - Accent3 2 6 3 2 2" xfId="26341" xr:uid="{00000000-0005-0000-0000-000074110000}"/>
    <cellStyle name="20% - Accent3 2 6 3 3" xfId="18481" xr:uid="{00000000-0005-0000-0000-000075110000}"/>
    <cellStyle name="20% - Accent3 2 6 4" xfId="1158" xr:uid="{00000000-0005-0000-0000-000076110000}"/>
    <cellStyle name="20% - Accent3 2 6 4 2" xfId="14773" xr:uid="{00000000-0005-0000-0000-000077110000}"/>
    <cellStyle name="20% - Accent3 2 6 4 2 2" xfId="28322" xr:uid="{00000000-0005-0000-0000-000078110000}"/>
    <cellStyle name="20% - Accent3 2 6 4 3" xfId="18482" xr:uid="{00000000-0005-0000-0000-000079110000}"/>
    <cellStyle name="20% - Accent3 2 6 5" xfId="1159" xr:uid="{00000000-0005-0000-0000-00007A110000}"/>
    <cellStyle name="20% - Accent3 2 6 5 2" xfId="17112" xr:uid="{00000000-0005-0000-0000-00007B110000}"/>
    <cellStyle name="20% - Accent3 2 6 5 2 2" xfId="30471" xr:uid="{00000000-0005-0000-0000-00007C110000}"/>
    <cellStyle name="20% - Accent3 2 6 5 3" xfId="18483" xr:uid="{00000000-0005-0000-0000-00007D110000}"/>
    <cellStyle name="20% - Accent3 2 6 6" xfId="8977" xr:uid="{00000000-0005-0000-0000-00007E110000}"/>
    <cellStyle name="20% - Accent3 2 6 6 2" xfId="23452" xr:uid="{00000000-0005-0000-0000-00007F110000}"/>
    <cellStyle name="20% - Accent3 2 6 7" xfId="18479" xr:uid="{00000000-0005-0000-0000-000080110000}"/>
    <cellStyle name="20% - Accent3 2 7" xfId="1160" xr:uid="{00000000-0005-0000-0000-000081110000}"/>
    <cellStyle name="20% - Accent3 2 7 2" xfId="1161" xr:uid="{00000000-0005-0000-0000-000082110000}"/>
    <cellStyle name="20% - Accent3 2 7 2 2" xfId="10703" xr:uid="{00000000-0005-0000-0000-000083110000}"/>
    <cellStyle name="20% - Accent3 2 7 2 2 2" xfId="24645" xr:uid="{00000000-0005-0000-0000-000084110000}"/>
    <cellStyle name="20% - Accent3 2 7 2 3" xfId="18485" xr:uid="{00000000-0005-0000-0000-000085110000}"/>
    <cellStyle name="20% - Accent3 2 7 3" xfId="1162" xr:uid="{00000000-0005-0000-0000-000086110000}"/>
    <cellStyle name="20% - Accent3 2 7 3 2" xfId="12794" xr:uid="{00000000-0005-0000-0000-000087110000}"/>
    <cellStyle name="20% - Accent3 2 7 3 2 2" xfId="26506" xr:uid="{00000000-0005-0000-0000-000088110000}"/>
    <cellStyle name="20% - Accent3 2 7 3 3" xfId="18486" xr:uid="{00000000-0005-0000-0000-000089110000}"/>
    <cellStyle name="20% - Accent3 2 7 4" xfId="1163" xr:uid="{00000000-0005-0000-0000-00008A110000}"/>
    <cellStyle name="20% - Accent3 2 7 4 2" xfId="14774" xr:uid="{00000000-0005-0000-0000-00008B110000}"/>
    <cellStyle name="20% - Accent3 2 7 4 2 2" xfId="28323" xr:uid="{00000000-0005-0000-0000-00008C110000}"/>
    <cellStyle name="20% - Accent3 2 7 4 3" xfId="18487" xr:uid="{00000000-0005-0000-0000-00008D110000}"/>
    <cellStyle name="20% - Accent3 2 7 5" xfId="1164" xr:uid="{00000000-0005-0000-0000-00008E110000}"/>
    <cellStyle name="20% - Accent3 2 7 5 2" xfId="17201" xr:uid="{00000000-0005-0000-0000-00008F110000}"/>
    <cellStyle name="20% - Accent3 2 7 5 2 2" xfId="30560" xr:uid="{00000000-0005-0000-0000-000090110000}"/>
    <cellStyle name="20% - Accent3 2 7 5 3" xfId="18488" xr:uid="{00000000-0005-0000-0000-000091110000}"/>
    <cellStyle name="20% - Accent3 2 7 6" xfId="8978" xr:uid="{00000000-0005-0000-0000-000092110000}"/>
    <cellStyle name="20% - Accent3 2 7 6 2" xfId="23453" xr:uid="{00000000-0005-0000-0000-000093110000}"/>
    <cellStyle name="20% - Accent3 2 7 7" xfId="18484" xr:uid="{00000000-0005-0000-0000-000094110000}"/>
    <cellStyle name="20% - Accent3 2 8" xfId="1165" xr:uid="{00000000-0005-0000-0000-000095110000}"/>
    <cellStyle name="20% - Accent3 2 8 2" xfId="1166" xr:uid="{00000000-0005-0000-0000-000096110000}"/>
    <cellStyle name="20% - Accent3 2 8 2 2" xfId="12394" xr:uid="{00000000-0005-0000-0000-000097110000}"/>
    <cellStyle name="20% - Accent3 2 8 2 2 2" xfId="26106" xr:uid="{00000000-0005-0000-0000-000098110000}"/>
    <cellStyle name="20% - Accent3 2 8 2 3" xfId="18490" xr:uid="{00000000-0005-0000-0000-000099110000}"/>
    <cellStyle name="20% - Accent3 2 8 3" xfId="1167" xr:uid="{00000000-0005-0000-0000-00009A110000}"/>
    <cellStyle name="20% - Accent3 2 8 3 2" xfId="14775" xr:uid="{00000000-0005-0000-0000-00009B110000}"/>
    <cellStyle name="20% - Accent3 2 8 3 2 2" xfId="28324" xr:uid="{00000000-0005-0000-0000-00009C110000}"/>
    <cellStyle name="20% - Accent3 2 8 3 3" xfId="18491" xr:uid="{00000000-0005-0000-0000-00009D110000}"/>
    <cellStyle name="20% - Accent3 2 8 4" xfId="1168" xr:uid="{00000000-0005-0000-0000-00009E110000}"/>
    <cellStyle name="20% - Accent3 2 8 4 2" xfId="16476" xr:uid="{00000000-0005-0000-0000-00009F110000}"/>
    <cellStyle name="20% - Accent3 2 8 4 2 2" xfId="29883" xr:uid="{00000000-0005-0000-0000-0000A0110000}"/>
    <cellStyle name="20% - Accent3 2 8 4 3" xfId="18492" xr:uid="{00000000-0005-0000-0000-0000A1110000}"/>
    <cellStyle name="20% - Accent3 2 8 5" xfId="10519" xr:uid="{00000000-0005-0000-0000-0000A2110000}"/>
    <cellStyle name="20% - Accent3 2 8 5 2" xfId="24461" xr:uid="{00000000-0005-0000-0000-0000A3110000}"/>
    <cellStyle name="20% - Accent3 2 8 6" xfId="18489" xr:uid="{00000000-0005-0000-0000-0000A4110000}"/>
    <cellStyle name="20% - Accent3 2 9" xfId="1169" xr:uid="{00000000-0005-0000-0000-0000A5110000}"/>
    <cellStyle name="20% - Accent3 2 9 2" xfId="1170" xr:uid="{00000000-0005-0000-0000-0000A6110000}"/>
    <cellStyle name="20% - Accent3 2 9 2 2" xfId="12689" xr:uid="{00000000-0005-0000-0000-0000A7110000}"/>
    <cellStyle name="20% - Accent3 2 9 2 2 2" xfId="26401" xr:uid="{00000000-0005-0000-0000-0000A8110000}"/>
    <cellStyle name="20% - Accent3 2 9 2 3" xfId="18494" xr:uid="{00000000-0005-0000-0000-0000A9110000}"/>
    <cellStyle name="20% - Accent3 2 9 3" xfId="1171" xr:uid="{00000000-0005-0000-0000-0000AA110000}"/>
    <cellStyle name="20% - Accent3 2 9 3 2" xfId="14776" xr:uid="{00000000-0005-0000-0000-0000AB110000}"/>
    <cellStyle name="20% - Accent3 2 9 3 2 2" xfId="28325" xr:uid="{00000000-0005-0000-0000-0000AC110000}"/>
    <cellStyle name="20% - Accent3 2 9 3 3" xfId="18495" xr:uid="{00000000-0005-0000-0000-0000AD110000}"/>
    <cellStyle name="20% - Accent3 2 9 4" xfId="10685" xr:uid="{00000000-0005-0000-0000-0000AE110000}"/>
    <cellStyle name="20% - Accent3 2 9 4 2" xfId="24627" xr:uid="{00000000-0005-0000-0000-0000AF110000}"/>
    <cellStyle name="20% - Accent3 2 9 5" xfId="18493" xr:uid="{00000000-0005-0000-0000-0000B0110000}"/>
    <cellStyle name="20% - Accent3 20" xfId="1172" xr:uid="{00000000-0005-0000-0000-0000B1110000}"/>
    <cellStyle name="20% - Accent3 20 2" xfId="1173" xr:uid="{00000000-0005-0000-0000-0000B2110000}"/>
    <cellStyle name="20% - Accent3 20 2 2" xfId="12404" xr:uid="{00000000-0005-0000-0000-0000B3110000}"/>
    <cellStyle name="20% - Accent3 20 2 2 2" xfId="26116" xr:uid="{00000000-0005-0000-0000-0000B4110000}"/>
    <cellStyle name="20% - Accent3 20 2 3" xfId="18497" xr:uid="{00000000-0005-0000-0000-0000B5110000}"/>
    <cellStyle name="20% - Accent3 20 3" xfId="1174" xr:uid="{00000000-0005-0000-0000-0000B6110000}"/>
    <cellStyle name="20% - Accent3 20 3 2" xfId="14777" xr:uid="{00000000-0005-0000-0000-0000B7110000}"/>
    <cellStyle name="20% - Accent3 20 3 2 2" xfId="28326" xr:uid="{00000000-0005-0000-0000-0000B8110000}"/>
    <cellStyle name="20% - Accent3 20 3 3" xfId="18498" xr:uid="{00000000-0005-0000-0000-0000B9110000}"/>
    <cellStyle name="20% - Accent3 20 4" xfId="10494" xr:uid="{00000000-0005-0000-0000-0000BA110000}"/>
    <cellStyle name="20% - Accent3 20 4 2" xfId="24442" xr:uid="{00000000-0005-0000-0000-0000BB110000}"/>
    <cellStyle name="20% - Accent3 20 5" xfId="18496" xr:uid="{00000000-0005-0000-0000-0000BC110000}"/>
    <cellStyle name="20% - Accent3 21" xfId="1175" xr:uid="{00000000-0005-0000-0000-0000BD110000}"/>
    <cellStyle name="20% - Accent3 21 2" xfId="1176" xr:uid="{00000000-0005-0000-0000-0000BE110000}"/>
    <cellStyle name="20% - Accent3 21 2 2" xfId="12632" xr:uid="{00000000-0005-0000-0000-0000BF110000}"/>
    <cellStyle name="20% - Accent3 21 2 2 2" xfId="26344" xr:uid="{00000000-0005-0000-0000-0000C0110000}"/>
    <cellStyle name="20% - Accent3 21 2 3" xfId="18500" xr:uid="{00000000-0005-0000-0000-0000C1110000}"/>
    <cellStyle name="20% - Accent3 21 3" xfId="1177" xr:uid="{00000000-0005-0000-0000-0000C2110000}"/>
    <cellStyle name="20% - Accent3 21 3 2" xfId="14778" xr:uid="{00000000-0005-0000-0000-0000C3110000}"/>
    <cellStyle name="20% - Accent3 21 3 2 2" xfId="28327" xr:uid="{00000000-0005-0000-0000-0000C4110000}"/>
    <cellStyle name="20% - Accent3 21 3 3" xfId="18501" xr:uid="{00000000-0005-0000-0000-0000C5110000}"/>
    <cellStyle name="20% - Accent3 21 4" xfId="10674" xr:uid="{00000000-0005-0000-0000-0000C6110000}"/>
    <cellStyle name="20% - Accent3 21 4 2" xfId="24616" xr:uid="{00000000-0005-0000-0000-0000C7110000}"/>
    <cellStyle name="20% - Accent3 21 5" xfId="18499" xr:uid="{00000000-0005-0000-0000-0000C8110000}"/>
    <cellStyle name="20% - Accent3 22" xfId="1178" xr:uid="{00000000-0005-0000-0000-0000C9110000}"/>
    <cellStyle name="20% - Accent3 22 2" xfId="11730" xr:uid="{00000000-0005-0000-0000-0000CA110000}"/>
    <cellStyle name="20% - Accent3 22 2 2" xfId="25445" xr:uid="{00000000-0005-0000-0000-0000CB110000}"/>
    <cellStyle name="20% - Accent3 22 3" xfId="18502" xr:uid="{00000000-0005-0000-0000-0000CC110000}"/>
    <cellStyle name="20% - Accent3 23" xfId="1179" xr:uid="{00000000-0005-0000-0000-0000CD110000}"/>
    <cellStyle name="20% - Accent3 23 2" xfId="12789" xr:uid="{00000000-0005-0000-0000-0000CE110000}"/>
    <cellStyle name="20% - Accent3 23 2 2" xfId="26501" xr:uid="{00000000-0005-0000-0000-0000CF110000}"/>
    <cellStyle name="20% - Accent3 23 3" xfId="18503" xr:uid="{00000000-0005-0000-0000-0000D0110000}"/>
    <cellStyle name="20% - Accent3 24" xfId="1180" xr:uid="{00000000-0005-0000-0000-0000D1110000}"/>
    <cellStyle name="20% - Accent3 24 2" xfId="13369" xr:uid="{00000000-0005-0000-0000-0000D2110000}"/>
    <cellStyle name="20% - Accent3 24 2 2" xfId="26918" xr:uid="{00000000-0005-0000-0000-0000D3110000}"/>
    <cellStyle name="20% - Accent3 24 3" xfId="18504" xr:uid="{00000000-0005-0000-0000-0000D4110000}"/>
    <cellStyle name="20% - Accent3 25" xfId="1181" xr:uid="{00000000-0005-0000-0000-0000D5110000}"/>
    <cellStyle name="20% - Accent3 25 2" xfId="13950" xr:uid="{00000000-0005-0000-0000-0000D6110000}"/>
    <cellStyle name="20% - Accent3 25 2 2" xfId="27499" xr:uid="{00000000-0005-0000-0000-0000D7110000}"/>
    <cellStyle name="20% - Accent3 25 3" xfId="18505" xr:uid="{00000000-0005-0000-0000-0000D8110000}"/>
    <cellStyle name="20% - Accent3 26" xfId="1182" xr:uid="{00000000-0005-0000-0000-0000D9110000}"/>
    <cellStyle name="20% - Accent3 26 2" xfId="14735" xr:uid="{00000000-0005-0000-0000-0000DA110000}"/>
    <cellStyle name="20% - Accent3 26 2 2" xfId="28284" xr:uid="{00000000-0005-0000-0000-0000DB110000}"/>
    <cellStyle name="20% - Accent3 26 3" xfId="18506" xr:uid="{00000000-0005-0000-0000-0000DC110000}"/>
    <cellStyle name="20% - Accent3 27" xfId="1183" xr:uid="{00000000-0005-0000-0000-0000DD110000}"/>
    <cellStyle name="20% - Accent3 27 2" xfId="15827" xr:uid="{00000000-0005-0000-0000-0000DE110000}"/>
    <cellStyle name="20% - Accent3 27 2 2" xfId="29234" xr:uid="{00000000-0005-0000-0000-0000DF110000}"/>
    <cellStyle name="20% - Accent3 27 3" xfId="18507" xr:uid="{00000000-0005-0000-0000-0000E0110000}"/>
    <cellStyle name="20% - Accent3 28" xfId="1184" xr:uid="{00000000-0005-0000-0000-0000E1110000}"/>
    <cellStyle name="20% - Accent3 28 2" xfId="15836" xr:uid="{00000000-0005-0000-0000-0000E2110000}"/>
    <cellStyle name="20% - Accent3 28 2 2" xfId="29243" xr:uid="{00000000-0005-0000-0000-0000E3110000}"/>
    <cellStyle name="20% - Accent3 28 3" xfId="18508" xr:uid="{00000000-0005-0000-0000-0000E4110000}"/>
    <cellStyle name="20% - Accent3 29" xfId="1185" xr:uid="{00000000-0005-0000-0000-0000E5110000}"/>
    <cellStyle name="20% - Accent3 29 2" xfId="8949" xr:uid="{00000000-0005-0000-0000-0000E6110000}"/>
    <cellStyle name="20% - Accent3 29 2 2" xfId="23424" xr:uid="{00000000-0005-0000-0000-0000E7110000}"/>
    <cellStyle name="20% - Accent3 29 3" xfId="18509" xr:uid="{00000000-0005-0000-0000-0000E8110000}"/>
    <cellStyle name="20% - Accent3 3" xfId="1186" xr:uid="{00000000-0005-0000-0000-0000E9110000}"/>
    <cellStyle name="20% - Accent3 3 10" xfId="1187" xr:uid="{00000000-0005-0000-0000-0000EA110000}"/>
    <cellStyle name="20% - Accent3 3 10 2" xfId="14032" xr:uid="{00000000-0005-0000-0000-0000EB110000}"/>
    <cellStyle name="20% - Accent3 3 10 2 2" xfId="27581" xr:uid="{00000000-0005-0000-0000-0000EC110000}"/>
    <cellStyle name="20% - Accent3 3 10 3" xfId="18511" xr:uid="{00000000-0005-0000-0000-0000ED110000}"/>
    <cellStyle name="20% - Accent3 3 11" xfId="1188" xr:uid="{00000000-0005-0000-0000-0000EE110000}"/>
    <cellStyle name="20% - Accent3 3 11 2" xfId="14779" xr:uid="{00000000-0005-0000-0000-0000EF110000}"/>
    <cellStyle name="20% - Accent3 3 11 2 2" xfId="28328" xr:uid="{00000000-0005-0000-0000-0000F0110000}"/>
    <cellStyle name="20% - Accent3 3 11 3" xfId="18512" xr:uid="{00000000-0005-0000-0000-0000F1110000}"/>
    <cellStyle name="20% - Accent3 3 12" xfId="1189" xr:uid="{00000000-0005-0000-0000-0000F2110000}"/>
    <cellStyle name="20% - Accent3 3 12 2" xfId="15918" xr:uid="{00000000-0005-0000-0000-0000F3110000}"/>
    <cellStyle name="20% - Accent3 3 12 2 2" xfId="29325" xr:uid="{00000000-0005-0000-0000-0000F4110000}"/>
    <cellStyle name="20% - Accent3 3 12 3" xfId="18513" xr:uid="{00000000-0005-0000-0000-0000F5110000}"/>
    <cellStyle name="20% - Accent3 3 13" xfId="8979" xr:uid="{00000000-0005-0000-0000-0000F6110000}"/>
    <cellStyle name="20% - Accent3 3 13 2" xfId="23454" xr:uid="{00000000-0005-0000-0000-0000F7110000}"/>
    <cellStyle name="20% - Accent3 3 14" xfId="18510" xr:uid="{00000000-0005-0000-0000-0000F8110000}"/>
    <cellStyle name="20% - Accent3 3 2" xfId="1190" xr:uid="{00000000-0005-0000-0000-0000F9110000}"/>
    <cellStyle name="20% - Accent3 3 2 10" xfId="1191" xr:uid="{00000000-0005-0000-0000-0000FA110000}"/>
    <cellStyle name="20% - Accent3 3 2 10 2" xfId="16061" xr:uid="{00000000-0005-0000-0000-0000FB110000}"/>
    <cellStyle name="20% - Accent3 3 2 10 2 2" xfId="29468" xr:uid="{00000000-0005-0000-0000-0000FC110000}"/>
    <cellStyle name="20% - Accent3 3 2 10 3" xfId="18515" xr:uid="{00000000-0005-0000-0000-0000FD110000}"/>
    <cellStyle name="20% - Accent3 3 2 11" xfId="8980" xr:uid="{00000000-0005-0000-0000-0000FE110000}"/>
    <cellStyle name="20% - Accent3 3 2 11 2" xfId="23455" xr:uid="{00000000-0005-0000-0000-0000FF110000}"/>
    <cellStyle name="20% - Accent3 3 2 12" xfId="18514" xr:uid="{00000000-0005-0000-0000-000000120000}"/>
    <cellStyle name="20% - Accent3 3 2 2" xfId="1192" xr:uid="{00000000-0005-0000-0000-000001120000}"/>
    <cellStyle name="20% - Accent3 3 2 2 10" xfId="8981" xr:uid="{00000000-0005-0000-0000-000002120000}"/>
    <cellStyle name="20% - Accent3 3 2 2 10 2" xfId="23456" xr:uid="{00000000-0005-0000-0000-000003120000}"/>
    <cellStyle name="20% - Accent3 3 2 2 11" xfId="18516" xr:uid="{00000000-0005-0000-0000-000004120000}"/>
    <cellStyle name="20% - Accent3 3 2 2 2" xfId="1193" xr:uid="{00000000-0005-0000-0000-000005120000}"/>
    <cellStyle name="20% - Accent3 3 2 2 2 2" xfId="1194" xr:uid="{00000000-0005-0000-0000-000006120000}"/>
    <cellStyle name="20% - Accent3 3 2 2 2 2 2" xfId="10707" xr:uid="{00000000-0005-0000-0000-000007120000}"/>
    <cellStyle name="20% - Accent3 3 2 2 2 2 2 2" xfId="24649" xr:uid="{00000000-0005-0000-0000-000008120000}"/>
    <cellStyle name="20% - Accent3 3 2 2 2 2 3" xfId="18518" xr:uid="{00000000-0005-0000-0000-000009120000}"/>
    <cellStyle name="20% - Accent3 3 2 2 2 3" xfId="1195" xr:uid="{00000000-0005-0000-0000-00000A120000}"/>
    <cellStyle name="20% - Accent3 3 2 2 2 3 2" xfId="12516" xr:uid="{00000000-0005-0000-0000-00000B120000}"/>
    <cellStyle name="20% - Accent3 3 2 2 2 3 2 2" xfId="26228" xr:uid="{00000000-0005-0000-0000-00000C120000}"/>
    <cellStyle name="20% - Accent3 3 2 2 2 3 3" xfId="18519" xr:uid="{00000000-0005-0000-0000-00000D120000}"/>
    <cellStyle name="20% - Accent3 3 2 2 2 4" xfId="1196" xr:uid="{00000000-0005-0000-0000-00000E120000}"/>
    <cellStyle name="20% - Accent3 3 2 2 2 4 2" xfId="14782" xr:uid="{00000000-0005-0000-0000-00000F120000}"/>
    <cellStyle name="20% - Accent3 3 2 2 2 4 2 2" xfId="28331" xr:uid="{00000000-0005-0000-0000-000010120000}"/>
    <cellStyle name="20% - Accent3 3 2 2 2 4 3" xfId="18520" xr:uid="{00000000-0005-0000-0000-000011120000}"/>
    <cellStyle name="20% - Accent3 3 2 2 2 5" xfId="1197" xr:uid="{00000000-0005-0000-0000-000012120000}"/>
    <cellStyle name="20% - Accent3 3 2 2 2 5 2" xfId="16931" xr:uid="{00000000-0005-0000-0000-000013120000}"/>
    <cellStyle name="20% - Accent3 3 2 2 2 5 2 2" xfId="30338" xr:uid="{00000000-0005-0000-0000-000014120000}"/>
    <cellStyle name="20% - Accent3 3 2 2 2 5 3" xfId="18521" xr:uid="{00000000-0005-0000-0000-000015120000}"/>
    <cellStyle name="20% - Accent3 3 2 2 2 6" xfId="8982" xr:uid="{00000000-0005-0000-0000-000016120000}"/>
    <cellStyle name="20% - Accent3 3 2 2 2 6 2" xfId="23457" xr:uid="{00000000-0005-0000-0000-000017120000}"/>
    <cellStyle name="20% - Accent3 3 2 2 2 7" xfId="18517" xr:uid="{00000000-0005-0000-0000-000018120000}"/>
    <cellStyle name="20% - Accent3 3 2 2 3" xfId="1198" xr:uid="{00000000-0005-0000-0000-000019120000}"/>
    <cellStyle name="20% - Accent3 3 2 2 3 2" xfId="1199" xr:uid="{00000000-0005-0000-0000-00001A120000}"/>
    <cellStyle name="20% - Accent3 3 2 2 3 2 2" xfId="14783" xr:uid="{00000000-0005-0000-0000-00001B120000}"/>
    <cellStyle name="20% - Accent3 3 2 2 3 2 2 2" xfId="28332" xr:uid="{00000000-0005-0000-0000-00001C120000}"/>
    <cellStyle name="20% - Accent3 3 2 2 3 2 3" xfId="18523" xr:uid="{00000000-0005-0000-0000-00001D120000}"/>
    <cellStyle name="20% - Accent3 3 2 2 3 3" xfId="10706" xr:uid="{00000000-0005-0000-0000-00001E120000}"/>
    <cellStyle name="20% - Accent3 3 2 2 3 3 2" xfId="24648" xr:uid="{00000000-0005-0000-0000-00001F120000}"/>
    <cellStyle name="20% - Accent3 3 2 2 3 4" xfId="18522" xr:uid="{00000000-0005-0000-0000-000020120000}"/>
    <cellStyle name="20% - Accent3 3 2 2 4" xfId="1200" xr:uid="{00000000-0005-0000-0000-000021120000}"/>
    <cellStyle name="20% - Accent3 3 2 2 4 2" xfId="12319" xr:uid="{00000000-0005-0000-0000-000022120000}"/>
    <cellStyle name="20% - Accent3 3 2 2 4 2 2" xfId="26031" xr:uid="{00000000-0005-0000-0000-000023120000}"/>
    <cellStyle name="20% - Accent3 3 2 2 4 3" xfId="18524" xr:uid="{00000000-0005-0000-0000-000024120000}"/>
    <cellStyle name="20% - Accent3 3 2 2 5" xfId="1201" xr:uid="{00000000-0005-0000-0000-000025120000}"/>
    <cellStyle name="20% - Accent3 3 2 2 5 2" xfId="12681" xr:uid="{00000000-0005-0000-0000-000026120000}"/>
    <cellStyle name="20% - Accent3 3 2 2 5 2 2" xfId="26393" xr:uid="{00000000-0005-0000-0000-000027120000}"/>
    <cellStyle name="20% - Accent3 3 2 2 5 3" xfId="18525" xr:uid="{00000000-0005-0000-0000-000028120000}"/>
    <cellStyle name="20% - Accent3 3 2 2 6" xfId="1202" xr:uid="{00000000-0005-0000-0000-000029120000}"/>
    <cellStyle name="20% - Accent3 3 2 2 6 2" xfId="13883" xr:uid="{00000000-0005-0000-0000-00002A120000}"/>
    <cellStyle name="20% - Accent3 3 2 2 6 2 2" xfId="27432" xr:uid="{00000000-0005-0000-0000-00002B120000}"/>
    <cellStyle name="20% - Accent3 3 2 2 6 3" xfId="18526" xr:uid="{00000000-0005-0000-0000-00002C120000}"/>
    <cellStyle name="20% - Accent3 3 2 2 7" xfId="1203" xr:uid="{00000000-0005-0000-0000-00002D120000}"/>
    <cellStyle name="20% - Accent3 3 2 2 7 2" xfId="14464" xr:uid="{00000000-0005-0000-0000-00002E120000}"/>
    <cellStyle name="20% - Accent3 3 2 2 7 2 2" xfId="28013" xr:uid="{00000000-0005-0000-0000-00002F120000}"/>
    <cellStyle name="20% - Accent3 3 2 2 7 3" xfId="18527" xr:uid="{00000000-0005-0000-0000-000030120000}"/>
    <cellStyle name="20% - Accent3 3 2 2 8" xfId="1204" xr:uid="{00000000-0005-0000-0000-000031120000}"/>
    <cellStyle name="20% - Accent3 3 2 2 8 2" xfId="14781" xr:uid="{00000000-0005-0000-0000-000032120000}"/>
    <cellStyle name="20% - Accent3 3 2 2 8 2 2" xfId="28330" xr:uid="{00000000-0005-0000-0000-000033120000}"/>
    <cellStyle name="20% - Accent3 3 2 2 8 3" xfId="18528" xr:uid="{00000000-0005-0000-0000-000034120000}"/>
    <cellStyle name="20% - Accent3 3 2 2 9" xfId="1205" xr:uid="{00000000-0005-0000-0000-000035120000}"/>
    <cellStyle name="20% - Accent3 3 2 2 9 2" xfId="16350" xr:uid="{00000000-0005-0000-0000-000036120000}"/>
    <cellStyle name="20% - Accent3 3 2 2 9 2 2" xfId="29757" xr:uid="{00000000-0005-0000-0000-000037120000}"/>
    <cellStyle name="20% - Accent3 3 2 2 9 3" xfId="18529" xr:uid="{00000000-0005-0000-0000-000038120000}"/>
    <cellStyle name="20% - Accent3 3 2 3" xfId="1206" xr:uid="{00000000-0005-0000-0000-000039120000}"/>
    <cellStyle name="20% - Accent3 3 2 3 2" xfId="1207" xr:uid="{00000000-0005-0000-0000-00003A120000}"/>
    <cellStyle name="20% - Accent3 3 2 3 2 2" xfId="10708" xr:uid="{00000000-0005-0000-0000-00003B120000}"/>
    <cellStyle name="20% - Accent3 3 2 3 2 2 2" xfId="24650" xr:uid="{00000000-0005-0000-0000-00003C120000}"/>
    <cellStyle name="20% - Accent3 3 2 3 2 3" xfId="18531" xr:uid="{00000000-0005-0000-0000-00003D120000}"/>
    <cellStyle name="20% - Accent3 3 2 3 3" xfId="1208" xr:uid="{00000000-0005-0000-0000-00003E120000}"/>
    <cellStyle name="20% - Accent3 3 2 3 3 2" xfId="12550" xr:uid="{00000000-0005-0000-0000-00003F120000}"/>
    <cellStyle name="20% - Accent3 3 2 3 3 2 2" xfId="26262" xr:uid="{00000000-0005-0000-0000-000040120000}"/>
    <cellStyle name="20% - Accent3 3 2 3 3 3" xfId="18532" xr:uid="{00000000-0005-0000-0000-000041120000}"/>
    <cellStyle name="20% - Accent3 3 2 3 4" xfId="1209" xr:uid="{00000000-0005-0000-0000-000042120000}"/>
    <cellStyle name="20% - Accent3 3 2 3 4 2" xfId="14784" xr:uid="{00000000-0005-0000-0000-000043120000}"/>
    <cellStyle name="20% - Accent3 3 2 3 4 2 2" xfId="28333" xr:uid="{00000000-0005-0000-0000-000044120000}"/>
    <cellStyle name="20% - Accent3 3 2 3 4 3" xfId="18533" xr:uid="{00000000-0005-0000-0000-000045120000}"/>
    <cellStyle name="20% - Accent3 3 2 3 5" xfId="1210" xr:uid="{00000000-0005-0000-0000-000046120000}"/>
    <cellStyle name="20% - Accent3 3 2 3 5 2" xfId="16642" xr:uid="{00000000-0005-0000-0000-000047120000}"/>
    <cellStyle name="20% - Accent3 3 2 3 5 2 2" xfId="30049" xr:uid="{00000000-0005-0000-0000-000048120000}"/>
    <cellStyle name="20% - Accent3 3 2 3 5 3" xfId="18534" xr:uid="{00000000-0005-0000-0000-000049120000}"/>
    <cellStyle name="20% - Accent3 3 2 3 6" xfId="8983" xr:uid="{00000000-0005-0000-0000-00004A120000}"/>
    <cellStyle name="20% - Accent3 3 2 3 6 2" xfId="23458" xr:uid="{00000000-0005-0000-0000-00004B120000}"/>
    <cellStyle name="20% - Accent3 3 2 3 7" xfId="18530" xr:uid="{00000000-0005-0000-0000-00004C120000}"/>
    <cellStyle name="20% - Accent3 3 2 4" xfId="1211" xr:uid="{00000000-0005-0000-0000-00004D120000}"/>
    <cellStyle name="20% - Accent3 3 2 4 2" xfId="1212" xr:uid="{00000000-0005-0000-0000-00004E120000}"/>
    <cellStyle name="20% - Accent3 3 2 4 2 2" xfId="14785" xr:uid="{00000000-0005-0000-0000-00004F120000}"/>
    <cellStyle name="20% - Accent3 3 2 4 2 2 2" xfId="28334" xr:uid="{00000000-0005-0000-0000-000050120000}"/>
    <cellStyle name="20% - Accent3 3 2 4 2 3" xfId="18536" xr:uid="{00000000-0005-0000-0000-000051120000}"/>
    <cellStyle name="20% - Accent3 3 2 4 3" xfId="10705" xr:uid="{00000000-0005-0000-0000-000052120000}"/>
    <cellStyle name="20% - Accent3 3 2 4 3 2" xfId="24647" xr:uid="{00000000-0005-0000-0000-000053120000}"/>
    <cellStyle name="20% - Accent3 3 2 4 4" xfId="18535" xr:uid="{00000000-0005-0000-0000-000054120000}"/>
    <cellStyle name="20% - Accent3 3 2 5" xfId="1213" xr:uid="{00000000-0005-0000-0000-000055120000}"/>
    <cellStyle name="20% - Accent3 3 2 5 2" xfId="12019" xr:uid="{00000000-0005-0000-0000-000056120000}"/>
    <cellStyle name="20% - Accent3 3 2 5 2 2" xfId="25734" xr:uid="{00000000-0005-0000-0000-000057120000}"/>
    <cellStyle name="20% - Accent3 3 2 5 3" xfId="18537" xr:uid="{00000000-0005-0000-0000-000058120000}"/>
    <cellStyle name="20% - Accent3 3 2 6" xfId="1214" xr:uid="{00000000-0005-0000-0000-000059120000}"/>
    <cellStyle name="20% - Accent3 3 2 6 2" xfId="12460" xr:uid="{00000000-0005-0000-0000-00005A120000}"/>
    <cellStyle name="20% - Accent3 3 2 6 2 2" xfId="26172" xr:uid="{00000000-0005-0000-0000-00005B120000}"/>
    <cellStyle name="20% - Accent3 3 2 6 3" xfId="18538" xr:uid="{00000000-0005-0000-0000-00005C120000}"/>
    <cellStyle name="20% - Accent3 3 2 7" xfId="1215" xr:uid="{00000000-0005-0000-0000-00005D120000}"/>
    <cellStyle name="20% - Accent3 3 2 7 2" xfId="13594" xr:uid="{00000000-0005-0000-0000-00005E120000}"/>
    <cellStyle name="20% - Accent3 3 2 7 2 2" xfId="27143" xr:uid="{00000000-0005-0000-0000-00005F120000}"/>
    <cellStyle name="20% - Accent3 3 2 7 3" xfId="18539" xr:uid="{00000000-0005-0000-0000-000060120000}"/>
    <cellStyle name="20% - Accent3 3 2 8" xfId="1216" xr:uid="{00000000-0005-0000-0000-000061120000}"/>
    <cellStyle name="20% - Accent3 3 2 8 2" xfId="14175" xr:uid="{00000000-0005-0000-0000-000062120000}"/>
    <cellStyle name="20% - Accent3 3 2 8 2 2" xfId="27724" xr:uid="{00000000-0005-0000-0000-000063120000}"/>
    <cellStyle name="20% - Accent3 3 2 8 3" xfId="18540" xr:uid="{00000000-0005-0000-0000-000064120000}"/>
    <cellStyle name="20% - Accent3 3 2 9" xfId="1217" xr:uid="{00000000-0005-0000-0000-000065120000}"/>
    <cellStyle name="20% - Accent3 3 2 9 2" xfId="14780" xr:uid="{00000000-0005-0000-0000-000066120000}"/>
    <cellStyle name="20% - Accent3 3 2 9 2 2" xfId="28329" xr:uid="{00000000-0005-0000-0000-000067120000}"/>
    <cellStyle name="20% - Accent3 3 2 9 3" xfId="18541" xr:uid="{00000000-0005-0000-0000-000068120000}"/>
    <cellStyle name="20% - Accent3 3 3" xfId="1218" xr:uid="{00000000-0005-0000-0000-000069120000}"/>
    <cellStyle name="20% - Accent3 3 3 10" xfId="8984" xr:uid="{00000000-0005-0000-0000-00006A120000}"/>
    <cellStyle name="20% - Accent3 3 3 10 2" xfId="23459" xr:uid="{00000000-0005-0000-0000-00006B120000}"/>
    <cellStyle name="20% - Accent3 3 3 11" xfId="18542" xr:uid="{00000000-0005-0000-0000-00006C120000}"/>
    <cellStyle name="20% - Accent3 3 3 2" xfId="1219" xr:uid="{00000000-0005-0000-0000-00006D120000}"/>
    <cellStyle name="20% - Accent3 3 3 2 2" xfId="1220" xr:uid="{00000000-0005-0000-0000-00006E120000}"/>
    <cellStyle name="20% - Accent3 3 3 2 2 2" xfId="10710" xr:uid="{00000000-0005-0000-0000-00006F120000}"/>
    <cellStyle name="20% - Accent3 3 3 2 2 2 2" xfId="24652" xr:uid="{00000000-0005-0000-0000-000070120000}"/>
    <cellStyle name="20% - Accent3 3 3 2 2 3" xfId="18544" xr:uid="{00000000-0005-0000-0000-000071120000}"/>
    <cellStyle name="20% - Accent3 3 3 2 3" xfId="1221" xr:uid="{00000000-0005-0000-0000-000072120000}"/>
    <cellStyle name="20% - Accent3 3 3 2 3 2" xfId="12630" xr:uid="{00000000-0005-0000-0000-000073120000}"/>
    <cellStyle name="20% - Accent3 3 3 2 3 2 2" xfId="26342" xr:uid="{00000000-0005-0000-0000-000074120000}"/>
    <cellStyle name="20% - Accent3 3 3 2 3 3" xfId="18545" xr:uid="{00000000-0005-0000-0000-000075120000}"/>
    <cellStyle name="20% - Accent3 3 3 2 4" xfId="1222" xr:uid="{00000000-0005-0000-0000-000076120000}"/>
    <cellStyle name="20% - Accent3 3 3 2 4 2" xfId="14787" xr:uid="{00000000-0005-0000-0000-000077120000}"/>
    <cellStyle name="20% - Accent3 3 3 2 4 2 2" xfId="28336" xr:uid="{00000000-0005-0000-0000-000078120000}"/>
    <cellStyle name="20% - Accent3 3 3 2 4 3" xfId="18546" xr:uid="{00000000-0005-0000-0000-000079120000}"/>
    <cellStyle name="20% - Accent3 3 3 2 5" xfId="1223" xr:uid="{00000000-0005-0000-0000-00007A120000}"/>
    <cellStyle name="20% - Accent3 3 3 2 5 2" xfId="16788" xr:uid="{00000000-0005-0000-0000-00007B120000}"/>
    <cellStyle name="20% - Accent3 3 3 2 5 2 2" xfId="30195" xr:uid="{00000000-0005-0000-0000-00007C120000}"/>
    <cellStyle name="20% - Accent3 3 3 2 5 3" xfId="18547" xr:uid="{00000000-0005-0000-0000-00007D120000}"/>
    <cellStyle name="20% - Accent3 3 3 2 6" xfId="8985" xr:uid="{00000000-0005-0000-0000-00007E120000}"/>
    <cellStyle name="20% - Accent3 3 3 2 6 2" xfId="23460" xr:uid="{00000000-0005-0000-0000-00007F120000}"/>
    <cellStyle name="20% - Accent3 3 3 2 7" xfId="18543" xr:uid="{00000000-0005-0000-0000-000080120000}"/>
    <cellStyle name="20% - Accent3 3 3 3" xfId="1224" xr:uid="{00000000-0005-0000-0000-000081120000}"/>
    <cellStyle name="20% - Accent3 3 3 3 2" xfId="1225" xr:uid="{00000000-0005-0000-0000-000082120000}"/>
    <cellStyle name="20% - Accent3 3 3 3 2 2" xfId="14788" xr:uid="{00000000-0005-0000-0000-000083120000}"/>
    <cellStyle name="20% - Accent3 3 3 3 2 2 2" xfId="28337" xr:uid="{00000000-0005-0000-0000-000084120000}"/>
    <cellStyle name="20% - Accent3 3 3 3 2 3" xfId="18549" xr:uid="{00000000-0005-0000-0000-000085120000}"/>
    <cellStyle name="20% - Accent3 3 3 3 3" xfId="10709" xr:uid="{00000000-0005-0000-0000-000086120000}"/>
    <cellStyle name="20% - Accent3 3 3 3 3 2" xfId="24651" xr:uid="{00000000-0005-0000-0000-000087120000}"/>
    <cellStyle name="20% - Accent3 3 3 3 4" xfId="18548" xr:uid="{00000000-0005-0000-0000-000088120000}"/>
    <cellStyle name="20% - Accent3 3 3 4" xfId="1226" xr:uid="{00000000-0005-0000-0000-000089120000}"/>
    <cellStyle name="20% - Accent3 3 3 4 2" xfId="12176" xr:uid="{00000000-0005-0000-0000-00008A120000}"/>
    <cellStyle name="20% - Accent3 3 3 4 2 2" xfId="25888" xr:uid="{00000000-0005-0000-0000-00008B120000}"/>
    <cellStyle name="20% - Accent3 3 3 4 3" xfId="18550" xr:uid="{00000000-0005-0000-0000-00008C120000}"/>
    <cellStyle name="20% - Accent3 3 3 5" xfId="1227" xr:uid="{00000000-0005-0000-0000-00008D120000}"/>
    <cellStyle name="20% - Accent3 3 3 5 2" xfId="12680" xr:uid="{00000000-0005-0000-0000-00008E120000}"/>
    <cellStyle name="20% - Accent3 3 3 5 2 2" xfId="26392" xr:uid="{00000000-0005-0000-0000-00008F120000}"/>
    <cellStyle name="20% - Accent3 3 3 5 3" xfId="18551" xr:uid="{00000000-0005-0000-0000-000090120000}"/>
    <cellStyle name="20% - Accent3 3 3 6" xfId="1228" xr:uid="{00000000-0005-0000-0000-000091120000}"/>
    <cellStyle name="20% - Accent3 3 3 6 2" xfId="13740" xr:uid="{00000000-0005-0000-0000-000092120000}"/>
    <cellStyle name="20% - Accent3 3 3 6 2 2" xfId="27289" xr:uid="{00000000-0005-0000-0000-000093120000}"/>
    <cellStyle name="20% - Accent3 3 3 6 3" xfId="18552" xr:uid="{00000000-0005-0000-0000-000094120000}"/>
    <cellStyle name="20% - Accent3 3 3 7" xfId="1229" xr:uid="{00000000-0005-0000-0000-000095120000}"/>
    <cellStyle name="20% - Accent3 3 3 7 2" xfId="14321" xr:uid="{00000000-0005-0000-0000-000096120000}"/>
    <cellStyle name="20% - Accent3 3 3 7 2 2" xfId="27870" xr:uid="{00000000-0005-0000-0000-000097120000}"/>
    <cellStyle name="20% - Accent3 3 3 7 3" xfId="18553" xr:uid="{00000000-0005-0000-0000-000098120000}"/>
    <cellStyle name="20% - Accent3 3 3 8" xfId="1230" xr:uid="{00000000-0005-0000-0000-000099120000}"/>
    <cellStyle name="20% - Accent3 3 3 8 2" xfId="14786" xr:uid="{00000000-0005-0000-0000-00009A120000}"/>
    <cellStyle name="20% - Accent3 3 3 8 2 2" xfId="28335" xr:uid="{00000000-0005-0000-0000-00009B120000}"/>
    <cellStyle name="20% - Accent3 3 3 8 3" xfId="18554" xr:uid="{00000000-0005-0000-0000-00009C120000}"/>
    <cellStyle name="20% - Accent3 3 3 9" xfId="1231" xr:uid="{00000000-0005-0000-0000-00009D120000}"/>
    <cellStyle name="20% - Accent3 3 3 9 2" xfId="16207" xr:uid="{00000000-0005-0000-0000-00009E120000}"/>
    <cellStyle name="20% - Accent3 3 3 9 2 2" xfId="29614" xr:uid="{00000000-0005-0000-0000-00009F120000}"/>
    <cellStyle name="20% - Accent3 3 3 9 3" xfId="18555" xr:uid="{00000000-0005-0000-0000-0000A0120000}"/>
    <cellStyle name="20% - Accent3 3 4" xfId="1232" xr:uid="{00000000-0005-0000-0000-0000A1120000}"/>
    <cellStyle name="20% - Accent3 3 4 2" xfId="1233" xr:uid="{00000000-0005-0000-0000-0000A2120000}"/>
    <cellStyle name="20% - Accent3 3 4 2 2" xfId="10711" xr:uid="{00000000-0005-0000-0000-0000A3120000}"/>
    <cellStyle name="20% - Accent3 3 4 2 2 2" xfId="24653" xr:uid="{00000000-0005-0000-0000-0000A4120000}"/>
    <cellStyle name="20% - Accent3 3 4 2 3" xfId="18557" xr:uid="{00000000-0005-0000-0000-0000A5120000}"/>
    <cellStyle name="20% - Accent3 3 4 3" xfId="1234" xr:uid="{00000000-0005-0000-0000-0000A6120000}"/>
    <cellStyle name="20% - Accent3 3 4 3 2" xfId="12421" xr:uid="{00000000-0005-0000-0000-0000A7120000}"/>
    <cellStyle name="20% - Accent3 3 4 3 2 2" xfId="26133" xr:uid="{00000000-0005-0000-0000-0000A8120000}"/>
    <cellStyle name="20% - Accent3 3 4 3 3" xfId="18558" xr:uid="{00000000-0005-0000-0000-0000A9120000}"/>
    <cellStyle name="20% - Accent3 3 4 4" xfId="1235" xr:uid="{00000000-0005-0000-0000-0000AA120000}"/>
    <cellStyle name="20% - Accent3 3 4 4 2" xfId="14789" xr:uid="{00000000-0005-0000-0000-0000AB120000}"/>
    <cellStyle name="20% - Accent3 3 4 4 2 2" xfId="28338" xr:uid="{00000000-0005-0000-0000-0000AC120000}"/>
    <cellStyle name="20% - Accent3 3 4 4 3" xfId="18559" xr:uid="{00000000-0005-0000-0000-0000AD120000}"/>
    <cellStyle name="20% - Accent3 3 4 5" xfId="1236" xr:uid="{00000000-0005-0000-0000-0000AE120000}"/>
    <cellStyle name="20% - Accent3 3 4 5 2" xfId="17135" xr:uid="{00000000-0005-0000-0000-0000AF120000}"/>
    <cellStyle name="20% - Accent3 3 4 5 2 2" xfId="30494" xr:uid="{00000000-0005-0000-0000-0000B0120000}"/>
    <cellStyle name="20% - Accent3 3 4 5 3" xfId="18560" xr:uid="{00000000-0005-0000-0000-0000B1120000}"/>
    <cellStyle name="20% - Accent3 3 4 6" xfId="8986" xr:uid="{00000000-0005-0000-0000-0000B2120000}"/>
    <cellStyle name="20% - Accent3 3 4 6 2" xfId="23461" xr:uid="{00000000-0005-0000-0000-0000B3120000}"/>
    <cellStyle name="20% - Accent3 3 4 7" xfId="18556" xr:uid="{00000000-0005-0000-0000-0000B4120000}"/>
    <cellStyle name="20% - Accent3 3 5" xfId="1237" xr:uid="{00000000-0005-0000-0000-0000B5120000}"/>
    <cellStyle name="20% - Accent3 3 5 2" xfId="1238" xr:uid="{00000000-0005-0000-0000-0000B6120000}"/>
    <cellStyle name="20% - Accent3 3 5 2 2" xfId="10712" xr:uid="{00000000-0005-0000-0000-0000B7120000}"/>
    <cellStyle name="20% - Accent3 3 5 2 2 2" xfId="24654" xr:uid="{00000000-0005-0000-0000-0000B8120000}"/>
    <cellStyle name="20% - Accent3 3 5 2 3" xfId="18562" xr:uid="{00000000-0005-0000-0000-0000B9120000}"/>
    <cellStyle name="20% - Accent3 3 5 3" xfId="1239" xr:uid="{00000000-0005-0000-0000-0000BA120000}"/>
    <cellStyle name="20% - Accent3 3 5 3 2" xfId="12451" xr:uid="{00000000-0005-0000-0000-0000BB120000}"/>
    <cellStyle name="20% - Accent3 3 5 3 2 2" xfId="26163" xr:uid="{00000000-0005-0000-0000-0000BC120000}"/>
    <cellStyle name="20% - Accent3 3 5 3 3" xfId="18563" xr:uid="{00000000-0005-0000-0000-0000BD120000}"/>
    <cellStyle name="20% - Accent3 3 5 4" xfId="1240" xr:uid="{00000000-0005-0000-0000-0000BE120000}"/>
    <cellStyle name="20% - Accent3 3 5 4 2" xfId="14790" xr:uid="{00000000-0005-0000-0000-0000BF120000}"/>
    <cellStyle name="20% - Accent3 3 5 4 2 2" xfId="28339" xr:uid="{00000000-0005-0000-0000-0000C0120000}"/>
    <cellStyle name="20% - Accent3 3 5 4 3" xfId="18564" xr:uid="{00000000-0005-0000-0000-0000C1120000}"/>
    <cellStyle name="20% - Accent3 3 5 5" xfId="1241" xr:uid="{00000000-0005-0000-0000-0000C2120000}"/>
    <cellStyle name="20% - Accent3 3 5 5 2" xfId="17224" xr:uid="{00000000-0005-0000-0000-0000C3120000}"/>
    <cellStyle name="20% - Accent3 3 5 5 2 2" xfId="30583" xr:uid="{00000000-0005-0000-0000-0000C4120000}"/>
    <cellStyle name="20% - Accent3 3 5 5 3" xfId="18565" xr:uid="{00000000-0005-0000-0000-0000C5120000}"/>
    <cellStyle name="20% - Accent3 3 5 6" xfId="8987" xr:uid="{00000000-0005-0000-0000-0000C6120000}"/>
    <cellStyle name="20% - Accent3 3 5 6 2" xfId="23462" xr:uid="{00000000-0005-0000-0000-0000C7120000}"/>
    <cellStyle name="20% - Accent3 3 5 7" xfId="18561" xr:uid="{00000000-0005-0000-0000-0000C8120000}"/>
    <cellStyle name="20% - Accent3 3 6" xfId="1242" xr:uid="{00000000-0005-0000-0000-0000C9120000}"/>
    <cellStyle name="20% - Accent3 3 6 2" xfId="1243" xr:uid="{00000000-0005-0000-0000-0000CA120000}"/>
    <cellStyle name="20% - Accent3 3 6 2 2" xfId="14791" xr:uid="{00000000-0005-0000-0000-0000CB120000}"/>
    <cellStyle name="20% - Accent3 3 6 2 2 2" xfId="28340" xr:uid="{00000000-0005-0000-0000-0000CC120000}"/>
    <cellStyle name="20% - Accent3 3 6 2 3" xfId="18567" xr:uid="{00000000-0005-0000-0000-0000CD120000}"/>
    <cellStyle name="20% - Accent3 3 6 3" xfId="1244" xr:uid="{00000000-0005-0000-0000-0000CE120000}"/>
    <cellStyle name="20% - Accent3 3 6 3 2" xfId="16499" xr:uid="{00000000-0005-0000-0000-0000CF120000}"/>
    <cellStyle name="20% - Accent3 3 6 3 2 2" xfId="29906" xr:uid="{00000000-0005-0000-0000-0000D0120000}"/>
    <cellStyle name="20% - Accent3 3 6 3 3" xfId="18568" xr:uid="{00000000-0005-0000-0000-0000D1120000}"/>
    <cellStyle name="20% - Accent3 3 6 4" xfId="10704" xr:uid="{00000000-0005-0000-0000-0000D2120000}"/>
    <cellStyle name="20% - Accent3 3 6 4 2" xfId="24646" xr:uid="{00000000-0005-0000-0000-0000D3120000}"/>
    <cellStyle name="20% - Accent3 3 6 5" xfId="18566" xr:uid="{00000000-0005-0000-0000-0000D4120000}"/>
    <cellStyle name="20% - Accent3 3 7" xfId="1245" xr:uid="{00000000-0005-0000-0000-0000D5120000}"/>
    <cellStyle name="20% - Accent3 3 7 2" xfId="11871" xr:uid="{00000000-0005-0000-0000-0000D6120000}"/>
    <cellStyle name="20% - Accent3 3 7 2 2" xfId="25586" xr:uid="{00000000-0005-0000-0000-0000D7120000}"/>
    <cellStyle name="20% - Accent3 3 7 3" xfId="18569" xr:uid="{00000000-0005-0000-0000-0000D8120000}"/>
    <cellStyle name="20% - Accent3 3 8" xfId="1246" xr:uid="{00000000-0005-0000-0000-0000D9120000}"/>
    <cellStyle name="20% - Accent3 3 8 2" xfId="12677" xr:uid="{00000000-0005-0000-0000-0000DA120000}"/>
    <cellStyle name="20% - Accent3 3 8 2 2" xfId="26389" xr:uid="{00000000-0005-0000-0000-0000DB120000}"/>
    <cellStyle name="20% - Accent3 3 8 3" xfId="18570" xr:uid="{00000000-0005-0000-0000-0000DC120000}"/>
    <cellStyle name="20% - Accent3 3 9" xfId="1247" xr:uid="{00000000-0005-0000-0000-0000DD120000}"/>
    <cellStyle name="20% - Accent3 3 9 2" xfId="13451" xr:uid="{00000000-0005-0000-0000-0000DE120000}"/>
    <cellStyle name="20% - Accent3 3 9 2 2" xfId="27000" xr:uid="{00000000-0005-0000-0000-0000DF120000}"/>
    <cellStyle name="20% - Accent3 3 9 3" xfId="18571" xr:uid="{00000000-0005-0000-0000-0000E0120000}"/>
    <cellStyle name="20% - Accent3 30" xfId="23242" xr:uid="{00000000-0005-0000-0000-0000E1120000}"/>
    <cellStyle name="20% - Accent3 4" xfId="1248" xr:uid="{00000000-0005-0000-0000-0000E2120000}"/>
    <cellStyle name="20% - Accent3 4 10" xfId="1249" xr:uid="{00000000-0005-0000-0000-0000E3120000}"/>
    <cellStyle name="20% - Accent3 4 10 2" xfId="14792" xr:uid="{00000000-0005-0000-0000-0000E4120000}"/>
    <cellStyle name="20% - Accent3 4 10 2 2" xfId="28341" xr:uid="{00000000-0005-0000-0000-0000E5120000}"/>
    <cellStyle name="20% - Accent3 4 10 3" xfId="18573" xr:uid="{00000000-0005-0000-0000-0000E6120000}"/>
    <cellStyle name="20% - Accent3 4 11" xfId="1250" xr:uid="{00000000-0005-0000-0000-0000E7120000}"/>
    <cellStyle name="20% - Accent3 4 11 2" xfId="15870" xr:uid="{00000000-0005-0000-0000-0000E8120000}"/>
    <cellStyle name="20% - Accent3 4 11 2 2" xfId="29277" xr:uid="{00000000-0005-0000-0000-0000E9120000}"/>
    <cellStyle name="20% - Accent3 4 11 3" xfId="18574" xr:uid="{00000000-0005-0000-0000-0000EA120000}"/>
    <cellStyle name="20% - Accent3 4 12" xfId="8988" xr:uid="{00000000-0005-0000-0000-0000EB120000}"/>
    <cellStyle name="20% - Accent3 4 12 2" xfId="23463" xr:uid="{00000000-0005-0000-0000-0000EC120000}"/>
    <cellStyle name="20% - Accent3 4 13" xfId="18572" xr:uid="{00000000-0005-0000-0000-0000ED120000}"/>
    <cellStyle name="20% - Accent3 4 2" xfId="1251" xr:uid="{00000000-0005-0000-0000-0000EE120000}"/>
    <cellStyle name="20% - Accent3 4 2 10" xfId="1252" xr:uid="{00000000-0005-0000-0000-0000EF120000}"/>
    <cellStyle name="20% - Accent3 4 2 10 2" xfId="16013" xr:uid="{00000000-0005-0000-0000-0000F0120000}"/>
    <cellStyle name="20% - Accent3 4 2 10 2 2" xfId="29420" xr:uid="{00000000-0005-0000-0000-0000F1120000}"/>
    <cellStyle name="20% - Accent3 4 2 10 3" xfId="18576" xr:uid="{00000000-0005-0000-0000-0000F2120000}"/>
    <cellStyle name="20% - Accent3 4 2 11" xfId="8989" xr:uid="{00000000-0005-0000-0000-0000F3120000}"/>
    <cellStyle name="20% - Accent3 4 2 11 2" xfId="23464" xr:uid="{00000000-0005-0000-0000-0000F4120000}"/>
    <cellStyle name="20% - Accent3 4 2 12" xfId="18575" xr:uid="{00000000-0005-0000-0000-0000F5120000}"/>
    <cellStyle name="20% - Accent3 4 2 2" xfId="1253" xr:uid="{00000000-0005-0000-0000-0000F6120000}"/>
    <cellStyle name="20% - Accent3 4 2 2 10" xfId="8990" xr:uid="{00000000-0005-0000-0000-0000F7120000}"/>
    <cellStyle name="20% - Accent3 4 2 2 10 2" xfId="23465" xr:uid="{00000000-0005-0000-0000-0000F8120000}"/>
    <cellStyle name="20% - Accent3 4 2 2 11" xfId="18577" xr:uid="{00000000-0005-0000-0000-0000F9120000}"/>
    <cellStyle name="20% - Accent3 4 2 2 2" xfId="1254" xr:uid="{00000000-0005-0000-0000-0000FA120000}"/>
    <cellStyle name="20% - Accent3 4 2 2 2 2" xfId="1255" xr:uid="{00000000-0005-0000-0000-0000FB120000}"/>
    <cellStyle name="20% - Accent3 4 2 2 2 2 2" xfId="10716" xr:uid="{00000000-0005-0000-0000-0000FC120000}"/>
    <cellStyle name="20% - Accent3 4 2 2 2 2 2 2" xfId="24658" xr:uid="{00000000-0005-0000-0000-0000FD120000}"/>
    <cellStyle name="20% - Accent3 4 2 2 2 2 3" xfId="18579" xr:uid="{00000000-0005-0000-0000-0000FE120000}"/>
    <cellStyle name="20% - Accent3 4 2 2 2 3" xfId="1256" xr:uid="{00000000-0005-0000-0000-0000FF120000}"/>
    <cellStyle name="20% - Accent3 4 2 2 2 3 2" xfId="11744" xr:uid="{00000000-0005-0000-0000-000000130000}"/>
    <cellStyle name="20% - Accent3 4 2 2 2 3 2 2" xfId="25459" xr:uid="{00000000-0005-0000-0000-000001130000}"/>
    <cellStyle name="20% - Accent3 4 2 2 2 3 3" xfId="18580" xr:uid="{00000000-0005-0000-0000-000002130000}"/>
    <cellStyle name="20% - Accent3 4 2 2 2 4" xfId="1257" xr:uid="{00000000-0005-0000-0000-000003130000}"/>
    <cellStyle name="20% - Accent3 4 2 2 2 4 2" xfId="14795" xr:uid="{00000000-0005-0000-0000-000004130000}"/>
    <cellStyle name="20% - Accent3 4 2 2 2 4 2 2" xfId="28344" xr:uid="{00000000-0005-0000-0000-000005130000}"/>
    <cellStyle name="20% - Accent3 4 2 2 2 4 3" xfId="18581" xr:uid="{00000000-0005-0000-0000-000006130000}"/>
    <cellStyle name="20% - Accent3 4 2 2 2 5" xfId="1258" xr:uid="{00000000-0005-0000-0000-000007130000}"/>
    <cellStyle name="20% - Accent3 4 2 2 2 5 2" xfId="16883" xr:uid="{00000000-0005-0000-0000-000008130000}"/>
    <cellStyle name="20% - Accent3 4 2 2 2 5 2 2" xfId="30290" xr:uid="{00000000-0005-0000-0000-000009130000}"/>
    <cellStyle name="20% - Accent3 4 2 2 2 5 3" xfId="18582" xr:uid="{00000000-0005-0000-0000-00000A130000}"/>
    <cellStyle name="20% - Accent3 4 2 2 2 6" xfId="8991" xr:uid="{00000000-0005-0000-0000-00000B130000}"/>
    <cellStyle name="20% - Accent3 4 2 2 2 6 2" xfId="23466" xr:uid="{00000000-0005-0000-0000-00000C130000}"/>
    <cellStyle name="20% - Accent3 4 2 2 2 7" xfId="18578" xr:uid="{00000000-0005-0000-0000-00000D130000}"/>
    <cellStyle name="20% - Accent3 4 2 2 3" xfId="1259" xr:uid="{00000000-0005-0000-0000-00000E130000}"/>
    <cellStyle name="20% - Accent3 4 2 2 3 2" xfId="1260" xr:uid="{00000000-0005-0000-0000-00000F130000}"/>
    <cellStyle name="20% - Accent3 4 2 2 3 2 2" xfId="14796" xr:uid="{00000000-0005-0000-0000-000010130000}"/>
    <cellStyle name="20% - Accent3 4 2 2 3 2 2 2" xfId="28345" xr:uid="{00000000-0005-0000-0000-000011130000}"/>
    <cellStyle name="20% - Accent3 4 2 2 3 2 3" xfId="18584" xr:uid="{00000000-0005-0000-0000-000012130000}"/>
    <cellStyle name="20% - Accent3 4 2 2 3 3" xfId="10715" xr:uid="{00000000-0005-0000-0000-000013130000}"/>
    <cellStyle name="20% - Accent3 4 2 2 3 3 2" xfId="24657" xr:uid="{00000000-0005-0000-0000-000014130000}"/>
    <cellStyle name="20% - Accent3 4 2 2 3 4" xfId="18583" xr:uid="{00000000-0005-0000-0000-000015130000}"/>
    <cellStyle name="20% - Accent3 4 2 2 4" xfId="1261" xr:uid="{00000000-0005-0000-0000-000016130000}"/>
    <cellStyle name="20% - Accent3 4 2 2 4 2" xfId="12271" xr:uid="{00000000-0005-0000-0000-000017130000}"/>
    <cellStyle name="20% - Accent3 4 2 2 4 2 2" xfId="25983" xr:uid="{00000000-0005-0000-0000-000018130000}"/>
    <cellStyle name="20% - Accent3 4 2 2 4 3" xfId="18585" xr:uid="{00000000-0005-0000-0000-000019130000}"/>
    <cellStyle name="20% - Accent3 4 2 2 5" xfId="1262" xr:uid="{00000000-0005-0000-0000-00001A130000}"/>
    <cellStyle name="20% - Accent3 4 2 2 5 2" xfId="12616" xr:uid="{00000000-0005-0000-0000-00001B130000}"/>
    <cellStyle name="20% - Accent3 4 2 2 5 2 2" xfId="26328" xr:uid="{00000000-0005-0000-0000-00001C130000}"/>
    <cellStyle name="20% - Accent3 4 2 2 5 3" xfId="18586" xr:uid="{00000000-0005-0000-0000-00001D130000}"/>
    <cellStyle name="20% - Accent3 4 2 2 6" xfId="1263" xr:uid="{00000000-0005-0000-0000-00001E130000}"/>
    <cellStyle name="20% - Accent3 4 2 2 6 2" xfId="13835" xr:uid="{00000000-0005-0000-0000-00001F130000}"/>
    <cellStyle name="20% - Accent3 4 2 2 6 2 2" xfId="27384" xr:uid="{00000000-0005-0000-0000-000020130000}"/>
    <cellStyle name="20% - Accent3 4 2 2 6 3" xfId="18587" xr:uid="{00000000-0005-0000-0000-000021130000}"/>
    <cellStyle name="20% - Accent3 4 2 2 7" xfId="1264" xr:uid="{00000000-0005-0000-0000-000022130000}"/>
    <cellStyle name="20% - Accent3 4 2 2 7 2" xfId="14416" xr:uid="{00000000-0005-0000-0000-000023130000}"/>
    <cellStyle name="20% - Accent3 4 2 2 7 2 2" xfId="27965" xr:uid="{00000000-0005-0000-0000-000024130000}"/>
    <cellStyle name="20% - Accent3 4 2 2 7 3" xfId="18588" xr:uid="{00000000-0005-0000-0000-000025130000}"/>
    <cellStyle name="20% - Accent3 4 2 2 8" xfId="1265" xr:uid="{00000000-0005-0000-0000-000026130000}"/>
    <cellStyle name="20% - Accent3 4 2 2 8 2" xfId="14794" xr:uid="{00000000-0005-0000-0000-000027130000}"/>
    <cellStyle name="20% - Accent3 4 2 2 8 2 2" xfId="28343" xr:uid="{00000000-0005-0000-0000-000028130000}"/>
    <cellStyle name="20% - Accent3 4 2 2 8 3" xfId="18589" xr:uid="{00000000-0005-0000-0000-000029130000}"/>
    <cellStyle name="20% - Accent3 4 2 2 9" xfId="1266" xr:uid="{00000000-0005-0000-0000-00002A130000}"/>
    <cellStyle name="20% - Accent3 4 2 2 9 2" xfId="16302" xr:uid="{00000000-0005-0000-0000-00002B130000}"/>
    <cellStyle name="20% - Accent3 4 2 2 9 2 2" xfId="29709" xr:uid="{00000000-0005-0000-0000-00002C130000}"/>
    <cellStyle name="20% - Accent3 4 2 2 9 3" xfId="18590" xr:uid="{00000000-0005-0000-0000-00002D130000}"/>
    <cellStyle name="20% - Accent3 4 2 3" xfId="1267" xr:uid="{00000000-0005-0000-0000-00002E130000}"/>
    <cellStyle name="20% - Accent3 4 2 3 2" xfId="1268" xr:uid="{00000000-0005-0000-0000-00002F130000}"/>
    <cellStyle name="20% - Accent3 4 2 3 2 2" xfId="10717" xr:uid="{00000000-0005-0000-0000-000030130000}"/>
    <cellStyle name="20% - Accent3 4 2 3 2 2 2" xfId="24659" xr:uid="{00000000-0005-0000-0000-000031130000}"/>
    <cellStyle name="20% - Accent3 4 2 3 2 3" xfId="18592" xr:uid="{00000000-0005-0000-0000-000032130000}"/>
    <cellStyle name="20% - Accent3 4 2 3 3" xfId="1269" xr:uid="{00000000-0005-0000-0000-000033130000}"/>
    <cellStyle name="20% - Accent3 4 2 3 3 2" xfId="12495" xr:uid="{00000000-0005-0000-0000-000034130000}"/>
    <cellStyle name="20% - Accent3 4 2 3 3 2 2" xfId="26207" xr:uid="{00000000-0005-0000-0000-000035130000}"/>
    <cellStyle name="20% - Accent3 4 2 3 3 3" xfId="18593" xr:uid="{00000000-0005-0000-0000-000036130000}"/>
    <cellStyle name="20% - Accent3 4 2 3 4" xfId="1270" xr:uid="{00000000-0005-0000-0000-000037130000}"/>
    <cellStyle name="20% - Accent3 4 2 3 4 2" xfId="14797" xr:uid="{00000000-0005-0000-0000-000038130000}"/>
    <cellStyle name="20% - Accent3 4 2 3 4 2 2" xfId="28346" xr:uid="{00000000-0005-0000-0000-000039130000}"/>
    <cellStyle name="20% - Accent3 4 2 3 4 3" xfId="18594" xr:uid="{00000000-0005-0000-0000-00003A130000}"/>
    <cellStyle name="20% - Accent3 4 2 3 5" xfId="1271" xr:uid="{00000000-0005-0000-0000-00003B130000}"/>
    <cellStyle name="20% - Accent3 4 2 3 5 2" xfId="16594" xr:uid="{00000000-0005-0000-0000-00003C130000}"/>
    <cellStyle name="20% - Accent3 4 2 3 5 2 2" xfId="30001" xr:uid="{00000000-0005-0000-0000-00003D130000}"/>
    <cellStyle name="20% - Accent3 4 2 3 5 3" xfId="18595" xr:uid="{00000000-0005-0000-0000-00003E130000}"/>
    <cellStyle name="20% - Accent3 4 2 3 6" xfId="8992" xr:uid="{00000000-0005-0000-0000-00003F130000}"/>
    <cellStyle name="20% - Accent3 4 2 3 6 2" xfId="23467" xr:uid="{00000000-0005-0000-0000-000040130000}"/>
    <cellStyle name="20% - Accent3 4 2 3 7" xfId="18591" xr:uid="{00000000-0005-0000-0000-000041130000}"/>
    <cellStyle name="20% - Accent3 4 2 4" xfId="1272" xr:uid="{00000000-0005-0000-0000-000042130000}"/>
    <cellStyle name="20% - Accent3 4 2 4 2" xfId="1273" xr:uid="{00000000-0005-0000-0000-000043130000}"/>
    <cellStyle name="20% - Accent3 4 2 4 2 2" xfId="14798" xr:uid="{00000000-0005-0000-0000-000044130000}"/>
    <cellStyle name="20% - Accent3 4 2 4 2 2 2" xfId="28347" xr:uid="{00000000-0005-0000-0000-000045130000}"/>
    <cellStyle name="20% - Accent3 4 2 4 2 3" xfId="18597" xr:uid="{00000000-0005-0000-0000-000046130000}"/>
    <cellStyle name="20% - Accent3 4 2 4 3" xfId="10714" xr:uid="{00000000-0005-0000-0000-000047130000}"/>
    <cellStyle name="20% - Accent3 4 2 4 3 2" xfId="24656" xr:uid="{00000000-0005-0000-0000-000048130000}"/>
    <cellStyle name="20% - Accent3 4 2 4 4" xfId="18596" xr:uid="{00000000-0005-0000-0000-000049130000}"/>
    <cellStyle name="20% - Accent3 4 2 5" xfId="1274" xr:uid="{00000000-0005-0000-0000-00004A130000}"/>
    <cellStyle name="20% - Accent3 4 2 5 2" xfId="11971" xr:uid="{00000000-0005-0000-0000-00004B130000}"/>
    <cellStyle name="20% - Accent3 4 2 5 2 2" xfId="25686" xr:uid="{00000000-0005-0000-0000-00004C130000}"/>
    <cellStyle name="20% - Accent3 4 2 5 3" xfId="18598" xr:uid="{00000000-0005-0000-0000-00004D130000}"/>
    <cellStyle name="20% - Accent3 4 2 6" xfId="1275" xr:uid="{00000000-0005-0000-0000-00004E130000}"/>
    <cellStyle name="20% - Accent3 4 2 6 2" xfId="12725" xr:uid="{00000000-0005-0000-0000-00004F130000}"/>
    <cellStyle name="20% - Accent3 4 2 6 2 2" xfId="26437" xr:uid="{00000000-0005-0000-0000-000050130000}"/>
    <cellStyle name="20% - Accent3 4 2 6 3" xfId="18599" xr:uid="{00000000-0005-0000-0000-000051130000}"/>
    <cellStyle name="20% - Accent3 4 2 7" xfId="1276" xr:uid="{00000000-0005-0000-0000-000052130000}"/>
    <cellStyle name="20% - Accent3 4 2 7 2" xfId="13546" xr:uid="{00000000-0005-0000-0000-000053130000}"/>
    <cellStyle name="20% - Accent3 4 2 7 2 2" xfId="27095" xr:uid="{00000000-0005-0000-0000-000054130000}"/>
    <cellStyle name="20% - Accent3 4 2 7 3" xfId="18600" xr:uid="{00000000-0005-0000-0000-000055130000}"/>
    <cellStyle name="20% - Accent3 4 2 8" xfId="1277" xr:uid="{00000000-0005-0000-0000-000056130000}"/>
    <cellStyle name="20% - Accent3 4 2 8 2" xfId="14127" xr:uid="{00000000-0005-0000-0000-000057130000}"/>
    <cellStyle name="20% - Accent3 4 2 8 2 2" xfId="27676" xr:uid="{00000000-0005-0000-0000-000058130000}"/>
    <cellStyle name="20% - Accent3 4 2 8 3" xfId="18601" xr:uid="{00000000-0005-0000-0000-000059130000}"/>
    <cellStyle name="20% - Accent3 4 2 9" xfId="1278" xr:uid="{00000000-0005-0000-0000-00005A130000}"/>
    <cellStyle name="20% - Accent3 4 2 9 2" xfId="14793" xr:uid="{00000000-0005-0000-0000-00005B130000}"/>
    <cellStyle name="20% - Accent3 4 2 9 2 2" xfId="28342" xr:uid="{00000000-0005-0000-0000-00005C130000}"/>
    <cellStyle name="20% - Accent3 4 2 9 3" xfId="18602" xr:uid="{00000000-0005-0000-0000-00005D130000}"/>
    <cellStyle name="20% - Accent3 4 3" xfId="1279" xr:uid="{00000000-0005-0000-0000-00005E130000}"/>
    <cellStyle name="20% - Accent3 4 3 10" xfId="8993" xr:uid="{00000000-0005-0000-0000-00005F130000}"/>
    <cellStyle name="20% - Accent3 4 3 10 2" xfId="23468" xr:uid="{00000000-0005-0000-0000-000060130000}"/>
    <cellStyle name="20% - Accent3 4 3 11" xfId="18603" xr:uid="{00000000-0005-0000-0000-000061130000}"/>
    <cellStyle name="20% - Accent3 4 3 2" xfId="1280" xr:uid="{00000000-0005-0000-0000-000062130000}"/>
    <cellStyle name="20% - Accent3 4 3 2 2" xfId="1281" xr:uid="{00000000-0005-0000-0000-000063130000}"/>
    <cellStyle name="20% - Accent3 4 3 2 2 2" xfId="10719" xr:uid="{00000000-0005-0000-0000-000064130000}"/>
    <cellStyle name="20% - Accent3 4 3 2 2 2 2" xfId="24661" xr:uid="{00000000-0005-0000-0000-000065130000}"/>
    <cellStyle name="20% - Accent3 4 3 2 2 3" xfId="18605" xr:uid="{00000000-0005-0000-0000-000066130000}"/>
    <cellStyle name="20% - Accent3 4 3 2 3" xfId="1282" xr:uid="{00000000-0005-0000-0000-000067130000}"/>
    <cellStyle name="20% - Accent3 4 3 2 3 2" xfId="12608" xr:uid="{00000000-0005-0000-0000-000068130000}"/>
    <cellStyle name="20% - Accent3 4 3 2 3 2 2" xfId="26320" xr:uid="{00000000-0005-0000-0000-000069130000}"/>
    <cellStyle name="20% - Accent3 4 3 2 3 3" xfId="18606" xr:uid="{00000000-0005-0000-0000-00006A130000}"/>
    <cellStyle name="20% - Accent3 4 3 2 4" xfId="1283" xr:uid="{00000000-0005-0000-0000-00006B130000}"/>
    <cellStyle name="20% - Accent3 4 3 2 4 2" xfId="14800" xr:uid="{00000000-0005-0000-0000-00006C130000}"/>
    <cellStyle name="20% - Accent3 4 3 2 4 2 2" xfId="28349" xr:uid="{00000000-0005-0000-0000-00006D130000}"/>
    <cellStyle name="20% - Accent3 4 3 2 4 3" xfId="18607" xr:uid="{00000000-0005-0000-0000-00006E130000}"/>
    <cellStyle name="20% - Accent3 4 3 2 5" xfId="1284" xr:uid="{00000000-0005-0000-0000-00006F130000}"/>
    <cellStyle name="20% - Accent3 4 3 2 5 2" xfId="16743" xr:uid="{00000000-0005-0000-0000-000070130000}"/>
    <cellStyle name="20% - Accent3 4 3 2 5 2 2" xfId="30150" xr:uid="{00000000-0005-0000-0000-000071130000}"/>
    <cellStyle name="20% - Accent3 4 3 2 5 3" xfId="18608" xr:uid="{00000000-0005-0000-0000-000072130000}"/>
    <cellStyle name="20% - Accent3 4 3 2 6" xfId="8994" xr:uid="{00000000-0005-0000-0000-000073130000}"/>
    <cellStyle name="20% - Accent3 4 3 2 6 2" xfId="23469" xr:uid="{00000000-0005-0000-0000-000074130000}"/>
    <cellStyle name="20% - Accent3 4 3 2 7" xfId="18604" xr:uid="{00000000-0005-0000-0000-000075130000}"/>
    <cellStyle name="20% - Accent3 4 3 3" xfId="1285" xr:uid="{00000000-0005-0000-0000-000076130000}"/>
    <cellStyle name="20% - Accent3 4 3 3 2" xfId="1286" xr:uid="{00000000-0005-0000-0000-000077130000}"/>
    <cellStyle name="20% - Accent3 4 3 3 2 2" xfId="14801" xr:uid="{00000000-0005-0000-0000-000078130000}"/>
    <cellStyle name="20% - Accent3 4 3 3 2 2 2" xfId="28350" xr:uid="{00000000-0005-0000-0000-000079130000}"/>
    <cellStyle name="20% - Accent3 4 3 3 2 3" xfId="18610" xr:uid="{00000000-0005-0000-0000-00007A130000}"/>
    <cellStyle name="20% - Accent3 4 3 3 3" xfId="10718" xr:uid="{00000000-0005-0000-0000-00007B130000}"/>
    <cellStyle name="20% - Accent3 4 3 3 3 2" xfId="24660" xr:uid="{00000000-0005-0000-0000-00007C130000}"/>
    <cellStyle name="20% - Accent3 4 3 3 4" xfId="18609" xr:uid="{00000000-0005-0000-0000-00007D130000}"/>
    <cellStyle name="20% - Accent3 4 3 4" xfId="1287" xr:uid="{00000000-0005-0000-0000-00007E130000}"/>
    <cellStyle name="20% - Accent3 4 3 4 2" xfId="12131" xr:uid="{00000000-0005-0000-0000-00007F130000}"/>
    <cellStyle name="20% - Accent3 4 3 4 2 2" xfId="25843" xr:uid="{00000000-0005-0000-0000-000080130000}"/>
    <cellStyle name="20% - Accent3 4 3 4 3" xfId="18611" xr:uid="{00000000-0005-0000-0000-000081130000}"/>
    <cellStyle name="20% - Accent3 4 3 5" xfId="1288" xr:uid="{00000000-0005-0000-0000-000082130000}"/>
    <cellStyle name="20% - Accent3 4 3 5 2" xfId="12712" xr:uid="{00000000-0005-0000-0000-000083130000}"/>
    <cellStyle name="20% - Accent3 4 3 5 2 2" xfId="26424" xr:uid="{00000000-0005-0000-0000-000084130000}"/>
    <cellStyle name="20% - Accent3 4 3 5 3" xfId="18612" xr:uid="{00000000-0005-0000-0000-000085130000}"/>
    <cellStyle name="20% - Accent3 4 3 6" xfId="1289" xr:uid="{00000000-0005-0000-0000-000086130000}"/>
    <cellStyle name="20% - Accent3 4 3 6 2" xfId="13695" xr:uid="{00000000-0005-0000-0000-000087130000}"/>
    <cellStyle name="20% - Accent3 4 3 6 2 2" xfId="27244" xr:uid="{00000000-0005-0000-0000-000088130000}"/>
    <cellStyle name="20% - Accent3 4 3 6 3" xfId="18613" xr:uid="{00000000-0005-0000-0000-000089130000}"/>
    <cellStyle name="20% - Accent3 4 3 7" xfId="1290" xr:uid="{00000000-0005-0000-0000-00008A130000}"/>
    <cellStyle name="20% - Accent3 4 3 7 2" xfId="14276" xr:uid="{00000000-0005-0000-0000-00008B130000}"/>
    <cellStyle name="20% - Accent3 4 3 7 2 2" xfId="27825" xr:uid="{00000000-0005-0000-0000-00008C130000}"/>
    <cellStyle name="20% - Accent3 4 3 7 3" xfId="18614" xr:uid="{00000000-0005-0000-0000-00008D130000}"/>
    <cellStyle name="20% - Accent3 4 3 8" xfId="1291" xr:uid="{00000000-0005-0000-0000-00008E130000}"/>
    <cellStyle name="20% - Accent3 4 3 8 2" xfId="14799" xr:uid="{00000000-0005-0000-0000-00008F130000}"/>
    <cellStyle name="20% - Accent3 4 3 8 2 2" xfId="28348" xr:uid="{00000000-0005-0000-0000-000090130000}"/>
    <cellStyle name="20% - Accent3 4 3 8 3" xfId="18615" xr:uid="{00000000-0005-0000-0000-000091130000}"/>
    <cellStyle name="20% - Accent3 4 3 9" xfId="1292" xr:uid="{00000000-0005-0000-0000-000092130000}"/>
    <cellStyle name="20% - Accent3 4 3 9 2" xfId="16162" xr:uid="{00000000-0005-0000-0000-000093130000}"/>
    <cellStyle name="20% - Accent3 4 3 9 2 2" xfId="29569" xr:uid="{00000000-0005-0000-0000-000094130000}"/>
    <cellStyle name="20% - Accent3 4 3 9 3" xfId="18616" xr:uid="{00000000-0005-0000-0000-000095130000}"/>
    <cellStyle name="20% - Accent3 4 4" xfId="1293" xr:uid="{00000000-0005-0000-0000-000096130000}"/>
    <cellStyle name="20% - Accent3 4 4 2" xfId="1294" xr:uid="{00000000-0005-0000-0000-000097130000}"/>
    <cellStyle name="20% - Accent3 4 4 2 2" xfId="10720" xr:uid="{00000000-0005-0000-0000-000098130000}"/>
    <cellStyle name="20% - Accent3 4 4 2 2 2" xfId="24662" xr:uid="{00000000-0005-0000-0000-000099130000}"/>
    <cellStyle name="20% - Accent3 4 4 2 3" xfId="18618" xr:uid="{00000000-0005-0000-0000-00009A130000}"/>
    <cellStyle name="20% - Accent3 4 4 3" xfId="1295" xr:uid="{00000000-0005-0000-0000-00009B130000}"/>
    <cellStyle name="20% - Accent3 4 4 3 2" xfId="12468" xr:uid="{00000000-0005-0000-0000-00009C130000}"/>
    <cellStyle name="20% - Accent3 4 4 3 2 2" xfId="26180" xr:uid="{00000000-0005-0000-0000-00009D130000}"/>
    <cellStyle name="20% - Accent3 4 4 3 3" xfId="18619" xr:uid="{00000000-0005-0000-0000-00009E130000}"/>
    <cellStyle name="20% - Accent3 4 4 4" xfId="1296" xr:uid="{00000000-0005-0000-0000-00009F130000}"/>
    <cellStyle name="20% - Accent3 4 4 4 2" xfId="14802" xr:uid="{00000000-0005-0000-0000-0000A0130000}"/>
    <cellStyle name="20% - Accent3 4 4 4 2 2" xfId="28351" xr:uid="{00000000-0005-0000-0000-0000A1130000}"/>
    <cellStyle name="20% - Accent3 4 4 4 3" xfId="18620" xr:uid="{00000000-0005-0000-0000-0000A2130000}"/>
    <cellStyle name="20% - Accent3 4 4 5" xfId="1297" xr:uid="{00000000-0005-0000-0000-0000A3130000}"/>
    <cellStyle name="20% - Accent3 4 4 5 2" xfId="16451" xr:uid="{00000000-0005-0000-0000-0000A4130000}"/>
    <cellStyle name="20% - Accent3 4 4 5 2 2" xfId="29858" xr:uid="{00000000-0005-0000-0000-0000A5130000}"/>
    <cellStyle name="20% - Accent3 4 4 5 3" xfId="18621" xr:uid="{00000000-0005-0000-0000-0000A6130000}"/>
    <cellStyle name="20% - Accent3 4 4 6" xfId="8995" xr:uid="{00000000-0005-0000-0000-0000A7130000}"/>
    <cellStyle name="20% - Accent3 4 4 6 2" xfId="23470" xr:uid="{00000000-0005-0000-0000-0000A8130000}"/>
    <cellStyle name="20% - Accent3 4 4 7" xfId="18617" xr:uid="{00000000-0005-0000-0000-0000A9130000}"/>
    <cellStyle name="20% - Accent3 4 5" xfId="1298" xr:uid="{00000000-0005-0000-0000-0000AA130000}"/>
    <cellStyle name="20% - Accent3 4 5 2" xfId="1299" xr:uid="{00000000-0005-0000-0000-0000AB130000}"/>
    <cellStyle name="20% - Accent3 4 5 2 2" xfId="14803" xr:uid="{00000000-0005-0000-0000-0000AC130000}"/>
    <cellStyle name="20% - Accent3 4 5 2 2 2" xfId="28352" xr:uid="{00000000-0005-0000-0000-0000AD130000}"/>
    <cellStyle name="20% - Accent3 4 5 2 3" xfId="18623" xr:uid="{00000000-0005-0000-0000-0000AE130000}"/>
    <cellStyle name="20% - Accent3 4 5 3" xfId="10713" xr:uid="{00000000-0005-0000-0000-0000AF130000}"/>
    <cellStyle name="20% - Accent3 4 5 3 2" xfId="24655" xr:uid="{00000000-0005-0000-0000-0000B0130000}"/>
    <cellStyle name="20% - Accent3 4 5 4" xfId="18622" xr:uid="{00000000-0005-0000-0000-0000B1130000}"/>
    <cellStyle name="20% - Accent3 4 6" xfId="1300" xr:uid="{00000000-0005-0000-0000-0000B2130000}"/>
    <cellStyle name="20% - Accent3 4 6 2" xfId="11802" xr:uid="{00000000-0005-0000-0000-0000B3130000}"/>
    <cellStyle name="20% - Accent3 4 6 2 2" xfId="25517" xr:uid="{00000000-0005-0000-0000-0000B4130000}"/>
    <cellStyle name="20% - Accent3 4 6 3" xfId="18624" xr:uid="{00000000-0005-0000-0000-0000B5130000}"/>
    <cellStyle name="20% - Accent3 4 7" xfId="1301" xr:uid="{00000000-0005-0000-0000-0000B6130000}"/>
    <cellStyle name="20% - Accent3 4 7 2" xfId="12509" xr:uid="{00000000-0005-0000-0000-0000B7130000}"/>
    <cellStyle name="20% - Accent3 4 7 2 2" xfId="26221" xr:uid="{00000000-0005-0000-0000-0000B8130000}"/>
    <cellStyle name="20% - Accent3 4 7 3" xfId="18625" xr:uid="{00000000-0005-0000-0000-0000B9130000}"/>
    <cellStyle name="20% - Accent3 4 8" xfId="1302" xr:uid="{00000000-0005-0000-0000-0000BA130000}"/>
    <cellStyle name="20% - Accent3 4 8 2" xfId="13403" xr:uid="{00000000-0005-0000-0000-0000BB130000}"/>
    <cellStyle name="20% - Accent3 4 8 2 2" xfId="26952" xr:uid="{00000000-0005-0000-0000-0000BC130000}"/>
    <cellStyle name="20% - Accent3 4 8 3" xfId="18626" xr:uid="{00000000-0005-0000-0000-0000BD130000}"/>
    <cellStyle name="20% - Accent3 4 9" xfId="1303" xr:uid="{00000000-0005-0000-0000-0000BE130000}"/>
    <cellStyle name="20% - Accent3 4 9 2" xfId="13984" xr:uid="{00000000-0005-0000-0000-0000BF130000}"/>
    <cellStyle name="20% - Accent3 4 9 2 2" xfId="27533" xr:uid="{00000000-0005-0000-0000-0000C0130000}"/>
    <cellStyle name="20% - Accent3 4 9 3" xfId="18627" xr:uid="{00000000-0005-0000-0000-0000C1130000}"/>
    <cellStyle name="20% - Accent3 5" xfId="1304" xr:uid="{00000000-0005-0000-0000-0000C2130000}"/>
    <cellStyle name="20% - Accent3 5 10" xfId="1305" xr:uid="{00000000-0005-0000-0000-0000C3130000}"/>
    <cellStyle name="20% - Accent3 5 10 2" xfId="14804" xr:uid="{00000000-0005-0000-0000-0000C4130000}"/>
    <cellStyle name="20% - Accent3 5 10 2 2" xfId="28353" xr:uid="{00000000-0005-0000-0000-0000C5130000}"/>
    <cellStyle name="20% - Accent3 5 10 3" xfId="18629" xr:uid="{00000000-0005-0000-0000-0000C6130000}"/>
    <cellStyle name="20% - Accent3 5 11" xfId="1306" xr:uid="{00000000-0005-0000-0000-0000C7130000}"/>
    <cellStyle name="20% - Accent3 5 11 2" xfId="15853" xr:uid="{00000000-0005-0000-0000-0000C8130000}"/>
    <cellStyle name="20% - Accent3 5 11 2 2" xfId="29260" xr:uid="{00000000-0005-0000-0000-0000C9130000}"/>
    <cellStyle name="20% - Accent3 5 11 3" xfId="18630" xr:uid="{00000000-0005-0000-0000-0000CA130000}"/>
    <cellStyle name="20% - Accent3 5 12" xfId="8996" xr:uid="{00000000-0005-0000-0000-0000CB130000}"/>
    <cellStyle name="20% - Accent3 5 12 2" xfId="23471" xr:uid="{00000000-0005-0000-0000-0000CC130000}"/>
    <cellStyle name="20% - Accent3 5 13" xfId="18628" xr:uid="{00000000-0005-0000-0000-0000CD130000}"/>
    <cellStyle name="20% - Accent3 5 2" xfId="1307" xr:uid="{00000000-0005-0000-0000-0000CE130000}"/>
    <cellStyle name="20% - Accent3 5 2 10" xfId="1308" xr:uid="{00000000-0005-0000-0000-0000CF130000}"/>
    <cellStyle name="20% - Accent3 5 2 10 2" xfId="15996" xr:uid="{00000000-0005-0000-0000-0000D0130000}"/>
    <cellStyle name="20% - Accent3 5 2 10 2 2" xfId="29403" xr:uid="{00000000-0005-0000-0000-0000D1130000}"/>
    <cellStyle name="20% - Accent3 5 2 10 3" xfId="18632" xr:uid="{00000000-0005-0000-0000-0000D2130000}"/>
    <cellStyle name="20% - Accent3 5 2 11" xfId="8997" xr:uid="{00000000-0005-0000-0000-0000D3130000}"/>
    <cellStyle name="20% - Accent3 5 2 11 2" xfId="23472" xr:uid="{00000000-0005-0000-0000-0000D4130000}"/>
    <cellStyle name="20% - Accent3 5 2 12" xfId="18631" xr:uid="{00000000-0005-0000-0000-0000D5130000}"/>
    <cellStyle name="20% - Accent3 5 2 2" xfId="1309" xr:uid="{00000000-0005-0000-0000-0000D6130000}"/>
    <cellStyle name="20% - Accent3 5 2 2 10" xfId="8998" xr:uid="{00000000-0005-0000-0000-0000D7130000}"/>
    <cellStyle name="20% - Accent3 5 2 2 10 2" xfId="23473" xr:uid="{00000000-0005-0000-0000-0000D8130000}"/>
    <cellStyle name="20% - Accent3 5 2 2 11" xfId="18633" xr:uid="{00000000-0005-0000-0000-0000D9130000}"/>
    <cellStyle name="20% - Accent3 5 2 2 2" xfId="1310" xr:uid="{00000000-0005-0000-0000-0000DA130000}"/>
    <cellStyle name="20% - Accent3 5 2 2 2 2" xfId="1311" xr:uid="{00000000-0005-0000-0000-0000DB130000}"/>
    <cellStyle name="20% - Accent3 5 2 2 2 2 2" xfId="10724" xr:uid="{00000000-0005-0000-0000-0000DC130000}"/>
    <cellStyle name="20% - Accent3 5 2 2 2 2 2 2" xfId="24666" xr:uid="{00000000-0005-0000-0000-0000DD130000}"/>
    <cellStyle name="20% - Accent3 5 2 2 2 2 3" xfId="18635" xr:uid="{00000000-0005-0000-0000-0000DE130000}"/>
    <cellStyle name="20% - Accent3 5 2 2 2 3" xfId="1312" xr:uid="{00000000-0005-0000-0000-0000DF130000}"/>
    <cellStyle name="20% - Accent3 5 2 2 2 3 2" xfId="12485" xr:uid="{00000000-0005-0000-0000-0000E0130000}"/>
    <cellStyle name="20% - Accent3 5 2 2 2 3 2 2" xfId="26197" xr:uid="{00000000-0005-0000-0000-0000E1130000}"/>
    <cellStyle name="20% - Accent3 5 2 2 2 3 3" xfId="18636" xr:uid="{00000000-0005-0000-0000-0000E2130000}"/>
    <cellStyle name="20% - Accent3 5 2 2 2 4" xfId="1313" xr:uid="{00000000-0005-0000-0000-0000E3130000}"/>
    <cellStyle name="20% - Accent3 5 2 2 2 4 2" xfId="14807" xr:uid="{00000000-0005-0000-0000-0000E4130000}"/>
    <cellStyle name="20% - Accent3 5 2 2 2 4 2 2" xfId="28356" xr:uid="{00000000-0005-0000-0000-0000E5130000}"/>
    <cellStyle name="20% - Accent3 5 2 2 2 4 3" xfId="18637" xr:uid="{00000000-0005-0000-0000-0000E6130000}"/>
    <cellStyle name="20% - Accent3 5 2 2 2 5" xfId="1314" xr:uid="{00000000-0005-0000-0000-0000E7130000}"/>
    <cellStyle name="20% - Accent3 5 2 2 2 5 2" xfId="16866" xr:uid="{00000000-0005-0000-0000-0000E8130000}"/>
    <cellStyle name="20% - Accent3 5 2 2 2 5 2 2" xfId="30273" xr:uid="{00000000-0005-0000-0000-0000E9130000}"/>
    <cellStyle name="20% - Accent3 5 2 2 2 5 3" xfId="18638" xr:uid="{00000000-0005-0000-0000-0000EA130000}"/>
    <cellStyle name="20% - Accent3 5 2 2 2 6" xfId="8999" xr:uid="{00000000-0005-0000-0000-0000EB130000}"/>
    <cellStyle name="20% - Accent3 5 2 2 2 6 2" xfId="23474" xr:uid="{00000000-0005-0000-0000-0000EC130000}"/>
    <cellStyle name="20% - Accent3 5 2 2 2 7" xfId="18634" xr:uid="{00000000-0005-0000-0000-0000ED130000}"/>
    <cellStyle name="20% - Accent3 5 2 2 3" xfId="1315" xr:uid="{00000000-0005-0000-0000-0000EE130000}"/>
    <cellStyle name="20% - Accent3 5 2 2 3 2" xfId="1316" xr:uid="{00000000-0005-0000-0000-0000EF130000}"/>
    <cellStyle name="20% - Accent3 5 2 2 3 2 2" xfId="14808" xr:uid="{00000000-0005-0000-0000-0000F0130000}"/>
    <cellStyle name="20% - Accent3 5 2 2 3 2 2 2" xfId="28357" xr:uid="{00000000-0005-0000-0000-0000F1130000}"/>
    <cellStyle name="20% - Accent3 5 2 2 3 2 3" xfId="18640" xr:uid="{00000000-0005-0000-0000-0000F2130000}"/>
    <cellStyle name="20% - Accent3 5 2 2 3 3" xfId="10723" xr:uid="{00000000-0005-0000-0000-0000F3130000}"/>
    <cellStyle name="20% - Accent3 5 2 2 3 3 2" xfId="24665" xr:uid="{00000000-0005-0000-0000-0000F4130000}"/>
    <cellStyle name="20% - Accent3 5 2 2 3 4" xfId="18639" xr:uid="{00000000-0005-0000-0000-0000F5130000}"/>
    <cellStyle name="20% - Accent3 5 2 2 4" xfId="1317" xr:uid="{00000000-0005-0000-0000-0000F6130000}"/>
    <cellStyle name="20% - Accent3 5 2 2 4 2" xfId="12254" xr:uid="{00000000-0005-0000-0000-0000F7130000}"/>
    <cellStyle name="20% - Accent3 5 2 2 4 2 2" xfId="25966" xr:uid="{00000000-0005-0000-0000-0000F8130000}"/>
    <cellStyle name="20% - Accent3 5 2 2 4 3" xfId="18641" xr:uid="{00000000-0005-0000-0000-0000F9130000}"/>
    <cellStyle name="20% - Accent3 5 2 2 5" xfId="1318" xr:uid="{00000000-0005-0000-0000-0000FA130000}"/>
    <cellStyle name="20% - Accent3 5 2 2 5 2" xfId="12684" xr:uid="{00000000-0005-0000-0000-0000FB130000}"/>
    <cellStyle name="20% - Accent3 5 2 2 5 2 2" xfId="26396" xr:uid="{00000000-0005-0000-0000-0000FC130000}"/>
    <cellStyle name="20% - Accent3 5 2 2 5 3" xfId="18642" xr:uid="{00000000-0005-0000-0000-0000FD130000}"/>
    <cellStyle name="20% - Accent3 5 2 2 6" xfId="1319" xr:uid="{00000000-0005-0000-0000-0000FE130000}"/>
    <cellStyle name="20% - Accent3 5 2 2 6 2" xfId="13818" xr:uid="{00000000-0005-0000-0000-0000FF130000}"/>
    <cellStyle name="20% - Accent3 5 2 2 6 2 2" xfId="27367" xr:uid="{00000000-0005-0000-0000-000000140000}"/>
    <cellStyle name="20% - Accent3 5 2 2 6 3" xfId="18643" xr:uid="{00000000-0005-0000-0000-000001140000}"/>
    <cellStyle name="20% - Accent3 5 2 2 7" xfId="1320" xr:uid="{00000000-0005-0000-0000-000002140000}"/>
    <cellStyle name="20% - Accent3 5 2 2 7 2" xfId="14399" xr:uid="{00000000-0005-0000-0000-000003140000}"/>
    <cellStyle name="20% - Accent3 5 2 2 7 2 2" xfId="27948" xr:uid="{00000000-0005-0000-0000-000004140000}"/>
    <cellStyle name="20% - Accent3 5 2 2 7 3" xfId="18644" xr:uid="{00000000-0005-0000-0000-000005140000}"/>
    <cellStyle name="20% - Accent3 5 2 2 8" xfId="1321" xr:uid="{00000000-0005-0000-0000-000006140000}"/>
    <cellStyle name="20% - Accent3 5 2 2 8 2" xfId="14806" xr:uid="{00000000-0005-0000-0000-000007140000}"/>
    <cellStyle name="20% - Accent3 5 2 2 8 2 2" xfId="28355" xr:uid="{00000000-0005-0000-0000-000008140000}"/>
    <cellStyle name="20% - Accent3 5 2 2 8 3" xfId="18645" xr:uid="{00000000-0005-0000-0000-000009140000}"/>
    <cellStyle name="20% - Accent3 5 2 2 9" xfId="1322" xr:uid="{00000000-0005-0000-0000-00000A140000}"/>
    <cellStyle name="20% - Accent3 5 2 2 9 2" xfId="16285" xr:uid="{00000000-0005-0000-0000-00000B140000}"/>
    <cellStyle name="20% - Accent3 5 2 2 9 2 2" xfId="29692" xr:uid="{00000000-0005-0000-0000-00000C140000}"/>
    <cellStyle name="20% - Accent3 5 2 2 9 3" xfId="18646" xr:uid="{00000000-0005-0000-0000-00000D140000}"/>
    <cellStyle name="20% - Accent3 5 2 3" xfId="1323" xr:uid="{00000000-0005-0000-0000-00000E140000}"/>
    <cellStyle name="20% - Accent3 5 2 3 2" xfId="1324" xr:uid="{00000000-0005-0000-0000-00000F140000}"/>
    <cellStyle name="20% - Accent3 5 2 3 2 2" xfId="10725" xr:uid="{00000000-0005-0000-0000-000010140000}"/>
    <cellStyle name="20% - Accent3 5 2 3 2 2 2" xfId="24667" xr:uid="{00000000-0005-0000-0000-000011140000}"/>
    <cellStyle name="20% - Accent3 5 2 3 2 3" xfId="18648" xr:uid="{00000000-0005-0000-0000-000012140000}"/>
    <cellStyle name="20% - Accent3 5 2 3 3" xfId="1325" xr:uid="{00000000-0005-0000-0000-000013140000}"/>
    <cellStyle name="20% - Accent3 5 2 3 3 2" xfId="12700" xr:uid="{00000000-0005-0000-0000-000014140000}"/>
    <cellStyle name="20% - Accent3 5 2 3 3 2 2" xfId="26412" xr:uid="{00000000-0005-0000-0000-000015140000}"/>
    <cellStyle name="20% - Accent3 5 2 3 3 3" xfId="18649" xr:uid="{00000000-0005-0000-0000-000016140000}"/>
    <cellStyle name="20% - Accent3 5 2 3 4" xfId="1326" xr:uid="{00000000-0005-0000-0000-000017140000}"/>
    <cellStyle name="20% - Accent3 5 2 3 4 2" xfId="14809" xr:uid="{00000000-0005-0000-0000-000018140000}"/>
    <cellStyle name="20% - Accent3 5 2 3 4 2 2" xfId="28358" xr:uid="{00000000-0005-0000-0000-000019140000}"/>
    <cellStyle name="20% - Accent3 5 2 3 4 3" xfId="18650" xr:uid="{00000000-0005-0000-0000-00001A140000}"/>
    <cellStyle name="20% - Accent3 5 2 3 5" xfId="1327" xr:uid="{00000000-0005-0000-0000-00001B140000}"/>
    <cellStyle name="20% - Accent3 5 2 3 5 2" xfId="16577" xr:uid="{00000000-0005-0000-0000-00001C140000}"/>
    <cellStyle name="20% - Accent3 5 2 3 5 2 2" xfId="29984" xr:uid="{00000000-0005-0000-0000-00001D140000}"/>
    <cellStyle name="20% - Accent3 5 2 3 5 3" xfId="18651" xr:uid="{00000000-0005-0000-0000-00001E140000}"/>
    <cellStyle name="20% - Accent3 5 2 3 6" xfId="9000" xr:uid="{00000000-0005-0000-0000-00001F140000}"/>
    <cellStyle name="20% - Accent3 5 2 3 6 2" xfId="23475" xr:uid="{00000000-0005-0000-0000-000020140000}"/>
    <cellStyle name="20% - Accent3 5 2 3 7" xfId="18647" xr:uid="{00000000-0005-0000-0000-000021140000}"/>
    <cellStyle name="20% - Accent3 5 2 4" xfId="1328" xr:uid="{00000000-0005-0000-0000-000022140000}"/>
    <cellStyle name="20% - Accent3 5 2 4 2" xfId="1329" xr:uid="{00000000-0005-0000-0000-000023140000}"/>
    <cellStyle name="20% - Accent3 5 2 4 2 2" xfId="14810" xr:uid="{00000000-0005-0000-0000-000024140000}"/>
    <cellStyle name="20% - Accent3 5 2 4 2 2 2" xfId="28359" xr:uid="{00000000-0005-0000-0000-000025140000}"/>
    <cellStyle name="20% - Accent3 5 2 4 2 3" xfId="18653" xr:uid="{00000000-0005-0000-0000-000026140000}"/>
    <cellStyle name="20% - Accent3 5 2 4 3" xfId="10722" xr:uid="{00000000-0005-0000-0000-000027140000}"/>
    <cellStyle name="20% - Accent3 5 2 4 3 2" xfId="24664" xr:uid="{00000000-0005-0000-0000-000028140000}"/>
    <cellStyle name="20% - Accent3 5 2 4 4" xfId="18652" xr:uid="{00000000-0005-0000-0000-000029140000}"/>
    <cellStyle name="20% - Accent3 5 2 5" xfId="1330" xr:uid="{00000000-0005-0000-0000-00002A140000}"/>
    <cellStyle name="20% - Accent3 5 2 5 2" xfId="11954" xr:uid="{00000000-0005-0000-0000-00002B140000}"/>
    <cellStyle name="20% - Accent3 5 2 5 2 2" xfId="25669" xr:uid="{00000000-0005-0000-0000-00002C140000}"/>
    <cellStyle name="20% - Accent3 5 2 5 3" xfId="18654" xr:uid="{00000000-0005-0000-0000-00002D140000}"/>
    <cellStyle name="20% - Accent3 5 2 6" xfId="1331" xr:uid="{00000000-0005-0000-0000-00002E140000}"/>
    <cellStyle name="20% - Accent3 5 2 6 2" xfId="12792" xr:uid="{00000000-0005-0000-0000-00002F140000}"/>
    <cellStyle name="20% - Accent3 5 2 6 2 2" xfId="26504" xr:uid="{00000000-0005-0000-0000-000030140000}"/>
    <cellStyle name="20% - Accent3 5 2 6 3" xfId="18655" xr:uid="{00000000-0005-0000-0000-000031140000}"/>
    <cellStyle name="20% - Accent3 5 2 7" xfId="1332" xr:uid="{00000000-0005-0000-0000-000032140000}"/>
    <cellStyle name="20% - Accent3 5 2 7 2" xfId="13529" xr:uid="{00000000-0005-0000-0000-000033140000}"/>
    <cellStyle name="20% - Accent3 5 2 7 2 2" xfId="27078" xr:uid="{00000000-0005-0000-0000-000034140000}"/>
    <cellStyle name="20% - Accent3 5 2 7 3" xfId="18656" xr:uid="{00000000-0005-0000-0000-000035140000}"/>
    <cellStyle name="20% - Accent3 5 2 8" xfId="1333" xr:uid="{00000000-0005-0000-0000-000036140000}"/>
    <cellStyle name="20% - Accent3 5 2 8 2" xfId="14110" xr:uid="{00000000-0005-0000-0000-000037140000}"/>
    <cellStyle name="20% - Accent3 5 2 8 2 2" xfId="27659" xr:uid="{00000000-0005-0000-0000-000038140000}"/>
    <cellStyle name="20% - Accent3 5 2 8 3" xfId="18657" xr:uid="{00000000-0005-0000-0000-000039140000}"/>
    <cellStyle name="20% - Accent3 5 2 9" xfId="1334" xr:uid="{00000000-0005-0000-0000-00003A140000}"/>
    <cellStyle name="20% - Accent3 5 2 9 2" xfId="14805" xr:uid="{00000000-0005-0000-0000-00003B140000}"/>
    <cellStyle name="20% - Accent3 5 2 9 2 2" xfId="28354" xr:uid="{00000000-0005-0000-0000-00003C140000}"/>
    <cellStyle name="20% - Accent3 5 2 9 3" xfId="18658" xr:uid="{00000000-0005-0000-0000-00003D140000}"/>
    <cellStyle name="20% - Accent3 5 3" xfId="1335" xr:uid="{00000000-0005-0000-0000-00003E140000}"/>
    <cellStyle name="20% - Accent3 5 3 10" xfId="9001" xr:uid="{00000000-0005-0000-0000-00003F140000}"/>
    <cellStyle name="20% - Accent3 5 3 10 2" xfId="23476" xr:uid="{00000000-0005-0000-0000-000040140000}"/>
    <cellStyle name="20% - Accent3 5 3 11" xfId="18659" xr:uid="{00000000-0005-0000-0000-000041140000}"/>
    <cellStyle name="20% - Accent3 5 3 2" xfId="1336" xr:uid="{00000000-0005-0000-0000-000042140000}"/>
    <cellStyle name="20% - Accent3 5 3 2 2" xfId="1337" xr:uid="{00000000-0005-0000-0000-000043140000}"/>
    <cellStyle name="20% - Accent3 5 3 2 2 2" xfId="10727" xr:uid="{00000000-0005-0000-0000-000044140000}"/>
    <cellStyle name="20% - Accent3 5 3 2 2 2 2" xfId="24669" xr:uid="{00000000-0005-0000-0000-000045140000}"/>
    <cellStyle name="20% - Accent3 5 3 2 2 3" xfId="18661" xr:uid="{00000000-0005-0000-0000-000046140000}"/>
    <cellStyle name="20% - Accent3 5 3 2 3" xfId="1338" xr:uid="{00000000-0005-0000-0000-000047140000}"/>
    <cellStyle name="20% - Accent3 5 3 2 3 2" xfId="12600" xr:uid="{00000000-0005-0000-0000-000048140000}"/>
    <cellStyle name="20% - Accent3 5 3 2 3 2 2" xfId="26312" xr:uid="{00000000-0005-0000-0000-000049140000}"/>
    <cellStyle name="20% - Accent3 5 3 2 3 3" xfId="18662" xr:uid="{00000000-0005-0000-0000-00004A140000}"/>
    <cellStyle name="20% - Accent3 5 3 2 4" xfId="1339" xr:uid="{00000000-0005-0000-0000-00004B140000}"/>
    <cellStyle name="20% - Accent3 5 3 2 4 2" xfId="14812" xr:uid="{00000000-0005-0000-0000-00004C140000}"/>
    <cellStyle name="20% - Accent3 5 3 2 4 2 2" xfId="28361" xr:uid="{00000000-0005-0000-0000-00004D140000}"/>
    <cellStyle name="20% - Accent3 5 3 2 4 3" xfId="18663" xr:uid="{00000000-0005-0000-0000-00004E140000}"/>
    <cellStyle name="20% - Accent3 5 3 2 5" xfId="1340" xr:uid="{00000000-0005-0000-0000-00004F140000}"/>
    <cellStyle name="20% - Accent3 5 3 2 5 2" xfId="16726" xr:uid="{00000000-0005-0000-0000-000050140000}"/>
    <cellStyle name="20% - Accent3 5 3 2 5 2 2" xfId="30133" xr:uid="{00000000-0005-0000-0000-000051140000}"/>
    <cellStyle name="20% - Accent3 5 3 2 5 3" xfId="18664" xr:uid="{00000000-0005-0000-0000-000052140000}"/>
    <cellStyle name="20% - Accent3 5 3 2 6" xfId="9002" xr:uid="{00000000-0005-0000-0000-000053140000}"/>
    <cellStyle name="20% - Accent3 5 3 2 6 2" xfId="23477" xr:uid="{00000000-0005-0000-0000-000054140000}"/>
    <cellStyle name="20% - Accent3 5 3 2 7" xfId="18660" xr:uid="{00000000-0005-0000-0000-000055140000}"/>
    <cellStyle name="20% - Accent3 5 3 3" xfId="1341" xr:uid="{00000000-0005-0000-0000-000056140000}"/>
    <cellStyle name="20% - Accent3 5 3 3 2" xfId="1342" xr:uid="{00000000-0005-0000-0000-000057140000}"/>
    <cellStyle name="20% - Accent3 5 3 3 2 2" xfId="14813" xr:uid="{00000000-0005-0000-0000-000058140000}"/>
    <cellStyle name="20% - Accent3 5 3 3 2 2 2" xfId="28362" xr:uid="{00000000-0005-0000-0000-000059140000}"/>
    <cellStyle name="20% - Accent3 5 3 3 2 3" xfId="18666" xr:uid="{00000000-0005-0000-0000-00005A140000}"/>
    <cellStyle name="20% - Accent3 5 3 3 3" xfId="10726" xr:uid="{00000000-0005-0000-0000-00005B140000}"/>
    <cellStyle name="20% - Accent3 5 3 3 3 2" xfId="24668" xr:uid="{00000000-0005-0000-0000-00005C140000}"/>
    <cellStyle name="20% - Accent3 5 3 3 4" xfId="18665" xr:uid="{00000000-0005-0000-0000-00005D140000}"/>
    <cellStyle name="20% - Accent3 5 3 4" xfId="1343" xr:uid="{00000000-0005-0000-0000-00005E140000}"/>
    <cellStyle name="20% - Accent3 5 3 4 2" xfId="12114" xr:uid="{00000000-0005-0000-0000-00005F140000}"/>
    <cellStyle name="20% - Accent3 5 3 4 2 2" xfId="25826" xr:uid="{00000000-0005-0000-0000-000060140000}"/>
    <cellStyle name="20% - Accent3 5 3 4 3" xfId="18667" xr:uid="{00000000-0005-0000-0000-000061140000}"/>
    <cellStyle name="20% - Accent3 5 3 5" xfId="1344" xr:uid="{00000000-0005-0000-0000-000062140000}"/>
    <cellStyle name="20% - Accent3 5 3 5 2" xfId="12596" xr:uid="{00000000-0005-0000-0000-000063140000}"/>
    <cellStyle name="20% - Accent3 5 3 5 2 2" xfId="26308" xr:uid="{00000000-0005-0000-0000-000064140000}"/>
    <cellStyle name="20% - Accent3 5 3 5 3" xfId="18668" xr:uid="{00000000-0005-0000-0000-000065140000}"/>
    <cellStyle name="20% - Accent3 5 3 6" xfId="1345" xr:uid="{00000000-0005-0000-0000-000066140000}"/>
    <cellStyle name="20% - Accent3 5 3 6 2" xfId="13678" xr:uid="{00000000-0005-0000-0000-000067140000}"/>
    <cellStyle name="20% - Accent3 5 3 6 2 2" xfId="27227" xr:uid="{00000000-0005-0000-0000-000068140000}"/>
    <cellStyle name="20% - Accent3 5 3 6 3" xfId="18669" xr:uid="{00000000-0005-0000-0000-000069140000}"/>
    <cellStyle name="20% - Accent3 5 3 7" xfId="1346" xr:uid="{00000000-0005-0000-0000-00006A140000}"/>
    <cellStyle name="20% - Accent3 5 3 7 2" xfId="14259" xr:uid="{00000000-0005-0000-0000-00006B140000}"/>
    <cellStyle name="20% - Accent3 5 3 7 2 2" xfId="27808" xr:uid="{00000000-0005-0000-0000-00006C140000}"/>
    <cellStyle name="20% - Accent3 5 3 7 3" xfId="18670" xr:uid="{00000000-0005-0000-0000-00006D140000}"/>
    <cellStyle name="20% - Accent3 5 3 8" xfId="1347" xr:uid="{00000000-0005-0000-0000-00006E140000}"/>
    <cellStyle name="20% - Accent3 5 3 8 2" xfId="14811" xr:uid="{00000000-0005-0000-0000-00006F140000}"/>
    <cellStyle name="20% - Accent3 5 3 8 2 2" xfId="28360" xr:uid="{00000000-0005-0000-0000-000070140000}"/>
    <cellStyle name="20% - Accent3 5 3 8 3" xfId="18671" xr:uid="{00000000-0005-0000-0000-000071140000}"/>
    <cellStyle name="20% - Accent3 5 3 9" xfId="1348" xr:uid="{00000000-0005-0000-0000-000072140000}"/>
    <cellStyle name="20% - Accent3 5 3 9 2" xfId="16145" xr:uid="{00000000-0005-0000-0000-000073140000}"/>
    <cellStyle name="20% - Accent3 5 3 9 2 2" xfId="29552" xr:uid="{00000000-0005-0000-0000-000074140000}"/>
    <cellStyle name="20% - Accent3 5 3 9 3" xfId="18672" xr:uid="{00000000-0005-0000-0000-000075140000}"/>
    <cellStyle name="20% - Accent3 5 4" xfId="1349" xr:uid="{00000000-0005-0000-0000-000076140000}"/>
    <cellStyle name="20% - Accent3 5 4 2" xfId="1350" xr:uid="{00000000-0005-0000-0000-000077140000}"/>
    <cellStyle name="20% - Accent3 5 4 2 2" xfId="10728" xr:uid="{00000000-0005-0000-0000-000078140000}"/>
    <cellStyle name="20% - Accent3 5 4 2 2 2" xfId="24670" xr:uid="{00000000-0005-0000-0000-000079140000}"/>
    <cellStyle name="20% - Accent3 5 4 2 3" xfId="18674" xr:uid="{00000000-0005-0000-0000-00007A140000}"/>
    <cellStyle name="20% - Accent3 5 4 3" xfId="1351" xr:uid="{00000000-0005-0000-0000-00007B140000}"/>
    <cellStyle name="20% - Accent3 5 4 3 2" xfId="12411" xr:uid="{00000000-0005-0000-0000-00007C140000}"/>
    <cellStyle name="20% - Accent3 5 4 3 2 2" xfId="26123" xr:uid="{00000000-0005-0000-0000-00007D140000}"/>
    <cellStyle name="20% - Accent3 5 4 3 3" xfId="18675" xr:uid="{00000000-0005-0000-0000-00007E140000}"/>
    <cellStyle name="20% - Accent3 5 4 4" xfId="1352" xr:uid="{00000000-0005-0000-0000-00007F140000}"/>
    <cellStyle name="20% - Accent3 5 4 4 2" xfId="14814" xr:uid="{00000000-0005-0000-0000-000080140000}"/>
    <cellStyle name="20% - Accent3 5 4 4 2 2" xfId="28363" xr:uid="{00000000-0005-0000-0000-000081140000}"/>
    <cellStyle name="20% - Accent3 5 4 4 3" xfId="18676" xr:uid="{00000000-0005-0000-0000-000082140000}"/>
    <cellStyle name="20% - Accent3 5 4 5" xfId="1353" xr:uid="{00000000-0005-0000-0000-000083140000}"/>
    <cellStyle name="20% - Accent3 5 4 5 2" xfId="16434" xr:uid="{00000000-0005-0000-0000-000084140000}"/>
    <cellStyle name="20% - Accent3 5 4 5 2 2" xfId="29841" xr:uid="{00000000-0005-0000-0000-000085140000}"/>
    <cellStyle name="20% - Accent3 5 4 5 3" xfId="18677" xr:uid="{00000000-0005-0000-0000-000086140000}"/>
    <cellStyle name="20% - Accent3 5 4 6" xfId="9003" xr:uid="{00000000-0005-0000-0000-000087140000}"/>
    <cellStyle name="20% - Accent3 5 4 6 2" xfId="23478" xr:uid="{00000000-0005-0000-0000-000088140000}"/>
    <cellStyle name="20% - Accent3 5 4 7" xfId="18673" xr:uid="{00000000-0005-0000-0000-000089140000}"/>
    <cellStyle name="20% - Accent3 5 5" xfId="1354" xr:uid="{00000000-0005-0000-0000-00008A140000}"/>
    <cellStyle name="20% - Accent3 5 5 2" xfId="1355" xr:uid="{00000000-0005-0000-0000-00008B140000}"/>
    <cellStyle name="20% - Accent3 5 5 2 2" xfId="14815" xr:uid="{00000000-0005-0000-0000-00008C140000}"/>
    <cellStyle name="20% - Accent3 5 5 2 2 2" xfId="28364" xr:uid="{00000000-0005-0000-0000-00008D140000}"/>
    <cellStyle name="20% - Accent3 5 5 2 3" xfId="18679" xr:uid="{00000000-0005-0000-0000-00008E140000}"/>
    <cellStyle name="20% - Accent3 5 5 3" xfId="10721" xr:uid="{00000000-0005-0000-0000-00008F140000}"/>
    <cellStyle name="20% - Accent3 5 5 3 2" xfId="24663" xr:uid="{00000000-0005-0000-0000-000090140000}"/>
    <cellStyle name="20% - Accent3 5 5 4" xfId="18678" xr:uid="{00000000-0005-0000-0000-000091140000}"/>
    <cellStyle name="20% - Accent3 5 6" xfId="1356" xr:uid="{00000000-0005-0000-0000-000092140000}"/>
    <cellStyle name="20% - Accent3 5 6 2" xfId="11785" xr:uid="{00000000-0005-0000-0000-000093140000}"/>
    <cellStyle name="20% - Accent3 5 6 2 2" xfId="25500" xr:uid="{00000000-0005-0000-0000-000094140000}"/>
    <cellStyle name="20% - Accent3 5 6 3" xfId="18680" xr:uid="{00000000-0005-0000-0000-000095140000}"/>
    <cellStyle name="20% - Accent3 5 7" xfId="1357" xr:uid="{00000000-0005-0000-0000-000096140000}"/>
    <cellStyle name="20% - Accent3 5 7 2" xfId="12574" xr:uid="{00000000-0005-0000-0000-000097140000}"/>
    <cellStyle name="20% - Accent3 5 7 2 2" xfId="26286" xr:uid="{00000000-0005-0000-0000-000098140000}"/>
    <cellStyle name="20% - Accent3 5 7 3" xfId="18681" xr:uid="{00000000-0005-0000-0000-000099140000}"/>
    <cellStyle name="20% - Accent3 5 8" xfId="1358" xr:uid="{00000000-0005-0000-0000-00009A140000}"/>
    <cellStyle name="20% - Accent3 5 8 2" xfId="13386" xr:uid="{00000000-0005-0000-0000-00009B140000}"/>
    <cellStyle name="20% - Accent3 5 8 2 2" xfId="26935" xr:uid="{00000000-0005-0000-0000-00009C140000}"/>
    <cellStyle name="20% - Accent3 5 8 3" xfId="18682" xr:uid="{00000000-0005-0000-0000-00009D140000}"/>
    <cellStyle name="20% - Accent3 5 9" xfId="1359" xr:uid="{00000000-0005-0000-0000-00009E140000}"/>
    <cellStyle name="20% - Accent3 5 9 2" xfId="13967" xr:uid="{00000000-0005-0000-0000-00009F140000}"/>
    <cellStyle name="20% - Accent3 5 9 2 2" xfId="27516" xr:uid="{00000000-0005-0000-0000-0000A0140000}"/>
    <cellStyle name="20% - Accent3 5 9 3" xfId="18683" xr:uid="{00000000-0005-0000-0000-0000A1140000}"/>
    <cellStyle name="20% - Accent3 6" xfId="1360" xr:uid="{00000000-0005-0000-0000-0000A2140000}"/>
    <cellStyle name="20% - Accent3 6 10" xfId="1361" xr:uid="{00000000-0005-0000-0000-0000A3140000}"/>
    <cellStyle name="20% - Accent3 6 10 2" xfId="14816" xr:uid="{00000000-0005-0000-0000-0000A4140000}"/>
    <cellStyle name="20% - Accent3 6 10 2 2" xfId="28365" xr:uid="{00000000-0005-0000-0000-0000A5140000}"/>
    <cellStyle name="20% - Accent3 6 10 3" xfId="18685" xr:uid="{00000000-0005-0000-0000-0000A6140000}"/>
    <cellStyle name="20% - Accent3 6 11" xfId="1362" xr:uid="{00000000-0005-0000-0000-0000A7140000}"/>
    <cellStyle name="20% - Accent3 6 11 2" xfId="15959" xr:uid="{00000000-0005-0000-0000-0000A8140000}"/>
    <cellStyle name="20% - Accent3 6 11 2 2" xfId="29366" xr:uid="{00000000-0005-0000-0000-0000A9140000}"/>
    <cellStyle name="20% - Accent3 6 11 3" xfId="18686" xr:uid="{00000000-0005-0000-0000-0000AA140000}"/>
    <cellStyle name="20% - Accent3 6 12" xfId="9004" xr:uid="{00000000-0005-0000-0000-0000AB140000}"/>
    <cellStyle name="20% - Accent3 6 12 2" xfId="23479" xr:uid="{00000000-0005-0000-0000-0000AC140000}"/>
    <cellStyle name="20% - Accent3 6 13" xfId="18684" xr:uid="{00000000-0005-0000-0000-0000AD140000}"/>
    <cellStyle name="20% - Accent3 6 2" xfId="1363" xr:uid="{00000000-0005-0000-0000-0000AE140000}"/>
    <cellStyle name="20% - Accent3 6 2 10" xfId="1364" xr:uid="{00000000-0005-0000-0000-0000AF140000}"/>
    <cellStyle name="20% - Accent3 6 2 10 2" xfId="16102" xr:uid="{00000000-0005-0000-0000-0000B0140000}"/>
    <cellStyle name="20% - Accent3 6 2 10 2 2" xfId="29509" xr:uid="{00000000-0005-0000-0000-0000B1140000}"/>
    <cellStyle name="20% - Accent3 6 2 10 3" xfId="18688" xr:uid="{00000000-0005-0000-0000-0000B2140000}"/>
    <cellStyle name="20% - Accent3 6 2 11" xfId="9005" xr:uid="{00000000-0005-0000-0000-0000B3140000}"/>
    <cellStyle name="20% - Accent3 6 2 11 2" xfId="23480" xr:uid="{00000000-0005-0000-0000-0000B4140000}"/>
    <cellStyle name="20% - Accent3 6 2 12" xfId="18687" xr:uid="{00000000-0005-0000-0000-0000B5140000}"/>
    <cellStyle name="20% - Accent3 6 2 2" xfId="1365" xr:uid="{00000000-0005-0000-0000-0000B6140000}"/>
    <cellStyle name="20% - Accent3 6 2 2 10" xfId="9006" xr:uid="{00000000-0005-0000-0000-0000B7140000}"/>
    <cellStyle name="20% - Accent3 6 2 2 10 2" xfId="23481" xr:uid="{00000000-0005-0000-0000-0000B8140000}"/>
    <cellStyle name="20% - Accent3 6 2 2 11" xfId="18689" xr:uid="{00000000-0005-0000-0000-0000B9140000}"/>
    <cellStyle name="20% - Accent3 6 2 2 2" xfId="1366" xr:uid="{00000000-0005-0000-0000-0000BA140000}"/>
    <cellStyle name="20% - Accent3 6 2 2 2 2" xfId="1367" xr:uid="{00000000-0005-0000-0000-0000BB140000}"/>
    <cellStyle name="20% - Accent3 6 2 2 2 2 2" xfId="10732" xr:uid="{00000000-0005-0000-0000-0000BC140000}"/>
    <cellStyle name="20% - Accent3 6 2 2 2 2 2 2" xfId="24674" xr:uid="{00000000-0005-0000-0000-0000BD140000}"/>
    <cellStyle name="20% - Accent3 6 2 2 2 2 3" xfId="18691" xr:uid="{00000000-0005-0000-0000-0000BE140000}"/>
    <cellStyle name="20% - Accent3 6 2 2 2 3" xfId="1368" xr:uid="{00000000-0005-0000-0000-0000BF140000}"/>
    <cellStyle name="20% - Accent3 6 2 2 2 3 2" xfId="12784" xr:uid="{00000000-0005-0000-0000-0000C0140000}"/>
    <cellStyle name="20% - Accent3 6 2 2 2 3 2 2" xfId="26496" xr:uid="{00000000-0005-0000-0000-0000C1140000}"/>
    <cellStyle name="20% - Accent3 6 2 2 2 3 3" xfId="18692" xr:uid="{00000000-0005-0000-0000-0000C2140000}"/>
    <cellStyle name="20% - Accent3 6 2 2 2 4" xfId="1369" xr:uid="{00000000-0005-0000-0000-0000C3140000}"/>
    <cellStyle name="20% - Accent3 6 2 2 2 4 2" xfId="14819" xr:uid="{00000000-0005-0000-0000-0000C4140000}"/>
    <cellStyle name="20% - Accent3 6 2 2 2 4 2 2" xfId="28368" xr:uid="{00000000-0005-0000-0000-0000C5140000}"/>
    <cellStyle name="20% - Accent3 6 2 2 2 4 3" xfId="18693" xr:uid="{00000000-0005-0000-0000-0000C6140000}"/>
    <cellStyle name="20% - Accent3 6 2 2 2 5" xfId="1370" xr:uid="{00000000-0005-0000-0000-0000C7140000}"/>
    <cellStyle name="20% - Accent3 6 2 2 2 5 2" xfId="16972" xr:uid="{00000000-0005-0000-0000-0000C8140000}"/>
    <cellStyle name="20% - Accent3 6 2 2 2 5 2 2" xfId="30379" xr:uid="{00000000-0005-0000-0000-0000C9140000}"/>
    <cellStyle name="20% - Accent3 6 2 2 2 5 3" xfId="18694" xr:uid="{00000000-0005-0000-0000-0000CA140000}"/>
    <cellStyle name="20% - Accent3 6 2 2 2 6" xfId="9007" xr:uid="{00000000-0005-0000-0000-0000CB140000}"/>
    <cellStyle name="20% - Accent3 6 2 2 2 6 2" xfId="23482" xr:uid="{00000000-0005-0000-0000-0000CC140000}"/>
    <cellStyle name="20% - Accent3 6 2 2 2 7" xfId="18690" xr:uid="{00000000-0005-0000-0000-0000CD140000}"/>
    <cellStyle name="20% - Accent3 6 2 2 3" xfId="1371" xr:uid="{00000000-0005-0000-0000-0000CE140000}"/>
    <cellStyle name="20% - Accent3 6 2 2 3 2" xfId="1372" xr:uid="{00000000-0005-0000-0000-0000CF140000}"/>
    <cellStyle name="20% - Accent3 6 2 2 3 2 2" xfId="14820" xr:uid="{00000000-0005-0000-0000-0000D0140000}"/>
    <cellStyle name="20% - Accent3 6 2 2 3 2 2 2" xfId="28369" xr:uid="{00000000-0005-0000-0000-0000D1140000}"/>
    <cellStyle name="20% - Accent3 6 2 2 3 2 3" xfId="18696" xr:uid="{00000000-0005-0000-0000-0000D2140000}"/>
    <cellStyle name="20% - Accent3 6 2 2 3 3" xfId="10731" xr:uid="{00000000-0005-0000-0000-0000D3140000}"/>
    <cellStyle name="20% - Accent3 6 2 2 3 3 2" xfId="24673" xr:uid="{00000000-0005-0000-0000-0000D4140000}"/>
    <cellStyle name="20% - Accent3 6 2 2 3 4" xfId="18695" xr:uid="{00000000-0005-0000-0000-0000D5140000}"/>
    <cellStyle name="20% - Accent3 6 2 2 4" xfId="1373" xr:uid="{00000000-0005-0000-0000-0000D6140000}"/>
    <cellStyle name="20% - Accent3 6 2 2 4 2" xfId="12360" xr:uid="{00000000-0005-0000-0000-0000D7140000}"/>
    <cellStyle name="20% - Accent3 6 2 2 4 2 2" xfId="26072" xr:uid="{00000000-0005-0000-0000-0000D8140000}"/>
    <cellStyle name="20% - Accent3 6 2 2 4 3" xfId="18697" xr:uid="{00000000-0005-0000-0000-0000D9140000}"/>
    <cellStyle name="20% - Accent3 6 2 2 5" xfId="1374" xr:uid="{00000000-0005-0000-0000-0000DA140000}"/>
    <cellStyle name="20% - Accent3 6 2 2 5 2" xfId="12644" xr:uid="{00000000-0005-0000-0000-0000DB140000}"/>
    <cellStyle name="20% - Accent3 6 2 2 5 2 2" xfId="26356" xr:uid="{00000000-0005-0000-0000-0000DC140000}"/>
    <cellStyle name="20% - Accent3 6 2 2 5 3" xfId="18698" xr:uid="{00000000-0005-0000-0000-0000DD140000}"/>
    <cellStyle name="20% - Accent3 6 2 2 6" xfId="1375" xr:uid="{00000000-0005-0000-0000-0000DE140000}"/>
    <cellStyle name="20% - Accent3 6 2 2 6 2" xfId="13924" xr:uid="{00000000-0005-0000-0000-0000DF140000}"/>
    <cellStyle name="20% - Accent3 6 2 2 6 2 2" xfId="27473" xr:uid="{00000000-0005-0000-0000-0000E0140000}"/>
    <cellStyle name="20% - Accent3 6 2 2 6 3" xfId="18699" xr:uid="{00000000-0005-0000-0000-0000E1140000}"/>
    <cellStyle name="20% - Accent3 6 2 2 7" xfId="1376" xr:uid="{00000000-0005-0000-0000-0000E2140000}"/>
    <cellStyle name="20% - Accent3 6 2 2 7 2" xfId="14505" xr:uid="{00000000-0005-0000-0000-0000E3140000}"/>
    <cellStyle name="20% - Accent3 6 2 2 7 2 2" xfId="28054" xr:uid="{00000000-0005-0000-0000-0000E4140000}"/>
    <cellStyle name="20% - Accent3 6 2 2 7 3" xfId="18700" xr:uid="{00000000-0005-0000-0000-0000E5140000}"/>
    <cellStyle name="20% - Accent3 6 2 2 8" xfId="1377" xr:uid="{00000000-0005-0000-0000-0000E6140000}"/>
    <cellStyle name="20% - Accent3 6 2 2 8 2" xfId="14818" xr:uid="{00000000-0005-0000-0000-0000E7140000}"/>
    <cellStyle name="20% - Accent3 6 2 2 8 2 2" xfId="28367" xr:uid="{00000000-0005-0000-0000-0000E8140000}"/>
    <cellStyle name="20% - Accent3 6 2 2 8 3" xfId="18701" xr:uid="{00000000-0005-0000-0000-0000E9140000}"/>
    <cellStyle name="20% - Accent3 6 2 2 9" xfId="1378" xr:uid="{00000000-0005-0000-0000-0000EA140000}"/>
    <cellStyle name="20% - Accent3 6 2 2 9 2" xfId="16391" xr:uid="{00000000-0005-0000-0000-0000EB140000}"/>
    <cellStyle name="20% - Accent3 6 2 2 9 2 2" xfId="29798" xr:uid="{00000000-0005-0000-0000-0000EC140000}"/>
    <cellStyle name="20% - Accent3 6 2 2 9 3" xfId="18702" xr:uid="{00000000-0005-0000-0000-0000ED140000}"/>
    <cellStyle name="20% - Accent3 6 2 3" xfId="1379" xr:uid="{00000000-0005-0000-0000-0000EE140000}"/>
    <cellStyle name="20% - Accent3 6 2 3 2" xfId="1380" xr:uid="{00000000-0005-0000-0000-0000EF140000}"/>
    <cellStyle name="20% - Accent3 6 2 3 2 2" xfId="10733" xr:uid="{00000000-0005-0000-0000-0000F0140000}"/>
    <cellStyle name="20% - Accent3 6 2 3 2 2 2" xfId="24675" xr:uid="{00000000-0005-0000-0000-0000F1140000}"/>
    <cellStyle name="20% - Accent3 6 2 3 2 3" xfId="18704" xr:uid="{00000000-0005-0000-0000-0000F2140000}"/>
    <cellStyle name="20% - Accent3 6 2 3 3" xfId="1381" xr:uid="{00000000-0005-0000-0000-0000F3140000}"/>
    <cellStyle name="20% - Accent3 6 2 3 3 2" xfId="11849" xr:uid="{00000000-0005-0000-0000-0000F4140000}"/>
    <cellStyle name="20% - Accent3 6 2 3 3 2 2" xfId="25564" xr:uid="{00000000-0005-0000-0000-0000F5140000}"/>
    <cellStyle name="20% - Accent3 6 2 3 3 3" xfId="18705" xr:uid="{00000000-0005-0000-0000-0000F6140000}"/>
    <cellStyle name="20% - Accent3 6 2 3 4" xfId="1382" xr:uid="{00000000-0005-0000-0000-0000F7140000}"/>
    <cellStyle name="20% - Accent3 6 2 3 4 2" xfId="14821" xr:uid="{00000000-0005-0000-0000-0000F8140000}"/>
    <cellStyle name="20% - Accent3 6 2 3 4 2 2" xfId="28370" xr:uid="{00000000-0005-0000-0000-0000F9140000}"/>
    <cellStyle name="20% - Accent3 6 2 3 4 3" xfId="18706" xr:uid="{00000000-0005-0000-0000-0000FA140000}"/>
    <cellStyle name="20% - Accent3 6 2 3 5" xfId="1383" xr:uid="{00000000-0005-0000-0000-0000FB140000}"/>
    <cellStyle name="20% - Accent3 6 2 3 5 2" xfId="16683" xr:uid="{00000000-0005-0000-0000-0000FC140000}"/>
    <cellStyle name="20% - Accent3 6 2 3 5 2 2" xfId="30090" xr:uid="{00000000-0005-0000-0000-0000FD140000}"/>
    <cellStyle name="20% - Accent3 6 2 3 5 3" xfId="18707" xr:uid="{00000000-0005-0000-0000-0000FE140000}"/>
    <cellStyle name="20% - Accent3 6 2 3 6" xfId="9008" xr:uid="{00000000-0005-0000-0000-0000FF140000}"/>
    <cellStyle name="20% - Accent3 6 2 3 6 2" xfId="23483" xr:uid="{00000000-0005-0000-0000-000000150000}"/>
    <cellStyle name="20% - Accent3 6 2 3 7" xfId="18703" xr:uid="{00000000-0005-0000-0000-000001150000}"/>
    <cellStyle name="20% - Accent3 6 2 4" xfId="1384" xr:uid="{00000000-0005-0000-0000-000002150000}"/>
    <cellStyle name="20% - Accent3 6 2 4 2" xfId="1385" xr:uid="{00000000-0005-0000-0000-000003150000}"/>
    <cellStyle name="20% - Accent3 6 2 4 2 2" xfId="14822" xr:uid="{00000000-0005-0000-0000-000004150000}"/>
    <cellStyle name="20% - Accent3 6 2 4 2 2 2" xfId="28371" xr:uid="{00000000-0005-0000-0000-000005150000}"/>
    <cellStyle name="20% - Accent3 6 2 4 2 3" xfId="18709" xr:uid="{00000000-0005-0000-0000-000006150000}"/>
    <cellStyle name="20% - Accent3 6 2 4 3" xfId="10730" xr:uid="{00000000-0005-0000-0000-000007150000}"/>
    <cellStyle name="20% - Accent3 6 2 4 3 2" xfId="24672" xr:uid="{00000000-0005-0000-0000-000008150000}"/>
    <cellStyle name="20% - Accent3 6 2 4 4" xfId="18708" xr:uid="{00000000-0005-0000-0000-000009150000}"/>
    <cellStyle name="20% - Accent3 6 2 5" xfId="1386" xr:uid="{00000000-0005-0000-0000-00000A150000}"/>
    <cellStyle name="20% - Accent3 6 2 5 2" xfId="12060" xr:uid="{00000000-0005-0000-0000-00000B150000}"/>
    <cellStyle name="20% - Accent3 6 2 5 2 2" xfId="25775" xr:uid="{00000000-0005-0000-0000-00000C150000}"/>
    <cellStyle name="20% - Accent3 6 2 5 3" xfId="18710" xr:uid="{00000000-0005-0000-0000-00000D150000}"/>
    <cellStyle name="20% - Accent3 6 2 6" xfId="1387" xr:uid="{00000000-0005-0000-0000-00000E150000}"/>
    <cellStyle name="20% - Accent3 6 2 6 2" xfId="12398" xr:uid="{00000000-0005-0000-0000-00000F150000}"/>
    <cellStyle name="20% - Accent3 6 2 6 2 2" xfId="26110" xr:uid="{00000000-0005-0000-0000-000010150000}"/>
    <cellStyle name="20% - Accent3 6 2 6 3" xfId="18711" xr:uid="{00000000-0005-0000-0000-000011150000}"/>
    <cellStyle name="20% - Accent3 6 2 7" xfId="1388" xr:uid="{00000000-0005-0000-0000-000012150000}"/>
    <cellStyle name="20% - Accent3 6 2 7 2" xfId="13635" xr:uid="{00000000-0005-0000-0000-000013150000}"/>
    <cellStyle name="20% - Accent3 6 2 7 2 2" xfId="27184" xr:uid="{00000000-0005-0000-0000-000014150000}"/>
    <cellStyle name="20% - Accent3 6 2 7 3" xfId="18712" xr:uid="{00000000-0005-0000-0000-000015150000}"/>
    <cellStyle name="20% - Accent3 6 2 8" xfId="1389" xr:uid="{00000000-0005-0000-0000-000016150000}"/>
    <cellStyle name="20% - Accent3 6 2 8 2" xfId="14216" xr:uid="{00000000-0005-0000-0000-000017150000}"/>
    <cellStyle name="20% - Accent3 6 2 8 2 2" xfId="27765" xr:uid="{00000000-0005-0000-0000-000018150000}"/>
    <cellStyle name="20% - Accent3 6 2 8 3" xfId="18713" xr:uid="{00000000-0005-0000-0000-000019150000}"/>
    <cellStyle name="20% - Accent3 6 2 9" xfId="1390" xr:uid="{00000000-0005-0000-0000-00001A150000}"/>
    <cellStyle name="20% - Accent3 6 2 9 2" xfId="14817" xr:uid="{00000000-0005-0000-0000-00001B150000}"/>
    <cellStyle name="20% - Accent3 6 2 9 2 2" xfId="28366" xr:uid="{00000000-0005-0000-0000-00001C150000}"/>
    <cellStyle name="20% - Accent3 6 2 9 3" xfId="18714" xr:uid="{00000000-0005-0000-0000-00001D150000}"/>
    <cellStyle name="20% - Accent3 6 3" xfId="1391" xr:uid="{00000000-0005-0000-0000-00001E150000}"/>
    <cellStyle name="20% - Accent3 6 3 10" xfId="9009" xr:uid="{00000000-0005-0000-0000-00001F150000}"/>
    <cellStyle name="20% - Accent3 6 3 10 2" xfId="23484" xr:uid="{00000000-0005-0000-0000-000020150000}"/>
    <cellStyle name="20% - Accent3 6 3 11" xfId="18715" xr:uid="{00000000-0005-0000-0000-000021150000}"/>
    <cellStyle name="20% - Accent3 6 3 2" xfId="1392" xr:uid="{00000000-0005-0000-0000-000022150000}"/>
    <cellStyle name="20% - Accent3 6 3 2 2" xfId="1393" xr:uid="{00000000-0005-0000-0000-000023150000}"/>
    <cellStyle name="20% - Accent3 6 3 2 2 2" xfId="10735" xr:uid="{00000000-0005-0000-0000-000024150000}"/>
    <cellStyle name="20% - Accent3 6 3 2 2 2 2" xfId="24677" xr:uid="{00000000-0005-0000-0000-000025150000}"/>
    <cellStyle name="20% - Accent3 6 3 2 2 3" xfId="18717" xr:uid="{00000000-0005-0000-0000-000026150000}"/>
    <cellStyle name="20% - Accent3 6 3 2 3" xfId="1394" xr:uid="{00000000-0005-0000-0000-000027150000}"/>
    <cellStyle name="20% - Accent3 6 3 2 3 2" xfId="12637" xr:uid="{00000000-0005-0000-0000-000028150000}"/>
    <cellStyle name="20% - Accent3 6 3 2 3 2 2" xfId="26349" xr:uid="{00000000-0005-0000-0000-000029150000}"/>
    <cellStyle name="20% - Accent3 6 3 2 3 3" xfId="18718" xr:uid="{00000000-0005-0000-0000-00002A150000}"/>
    <cellStyle name="20% - Accent3 6 3 2 4" xfId="1395" xr:uid="{00000000-0005-0000-0000-00002B150000}"/>
    <cellStyle name="20% - Accent3 6 3 2 4 2" xfId="14824" xr:uid="{00000000-0005-0000-0000-00002C150000}"/>
    <cellStyle name="20% - Accent3 6 3 2 4 2 2" xfId="28373" xr:uid="{00000000-0005-0000-0000-00002D150000}"/>
    <cellStyle name="20% - Accent3 6 3 2 4 3" xfId="18719" xr:uid="{00000000-0005-0000-0000-00002E150000}"/>
    <cellStyle name="20% - Accent3 6 3 2 5" xfId="1396" xr:uid="{00000000-0005-0000-0000-00002F150000}"/>
    <cellStyle name="20% - Accent3 6 3 2 5 2" xfId="16829" xr:uid="{00000000-0005-0000-0000-000030150000}"/>
    <cellStyle name="20% - Accent3 6 3 2 5 2 2" xfId="30236" xr:uid="{00000000-0005-0000-0000-000031150000}"/>
    <cellStyle name="20% - Accent3 6 3 2 5 3" xfId="18720" xr:uid="{00000000-0005-0000-0000-000032150000}"/>
    <cellStyle name="20% - Accent3 6 3 2 6" xfId="9010" xr:uid="{00000000-0005-0000-0000-000033150000}"/>
    <cellStyle name="20% - Accent3 6 3 2 6 2" xfId="23485" xr:uid="{00000000-0005-0000-0000-000034150000}"/>
    <cellStyle name="20% - Accent3 6 3 2 7" xfId="18716" xr:uid="{00000000-0005-0000-0000-000035150000}"/>
    <cellStyle name="20% - Accent3 6 3 3" xfId="1397" xr:uid="{00000000-0005-0000-0000-000036150000}"/>
    <cellStyle name="20% - Accent3 6 3 3 2" xfId="1398" xr:uid="{00000000-0005-0000-0000-000037150000}"/>
    <cellStyle name="20% - Accent3 6 3 3 2 2" xfId="14825" xr:uid="{00000000-0005-0000-0000-000038150000}"/>
    <cellStyle name="20% - Accent3 6 3 3 2 2 2" xfId="28374" xr:uid="{00000000-0005-0000-0000-000039150000}"/>
    <cellStyle name="20% - Accent3 6 3 3 2 3" xfId="18722" xr:uid="{00000000-0005-0000-0000-00003A150000}"/>
    <cellStyle name="20% - Accent3 6 3 3 3" xfId="10734" xr:uid="{00000000-0005-0000-0000-00003B150000}"/>
    <cellStyle name="20% - Accent3 6 3 3 3 2" xfId="24676" xr:uid="{00000000-0005-0000-0000-00003C150000}"/>
    <cellStyle name="20% - Accent3 6 3 3 4" xfId="18721" xr:uid="{00000000-0005-0000-0000-00003D150000}"/>
    <cellStyle name="20% - Accent3 6 3 4" xfId="1399" xr:uid="{00000000-0005-0000-0000-00003E150000}"/>
    <cellStyle name="20% - Accent3 6 3 4 2" xfId="12217" xr:uid="{00000000-0005-0000-0000-00003F150000}"/>
    <cellStyle name="20% - Accent3 6 3 4 2 2" xfId="25929" xr:uid="{00000000-0005-0000-0000-000040150000}"/>
    <cellStyle name="20% - Accent3 6 3 4 3" xfId="18723" xr:uid="{00000000-0005-0000-0000-000041150000}"/>
    <cellStyle name="20% - Accent3 6 3 5" xfId="1400" xr:uid="{00000000-0005-0000-0000-000042150000}"/>
    <cellStyle name="20% - Accent3 6 3 5 2" xfId="12717" xr:uid="{00000000-0005-0000-0000-000043150000}"/>
    <cellStyle name="20% - Accent3 6 3 5 2 2" xfId="26429" xr:uid="{00000000-0005-0000-0000-000044150000}"/>
    <cellStyle name="20% - Accent3 6 3 5 3" xfId="18724" xr:uid="{00000000-0005-0000-0000-000045150000}"/>
    <cellStyle name="20% - Accent3 6 3 6" xfId="1401" xr:uid="{00000000-0005-0000-0000-000046150000}"/>
    <cellStyle name="20% - Accent3 6 3 6 2" xfId="13781" xr:uid="{00000000-0005-0000-0000-000047150000}"/>
    <cellStyle name="20% - Accent3 6 3 6 2 2" xfId="27330" xr:uid="{00000000-0005-0000-0000-000048150000}"/>
    <cellStyle name="20% - Accent3 6 3 6 3" xfId="18725" xr:uid="{00000000-0005-0000-0000-000049150000}"/>
    <cellStyle name="20% - Accent3 6 3 7" xfId="1402" xr:uid="{00000000-0005-0000-0000-00004A150000}"/>
    <cellStyle name="20% - Accent3 6 3 7 2" xfId="14362" xr:uid="{00000000-0005-0000-0000-00004B150000}"/>
    <cellStyle name="20% - Accent3 6 3 7 2 2" xfId="27911" xr:uid="{00000000-0005-0000-0000-00004C150000}"/>
    <cellStyle name="20% - Accent3 6 3 7 3" xfId="18726" xr:uid="{00000000-0005-0000-0000-00004D150000}"/>
    <cellStyle name="20% - Accent3 6 3 8" xfId="1403" xr:uid="{00000000-0005-0000-0000-00004E150000}"/>
    <cellStyle name="20% - Accent3 6 3 8 2" xfId="14823" xr:uid="{00000000-0005-0000-0000-00004F150000}"/>
    <cellStyle name="20% - Accent3 6 3 8 2 2" xfId="28372" xr:uid="{00000000-0005-0000-0000-000050150000}"/>
    <cellStyle name="20% - Accent3 6 3 8 3" xfId="18727" xr:uid="{00000000-0005-0000-0000-000051150000}"/>
    <cellStyle name="20% - Accent3 6 3 9" xfId="1404" xr:uid="{00000000-0005-0000-0000-000052150000}"/>
    <cellStyle name="20% - Accent3 6 3 9 2" xfId="16248" xr:uid="{00000000-0005-0000-0000-000053150000}"/>
    <cellStyle name="20% - Accent3 6 3 9 2 2" xfId="29655" xr:uid="{00000000-0005-0000-0000-000054150000}"/>
    <cellStyle name="20% - Accent3 6 3 9 3" xfId="18728" xr:uid="{00000000-0005-0000-0000-000055150000}"/>
    <cellStyle name="20% - Accent3 6 4" xfId="1405" xr:uid="{00000000-0005-0000-0000-000056150000}"/>
    <cellStyle name="20% - Accent3 6 4 2" xfId="1406" xr:uid="{00000000-0005-0000-0000-000057150000}"/>
    <cellStyle name="20% - Accent3 6 4 2 2" xfId="10736" xr:uid="{00000000-0005-0000-0000-000058150000}"/>
    <cellStyle name="20% - Accent3 6 4 2 2 2" xfId="24678" xr:uid="{00000000-0005-0000-0000-000059150000}"/>
    <cellStyle name="20% - Accent3 6 4 2 3" xfId="18730" xr:uid="{00000000-0005-0000-0000-00005A150000}"/>
    <cellStyle name="20% - Accent3 6 4 3" xfId="1407" xr:uid="{00000000-0005-0000-0000-00005B150000}"/>
    <cellStyle name="20% - Accent3 6 4 3 2" xfId="12664" xr:uid="{00000000-0005-0000-0000-00005C150000}"/>
    <cellStyle name="20% - Accent3 6 4 3 2 2" xfId="26376" xr:uid="{00000000-0005-0000-0000-00005D150000}"/>
    <cellStyle name="20% - Accent3 6 4 3 3" xfId="18731" xr:uid="{00000000-0005-0000-0000-00005E150000}"/>
    <cellStyle name="20% - Accent3 6 4 4" xfId="1408" xr:uid="{00000000-0005-0000-0000-00005F150000}"/>
    <cellStyle name="20% - Accent3 6 4 4 2" xfId="14826" xr:uid="{00000000-0005-0000-0000-000060150000}"/>
    <cellStyle name="20% - Accent3 6 4 4 2 2" xfId="28375" xr:uid="{00000000-0005-0000-0000-000061150000}"/>
    <cellStyle name="20% - Accent3 6 4 4 3" xfId="18732" xr:uid="{00000000-0005-0000-0000-000062150000}"/>
    <cellStyle name="20% - Accent3 6 4 5" xfId="1409" xr:uid="{00000000-0005-0000-0000-000063150000}"/>
    <cellStyle name="20% - Accent3 6 4 5 2" xfId="16540" xr:uid="{00000000-0005-0000-0000-000064150000}"/>
    <cellStyle name="20% - Accent3 6 4 5 2 2" xfId="29947" xr:uid="{00000000-0005-0000-0000-000065150000}"/>
    <cellStyle name="20% - Accent3 6 4 5 3" xfId="18733" xr:uid="{00000000-0005-0000-0000-000066150000}"/>
    <cellStyle name="20% - Accent3 6 4 6" xfId="9011" xr:uid="{00000000-0005-0000-0000-000067150000}"/>
    <cellStyle name="20% - Accent3 6 4 6 2" xfId="23486" xr:uid="{00000000-0005-0000-0000-000068150000}"/>
    <cellStyle name="20% - Accent3 6 4 7" xfId="18729" xr:uid="{00000000-0005-0000-0000-000069150000}"/>
    <cellStyle name="20% - Accent3 6 5" xfId="1410" xr:uid="{00000000-0005-0000-0000-00006A150000}"/>
    <cellStyle name="20% - Accent3 6 5 2" xfId="1411" xr:uid="{00000000-0005-0000-0000-00006B150000}"/>
    <cellStyle name="20% - Accent3 6 5 2 2" xfId="14827" xr:uid="{00000000-0005-0000-0000-00006C150000}"/>
    <cellStyle name="20% - Accent3 6 5 2 2 2" xfId="28376" xr:uid="{00000000-0005-0000-0000-00006D150000}"/>
    <cellStyle name="20% - Accent3 6 5 2 3" xfId="18735" xr:uid="{00000000-0005-0000-0000-00006E150000}"/>
    <cellStyle name="20% - Accent3 6 5 3" xfId="10729" xr:uid="{00000000-0005-0000-0000-00006F150000}"/>
    <cellStyle name="20% - Accent3 6 5 3 2" xfId="24671" xr:uid="{00000000-0005-0000-0000-000070150000}"/>
    <cellStyle name="20% - Accent3 6 5 4" xfId="18734" xr:uid="{00000000-0005-0000-0000-000071150000}"/>
    <cellStyle name="20% - Accent3 6 6" xfId="1412" xr:uid="{00000000-0005-0000-0000-000072150000}"/>
    <cellStyle name="20% - Accent3 6 6 2" xfId="11915" xr:uid="{00000000-0005-0000-0000-000073150000}"/>
    <cellStyle name="20% - Accent3 6 6 2 2" xfId="25630" xr:uid="{00000000-0005-0000-0000-000074150000}"/>
    <cellStyle name="20% - Accent3 6 6 3" xfId="18736" xr:uid="{00000000-0005-0000-0000-000075150000}"/>
    <cellStyle name="20% - Accent3 6 7" xfId="1413" xr:uid="{00000000-0005-0000-0000-000076150000}"/>
    <cellStyle name="20% - Accent3 6 7 2" xfId="12418" xr:uid="{00000000-0005-0000-0000-000077150000}"/>
    <cellStyle name="20% - Accent3 6 7 2 2" xfId="26130" xr:uid="{00000000-0005-0000-0000-000078150000}"/>
    <cellStyle name="20% - Accent3 6 7 3" xfId="18737" xr:uid="{00000000-0005-0000-0000-000079150000}"/>
    <cellStyle name="20% - Accent3 6 8" xfId="1414" xr:uid="{00000000-0005-0000-0000-00007A150000}"/>
    <cellStyle name="20% - Accent3 6 8 2" xfId="13492" xr:uid="{00000000-0005-0000-0000-00007B150000}"/>
    <cellStyle name="20% - Accent3 6 8 2 2" xfId="27041" xr:uid="{00000000-0005-0000-0000-00007C150000}"/>
    <cellStyle name="20% - Accent3 6 8 3" xfId="18738" xr:uid="{00000000-0005-0000-0000-00007D150000}"/>
    <cellStyle name="20% - Accent3 6 9" xfId="1415" xr:uid="{00000000-0005-0000-0000-00007E150000}"/>
    <cellStyle name="20% - Accent3 6 9 2" xfId="14073" xr:uid="{00000000-0005-0000-0000-00007F150000}"/>
    <cellStyle name="20% - Accent3 6 9 2 2" xfId="27622" xr:uid="{00000000-0005-0000-0000-000080150000}"/>
    <cellStyle name="20% - Accent3 6 9 3" xfId="18739" xr:uid="{00000000-0005-0000-0000-000081150000}"/>
    <cellStyle name="20% - Accent3 7" xfId="1416" xr:uid="{00000000-0005-0000-0000-000082150000}"/>
    <cellStyle name="20% - Accent3 7 10" xfId="1417" xr:uid="{00000000-0005-0000-0000-000083150000}"/>
    <cellStyle name="20% - Accent3 7 10 2" xfId="15981" xr:uid="{00000000-0005-0000-0000-000084150000}"/>
    <cellStyle name="20% - Accent3 7 10 2 2" xfId="29388" xr:uid="{00000000-0005-0000-0000-000085150000}"/>
    <cellStyle name="20% - Accent3 7 10 3" xfId="18741" xr:uid="{00000000-0005-0000-0000-000086150000}"/>
    <cellStyle name="20% - Accent3 7 11" xfId="9012" xr:uid="{00000000-0005-0000-0000-000087150000}"/>
    <cellStyle name="20% - Accent3 7 11 2" xfId="23487" xr:uid="{00000000-0005-0000-0000-000088150000}"/>
    <cellStyle name="20% - Accent3 7 12" xfId="18740" xr:uid="{00000000-0005-0000-0000-000089150000}"/>
    <cellStyle name="20% - Accent3 7 2" xfId="1418" xr:uid="{00000000-0005-0000-0000-00008A150000}"/>
    <cellStyle name="20% - Accent3 7 2 10" xfId="9013" xr:uid="{00000000-0005-0000-0000-00008B150000}"/>
    <cellStyle name="20% - Accent3 7 2 10 2" xfId="23488" xr:uid="{00000000-0005-0000-0000-00008C150000}"/>
    <cellStyle name="20% - Accent3 7 2 11" xfId="18742" xr:uid="{00000000-0005-0000-0000-00008D150000}"/>
    <cellStyle name="20% - Accent3 7 2 2" xfId="1419" xr:uid="{00000000-0005-0000-0000-00008E150000}"/>
    <cellStyle name="20% - Accent3 7 2 2 2" xfId="1420" xr:uid="{00000000-0005-0000-0000-00008F150000}"/>
    <cellStyle name="20% - Accent3 7 2 2 2 2" xfId="10739" xr:uid="{00000000-0005-0000-0000-000090150000}"/>
    <cellStyle name="20% - Accent3 7 2 2 2 2 2" xfId="24681" xr:uid="{00000000-0005-0000-0000-000091150000}"/>
    <cellStyle name="20% - Accent3 7 2 2 2 3" xfId="18744" xr:uid="{00000000-0005-0000-0000-000092150000}"/>
    <cellStyle name="20% - Accent3 7 2 2 3" xfId="1421" xr:uid="{00000000-0005-0000-0000-000093150000}"/>
    <cellStyle name="20% - Accent3 7 2 2 3 2" xfId="12521" xr:uid="{00000000-0005-0000-0000-000094150000}"/>
    <cellStyle name="20% - Accent3 7 2 2 3 2 2" xfId="26233" xr:uid="{00000000-0005-0000-0000-000095150000}"/>
    <cellStyle name="20% - Accent3 7 2 2 3 3" xfId="18745" xr:uid="{00000000-0005-0000-0000-000096150000}"/>
    <cellStyle name="20% - Accent3 7 2 2 4" xfId="1422" xr:uid="{00000000-0005-0000-0000-000097150000}"/>
    <cellStyle name="20% - Accent3 7 2 2 4 2" xfId="14830" xr:uid="{00000000-0005-0000-0000-000098150000}"/>
    <cellStyle name="20% - Accent3 7 2 2 4 2 2" xfId="28379" xr:uid="{00000000-0005-0000-0000-000099150000}"/>
    <cellStyle name="20% - Accent3 7 2 2 4 3" xfId="18746" xr:uid="{00000000-0005-0000-0000-00009A150000}"/>
    <cellStyle name="20% - Accent3 7 2 2 5" xfId="1423" xr:uid="{00000000-0005-0000-0000-00009B150000}"/>
    <cellStyle name="20% - Accent3 7 2 2 5 2" xfId="16851" xr:uid="{00000000-0005-0000-0000-00009C150000}"/>
    <cellStyle name="20% - Accent3 7 2 2 5 2 2" xfId="30258" xr:uid="{00000000-0005-0000-0000-00009D150000}"/>
    <cellStyle name="20% - Accent3 7 2 2 5 3" xfId="18747" xr:uid="{00000000-0005-0000-0000-00009E150000}"/>
    <cellStyle name="20% - Accent3 7 2 2 6" xfId="9014" xr:uid="{00000000-0005-0000-0000-00009F150000}"/>
    <cellStyle name="20% - Accent3 7 2 2 6 2" xfId="23489" xr:uid="{00000000-0005-0000-0000-0000A0150000}"/>
    <cellStyle name="20% - Accent3 7 2 2 7" xfId="18743" xr:uid="{00000000-0005-0000-0000-0000A1150000}"/>
    <cellStyle name="20% - Accent3 7 2 3" xfId="1424" xr:uid="{00000000-0005-0000-0000-0000A2150000}"/>
    <cellStyle name="20% - Accent3 7 2 3 2" xfId="1425" xr:uid="{00000000-0005-0000-0000-0000A3150000}"/>
    <cellStyle name="20% - Accent3 7 2 3 2 2" xfId="14831" xr:uid="{00000000-0005-0000-0000-0000A4150000}"/>
    <cellStyle name="20% - Accent3 7 2 3 2 2 2" xfId="28380" xr:uid="{00000000-0005-0000-0000-0000A5150000}"/>
    <cellStyle name="20% - Accent3 7 2 3 2 3" xfId="18749" xr:uid="{00000000-0005-0000-0000-0000A6150000}"/>
    <cellStyle name="20% - Accent3 7 2 3 3" xfId="10738" xr:uid="{00000000-0005-0000-0000-0000A7150000}"/>
    <cellStyle name="20% - Accent3 7 2 3 3 2" xfId="24680" xr:uid="{00000000-0005-0000-0000-0000A8150000}"/>
    <cellStyle name="20% - Accent3 7 2 3 4" xfId="18748" xr:uid="{00000000-0005-0000-0000-0000A9150000}"/>
    <cellStyle name="20% - Accent3 7 2 4" xfId="1426" xr:uid="{00000000-0005-0000-0000-0000AA150000}"/>
    <cellStyle name="20% - Accent3 7 2 4 2" xfId="12239" xr:uid="{00000000-0005-0000-0000-0000AB150000}"/>
    <cellStyle name="20% - Accent3 7 2 4 2 2" xfId="25951" xr:uid="{00000000-0005-0000-0000-0000AC150000}"/>
    <cellStyle name="20% - Accent3 7 2 4 3" xfId="18750" xr:uid="{00000000-0005-0000-0000-0000AD150000}"/>
    <cellStyle name="20% - Accent3 7 2 5" xfId="1427" xr:uid="{00000000-0005-0000-0000-0000AE150000}"/>
    <cellStyle name="20% - Accent3 7 2 5 2" xfId="12520" xr:uid="{00000000-0005-0000-0000-0000AF150000}"/>
    <cellStyle name="20% - Accent3 7 2 5 2 2" xfId="26232" xr:uid="{00000000-0005-0000-0000-0000B0150000}"/>
    <cellStyle name="20% - Accent3 7 2 5 3" xfId="18751" xr:uid="{00000000-0005-0000-0000-0000B1150000}"/>
    <cellStyle name="20% - Accent3 7 2 6" xfId="1428" xr:uid="{00000000-0005-0000-0000-0000B2150000}"/>
    <cellStyle name="20% - Accent3 7 2 6 2" xfId="13803" xr:uid="{00000000-0005-0000-0000-0000B3150000}"/>
    <cellStyle name="20% - Accent3 7 2 6 2 2" xfId="27352" xr:uid="{00000000-0005-0000-0000-0000B4150000}"/>
    <cellStyle name="20% - Accent3 7 2 6 3" xfId="18752" xr:uid="{00000000-0005-0000-0000-0000B5150000}"/>
    <cellStyle name="20% - Accent3 7 2 7" xfId="1429" xr:uid="{00000000-0005-0000-0000-0000B6150000}"/>
    <cellStyle name="20% - Accent3 7 2 7 2" xfId="14384" xr:uid="{00000000-0005-0000-0000-0000B7150000}"/>
    <cellStyle name="20% - Accent3 7 2 7 2 2" xfId="27933" xr:uid="{00000000-0005-0000-0000-0000B8150000}"/>
    <cellStyle name="20% - Accent3 7 2 7 3" xfId="18753" xr:uid="{00000000-0005-0000-0000-0000B9150000}"/>
    <cellStyle name="20% - Accent3 7 2 8" xfId="1430" xr:uid="{00000000-0005-0000-0000-0000BA150000}"/>
    <cellStyle name="20% - Accent3 7 2 8 2" xfId="14829" xr:uid="{00000000-0005-0000-0000-0000BB150000}"/>
    <cellStyle name="20% - Accent3 7 2 8 2 2" xfId="28378" xr:uid="{00000000-0005-0000-0000-0000BC150000}"/>
    <cellStyle name="20% - Accent3 7 2 8 3" xfId="18754" xr:uid="{00000000-0005-0000-0000-0000BD150000}"/>
    <cellStyle name="20% - Accent3 7 2 9" xfId="1431" xr:uid="{00000000-0005-0000-0000-0000BE150000}"/>
    <cellStyle name="20% - Accent3 7 2 9 2" xfId="16270" xr:uid="{00000000-0005-0000-0000-0000BF150000}"/>
    <cellStyle name="20% - Accent3 7 2 9 2 2" xfId="29677" xr:uid="{00000000-0005-0000-0000-0000C0150000}"/>
    <cellStyle name="20% - Accent3 7 2 9 3" xfId="18755" xr:uid="{00000000-0005-0000-0000-0000C1150000}"/>
    <cellStyle name="20% - Accent3 7 3" xfId="1432" xr:uid="{00000000-0005-0000-0000-0000C2150000}"/>
    <cellStyle name="20% - Accent3 7 3 2" xfId="1433" xr:uid="{00000000-0005-0000-0000-0000C3150000}"/>
    <cellStyle name="20% - Accent3 7 3 2 2" xfId="10740" xr:uid="{00000000-0005-0000-0000-0000C4150000}"/>
    <cellStyle name="20% - Accent3 7 3 2 2 2" xfId="24682" xr:uid="{00000000-0005-0000-0000-0000C5150000}"/>
    <cellStyle name="20% - Accent3 7 3 2 3" xfId="18757" xr:uid="{00000000-0005-0000-0000-0000C6150000}"/>
    <cellStyle name="20% - Accent3 7 3 3" xfId="1434" xr:uid="{00000000-0005-0000-0000-0000C7150000}"/>
    <cellStyle name="20% - Accent3 7 3 3 2" xfId="12698" xr:uid="{00000000-0005-0000-0000-0000C8150000}"/>
    <cellStyle name="20% - Accent3 7 3 3 2 2" xfId="26410" xr:uid="{00000000-0005-0000-0000-0000C9150000}"/>
    <cellStyle name="20% - Accent3 7 3 3 3" xfId="18758" xr:uid="{00000000-0005-0000-0000-0000CA150000}"/>
    <cellStyle name="20% - Accent3 7 3 4" xfId="1435" xr:uid="{00000000-0005-0000-0000-0000CB150000}"/>
    <cellStyle name="20% - Accent3 7 3 4 2" xfId="14832" xr:uid="{00000000-0005-0000-0000-0000CC150000}"/>
    <cellStyle name="20% - Accent3 7 3 4 2 2" xfId="28381" xr:uid="{00000000-0005-0000-0000-0000CD150000}"/>
    <cellStyle name="20% - Accent3 7 3 4 3" xfId="18759" xr:uid="{00000000-0005-0000-0000-0000CE150000}"/>
    <cellStyle name="20% - Accent3 7 3 5" xfId="1436" xr:uid="{00000000-0005-0000-0000-0000CF150000}"/>
    <cellStyle name="20% - Accent3 7 3 5 2" xfId="16562" xr:uid="{00000000-0005-0000-0000-0000D0150000}"/>
    <cellStyle name="20% - Accent3 7 3 5 2 2" xfId="29969" xr:uid="{00000000-0005-0000-0000-0000D1150000}"/>
    <cellStyle name="20% - Accent3 7 3 5 3" xfId="18760" xr:uid="{00000000-0005-0000-0000-0000D2150000}"/>
    <cellStyle name="20% - Accent3 7 3 6" xfId="9015" xr:uid="{00000000-0005-0000-0000-0000D3150000}"/>
    <cellStyle name="20% - Accent3 7 3 6 2" xfId="23490" xr:uid="{00000000-0005-0000-0000-0000D4150000}"/>
    <cellStyle name="20% - Accent3 7 3 7" xfId="18756" xr:uid="{00000000-0005-0000-0000-0000D5150000}"/>
    <cellStyle name="20% - Accent3 7 4" xfId="1437" xr:uid="{00000000-0005-0000-0000-0000D6150000}"/>
    <cellStyle name="20% - Accent3 7 4 2" xfId="1438" xr:uid="{00000000-0005-0000-0000-0000D7150000}"/>
    <cellStyle name="20% - Accent3 7 4 2 2" xfId="14833" xr:uid="{00000000-0005-0000-0000-0000D8150000}"/>
    <cellStyle name="20% - Accent3 7 4 2 2 2" xfId="28382" xr:uid="{00000000-0005-0000-0000-0000D9150000}"/>
    <cellStyle name="20% - Accent3 7 4 2 3" xfId="18762" xr:uid="{00000000-0005-0000-0000-0000DA150000}"/>
    <cellStyle name="20% - Accent3 7 4 3" xfId="10737" xr:uid="{00000000-0005-0000-0000-0000DB150000}"/>
    <cellStyle name="20% - Accent3 7 4 3 2" xfId="24679" xr:uid="{00000000-0005-0000-0000-0000DC150000}"/>
    <cellStyle name="20% - Accent3 7 4 4" xfId="18761" xr:uid="{00000000-0005-0000-0000-0000DD150000}"/>
    <cellStyle name="20% - Accent3 7 5" xfId="1439" xr:uid="{00000000-0005-0000-0000-0000DE150000}"/>
    <cellStyle name="20% - Accent3 7 5 2" xfId="11937" xr:uid="{00000000-0005-0000-0000-0000DF150000}"/>
    <cellStyle name="20% - Accent3 7 5 2 2" xfId="25652" xr:uid="{00000000-0005-0000-0000-0000E0150000}"/>
    <cellStyle name="20% - Accent3 7 5 3" xfId="18763" xr:uid="{00000000-0005-0000-0000-0000E1150000}"/>
    <cellStyle name="20% - Accent3 7 6" xfId="1440" xr:uid="{00000000-0005-0000-0000-0000E2150000}"/>
    <cellStyle name="20% - Accent3 7 6 2" xfId="12484" xr:uid="{00000000-0005-0000-0000-0000E3150000}"/>
    <cellStyle name="20% - Accent3 7 6 2 2" xfId="26196" xr:uid="{00000000-0005-0000-0000-0000E4150000}"/>
    <cellStyle name="20% - Accent3 7 6 3" xfId="18764" xr:uid="{00000000-0005-0000-0000-0000E5150000}"/>
    <cellStyle name="20% - Accent3 7 7" xfId="1441" xr:uid="{00000000-0005-0000-0000-0000E6150000}"/>
    <cellStyle name="20% - Accent3 7 7 2" xfId="13514" xr:uid="{00000000-0005-0000-0000-0000E7150000}"/>
    <cellStyle name="20% - Accent3 7 7 2 2" xfId="27063" xr:uid="{00000000-0005-0000-0000-0000E8150000}"/>
    <cellStyle name="20% - Accent3 7 7 3" xfId="18765" xr:uid="{00000000-0005-0000-0000-0000E9150000}"/>
    <cellStyle name="20% - Accent3 7 8" xfId="1442" xr:uid="{00000000-0005-0000-0000-0000EA150000}"/>
    <cellStyle name="20% - Accent3 7 8 2" xfId="14095" xr:uid="{00000000-0005-0000-0000-0000EB150000}"/>
    <cellStyle name="20% - Accent3 7 8 2 2" xfId="27644" xr:uid="{00000000-0005-0000-0000-0000EC150000}"/>
    <cellStyle name="20% - Accent3 7 8 3" xfId="18766" xr:uid="{00000000-0005-0000-0000-0000ED150000}"/>
    <cellStyle name="20% - Accent3 7 9" xfId="1443" xr:uid="{00000000-0005-0000-0000-0000EE150000}"/>
    <cellStyle name="20% - Accent3 7 9 2" xfId="14828" xr:uid="{00000000-0005-0000-0000-0000EF150000}"/>
    <cellStyle name="20% - Accent3 7 9 2 2" xfId="28377" xr:uid="{00000000-0005-0000-0000-0000F0150000}"/>
    <cellStyle name="20% - Accent3 7 9 3" xfId="18767" xr:uid="{00000000-0005-0000-0000-0000F1150000}"/>
    <cellStyle name="20% - Accent3 8" xfId="1444" xr:uid="{00000000-0005-0000-0000-0000F2150000}"/>
    <cellStyle name="20% - Accent3 8 10" xfId="9016" xr:uid="{00000000-0005-0000-0000-0000F3150000}"/>
    <cellStyle name="20% - Accent3 8 10 2" xfId="23491" xr:uid="{00000000-0005-0000-0000-0000F4150000}"/>
    <cellStyle name="20% - Accent3 8 11" xfId="18768" xr:uid="{00000000-0005-0000-0000-0000F5150000}"/>
    <cellStyle name="20% - Accent3 8 2" xfId="1445" xr:uid="{00000000-0005-0000-0000-0000F6150000}"/>
    <cellStyle name="20% - Accent3 8 2 2" xfId="1446" xr:uid="{00000000-0005-0000-0000-0000F7150000}"/>
    <cellStyle name="20% - Accent3 8 2 2 2" xfId="10742" xr:uid="{00000000-0005-0000-0000-0000F8150000}"/>
    <cellStyle name="20% - Accent3 8 2 2 2 2" xfId="24684" xr:uid="{00000000-0005-0000-0000-0000F9150000}"/>
    <cellStyle name="20% - Accent3 8 2 2 3" xfId="18770" xr:uid="{00000000-0005-0000-0000-0000FA150000}"/>
    <cellStyle name="20% - Accent3 8 2 3" xfId="1447" xr:uid="{00000000-0005-0000-0000-0000FB150000}"/>
    <cellStyle name="20% - Accent3 8 2 3 2" xfId="12100" xr:uid="{00000000-0005-0000-0000-0000FC150000}"/>
    <cellStyle name="20% - Accent3 8 2 3 2 2" xfId="25812" xr:uid="{00000000-0005-0000-0000-0000FD150000}"/>
    <cellStyle name="20% - Accent3 8 2 3 3" xfId="18771" xr:uid="{00000000-0005-0000-0000-0000FE150000}"/>
    <cellStyle name="20% - Accent3 8 2 4" xfId="1448" xr:uid="{00000000-0005-0000-0000-0000FF150000}"/>
    <cellStyle name="20% - Accent3 8 2 4 2" xfId="14835" xr:uid="{00000000-0005-0000-0000-000000160000}"/>
    <cellStyle name="20% - Accent3 8 2 4 2 2" xfId="28384" xr:uid="{00000000-0005-0000-0000-000001160000}"/>
    <cellStyle name="20% - Accent3 8 2 4 3" xfId="18772" xr:uid="{00000000-0005-0000-0000-000002160000}"/>
    <cellStyle name="20% - Accent3 8 2 5" xfId="1449" xr:uid="{00000000-0005-0000-0000-000003160000}"/>
    <cellStyle name="20% - Accent3 8 2 5 2" xfId="16703" xr:uid="{00000000-0005-0000-0000-000004160000}"/>
    <cellStyle name="20% - Accent3 8 2 5 2 2" xfId="30110" xr:uid="{00000000-0005-0000-0000-000005160000}"/>
    <cellStyle name="20% - Accent3 8 2 5 3" xfId="18773" xr:uid="{00000000-0005-0000-0000-000006160000}"/>
    <cellStyle name="20% - Accent3 8 2 6" xfId="9017" xr:uid="{00000000-0005-0000-0000-000007160000}"/>
    <cellStyle name="20% - Accent3 8 2 6 2" xfId="23492" xr:uid="{00000000-0005-0000-0000-000008160000}"/>
    <cellStyle name="20% - Accent3 8 2 7" xfId="18769" xr:uid="{00000000-0005-0000-0000-000009160000}"/>
    <cellStyle name="20% - Accent3 8 3" xfId="1450" xr:uid="{00000000-0005-0000-0000-00000A160000}"/>
    <cellStyle name="20% - Accent3 8 3 2" xfId="1451" xr:uid="{00000000-0005-0000-0000-00000B160000}"/>
    <cellStyle name="20% - Accent3 8 3 2 2" xfId="14836" xr:uid="{00000000-0005-0000-0000-00000C160000}"/>
    <cellStyle name="20% - Accent3 8 3 2 2 2" xfId="28385" xr:uid="{00000000-0005-0000-0000-00000D160000}"/>
    <cellStyle name="20% - Accent3 8 3 2 3" xfId="18775" xr:uid="{00000000-0005-0000-0000-00000E160000}"/>
    <cellStyle name="20% - Accent3 8 3 3" xfId="10741" xr:uid="{00000000-0005-0000-0000-00000F160000}"/>
    <cellStyle name="20% - Accent3 8 3 3 2" xfId="24683" xr:uid="{00000000-0005-0000-0000-000010160000}"/>
    <cellStyle name="20% - Accent3 8 3 4" xfId="18774" xr:uid="{00000000-0005-0000-0000-000011160000}"/>
    <cellStyle name="20% - Accent3 8 4" xfId="1452" xr:uid="{00000000-0005-0000-0000-000012160000}"/>
    <cellStyle name="20% - Accent3 8 4 2" xfId="12081" xr:uid="{00000000-0005-0000-0000-000013160000}"/>
    <cellStyle name="20% - Accent3 8 4 2 2" xfId="25795" xr:uid="{00000000-0005-0000-0000-000014160000}"/>
    <cellStyle name="20% - Accent3 8 4 3" xfId="18776" xr:uid="{00000000-0005-0000-0000-000015160000}"/>
    <cellStyle name="20% - Accent3 8 5" xfId="1453" xr:uid="{00000000-0005-0000-0000-000016160000}"/>
    <cellStyle name="20% - Accent3 8 5 2" xfId="12096" xr:uid="{00000000-0005-0000-0000-000017160000}"/>
    <cellStyle name="20% - Accent3 8 5 2 2" xfId="25808" xr:uid="{00000000-0005-0000-0000-000018160000}"/>
    <cellStyle name="20% - Accent3 8 5 3" xfId="18777" xr:uid="{00000000-0005-0000-0000-000019160000}"/>
    <cellStyle name="20% - Accent3 8 6" xfId="1454" xr:uid="{00000000-0005-0000-0000-00001A160000}"/>
    <cellStyle name="20% - Accent3 8 6 2" xfId="13655" xr:uid="{00000000-0005-0000-0000-00001B160000}"/>
    <cellStyle name="20% - Accent3 8 6 2 2" xfId="27204" xr:uid="{00000000-0005-0000-0000-00001C160000}"/>
    <cellStyle name="20% - Accent3 8 6 3" xfId="18778" xr:uid="{00000000-0005-0000-0000-00001D160000}"/>
    <cellStyle name="20% - Accent3 8 7" xfId="1455" xr:uid="{00000000-0005-0000-0000-00001E160000}"/>
    <cellStyle name="20% - Accent3 8 7 2" xfId="14236" xr:uid="{00000000-0005-0000-0000-00001F160000}"/>
    <cellStyle name="20% - Accent3 8 7 2 2" xfId="27785" xr:uid="{00000000-0005-0000-0000-000020160000}"/>
    <cellStyle name="20% - Accent3 8 7 3" xfId="18779" xr:uid="{00000000-0005-0000-0000-000021160000}"/>
    <cellStyle name="20% - Accent3 8 8" xfId="1456" xr:uid="{00000000-0005-0000-0000-000022160000}"/>
    <cellStyle name="20% - Accent3 8 8 2" xfId="14834" xr:uid="{00000000-0005-0000-0000-000023160000}"/>
    <cellStyle name="20% - Accent3 8 8 2 2" xfId="28383" xr:uid="{00000000-0005-0000-0000-000024160000}"/>
    <cellStyle name="20% - Accent3 8 8 3" xfId="18780" xr:uid="{00000000-0005-0000-0000-000025160000}"/>
    <cellStyle name="20% - Accent3 8 9" xfId="1457" xr:uid="{00000000-0005-0000-0000-000026160000}"/>
    <cellStyle name="20% - Accent3 8 9 2" xfId="16122" xr:uid="{00000000-0005-0000-0000-000027160000}"/>
    <cellStyle name="20% - Accent3 8 9 2 2" xfId="29529" xr:uid="{00000000-0005-0000-0000-000028160000}"/>
    <cellStyle name="20% - Accent3 8 9 3" xfId="18781" xr:uid="{00000000-0005-0000-0000-000029160000}"/>
    <cellStyle name="20% - Accent3 9" xfId="1458" xr:uid="{00000000-0005-0000-0000-00002A160000}"/>
    <cellStyle name="20% - Accent3 9 2" xfId="1459" xr:uid="{00000000-0005-0000-0000-00002B160000}"/>
    <cellStyle name="20% - Accent3 9 2 2" xfId="10743" xr:uid="{00000000-0005-0000-0000-00002C160000}"/>
    <cellStyle name="20% - Accent3 9 2 2 2" xfId="24685" xr:uid="{00000000-0005-0000-0000-00002D160000}"/>
    <cellStyle name="20% - Accent3 9 2 3" xfId="18783" xr:uid="{00000000-0005-0000-0000-00002E160000}"/>
    <cellStyle name="20% - Accent3 9 3" xfId="1460" xr:uid="{00000000-0005-0000-0000-00002F160000}"/>
    <cellStyle name="20% - Accent3 9 3 2" xfId="11750" xr:uid="{00000000-0005-0000-0000-000030160000}"/>
    <cellStyle name="20% - Accent3 9 3 2 2" xfId="25465" xr:uid="{00000000-0005-0000-0000-000031160000}"/>
    <cellStyle name="20% - Accent3 9 3 3" xfId="18784" xr:uid="{00000000-0005-0000-0000-000032160000}"/>
    <cellStyle name="20% - Accent3 9 4" xfId="1461" xr:uid="{00000000-0005-0000-0000-000033160000}"/>
    <cellStyle name="20% - Accent3 9 4 2" xfId="14837" xr:uid="{00000000-0005-0000-0000-000034160000}"/>
    <cellStyle name="20% - Accent3 9 4 2 2" xfId="28386" xr:uid="{00000000-0005-0000-0000-000035160000}"/>
    <cellStyle name="20% - Accent3 9 4 3" xfId="18785" xr:uid="{00000000-0005-0000-0000-000036160000}"/>
    <cellStyle name="20% - Accent3 9 5" xfId="1462" xr:uid="{00000000-0005-0000-0000-000037160000}"/>
    <cellStyle name="20% - Accent3 9 5 2" xfId="17087" xr:uid="{00000000-0005-0000-0000-000038160000}"/>
    <cellStyle name="20% - Accent3 9 5 2 2" xfId="30446" xr:uid="{00000000-0005-0000-0000-000039160000}"/>
    <cellStyle name="20% - Accent3 9 5 3" xfId="18786" xr:uid="{00000000-0005-0000-0000-00003A160000}"/>
    <cellStyle name="20% - Accent3 9 6" xfId="9018" xr:uid="{00000000-0005-0000-0000-00003B160000}"/>
    <cellStyle name="20% - Accent3 9 6 2" xfId="23493" xr:uid="{00000000-0005-0000-0000-00003C160000}"/>
    <cellStyle name="20% - Accent3 9 7" xfId="18782" xr:uid="{00000000-0005-0000-0000-00003D160000}"/>
    <cellStyle name="20% - Accent4" xfId="30" builtinId="42" customBuiltin="1"/>
    <cellStyle name="20% - Accent4 10" xfId="1463" xr:uid="{00000000-0005-0000-0000-00003F160000}"/>
    <cellStyle name="20% - Accent4 10 2" xfId="1464" xr:uid="{00000000-0005-0000-0000-000040160000}"/>
    <cellStyle name="20% - Accent4 10 2 2" xfId="1465" xr:uid="{00000000-0005-0000-0000-000041160000}"/>
    <cellStyle name="20% - Accent4 10 2 2 2" xfId="12447" xr:uid="{00000000-0005-0000-0000-000042160000}"/>
    <cellStyle name="20% - Accent4 10 2 2 2 2" xfId="26159" xr:uid="{00000000-0005-0000-0000-000043160000}"/>
    <cellStyle name="20% - Accent4 10 2 2 3" xfId="18789" xr:uid="{00000000-0005-0000-0000-000044160000}"/>
    <cellStyle name="20% - Accent4 10 2 3" xfId="1466" xr:uid="{00000000-0005-0000-0000-000045160000}"/>
    <cellStyle name="20% - Accent4 10 2 3 2" xfId="14840" xr:uid="{00000000-0005-0000-0000-000046160000}"/>
    <cellStyle name="20% - Accent4 10 2 3 2 2" xfId="28389" xr:uid="{00000000-0005-0000-0000-000047160000}"/>
    <cellStyle name="20% - Accent4 10 2 3 3" xfId="18790" xr:uid="{00000000-0005-0000-0000-000048160000}"/>
    <cellStyle name="20% - Accent4 10 2 4" xfId="10745" xr:uid="{00000000-0005-0000-0000-000049160000}"/>
    <cellStyle name="20% - Accent4 10 2 4 2" xfId="24687" xr:uid="{00000000-0005-0000-0000-00004A160000}"/>
    <cellStyle name="20% - Accent4 10 2 5" xfId="18788" xr:uid="{00000000-0005-0000-0000-00004B160000}"/>
    <cellStyle name="20% - Accent4 10 3" xfId="1467" xr:uid="{00000000-0005-0000-0000-00004C160000}"/>
    <cellStyle name="20% - Accent4 10 3 2" xfId="12686" xr:uid="{00000000-0005-0000-0000-00004D160000}"/>
    <cellStyle name="20% - Accent4 10 3 2 2" xfId="26398" xr:uid="{00000000-0005-0000-0000-00004E160000}"/>
    <cellStyle name="20% - Accent4 10 3 3" xfId="18791" xr:uid="{00000000-0005-0000-0000-00004F160000}"/>
    <cellStyle name="20% - Accent4 10 4" xfId="1468" xr:uid="{00000000-0005-0000-0000-000050160000}"/>
    <cellStyle name="20% - Accent4 10 4 2" xfId="14839" xr:uid="{00000000-0005-0000-0000-000051160000}"/>
    <cellStyle name="20% - Accent4 10 4 2 2" xfId="28388" xr:uid="{00000000-0005-0000-0000-000052160000}"/>
    <cellStyle name="20% - Accent4 10 4 3" xfId="18792" xr:uid="{00000000-0005-0000-0000-000053160000}"/>
    <cellStyle name="20% - Accent4 10 5" xfId="1469" xr:uid="{00000000-0005-0000-0000-000054160000}"/>
    <cellStyle name="20% - Accent4 10 5 2" xfId="17177" xr:uid="{00000000-0005-0000-0000-000055160000}"/>
    <cellStyle name="20% - Accent4 10 5 2 2" xfId="30536" xr:uid="{00000000-0005-0000-0000-000056160000}"/>
    <cellStyle name="20% - Accent4 10 5 3" xfId="18793" xr:uid="{00000000-0005-0000-0000-000057160000}"/>
    <cellStyle name="20% - Accent4 10 6" xfId="9020" xr:uid="{00000000-0005-0000-0000-000058160000}"/>
    <cellStyle name="20% - Accent4 10 6 2" xfId="23495" xr:uid="{00000000-0005-0000-0000-000059160000}"/>
    <cellStyle name="20% - Accent4 10 7" xfId="18787" xr:uid="{00000000-0005-0000-0000-00005A160000}"/>
    <cellStyle name="20% - Accent4 11" xfId="1470" xr:uid="{00000000-0005-0000-0000-00005B160000}"/>
    <cellStyle name="20% - Accent4 11 2" xfId="1471" xr:uid="{00000000-0005-0000-0000-00005C160000}"/>
    <cellStyle name="20% - Accent4 11 2 2" xfId="10746" xr:uid="{00000000-0005-0000-0000-00005D160000}"/>
    <cellStyle name="20% - Accent4 11 2 2 2" xfId="24688" xr:uid="{00000000-0005-0000-0000-00005E160000}"/>
    <cellStyle name="20% - Accent4 11 2 3" xfId="18795" xr:uid="{00000000-0005-0000-0000-00005F160000}"/>
    <cellStyle name="20% - Accent4 11 3" xfId="1472" xr:uid="{00000000-0005-0000-0000-000060160000}"/>
    <cellStyle name="20% - Accent4 11 3 2" xfId="12577" xr:uid="{00000000-0005-0000-0000-000061160000}"/>
    <cellStyle name="20% - Accent4 11 3 2 2" xfId="26289" xr:uid="{00000000-0005-0000-0000-000062160000}"/>
    <cellStyle name="20% - Accent4 11 3 3" xfId="18796" xr:uid="{00000000-0005-0000-0000-000063160000}"/>
    <cellStyle name="20% - Accent4 11 4" xfId="1473" xr:uid="{00000000-0005-0000-0000-000064160000}"/>
    <cellStyle name="20% - Accent4 11 4 2" xfId="14841" xr:uid="{00000000-0005-0000-0000-000065160000}"/>
    <cellStyle name="20% - Accent4 11 4 2 2" xfId="28390" xr:uid="{00000000-0005-0000-0000-000066160000}"/>
    <cellStyle name="20% - Accent4 11 4 3" xfId="18797" xr:uid="{00000000-0005-0000-0000-000067160000}"/>
    <cellStyle name="20% - Accent4 11 5" xfId="1474" xr:uid="{00000000-0005-0000-0000-000068160000}"/>
    <cellStyle name="20% - Accent4 11 5 2" xfId="17266" xr:uid="{00000000-0005-0000-0000-000069160000}"/>
    <cellStyle name="20% - Accent4 11 5 2 2" xfId="30625" xr:uid="{00000000-0005-0000-0000-00006A160000}"/>
    <cellStyle name="20% - Accent4 11 5 3" xfId="18798" xr:uid="{00000000-0005-0000-0000-00006B160000}"/>
    <cellStyle name="20% - Accent4 11 6" xfId="9021" xr:uid="{00000000-0005-0000-0000-00006C160000}"/>
    <cellStyle name="20% - Accent4 11 6 2" xfId="23496" xr:uid="{00000000-0005-0000-0000-00006D160000}"/>
    <cellStyle name="20% - Accent4 11 7" xfId="18794" xr:uid="{00000000-0005-0000-0000-00006E160000}"/>
    <cellStyle name="20% - Accent4 12" xfId="1475" xr:uid="{00000000-0005-0000-0000-00006F160000}"/>
    <cellStyle name="20% - Accent4 12 2" xfId="1476" xr:uid="{00000000-0005-0000-0000-000070160000}"/>
    <cellStyle name="20% - Accent4 12 2 2" xfId="1477" xr:uid="{00000000-0005-0000-0000-000071160000}"/>
    <cellStyle name="20% - Accent4 12 2 2 2" xfId="10748" xr:uid="{00000000-0005-0000-0000-000072160000}"/>
    <cellStyle name="20% - Accent4 12 2 2 2 2" xfId="24690" xr:uid="{00000000-0005-0000-0000-000073160000}"/>
    <cellStyle name="20% - Accent4 12 2 2 3" xfId="18801" xr:uid="{00000000-0005-0000-0000-000074160000}"/>
    <cellStyle name="20% - Accent4 12 2 3" xfId="1478" xr:uid="{00000000-0005-0000-0000-000075160000}"/>
    <cellStyle name="20% - Accent4 12 2 3 2" xfId="12762" xr:uid="{00000000-0005-0000-0000-000076160000}"/>
    <cellStyle name="20% - Accent4 12 2 3 2 2" xfId="26474" xr:uid="{00000000-0005-0000-0000-000077160000}"/>
    <cellStyle name="20% - Accent4 12 2 3 3" xfId="18802" xr:uid="{00000000-0005-0000-0000-000078160000}"/>
    <cellStyle name="20% - Accent4 12 2 4" xfId="1479" xr:uid="{00000000-0005-0000-0000-000079160000}"/>
    <cellStyle name="20% - Accent4 12 2 4 2" xfId="14843" xr:uid="{00000000-0005-0000-0000-00007A160000}"/>
    <cellStyle name="20% - Accent4 12 2 4 2 2" xfId="28392" xr:uid="{00000000-0005-0000-0000-00007B160000}"/>
    <cellStyle name="20% - Accent4 12 2 4 3" xfId="18803" xr:uid="{00000000-0005-0000-0000-00007C160000}"/>
    <cellStyle name="20% - Accent4 12 2 5" xfId="9023" xr:uid="{00000000-0005-0000-0000-00007D160000}"/>
    <cellStyle name="20% - Accent4 12 2 5 2" xfId="23498" xr:uid="{00000000-0005-0000-0000-00007E160000}"/>
    <cellStyle name="20% - Accent4 12 2 6" xfId="18800" xr:uid="{00000000-0005-0000-0000-00007F160000}"/>
    <cellStyle name="20% - Accent4 12 3" xfId="1480" xr:uid="{00000000-0005-0000-0000-000080160000}"/>
    <cellStyle name="20% - Accent4 12 3 2" xfId="10747" xr:uid="{00000000-0005-0000-0000-000081160000}"/>
    <cellStyle name="20% - Accent4 12 3 2 2" xfId="24689" xr:uid="{00000000-0005-0000-0000-000082160000}"/>
    <cellStyle name="20% - Accent4 12 3 3" xfId="18804" xr:uid="{00000000-0005-0000-0000-000083160000}"/>
    <cellStyle name="20% - Accent4 12 4" xfId="1481" xr:uid="{00000000-0005-0000-0000-000084160000}"/>
    <cellStyle name="20% - Accent4 12 4 2" xfId="12454" xr:uid="{00000000-0005-0000-0000-000085160000}"/>
    <cellStyle name="20% - Accent4 12 4 2 2" xfId="26166" xr:uid="{00000000-0005-0000-0000-000086160000}"/>
    <cellStyle name="20% - Accent4 12 4 3" xfId="18805" xr:uid="{00000000-0005-0000-0000-000087160000}"/>
    <cellStyle name="20% - Accent4 12 5" xfId="1482" xr:uid="{00000000-0005-0000-0000-000088160000}"/>
    <cellStyle name="20% - Accent4 12 5 2" xfId="14842" xr:uid="{00000000-0005-0000-0000-000089160000}"/>
    <cellStyle name="20% - Accent4 12 5 2 2" xfId="28391" xr:uid="{00000000-0005-0000-0000-00008A160000}"/>
    <cellStyle name="20% - Accent4 12 5 3" xfId="18806" xr:uid="{00000000-0005-0000-0000-00008B160000}"/>
    <cellStyle name="20% - Accent4 12 6" xfId="1483" xr:uid="{00000000-0005-0000-0000-00008C160000}"/>
    <cellStyle name="20% - Accent4 12 6 2" xfId="16418" xr:uid="{00000000-0005-0000-0000-00008D160000}"/>
    <cellStyle name="20% - Accent4 12 6 2 2" xfId="29825" xr:uid="{00000000-0005-0000-0000-00008E160000}"/>
    <cellStyle name="20% - Accent4 12 6 3" xfId="18807" xr:uid="{00000000-0005-0000-0000-00008F160000}"/>
    <cellStyle name="20% - Accent4 12 7" xfId="9022" xr:uid="{00000000-0005-0000-0000-000090160000}"/>
    <cellStyle name="20% - Accent4 12 7 2" xfId="23497" xr:uid="{00000000-0005-0000-0000-000091160000}"/>
    <cellStyle name="20% - Accent4 12 8" xfId="18799" xr:uid="{00000000-0005-0000-0000-000092160000}"/>
    <cellStyle name="20% - Accent4 13" xfId="1484" xr:uid="{00000000-0005-0000-0000-000093160000}"/>
    <cellStyle name="20% - Accent4 13 2" xfId="1485" xr:uid="{00000000-0005-0000-0000-000094160000}"/>
    <cellStyle name="20% - Accent4 13 2 2" xfId="10749" xr:uid="{00000000-0005-0000-0000-000095160000}"/>
    <cellStyle name="20% - Accent4 13 2 2 2" xfId="24691" xr:uid="{00000000-0005-0000-0000-000096160000}"/>
    <cellStyle name="20% - Accent4 13 2 3" xfId="18809" xr:uid="{00000000-0005-0000-0000-000097160000}"/>
    <cellStyle name="20% - Accent4 13 3" xfId="1486" xr:uid="{00000000-0005-0000-0000-000098160000}"/>
    <cellStyle name="20% - Accent4 13 3 2" xfId="12473" xr:uid="{00000000-0005-0000-0000-000099160000}"/>
    <cellStyle name="20% - Accent4 13 3 2 2" xfId="26185" xr:uid="{00000000-0005-0000-0000-00009A160000}"/>
    <cellStyle name="20% - Accent4 13 3 3" xfId="18810" xr:uid="{00000000-0005-0000-0000-00009B160000}"/>
    <cellStyle name="20% - Accent4 13 4" xfId="1487" xr:uid="{00000000-0005-0000-0000-00009C160000}"/>
    <cellStyle name="20% - Accent4 13 4 2" xfId="14844" xr:uid="{00000000-0005-0000-0000-00009D160000}"/>
    <cellStyle name="20% - Accent4 13 4 2 2" xfId="28393" xr:uid="{00000000-0005-0000-0000-00009E160000}"/>
    <cellStyle name="20% - Accent4 13 4 3" xfId="18811" xr:uid="{00000000-0005-0000-0000-00009F160000}"/>
    <cellStyle name="20% - Accent4 13 5" xfId="9024" xr:uid="{00000000-0005-0000-0000-0000A0160000}"/>
    <cellStyle name="20% - Accent4 13 5 2" xfId="23499" xr:uid="{00000000-0005-0000-0000-0000A1160000}"/>
    <cellStyle name="20% - Accent4 13 6" xfId="18808" xr:uid="{00000000-0005-0000-0000-0000A2160000}"/>
    <cellStyle name="20% - Accent4 14" xfId="1488" xr:uid="{00000000-0005-0000-0000-0000A3160000}"/>
    <cellStyle name="20% - Accent4 14 2" xfId="1489" xr:uid="{00000000-0005-0000-0000-0000A4160000}"/>
    <cellStyle name="20% - Accent4 14 2 2" xfId="10750" xr:uid="{00000000-0005-0000-0000-0000A5160000}"/>
    <cellStyle name="20% - Accent4 14 2 2 2" xfId="24692" xr:uid="{00000000-0005-0000-0000-0000A6160000}"/>
    <cellStyle name="20% - Accent4 14 2 3" xfId="18813" xr:uid="{00000000-0005-0000-0000-0000A7160000}"/>
    <cellStyle name="20% - Accent4 14 3" xfId="1490" xr:uid="{00000000-0005-0000-0000-0000A8160000}"/>
    <cellStyle name="20% - Accent4 14 3 2" xfId="12564" xr:uid="{00000000-0005-0000-0000-0000A9160000}"/>
    <cellStyle name="20% - Accent4 14 3 2 2" xfId="26276" xr:uid="{00000000-0005-0000-0000-0000AA160000}"/>
    <cellStyle name="20% - Accent4 14 3 3" xfId="18814" xr:uid="{00000000-0005-0000-0000-0000AB160000}"/>
    <cellStyle name="20% - Accent4 14 4" xfId="1491" xr:uid="{00000000-0005-0000-0000-0000AC160000}"/>
    <cellStyle name="20% - Accent4 14 4 2" xfId="14845" xr:uid="{00000000-0005-0000-0000-0000AD160000}"/>
    <cellStyle name="20% - Accent4 14 4 2 2" xfId="28394" xr:uid="{00000000-0005-0000-0000-0000AE160000}"/>
    <cellStyle name="20% - Accent4 14 4 3" xfId="18815" xr:uid="{00000000-0005-0000-0000-0000AF160000}"/>
    <cellStyle name="20% - Accent4 14 5" xfId="9025" xr:uid="{00000000-0005-0000-0000-0000B0160000}"/>
    <cellStyle name="20% - Accent4 14 5 2" xfId="23500" xr:uid="{00000000-0005-0000-0000-0000B1160000}"/>
    <cellStyle name="20% - Accent4 14 6" xfId="18812" xr:uid="{00000000-0005-0000-0000-0000B2160000}"/>
    <cellStyle name="20% - Accent4 15" xfId="1492" xr:uid="{00000000-0005-0000-0000-0000B3160000}"/>
    <cellStyle name="20% - Accent4 15 2" xfId="1493" xr:uid="{00000000-0005-0000-0000-0000B4160000}"/>
    <cellStyle name="20% - Accent4 15 2 2" xfId="10751" xr:uid="{00000000-0005-0000-0000-0000B5160000}"/>
    <cellStyle name="20% - Accent4 15 2 2 2" xfId="24693" xr:uid="{00000000-0005-0000-0000-0000B6160000}"/>
    <cellStyle name="20% - Accent4 15 2 3" xfId="18817" xr:uid="{00000000-0005-0000-0000-0000B7160000}"/>
    <cellStyle name="20% - Accent4 15 3" xfId="1494" xr:uid="{00000000-0005-0000-0000-0000B8160000}"/>
    <cellStyle name="20% - Accent4 15 3 2" xfId="12480" xr:uid="{00000000-0005-0000-0000-0000B9160000}"/>
    <cellStyle name="20% - Accent4 15 3 2 2" xfId="26192" xr:uid="{00000000-0005-0000-0000-0000BA160000}"/>
    <cellStyle name="20% - Accent4 15 3 3" xfId="18818" xr:uid="{00000000-0005-0000-0000-0000BB160000}"/>
    <cellStyle name="20% - Accent4 15 4" xfId="1495" xr:uid="{00000000-0005-0000-0000-0000BC160000}"/>
    <cellStyle name="20% - Accent4 15 4 2" xfId="14846" xr:uid="{00000000-0005-0000-0000-0000BD160000}"/>
    <cellStyle name="20% - Accent4 15 4 2 2" xfId="28395" xr:uid="{00000000-0005-0000-0000-0000BE160000}"/>
    <cellStyle name="20% - Accent4 15 4 3" xfId="18819" xr:uid="{00000000-0005-0000-0000-0000BF160000}"/>
    <cellStyle name="20% - Accent4 15 5" xfId="9026" xr:uid="{00000000-0005-0000-0000-0000C0160000}"/>
    <cellStyle name="20% - Accent4 15 5 2" xfId="23501" xr:uid="{00000000-0005-0000-0000-0000C1160000}"/>
    <cellStyle name="20% - Accent4 15 6" xfId="18816" xr:uid="{00000000-0005-0000-0000-0000C2160000}"/>
    <cellStyle name="20% - Accent4 16" xfId="1496" xr:uid="{00000000-0005-0000-0000-0000C3160000}"/>
    <cellStyle name="20% - Accent4 16 2" xfId="1497" xr:uid="{00000000-0005-0000-0000-0000C4160000}"/>
    <cellStyle name="20% - Accent4 16 2 2" xfId="10752" xr:uid="{00000000-0005-0000-0000-0000C5160000}"/>
    <cellStyle name="20% - Accent4 16 2 2 2" xfId="24694" xr:uid="{00000000-0005-0000-0000-0000C6160000}"/>
    <cellStyle name="20% - Accent4 16 2 3" xfId="18821" xr:uid="{00000000-0005-0000-0000-0000C7160000}"/>
    <cellStyle name="20% - Accent4 16 3" xfId="1498" xr:uid="{00000000-0005-0000-0000-0000C8160000}"/>
    <cellStyle name="20% - Accent4 16 3 2" xfId="12730" xr:uid="{00000000-0005-0000-0000-0000C9160000}"/>
    <cellStyle name="20% - Accent4 16 3 2 2" xfId="26442" xr:uid="{00000000-0005-0000-0000-0000CA160000}"/>
    <cellStyle name="20% - Accent4 16 3 3" xfId="18822" xr:uid="{00000000-0005-0000-0000-0000CB160000}"/>
    <cellStyle name="20% - Accent4 16 4" xfId="1499" xr:uid="{00000000-0005-0000-0000-0000CC160000}"/>
    <cellStyle name="20% - Accent4 16 4 2" xfId="14847" xr:uid="{00000000-0005-0000-0000-0000CD160000}"/>
    <cellStyle name="20% - Accent4 16 4 2 2" xfId="28396" xr:uid="{00000000-0005-0000-0000-0000CE160000}"/>
    <cellStyle name="20% - Accent4 16 4 3" xfId="18823" xr:uid="{00000000-0005-0000-0000-0000CF160000}"/>
    <cellStyle name="20% - Accent4 16 5" xfId="9027" xr:uid="{00000000-0005-0000-0000-0000D0160000}"/>
    <cellStyle name="20% - Accent4 16 5 2" xfId="23502" xr:uid="{00000000-0005-0000-0000-0000D1160000}"/>
    <cellStyle name="20% - Accent4 16 6" xfId="18820" xr:uid="{00000000-0005-0000-0000-0000D2160000}"/>
    <cellStyle name="20% - Accent4 17" xfId="1500" xr:uid="{00000000-0005-0000-0000-0000D3160000}"/>
    <cellStyle name="20% - Accent4 17 2" xfId="1501" xr:uid="{00000000-0005-0000-0000-0000D4160000}"/>
    <cellStyle name="20% - Accent4 17 2 2" xfId="10753" xr:uid="{00000000-0005-0000-0000-0000D5160000}"/>
    <cellStyle name="20% - Accent4 17 2 2 2" xfId="24695" xr:uid="{00000000-0005-0000-0000-0000D6160000}"/>
    <cellStyle name="20% - Accent4 17 2 3" xfId="18825" xr:uid="{00000000-0005-0000-0000-0000D7160000}"/>
    <cellStyle name="20% - Accent4 17 3" xfId="1502" xr:uid="{00000000-0005-0000-0000-0000D8160000}"/>
    <cellStyle name="20% - Accent4 17 3 2" xfId="12768" xr:uid="{00000000-0005-0000-0000-0000D9160000}"/>
    <cellStyle name="20% - Accent4 17 3 2 2" xfId="26480" xr:uid="{00000000-0005-0000-0000-0000DA160000}"/>
    <cellStyle name="20% - Accent4 17 3 3" xfId="18826" xr:uid="{00000000-0005-0000-0000-0000DB160000}"/>
    <cellStyle name="20% - Accent4 17 4" xfId="1503" xr:uid="{00000000-0005-0000-0000-0000DC160000}"/>
    <cellStyle name="20% - Accent4 17 4 2" xfId="14848" xr:uid="{00000000-0005-0000-0000-0000DD160000}"/>
    <cellStyle name="20% - Accent4 17 4 2 2" xfId="28397" xr:uid="{00000000-0005-0000-0000-0000DE160000}"/>
    <cellStyle name="20% - Accent4 17 4 3" xfId="18827" xr:uid="{00000000-0005-0000-0000-0000DF160000}"/>
    <cellStyle name="20% - Accent4 17 5" xfId="9028" xr:uid="{00000000-0005-0000-0000-0000E0160000}"/>
    <cellStyle name="20% - Accent4 17 5 2" xfId="23503" xr:uid="{00000000-0005-0000-0000-0000E1160000}"/>
    <cellStyle name="20% - Accent4 17 6" xfId="18824" xr:uid="{00000000-0005-0000-0000-0000E2160000}"/>
    <cellStyle name="20% - Accent4 18" xfId="1504" xr:uid="{00000000-0005-0000-0000-0000E3160000}"/>
    <cellStyle name="20% - Accent4 18 2" xfId="1505" xr:uid="{00000000-0005-0000-0000-0000E4160000}"/>
    <cellStyle name="20% - Accent4 18 2 2" xfId="10754" xr:uid="{00000000-0005-0000-0000-0000E5160000}"/>
    <cellStyle name="20% - Accent4 18 2 2 2" xfId="24696" xr:uid="{00000000-0005-0000-0000-0000E6160000}"/>
    <cellStyle name="20% - Accent4 18 2 3" xfId="18829" xr:uid="{00000000-0005-0000-0000-0000E7160000}"/>
    <cellStyle name="20% - Accent4 18 3" xfId="1506" xr:uid="{00000000-0005-0000-0000-0000E8160000}"/>
    <cellStyle name="20% - Accent4 18 3 2" xfId="12479" xr:uid="{00000000-0005-0000-0000-0000E9160000}"/>
    <cellStyle name="20% - Accent4 18 3 2 2" xfId="26191" xr:uid="{00000000-0005-0000-0000-0000EA160000}"/>
    <cellStyle name="20% - Accent4 18 3 3" xfId="18830" xr:uid="{00000000-0005-0000-0000-0000EB160000}"/>
    <cellStyle name="20% - Accent4 18 4" xfId="1507" xr:uid="{00000000-0005-0000-0000-0000EC160000}"/>
    <cellStyle name="20% - Accent4 18 4 2" xfId="14849" xr:uid="{00000000-0005-0000-0000-0000ED160000}"/>
    <cellStyle name="20% - Accent4 18 4 2 2" xfId="28398" xr:uid="{00000000-0005-0000-0000-0000EE160000}"/>
    <cellStyle name="20% - Accent4 18 4 3" xfId="18831" xr:uid="{00000000-0005-0000-0000-0000EF160000}"/>
    <cellStyle name="20% - Accent4 18 5" xfId="9029" xr:uid="{00000000-0005-0000-0000-0000F0160000}"/>
    <cellStyle name="20% - Accent4 18 5 2" xfId="23504" xr:uid="{00000000-0005-0000-0000-0000F1160000}"/>
    <cellStyle name="20% - Accent4 18 6" xfId="18828" xr:uid="{00000000-0005-0000-0000-0000F2160000}"/>
    <cellStyle name="20% - Accent4 19" xfId="1508" xr:uid="{00000000-0005-0000-0000-0000F3160000}"/>
    <cellStyle name="20% - Accent4 19 2" xfId="1509" xr:uid="{00000000-0005-0000-0000-0000F4160000}"/>
    <cellStyle name="20% - Accent4 19 2 2" xfId="11702" xr:uid="{00000000-0005-0000-0000-0000F5160000}"/>
    <cellStyle name="20% - Accent4 19 2 2 2" xfId="25422" xr:uid="{00000000-0005-0000-0000-0000F6160000}"/>
    <cellStyle name="20% - Accent4 19 2 3" xfId="18833" xr:uid="{00000000-0005-0000-0000-0000F7160000}"/>
    <cellStyle name="20% - Accent4 19 3" xfId="1510" xr:uid="{00000000-0005-0000-0000-0000F8160000}"/>
    <cellStyle name="20% - Accent4 19 3 2" xfId="12439" xr:uid="{00000000-0005-0000-0000-0000F9160000}"/>
    <cellStyle name="20% - Accent4 19 3 2 2" xfId="26151" xr:uid="{00000000-0005-0000-0000-0000FA160000}"/>
    <cellStyle name="20% - Accent4 19 3 3" xfId="18834" xr:uid="{00000000-0005-0000-0000-0000FB160000}"/>
    <cellStyle name="20% - Accent4 19 4" xfId="1511" xr:uid="{00000000-0005-0000-0000-0000FC160000}"/>
    <cellStyle name="20% - Accent4 19 4 2" xfId="14850" xr:uid="{00000000-0005-0000-0000-0000FD160000}"/>
    <cellStyle name="20% - Accent4 19 4 2 2" xfId="28399" xr:uid="{00000000-0005-0000-0000-0000FE160000}"/>
    <cellStyle name="20% - Accent4 19 4 3" xfId="18835" xr:uid="{00000000-0005-0000-0000-0000FF160000}"/>
    <cellStyle name="20% - Accent4 19 5" xfId="10454" xr:uid="{00000000-0005-0000-0000-000000170000}"/>
    <cellStyle name="20% - Accent4 19 5 2" xfId="24413" xr:uid="{00000000-0005-0000-0000-000001170000}"/>
    <cellStyle name="20% - Accent4 19 6" xfId="18832" xr:uid="{00000000-0005-0000-0000-000002170000}"/>
    <cellStyle name="20% - Accent4 2" xfId="1512" xr:uid="{00000000-0005-0000-0000-000003170000}"/>
    <cellStyle name="20% - Accent4 2 10" xfId="1513" xr:uid="{00000000-0005-0000-0000-000004170000}"/>
    <cellStyle name="20% - Accent4 2 10 2" xfId="1514" xr:uid="{00000000-0005-0000-0000-000005170000}"/>
    <cellStyle name="20% - Accent4 2 10 2 2" xfId="14852" xr:uid="{00000000-0005-0000-0000-000006170000}"/>
    <cellStyle name="20% - Accent4 2 10 2 2 2" xfId="28401" xr:uid="{00000000-0005-0000-0000-000007170000}"/>
    <cellStyle name="20% - Accent4 2 10 2 3" xfId="18838" xr:uid="{00000000-0005-0000-0000-000008170000}"/>
    <cellStyle name="20% - Accent4 2 10 3" xfId="11831" xr:uid="{00000000-0005-0000-0000-000009170000}"/>
    <cellStyle name="20% - Accent4 2 10 3 2" xfId="25546" xr:uid="{00000000-0005-0000-0000-00000A170000}"/>
    <cellStyle name="20% - Accent4 2 10 4" xfId="18837" xr:uid="{00000000-0005-0000-0000-00000B170000}"/>
    <cellStyle name="20% - Accent4 2 11" xfId="1515" xr:uid="{00000000-0005-0000-0000-00000C170000}"/>
    <cellStyle name="20% - Accent4 2 11 2" xfId="12532" xr:uid="{00000000-0005-0000-0000-00000D170000}"/>
    <cellStyle name="20% - Accent4 2 11 2 2" xfId="26244" xr:uid="{00000000-0005-0000-0000-00000E170000}"/>
    <cellStyle name="20% - Accent4 2 11 3" xfId="18839" xr:uid="{00000000-0005-0000-0000-00000F170000}"/>
    <cellStyle name="20% - Accent4 2 12" xfId="1516" xr:uid="{00000000-0005-0000-0000-000010170000}"/>
    <cellStyle name="20% - Accent4 2 12 2" xfId="13430" xr:uid="{00000000-0005-0000-0000-000011170000}"/>
    <cellStyle name="20% - Accent4 2 12 2 2" xfId="26979" xr:uid="{00000000-0005-0000-0000-000012170000}"/>
    <cellStyle name="20% - Accent4 2 12 3" xfId="18840" xr:uid="{00000000-0005-0000-0000-000013170000}"/>
    <cellStyle name="20% - Accent4 2 13" xfId="1517" xr:uid="{00000000-0005-0000-0000-000014170000}"/>
    <cellStyle name="20% - Accent4 2 13 2" xfId="14011" xr:uid="{00000000-0005-0000-0000-000015170000}"/>
    <cellStyle name="20% - Accent4 2 13 2 2" xfId="27560" xr:uid="{00000000-0005-0000-0000-000016170000}"/>
    <cellStyle name="20% - Accent4 2 13 3" xfId="18841" xr:uid="{00000000-0005-0000-0000-000017170000}"/>
    <cellStyle name="20% - Accent4 2 14" xfId="1518" xr:uid="{00000000-0005-0000-0000-000018170000}"/>
    <cellStyle name="20% - Accent4 2 14 2" xfId="14851" xr:uid="{00000000-0005-0000-0000-000019170000}"/>
    <cellStyle name="20% - Accent4 2 14 2 2" xfId="28400" xr:uid="{00000000-0005-0000-0000-00001A170000}"/>
    <cellStyle name="20% - Accent4 2 14 3" xfId="18842" xr:uid="{00000000-0005-0000-0000-00001B170000}"/>
    <cellStyle name="20% - Accent4 2 15" xfId="1519" xr:uid="{00000000-0005-0000-0000-00001C170000}"/>
    <cellStyle name="20% - Accent4 2 15 2" xfId="15897" xr:uid="{00000000-0005-0000-0000-00001D170000}"/>
    <cellStyle name="20% - Accent4 2 15 2 2" xfId="29304" xr:uid="{00000000-0005-0000-0000-00001E170000}"/>
    <cellStyle name="20% - Accent4 2 15 3" xfId="18843" xr:uid="{00000000-0005-0000-0000-00001F170000}"/>
    <cellStyle name="20% - Accent4 2 16" xfId="9030" xr:uid="{00000000-0005-0000-0000-000020170000}"/>
    <cellStyle name="20% - Accent4 2 16 2" xfId="23505" xr:uid="{00000000-0005-0000-0000-000021170000}"/>
    <cellStyle name="20% - Accent4 2 17" xfId="18836" xr:uid="{00000000-0005-0000-0000-000022170000}"/>
    <cellStyle name="20% - Accent4 2 2" xfId="1520" xr:uid="{00000000-0005-0000-0000-000023170000}"/>
    <cellStyle name="20% - Accent4 2 2 10" xfId="1521" xr:uid="{00000000-0005-0000-0000-000024170000}"/>
    <cellStyle name="20% - Accent4 2 2 10 2" xfId="14853" xr:uid="{00000000-0005-0000-0000-000025170000}"/>
    <cellStyle name="20% - Accent4 2 2 10 2 2" xfId="28402" xr:uid="{00000000-0005-0000-0000-000026170000}"/>
    <cellStyle name="20% - Accent4 2 2 10 3" xfId="18845" xr:uid="{00000000-0005-0000-0000-000027170000}"/>
    <cellStyle name="20% - Accent4 2 2 11" xfId="1522" xr:uid="{00000000-0005-0000-0000-000028170000}"/>
    <cellStyle name="20% - Accent4 2 2 11 2" xfId="15943" xr:uid="{00000000-0005-0000-0000-000029170000}"/>
    <cellStyle name="20% - Accent4 2 2 11 2 2" xfId="29350" xr:uid="{00000000-0005-0000-0000-00002A170000}"/>
    <cellStyle name="20% - Accent4 2 2 11 3" xfId="18846" xr:uid="{00000000-0005-0000-0000-00002B170000}"/>
    <cellStyle name="20% - Accent4 2 2 12" xfId="9031" xr:uid="{00000000-0005-0000-0000-00002C170000}"/>
    <cellStyle name="20% - Accent4 2 2 12 2" xfId="23506" xr:uid="{00000000-0005-0000-0000-00002D170000}"/>
    <cellStyle name="20% - Accent4 2 2 13" xfId="18844" xr:uid="{00000000-0005-0000-0000-00002E170000}"/>
    <cellStyle name="20% - Accent4 2 2 2" xfId="1523" xr:uid="{00000000-0005-0000-0000-00002F170000}"/>
    <cellStyle name="20% - Accent4 2 2 2 10" xfId="1524" xr:uid="{00000000-0005-0000-0000-000030170000}"/>
    <cellStyle name="20% - Accent4 2 2 2 10 2" xfId="16086" xr:uid="{00000000-0005-0000-0000-000031170000}"/>
    <cellStyle name="20% - Accent4 2 2 2 10 2 2" xfId="29493" xr:uid="{00000000-0005-0000-0000-000032170000}"/>
    <cellStyle name="20% - Accent4 2 2 2 10 3" xfId="18848" xr:uid="{00000000-0005-0000-0000-000033170000}"/>
    <cellStyle name="20% - Accent4 2 2 2 11" xfId="9032" xr:uid="{00000000-0005-0000-0000-000034170000}"/>
    <cellStyle name="20% - Accent4 2 2 2 11 2" xfId="23507" xr:uid="{00000000-0005-0000-0000-000035170000}"/>
    <cellStyle name="20% - Accent4 2 2 2 12" xfId="18847" xr:uid="{00000000-0005-0000-0000-000036170000}"/>
    <cellStyle name="20% - Accent4 2 2 2 2" xfId="1525" xr:uid="{00000000-0005-0000-0000-000037170000}"/>
    <cellStyle name="20% - Accent4 2 2 2 2 10" xfId="9033" xr:uid="{00000000-0005-0000-0000-000038170000}"/>
    <cellStyle name="20% - Accent4 2 2 2 2 10 2" xfId="23508" xr:uid="{00000000-0005-0000-0000-000039170000}"/>
    <cellStyle name="20% - Accent4 2 2 2 2 11" xfId="18849" xr:uid="{00000000-0005-0000-0000-00003A170000}"/>
    <cellStyle name="20% - Accent4 2 2 2 2 2" xfId="1526" xr:uid="{00000000-0005-0000-0000-00003B170000}"/>
    <cellStyle name="20% - Accent4 2 2 2 2 2 2" xfId="1527" xr:uid="{00000000-0005-0000-0000-00003C170000}"/>
    <cellStyle name="20% - Accent4 2 2 2 2 2 2 2" xfId="10759" xr:uid="{00000000-0005-0000-0000-00003D170000}"/>
    <cellStyle name="20% - Accent4 2 2 2 2 2 2 2 2" xfId="24701" xr:uid="{00000000-0005-0000-0000-00003E170000}"/>
    <cellStyle name="20% - Accent4 2 2 2 2 2 2 3" xfId="18851" xr:uid="{00000000-0005-0000-0000-00003F170000}"/>
    <cellStyle name="20% - Accent4 2 2 2 2 2 3" xfId="1528" xr:uid="{00000000-0005-0000-0000-000040170000}"/>
    <cellStyle name="20% - Accent4 2 2 2 2 2 3 2" xfId="12612" xr:uid="{00000000-0005-0000-0000-000041170000}"/>
    <cellStyle name="20% - Accent4 2 2 2 2 2 3 2 2" xfId="26324" xr:uid="{00000000-0005-0000-0000-000042170000}"/>
    <cellStyle name="20% - Accent4 2 2 2 2 2 3 3" xfId="18852" xr:uid="{00000000-0005-0000-0000-000043170000}"/>
    <cellStyle name="20% - Accent4 2 2 2 2 2 4" xfId="1529" xr:uid="{00000000-0005-0000-0000-000044170000}"/>
    <cellStyle name="20% - Accent4 2 2 2 2 2 4 2" xfId="14856" xr:uid="{00000000-0005-0000-0000-000045170000}"/>
    <cellStyle name="20% - Accent4 2 2 2 2 2 4 2 2" xfId="28405" xr:uid="{00000000-0005-0000-0000-000046170000}"/>
    <cellStyle name="20% - Accent4 2 2 2 2 2 4 3" xfId="18853" xr:uid="{00000000-0005-0000-0000-000047170000}"/>
    <cellStyle name="20% - Accent4 2 2 2 2 2 5" xfId="1530" xr:uid="{00000000-0005-0000-0000-000048170000}"/>
    <cellStyle name="20% - Accent4 2 2 2 2 2 5 2" xfId="16956" xr:uid="{00000000-0005-0000-0000-000049170000}"/>
    <cellStyle name="20% - Accent4 2 2 2 2 2 5 2 2" xfId="30363" xr:uid="{00000000-0005-0000-0000-00004A170000}"/>
    <cellStyle name="20% - Accent4 2 2 2 2 2 5 3" xfId="18854" xr:uid="{00000000-0005-0000-0000-00004B170000}"/>
    <cellStyle name="20% - Accent4 2 2 2 2 2 6" xfId="9034" xr:uid="{00000000-0005-0000-0000-00004C170000}"/>
    <cellStyle name="20% - Accent4 2 2 2 2 2 6 2" xfId="23509" xr:uid="{00000000-0005-0000-0000-00004D170000}"/>
    <cellStyle name="20% - Accent4 2 2 2 2 2 7" xfId="18850" xr:uid="{00000000-0005-0000-0000-00004E170000}"/>
    <cellStyle name="20% - Accent4 2 2 2 2 3" xfId="1531" xr:uid="{00000000-0005-0000-0000-00004F170000}"/>
    <cellStyle name="20% - Accent4 2 2 2 2 3 2" xfId="1532" xr:uid="{00000000-0005-0000-0000-000050170000}"/>
    <cellStyle name="20% - Accent4 2 2 2 2 3 2 2" xfId="14857" xr:uid="{00000000-0005-0000-0000-000051170000}"/>
    <cellStyle name="20% - Accent4 2 2 2 2 3 2 2 2" xfId="28406" xr:uid="{00000000-0005-0000-0000-000052170000}"/>
    <cellStyle name="20% - Accent4 2 2 2 2 3 2 3" xfId="18856" xr:uid="{00000000-0005-0000-0000-000053170000}"/>
    <cellStyle name="20% - Accent4 2 2 2 2 3 3" xfId="10758" xr:uid="{00000000-0005-0000-0000-000054170000}"/>
    <cellStyle name="20% - Accent4 2 2 2 2 3 3 2" xfId="24700" xr:uid="{00000000-0005-0000-0000-000055170000}"/>
    <cellStyle name="20% - Accent4 2 2 2 2 3 4" xfId="18855" xr:uid="{00000000-0005-0000-0000-000056170000}"/>
    <cellStyle name="20% - Accent4 2 2 2 2 4" xfId="1533" xr:uid="{00000000-0005-0000-0000-000057170000}"/>
    <cellStyle name="20% - Accent4 2 2 2 2 4 2" xfId="12344" xr:uid="{00000000-0005-0000-0000-000058170000}"/>
    <cellStyle name="20% - Accent4 2 2 2 2 4 2 2" xfId="26056" xr:uid="{00000000-0005-0000-0000-000059170000}"/>
    <cellStyle name="20% - Accent4 2 2 2 2 4 3" xfId="18857" xr:uid="{00000000-0005-0000-0000-00005A170000}"/>
    <cellStyle name="20% - Accent4 2 2 2 2 5" xfId="1534" xr:uid="{00000000-0005-0000-0000-00005B170000}"/>
    <cellStyle name="20% - Accent4 2 2 2 2 5 2" xfId="11839" xr:uid="{00000000-0005-0000-0000-00005C170000}"/>
    <cellStyle name="20% - Accent4 2 2 2 2 5 2 2" xfId="25554" xr:uid="{00000000-0005-0000-0000-00005D170000}"/>
    <cellStyle name="20% - Accent4 2 2 2 2 5 3" xfId="18858" xr:uid="{00000000-0005-0000-0000-00005E170000}"/>
    <cellStyle name="20% - Accent4 2 2 2 2 6" xfId="1535" xr:uid="{00000000-0005-0000-0000-00005F170000}"/>
    <cellStyle name="20% - Accent4 2 2 2 2 6 2" xfId="13908" xr:uid="{00000000-0005-0000-0000-000060170000}"/>
    <cellStyle name="20% - Accent4 2 2 2 2 6 2 2" xfId="27457" xr:uid="{00000000-0005-0000-0000-000061170000}"/>
    <cellStyle name="20% - Accent4 2 2 2 2 6 3" xfId="18859" xr:uid="{00000000-0005-0000-0000-000062170000}"/>
    <cellStyle name="20% - Accent4 2 2 2 2 7" xfId="1536" xr:uid="{00000000-0005-0000-0000-000063170000}"/>
    <cellStyle name="20% - Accent4 2 2 2 2 7 2" xfId="14489" xr:uid="{00000000-0005-0000-0000-000064170000}"/>
    <cellStyle name="20% - Accent4 2 2 2 2 7 2 2" xfId="28038" xr:uid="{00000000-0005-0000-0000-000065170000}"/>
    <cellStyle name="20% - Accent4 2 2 2 2 7 3" xfId="18860" xr:uid="{00000000-0005-0000-0000-000066170000}"/>
    <cellStyle name="20% - Accent4 2 2 2 2 8" xfId="1537" xr:uid="{00000000-0005-0000-0000-000067170000}"/>
    <cellStyle name="20% - Accent4 2 2 2 2 8 2" xfId="14855" xr:uid="{00000000-0005-0000-0000-000068170000}"/>
    <cellStyle name="20% - Accent4 2 2 2 2 8 2 2" xfId="28404" xr:uid="{00000000-0005-0000-0000-000069170000}"/>
    <cellStyle name="20% - Accent4 2 2 2 2 8 3" xfId="18861" xr:uid="{00000000-0005-0000-0000-00006A170000}"/>
    <cellStyle name="20% - Accent4 2 2 2 2 9" xfId="1538" xr:uid="{00000000-0005-0000-0000-00006B170000}"/>
    <cellStyle name="20% - Accent4 2 2 2 2 9 2" xfId="16375" xr:uid="{00000000-0005-0000-0000-00006C170000}"/>
    <cellStyle name="20% - Accent4 2 2 2 2 9 2 2" xfId="29782" xr:uid="{00000000-0005-0000-0000-00006D170000}"/>
    <cellStyle name="20% - Accent4 2 2 2 2 9 3" xfId="18862" xr:uid="{00000000-0005-0000-0000-00006E170000}"/>
    <cellStyle name="20% - Accent4 2 2 2 3" xfId="1539" xr:uid="{00000000-0005-0000-0000-00006F170000}"/>
    <cellStyle name="20% - Accent4 2 2 2 3 2" xfId="1540" xr:uid="{00000000-0005-0000-0000-000070170000}"/>
    <cellStyle name="20% - Accent4 2 2 2 3 2 2" xfId="10760" xr:uid="{00000000-0005-0000-0000-000071170000}"/>
    <cellStyle name="20% - Accent4 2 2 2 3 2 2 2" xfId="24702" xr:uid="{00000000-0005-0000-0000-000072170000}"/>
    <cellStyle name="20% - Accent4 2 2 2 3 2 3" xfId="18864" xr:uid="{00000000-0005-0000-0000-000073170000}"/>
    <cellStyle name="20% - Accent4 2 2 2 3 3" xfId="1541" xr:uid="{00000000-0005-0000-0000-000074170000}"/>
    <cellStyle name="20% - Accent4 2 2 2 3 3 2" xfId="11743" xr:uid="{00000000-0005-0000-0000-000075170000}"/>
    <cellStyle name="20% - Accent4 2 2 2 3 3 2 2" xfId="25458" xr:uid="{00000000-0005-0000-0000-000076170000}"/>
    <cellStyle name="20% - Accent4 2 2 2 3 3 3" xfId="18865" xr:uid="{00000000-0005-0000-0000-000077170000}"/>
    <cellStyle name="20% - Accent4 2 2 2 3 4" xfId="1542" xr:uid="{00000000-0005-0000-0000-000078170000}"/>
    <cellStyle name="20% - Accent4 2 2 2 3 4 2" xfId="14858" xr:uid="{00000000-0005-0000-0000-000079170000}"/>
    <cellStyle name="20% - Accent4 2 2 2 3 4 2 2" xfId="28407" xr:uid="{00000000-0005-0000-0000-00007A170000}"/>
    <cellStyle name="20% - Accent4 2 2 2 3 4 3" xfId="18866" xr:uid="{00000000-0005-0000-0000-00007B170000}"/>
    <cellStyle name="20% - Accent4 2 2 2 3 5" xfId="1543" xr:uid="{00000000-0005-0000-0000-00007C170000}"/>
    <cellStyle name="20% - Accent4 2 2 2 3 5 2" xfId="16667" xr:uid="{00000000-0005-0000-0000-00007D170000}"/>
    <cellStyle name="20% - Accent4 2 2 2 3 5 2 2" xfId="30074" xr:uid="{00000000-0005-0000-0000-00007E170000}"/>
    <cellStyle name="20% - Accent4 2 2 2 3 5 3" xfId="18867" xr:uid="{00000000-0005-0000-0000-00007F170000}"/>
    <cellStyle name="20% - Accent4 2 2 2 3 6" xfId="9035" xr:uid="{00000000-0005-0000-0000-000080170000}"/>
    <cellStyle name="20% - Accent4 2 2 2 3 6 2" xfId="23510" xr:uid="{00000000-0005-0000-0000-000081170000}"/>
    <cellStyle name="20% - Accent4 2 2 2 3 7" xfId="18863" xr:uid="{00000000-0005-0000-0000-000082170000}"/>
    <cellStyle name="20% - Accent4 2 2 2 4" xfId="1544" xr:uid="{00000000-0005-0000-0000-000083170000}"/>
    <cellStyle name="20% - Accent4 2 2 2 4 2" xfId="1545" xr:uid="{00000000-0005-0000-0000-000084170000}"/>
    <cellStyle name="20% - Accent4 2 2 2 4 2 2" xfId="14859" xr:uid="{00000000-0005-0000-0000-000085170000}"/>
    <cellStyle name="20% - Accent4 2 2 2 4 2 2 2" xfId="28408" xr:uid="{00000000-0005-0000-0000-000086170000}"/>
    <cellStyle name="20% - Accent4 2 2 2 4 2 3" xfId="18869" xr:uid="{00000000-0005-0000-0000-000087170000}"/>
    <cellStyle name="20% - Accent4 2 2 2 4 3" xfId="10757" xr:uid="{00000000-0005-0000-0000-000088170000}"/>
    <cellStyle name="20% - Accent4 2 2 2 4 3 2" xfId="24699" xr:uid="{00000000-0005-0000-0000-000089170000}"/>
    <cellStyle name="20% - Accent4 2 2 2 4 4" xfId="18868" xr:uid="{00000000-0005-0000-0000-00008A170000}"/>
    <cellStyle name="20% - Accent4 2 2 2 5" xfId="1546" xr:uid="{00000000-0005-0000-0000-00008B170000}"/>
    <cellStyle name="20% - Accent4 2 2 2 5 2" xfId="12044" xr:uid="{00000000-0005-0000-0000-00008C170000}"/>
    <cellStyle name="20% - Accent4 2 2 2 5 2 2" xfId="25759" xr:uid="{00000000-0005-0000-0000-00008D170000}"/>
    <cellStyle name="20% - Accent4 2 2 2 5 3" xfId="18870" xr:uid="{00000000-0005-0000-0000-00008E170000}"/>
    <cellStyle name="20% - Accent4 2 2 2 6" xfId="1547" xr:uid="{00000000-0005-0000-0000-00008F170000}"/>
    <cellStyle name="20% - Accent4 2 2 2 6 2" xfId="12477" xr:uid="{00000000-0005-0000-0000-000090170000}"/>
    <cellStyle name="20% - Accent4 2 2 2 6 2 2" xfId="26189" xr:uid="{00000000-0005-0000-0000-000091170000}"/>
    <cellStyle name="20% - Accent4 2 2 2 6 3" xfId="18871" xr:uid="{00000000-0005-0000-0000-000092170000}"/>
    <cellStyle name="20% - Accent4 2 2 2 7" xfId="1548" xr:uid="{00000000-0005-0000-0000-000093170000}"/>
    <cellStyle name="20% - Accent4 2 2 2 7 2" xfId="13619" xr:uid="{00000000-0005-0000-0000-000094170000}"/>
    <cellStyle name="20% - Accent4 2 2 2 7 2 2" xfId="27168" xr:uid="{00000000-0005-0000-0000-000095170000}"/>
    <cellStyle name="20% - Accent4 2 2 2 7 3" xfId="18872" xr:uid="{00000000-0005-0000-0000-000096170000}"/>
    <cellStyle name="20% - Accent4 2 2 2 8" xfId="1549" xr:uid="{00000000-0005-0000-0000-000097170000}"/>
    <cellStyle name="20% - Accent4 2 2 2 8 2" xfId="14200" xr:uid="{00000000-0005-0000-0000-000098170000}"/>
    <cellStyle name="20% - Accent4 2 2 2 8 2 2" xfId="27749" xr:uid="{00000000-0005-0000-0000-000099170000}"/>
    <cellStyle name="20% - Accent4 2 2 2 8 3" xfId="18873" xr:uid="{00000000-0005-0000-0000-00009A170000}"/>
    <cellStyle name="20% - Accent4 2 2 2 9" xfId="1550" xr:uid="{00000000-0005-0000-0000-00009B170000}"/>
    <cellStyle name="20% - Accent4 2 2 2 9 2" xfId="14854" xr:uid="{00000000-0005-0000-0000-00009C170000}"/>
    <cellStyle name="20% - Accent4 2 2 2 9 2 2" xfId="28403" xr:uid="{00000000-0005-0000-0000-00009D170000}"/>
    <cellStyle name="20% - Accent4 2 2 2 9 3" xfId="18874" xr:uid="{00000000-0005-0000-0000-00009E170000}"/>
    <cellStyle name="20% - Accent4 2 2 3" xfId="1551" xr:uid="{00000000-0005-0000-0000-00009F170000}"/>
    <cellStyle name="20% - Accent4 2 2 3 10" xfId="9036" xr:uid="{00000000-0005-0000-0000-0000A0170000}"/>
    <cellStyle name="20% - Accent4 2 2 3 10 2" xfId="23511" xr:uid="{00000000-0005-0000-0000-0000A1170000}"/>
    <cellStyle name="20% - Accent4 2 2 3 11" xfId="18875" xr:uid="{00000000-0005-0000-0000-0000A2170000}"/>
    <cellStyle name="20% - Accent4 2 2 3 2" xfId="1552" xr:uid="{00000000-0005-0000-0000-0000A3170000}"/>
    <cellStyle name="20% - Accent4 2 2 3 2 2" xfId="1553" xr:uid="{00000000-0005-0000-0000-0000A4170000}"/>
    <cellStyle name="20% - Accent4 2 2 3 2 2 2" xfId="10762" xr:uid="{00000000-0005-0000-0000-0000A5170000}"/>
    <cellStyle name="20% - Accent4 2 2 3 2 2 2 2" xfId="24704" xr:uid="{00000000-0005-0000-0000-0000A6170000}"/>
    <cellStyle name="20% - Accent4 2 2 3 2 2 3" xfId="18877" xr:uid="{00000000-0005-0000-0000-0000A7170000}"/>
    <cellStyle name="20% - Accent4 2 2 3 2 3" xfId="1554" xr:uid="{00000000-0005-0000-0000-0000A8170000}"/>
    <cellStyle name="20% - Accent4 2 2 3 2 3 2" xfId="11764" xr:uid="{00000000-0005-0000-0000-0000A9170000}"/>
    <cellStyle name="20% - Accent4 2 2 3 2 3 2 2" xfId="25479" xr:uid="{00000000-0005-0000-0000-0000AA170000}"/>
    <cellStyle name="20% - Accent4 2 2 3 2 3 3" xfId="18878" xr:uid="{00000000-0005-0000-0000-0000AB170000}"/>
    <cellStyle name="20% - Accent4 2 2 3 2 4" xfId="1555" xr:uid="{00000000-0005-0000-0000-0000AC170000}"/>
    <cellStyle name="20% - Accent4 2 2 3 2 4 2" xfId="14861" xr:uid="{00000000-0005-0000-0000-0000AD170000}"/>
    <cellStyle name="20% - Accent4 2 2 3 2 4 2 2" xfId="28410" xr:uid="{00000000-0005-0000-0000-0000AE170000}"/>
    <cellStyle name="20% - Accent4 2 2 3 2 4 3" xfId="18879" xr:uid="{00000000-0005-0000-0000-0000AF170000}"/>
    <cellStyle name="20% - Accent4 2 2 3 2 5" xfId="1556" xr:uid="{00000000-0005-0000-0000-0000B0170000}"/>
    <cellStyle name="20% - Accent4 2 2 3 2 5 2" xfId="16813" xr:uid="{00000000-0005-0000-0000-0000B1170000}"/>
    <cellStyle name="20% - Accent4 2 2 3 2 5 2 2" xfId="30220" xr:uid="{00000000-0005-0000-0000-0000B2170000}"/>
    <cellStyle name="20% - Accent4 2 2 3 2 5 3" xfId="18880" xr:uid="{00000000-0005-0000-0000-0000B3170000}"/>
    <cellStyle name="20% - Accent4 2 2 3 2 6" xfId="9037" xr:uid="{00000000-0005-0000-0000-0000B4170000}"/>
    <cellStyle name="20% - Accent4 2 2 3 2 6 2" xfId="23512" xr:uid="{00000000-0005-0000-0000-0000B5170000}"/>
    <cellStyle name="20% - Accent4 2 2 3 2 7" xfId="18876" xr:uid="{00000000-0005-0000-0000-0000B6170000}"/>
    <cellStyle name="20% - Accent4 2 2 3 3" xfId="1557" xr:uid="{00000000-0005-0000-0000-0000B7170000}"/>
    <cellStyle name="20% - Accent4 2 2 3 3 2" xfId="1558" xr:uid="{00000000-0005-0000-0000-0000B8170000}"/>
    <cellStyle name="20% - Accent4 2 2 3 3 2 2" xfId="14862" xr:uid="{00000000-0005-0000-0000-0000B9170000}"/>
    <cellStyle name="20% - Accent4 2 2 3 3 2 2 2" xfId="28411" xr:uid="{00000000-0005-0000-0000-0000BA170000}"/>
    <cellStyle name="20% - Accent4 2 2 3 3 2 3" xfId="18882" xr:uid="{00000000-0005-0000-0000-0000BB170000}"/>
    <cellStyle name="20% - Accent4 2 2 3 3 3" xfId="10761" xr:uid="{00000000-0005-0000-0000-0000BC170000}"/>
    <cellStyle name="20% - Accent4 2 2 3 3 3 2" xfId="24703" xr:uid="{00000000-0005-0000-0000-0000BD170000}"/>
    <cellStyle name="20% - Accent4 2 2 3 3 4" xfId="18881" xr:uid="{00000000-0005-0000-0000-0000BE170000}"/>
    <cellStyle name="20% - Accent4 2 2 3 4" xfId="1559" xr:uid="{00000000-0005-0000-0000-0000BF170000}"/>
    <cellStyle name="20% - Accent4 2 2 3 4 2" xfId="12201" xr:uid="{00000000-0005-0000-0000-0000C0170000}"/>
    <cellStyle name="20% - Accent4 2 2 3 4 2 2" xfId="25913" xr:uid="{00000000-0005-0000-0000-0000C1170000}"/>
    <cellStyle name="20% - Accent4 2 2 3 4 3" xfId="18883" xr:uid="{00000000-0005-0000-0000-0000C2170000}"/>
    <cellStyle name="20% - Accent4 2 2 3 5" xfId="1560" xr:uid="{00000000-0005-0000-0000-0000C3170000}"/>
    <cellStyle name="20% - Accent4 2 2 3 5 2" xfId="12524" xr:uid="{00000000-0005-0000-0000-0000C4170000}"/>
    <cellStyle name="20% - Accent4 2 2 3 5 2 2" xfId="26236" xr:uid="{00000000-0005-0000-0000-0000C5170000}"/>
    <cellStyle name="20% - Accent4 2 2 3 5 3" xfId="18884" xr:uid="{00000000-0005-0000-0000-0000C6170000}"/>
    <cellStyle name="20% - Accent4 2 2 3 6" xfId="1561" xr:uid="{00000000-0005-0000-0000-0000C7170000}"/>
    <cellStyle name="20% - Accent4 2 2 3 6 2" xfId="13765" xr:uid="{00000000-0005-0000-0000-0000C8170000}"/>
    <cellStyle name="20% - Accent4 2 2 3 6 2 2" xfId="27314" xr:uid="{00000000-0005-0000-0000-0000C9170000}"/>
    <cellStyle name="20% - Accent4 2 2 3 6 3" xfId="18885" xr:uid="{00000000-0005-0000-0000-0000CA170000}"/>
    <cellStyle name="20% - Accent4 2 2 3 7" xfId="1562" xr:uid="{00000000-0005-0000-0000-0000CB170000}"/>
    <cellStyle name="20% - Accent4 2 2 3 7 2" xfId="14346" xr:uid="{00000000-0005-0000-0000-0000CC170000}"/>
    <cellStyle name="20% - Accent4 2 2 3 7 2 2" xfId="27895" xr:uid="{00000000-0005-0000-0000-0000CD170000}"/>
    <cellStyle name="20% - Accent4 2 2 3 7 3" xfId="18886" xr:uid="{00000000-0005-0000-0000-0000CE170000}"/>
    <cellStyle name="20% - Accent4 2 2 3 8" xfId="1563" xr:uid="{00000000-0005-0000-0000-0000CF170000}"/>
    <cellStyle name="20% - Accent4 2 2 3 8 2" xfId="14860" xr:uid="{00000000-0005-0000-0000-0000D0170000}"/>
    <cellStyle name="20% - Accent4 2 2 3 8 2 2" xfId="28409" xr:uid="{00000000-0005-0000-0000-0000D1170000}"/>
    <cellStyle name="20% - Accent4 2 2 3 8 3" xfId="18887" xr:uid="{00000000-0005-0000-0000-0000D2170000}"/>
    <cellStyle name="20% - Accent4 2 2 3 9" xfId="1564" xr:uid="{00000000-0005-0000-0000-0000D3170000}"/>
    <cellStyle name="20% - Accent4 2 2 3 9 2" xfId="16232" xr:uid="{00000000-0005-0000-0000-0000D4170000}"/>
    <cellStyle name="20% - Accent4 2 2 3 9 2 2" xfId="29639" xr:uid="{00000000-0005-0000-0000-0000D5170000}"/>
    <cellStyle name="20% - Accent4 2 2 3 9 3" xfId="18888" xr:uid="{00000000-0005-0000-0000-0000D6170000}"/>
    <cellStyle name="20% - Accent4 2 2 4" xfId="1565" xr:uid="{00000000-0005-0000-0000-0000D7170000}"/>
    <cellStyle name="20% - Accent4 2 2 4 2" xfId="1566" xr:uid="{00000000-0005-0000-0000-0000D8170000}"/>
    <cellStyle name="20% - Accent4 2 2 4 2 2" xfId="10763" xr:uid="{00000000-0005-0000-0000-0000D9170000}"/>
    <cellStyle name="20% - Accent4 2 2 4 2 2 2" xfId="24705" xr:uid="{00000000-0005-0000-0000-0000DA170000}"/>
    <cellStyle name="20% - Accent4 2 2 4 2 3" xfId="18890" xr:uid="{00000000-0005-0000-0000-0000DB170000}"/>
    <cellStyle name="20% - Accent4 2 2 4 3" xfId="1567" xr:uid="{00000000-0005-0000-0000-0000DC170000}"/>
    <cellStyle name="20% - Accent4 2 2 4 3 2" xfId="12736" xr:uid="{00000000-0005-0000-0000-0000DD170000}"/>
    <cellStyle name="20% - Accent4 2 2 4 3 2 2" xfId="26448" xr:uid="{00000000-0005-0000-0000-0000DE170000}"/>
    <cellStyle name="20% - Accent4 2 2 4 3 3" xfId="18891" xr:uid="{00000000-0005-0000-0000-0000DF170000}"/>
    <cellStyle name="20% - Accent4 2 2 4 4" xfId="1568" xr:uid="{00000000-0005-0000-0000-0000E0170000}"/>
    <cellStyle name="20% - Accent4 2 2 4 4 2" xfId="14863" xr:uid="{00000000-0005-0000-0000-0000E1170000}"/>
    <cellStyle name="20% - Accent4 2 2 4 4 2 2" xfId="28412" xr:uid="{00000000-0005-0000-0000-0000E2170000}"/>
    <cellStyle name="20% - Accent4 2 2 4 4 3" xfId="18892" xr:uid="{00000000-0005-0000-0000-0000E3170000}"/>
    <cellStyle name="20% - Accent4 2 2 4 5" xfId="1569" xr:uid="{00000000-0005-0000-0000-0000E4170000}"/>
    <cellStyle name="20% - Accent4 2 2 4 5 2" xfId="17160" xr:uid="{00000000-0005-0000-0000-0000E5170000}"/>
    <cellStyle name="20% - Accent4 2 2 4 5 2 2" xfId="30519" xr:uid="{00000000-0005-0000-0000-0000E6170000}"/>
    <cellStyle name="20% - Accent4 2 2 4 5 3" xfId="18893" xr:uid="{00000000-0005-0000-0000-0000E7170000}"/>
    <cellStyle name="20% - Accent4 2 2 4 6" xfId="9038" xr:uid="{00000000-0005-0000-0000-0000E8170000}"/>
    <cellStyle name="20% - Accent4 2 2 4 6 2" xfId="23513" xr:uid="{00000000-0005-0000-0000-0000E9170000}"/>
    <cellStyle name="20% - Accent4 2 2 4 7" xfId="18889" xr:uid="{00000000-0005-0000-0000-0000EA170000}"/>
    <cellStyle name="20% - Accent4 2 2 5" xfId="1570" xr:uid="{00000000-0005-0000-0000-0000EB170000}"/>
    <cellStyle name="20% - Accent4 2 2 5 2" xfId="1571" xr:uid="{00000000-0005-0000-0000-0000EC170000}"/>
    <cellStyle name="20% - Accent4 2 2 5 2 2" xfId="14864" xr:uid="{00000000-0005-0000-0000-0000ED170000}"/>
    <cellStyle name="20% - Accent4 2 2 5 2 2 2" xfId="28413" xr:uid="{00000000-0005-0000-0000-0000EE170000}"/>
    <cellStyle name="20% - Accent4 2 2 5 2 3" xfId="18895" xr:uid="{00000000-0005-0000-0000-0000EF170000}"/>
    <cellStyle name="20% - Accent4 2 2 5 3" xfId="1572" xr:uid="{00000000-0005-0000-0000-0000F0170000}"/>
    <cellStyle name="20% - Accent4 2 2 5 3 2" xfId="17249" xr:uid="{00000000-0005-0000-0000-0000F1170000}"/>
    <cellStyle name="20% - Accent4 2 2 5 3 2 2" xfId="30608" xr:uid="{00000000-0005-0000-0000-0000F2170000}"/>
    <cellStyle name="20% - Accent4 2 2 5 3 3" xfId="18896" xr:uid="{00000000-0005-0000-0000-0000F3170000}"/>
    <cellStyle name="20% - Accent4 2 2 5 4" xfId="10756" xr:uid="{00000000-0005-0000-0000-0000F4170000}"/>
    <cellStyle name="20% - Accent4 2 2 5 4 2" xfId="24698" xr:uid="{00000000-0005-0000-0000-0000F5170000}"/>
    <cellStyle name="20% - Accent4 2 2 5 5" xfId="18894" xr:uid="{00000000-0005-0000-0000-0000F6170000}"/>
    <cellStyle name="20% - Accent4 2 2 6" xfId="1573" xr:uid="{00000000-0005-0000-0000-0000F7170000}"/>
    <cellStyle name="20% - Accent4 2 2 6 2" xfId="1574" xr:uid="{00000000-0005-0000-0000-0000F8170000}"/>
    <cellStyle name="20% - Accent4 2 2 6 2 2" xfId="16524" xr:uid="{00000000-0005-0000-0000-0000F9170000}"/>
    <cellStyle name="20% - Accent4 2 2 6 2 2 2" xfId="29931" xr:uid="{00000000-0005-0000-0000-0000FA170000}"/>
    <cellStyle name="20% - Accent4 2 2 6 2 3" xfId="18898" xr:uid="{00000000-0005-0000-0000-0000FB170000}"/>
    <cellStyle name="20% - Accent4 2 2 6 3" xfId="11899" xr:uid="{00000000-0005-0000-0000-0000FC170000}"/>
    <cellStyle name="20% - Accent4 2 2 6 3 2" xfId="25614" xr:uid="{00000000-0005-0000-0000-0000FD170000}"/>
    <cellStyle name="20% - Accent4 2 2 6 4" xfId="18897" xr:uid="{00000000-0005-0000-0000-0000FE170000}"/>
    <cellStyle name="20% - Accent4 2 2 7" xfId="1575" xr:uid="{00000000-0005-0000-0000-0000FF170000}"/>
    <cellStyle name="20% - Accent4 2 2 7 2" xfId="12386" xr:uid="{00000000-0005-0000-0000-000000180000}"/>
    <cellStyle name="20% - Accent4 2 2 7 2 2" xfId="26098" xr:uid="{00000000-0005-0000-0000-000001180000}"/>
    <cellStyle name="20% - Accent4 2 2 7 3" xfId="18899" xr:uid="{00000000-0005-0000-0000-000002180000}"/>
    <cellStyle name="20% - Accent4 2 2 8" xfId="1576" xr:uid="{00000000-0005-0000-0000-000003180000}"/>
    <cellStyle name="20% - Accent4 2 2 8 2" xfId="13476" xr:uid="{00000000-0005-0000-0000-000004180000}"/>
    <cellStyle name="20% - Accent4 2 2 8 2 2" xfId="27025" xr:uid="{00000000-0005-0000-0000-000005180000}"/>
    <cellStyle name="20% - Accent4 2 2 8 3" xfId="18900" xr:uid="{00000000-0005-0000-0000-000006180000}"/>
    <cellStyle name="20% - Accent4 2 2 9" xfId="1577" xr:uid="{00000000-0005-0000-0000-000007180000}"/>
    <cellStyle name="20% - Accent4 2 2 9 2" xfId="14057" xr:uid="{00000000-0005-0000-0000-000008180000}"/>
    <cellStyle name="20% - Accent4 2 2 9 2 2" xfId="27606" xr:uid="{00000000-0005-0000-0000-000009180000}"/>
    <cellStyle name="20% - Accent4 2 2 9 3" xfId="18901" xr:uid="{00000000-0005-0000-0000-00000A180000}"/>
    <cellStyle name="20% - Accent4 2 3" xfId="1578" xr:uid="{00000000-0005-0000-0000-00000B180000}"/>
    <cellStyle name="20% - Accent4 2 3 10" xfId="1579" xr:uid="{00000000-0005-0000-0000-00000C180000}"/>
    <cellStyle name="20% - Accent4 2 3 10 2" xfId="16040" xr:uid="{00000000-0005-0000-0000-00000D180000}"/>
    <cellStyle name="20% - Accent4 2 3 10 2 2" xfId="29447" xr:uid="{00000000-0005-0000-0000-00000E180000}"/>
    <cellStyle name="20% - Accent4 2 3 10 3" xfId="18903" xr:uid="{00000000-0005-0000-0000-00000F180000}"/>
    <cellStyle name="20% - Accent4 2 3 11" xfId="9039" xr:uid="{00000000-0005-0000-0000-000010180000}"/>
    <cellStyle name="20% - Accent4 2 3 11 2" xfId="23514" xr:uid="{00000000-0005-0000-0000-000011180000}"/>
    <cellStyle name="20% - Accent4 2 3 12" xfId="18902" xr:uid="{00000000-0005-0000-0000-000012180000}"/>
    <cellStyle name="20% - Accent4 2 3 2" xfId="1580" xr:uid="{00000000-0005-0000-0000-000013180000}"/>
    <cellStyle name="20% - Accent4 2 3 2 10" xfId="9040" xr:uid="{00000000-0005-0000-0000-000014180000}"/>
    <cellStyle name="20% - Accent4 2 3 2 10 2" xfId="23515" xr:uid="{00000000-0005-0000-0000-000015180000}"/>
    <cellStyle name="20% - Accent4 2 3 2 11" xfId="18904" xr:uid="{00000000-0005-0000-0000-000016180000}"/>
    <cellStyle name="20% - Accent4 2 3 2 2" xfId="1581" xr:uid="{00000000-0005-0000-0000-000017180000}"/>
    <cellStyle name="20% - Accent4 2 3 2 2 2" xfId="1582" xr:uid="{00000000-0005-0000-0000-000018180000}"/>
    <cellStyle name="20% - Accent4 2 3 2 2 2 2" xfId="10766" xr:uid="{00000000-0005-0000-0000-000019180000}"/>
    <cellStyle name="20% - Accent4 2 3 2 2 2 2 2" xfId="24708" xr:uid="{00000000-0005-0000-0000-00001A180000}"/>
    <cellStyle name="20% - Accent4 2 3 2 2 2 3" xfId="18906" xr:uid="{00000000-0005-0000-0000-00001B180000}"/>
    <cellStyle name="20% - Accent4 2 3 2 2 3" xfId="1583" xr:uid="{00000000-0005-0000-0000-00001C180000}"/>
    <cellStyle name="20% - Accent4 2 3 2 2 3 2" xfId="11758" xr:uid="{00000000-0005-0000-0000-00001D180000}"/>
    <cellStyle name="20% - Accent4 2 3 2 2 3 2 2" xfId="25473" xr:uid="{00000000-0005-0000-0000-00001E180000}"/>
    <cellStyle name="20% - Accent4 2 3 2 2 3 3" xfId="18907" xr:uid="{00000000-0005-0000-0000-00001F180000}"/>
    <cellStyle name="20% - Accent4 2 3 2 2 4" xfId="1584" xr:uid="{00000000-0005-0000-0000-000020180000}"/>
    <cellStyle name="20% - Accent4 2 3 2 2 4 2" xfId="14867" xr:uid="{00000000-0005-0000-0000-000021180000}"/>
    <cellStyle name="20% - Accent4 2 3 2 2 4 2 2" xfId="28416" xr:uid="{00000000-0005-0000-0000-000022180000}"/>
    <cellStyle name="20% - Accent4 2 3 2 2 4 3" xfId="18908" xr:uid="{00000000-0005-0000-0000-000023180000}"/>
    <cellStyle name="20% - Accent4 2 3 2 2 5" xfId="1585" xr:uid="{00000000-0005-0000-0000-000024180000}"/>
    <cellStyle name="20% - Accent4 2 3 2 2 5 2" xfId="16910" xr:uid="{00000000-0005-0000-0000-000025180000}"/>
    <cellStyle name="20% - Accent4 2 3 2 2 5 2 2" xfId="30317" xr:uid="{00000000-0005-0000-0000-000026180000}"/>
    <cellStyle name="20% - Accent4 2 3 2 2 5 3" xfId="18909" xr:uid="{00000000-0005-0000-0000-000027180000}"/>
    <cellStyle name="20% - Accent4 2 3 2 2 6" xfId="9041" xr:uid="{00000000-0005-0000-0000-000028180000}"/>
    <cellStyle name="20% - Accent4 2 3 2 2 6 2" xfId="23516" xr:uid="{00000000-0005-0000-0000-000029180000}"/>
    <cellStyle name="20% - Accent4 2 3 2 2 7" xfId="18905" xr:uid="{00000000-0005-0000-0000-00002A180000}"/>
    <cellStyle name="20% - Accent4 2 3 2 3" xfId="1586" xr:uid="{00000000-0005-0000-0000-00002B180000}"/>
    <cellStyle name="20% - Accent4 2 3 2 3 2" xfId="1587" xr:uid="{00000000-0005-0000-0000-00002C180000}"/>
    <cellStyle name="20% - Accent4 2 3 2 3 2 2" xfId="14868" xr:uid="{00000000-0005-0000-0000-00002D180000}"/>
    <cellStyle name="20% - Accent4 2 3 2 3 2 2 2" xfId="28417" xr:uid="{00000000-0005-0000-0000-00002E180000}"/>
    <cellStyle name="20% - Accent4 2 3 2 3 2 3" xfId="18911" xr:uid="{00000000-0005-0000-0000-00002F180000}"/>
    <cellStyle name="20% - Accent4 2 3 2 3 3" xfId="10765" xr:uid="{00000000-0005-0000-0000-000030180000}"/>
    <cellStyle name="20% - Accent4 2 3 2 3 3 2" xfId="24707" xr:uid="{00000000-0005-0000-0000-000031180000}"/>
    <cellStyle name="20% - Accent4 2 3 2 3 4" xfId="18910" xr:uid="{00000000-0005-0000-0000-000032180000}"/>
    <cellStyle name="20% - Accent4 2 3 2 4" xfId="1588" xr:uid="{00000000-0005-0000-0000-000033180000}"/>
    <cellStyle name="20% - Accent4 2 3 2 4 2" xfId="12298" xr:uid="{00000000-0005-0000-0000-000034180000}"/>
    <cellStyle name="20% - Accent4 2 3 2 4 2 2" xfId="26010" xr:uid="{00000000-0005-0000-0000-000035180000}"/>
    <cellStyle name="20% - Accent4 2 3 2 4 3" xfId="18912" xr:uid="{00000000-0005-0000-0000-000036180000}"/>
    <cellStyle name="20% - Accent4 2 3 2 5" xfId="1589" xr:uid="{00000000-0005-0000-0000-000037180000}"/>
    <cellStyle name="20% - Accent4 2 3 2 5 2" xfId="12592" xr:uid="{00000000-0005-0000-0000-000038180000}"/>
    <cellStyle name="20% - Accent4 2 3 2 5 2 2" xfId="26304" xr:uid="{00000000-0005-0000-0000-000039180000}"/>
    <cellStyle name="20% - Accent4 2 3 2 5 3" xfId="18913" xr:uid="{00000000-0005-0000-0000-00003A180000}"/>
    <cellStyle name="20% - Accent4 2 3 2 6" xfId="1590" xr:uid="{00000000-0005-0000-0000-00003B180000}"/>
    <cellStyle name="20% - Accent4 2 3 2 6 2" xfId="13862" xr:uid="{00000000-0005-0000-0000-00003C180000}"/>
    <cellStyle name="20% - Accent4 2 3 2 6 2 2" xfId="27411" xr:uid="{00000000-0005-0000-0000-00003D180000}"/>
    <cellStyle name="20% - Accent4 2 3 2 6 3" xfId="18914" xr:uid="{00000000-0005-0000-0000-00003E180000}"/>
    <cellStyle name="20% - Accent4 2 3 2 7" xfId="1591" xr:uid="{00000000-0005-0000-0000-00003F180000}"/>
    <cellStyle name="20% - Accent4 2 3 2 7 2" xfId="14443" xr:uid="{00000000-0005-0000-0000-000040180000}"/>
    <cellStyle name="20% - Accent4 2 3 2 7 2 2" xfId="27992" xr:uid="{00000000-0005-0000-0000-000041180000}"/>
    <cellStyle name="20% - Accent4 2 3 2 7 3" xfId="18915" xr:uid="{00000000-0005-0000-0000-000042180000}"/>
    <cellStyle name="20% - Accent4 2 3 2 8" xfId="1592" xr:uid="{00000000-0005-0000-0000-000043180000}"/>
    <cellStyle name="20% - Accent4 2 3 2 8 2" xfId="14866" xr:uid="{00000000-0005-0000-0000-000044180000}"/>
    <cellStyle name="20% - Accent4 2 3 2 8 2 2" xfId="28415" xr:uid="{00000000-0005-0000-0000-000045180000}"/>
    <cellStyle name="20% - Accent4 2 3 2 8 3" xfId="18916" xr:uid="{00000000-0005-0000-0000-000046180000}"/>
    <cellStyle name="20% - Accent4 2 3 2 9" xfId="1593" xr:uid="{00000000-0005-0000-0000-000047180000}"/>
    <cellStyle name="20% - Accent4 2 3 2 9 2" xfId="16329" xr:uid="{00000000-0005-0000-0000-000048180000}"/>
    <cellStyle name="20% - Accent4 2 3 2 9 2 2" xfId="29736" xr:uid="{00000000-0005-0000-0000-000049180000}"/>
    <cellStyle name="20% - Accent4 2 3 2 9 3" xfId="18917" xr:uid="{00000000-0005-0000-0000-00004A180000}"/>
    <cellStyle name="20% - Accent4 2 3 3" xfId="1594" xr:uid="{00000000-0005-0000-0000-00004B180000}"/>
    <cellStyle name="20% - Accent4 2 3 3 2" xfId="1595" xr:uid="{00000000-0005-0000-0000-00004C180000}"/>
    <cellStyle name="20% - Accent4 2 3 3 2 2" xfId="10767" xr:uid="{00000000-0005-0000-0000-00004D180000}"/>
    <cellStyle name="20% - Accent4 2 3 3 2 2 2" xfId="24709" xr:uid="{00000000-0005-0000-0000-00004E180000}"/>
    <cellStyle name="20% - Accent4 2 3 3 2 3" xfId="18919" xr:uid="{00000000-0005-0000-0000-00004F180000}"/>
    <cellStyle name="20% - Accent4 2 3 3 3" xfId="1596" xr:uid="{00000000-0005-0000-0000-000050180000}"/>
    <cellStyle name="20% - Accent4 2 3 3 3 2" xfId="12491" xr:uid="{00000000-0005-0000-0000-000051180000}"/>
    <cellStyle name="20% - Accent4 2 3 3 3 2 2" xfId="26203" xr:uid="{00000000-0005-0000-0000-000052180000}"/>
    <cellStyle name="20% - Accent4 2 3 3 3 3" xfId="18920" xr:uid="{00000000-0005-0000-0000-000053180000}"/>
    <cellStyle name="20% - Accent4 2 3 3 4" xfId="1597" xr:uid="{00000000-0005-0000-0000-000054180000}"/>
    <cellStyle name="20% - Accent4 2 3 3 4 2" xfId="14869" xr:uid="{00000000-0005-0000-0000-000055180000}"/>
    <cellStyle name="20% - Accent4 2 3 3 4 2 2" xfId="28418" xr:uid="{00000000-0005-0000-0000-000056180000}"/>
    <cellStyle name="20% - Accent4 2 3 3 4 3" xfId="18921" xr:uid="{00000000-0005-0000-0000-000057180000}"/>
    <cellStyle name="20% - Accent4 2 3 3 5" xfId="1598" xr:uid="{00000000-0005-0000-0000-000058180000}"/>
    <cellStyle name="20% - Accent4 2 3 3 5 2" xfId="16621" xr:uid="{00000000-0005-0000-0000-000059180000}"/>
    <cellStyle name="20% - Accent4 2 3 3 5 2 2" xfId="30028" xr:uid="{00000000-0005-0000-0000-00005A180000}"/>
    <cellStyle name="20% - Accent4 2 3 3 5 3" xfId="18922" xr:uid="{00000000-0005-0000-0000-00005B180000}"/>
    <cellStyle name="20% - Accent4 2 3 3 6" xfId="9042" xr:uid="{00000000-0005-0000-0000-00005C180000}"/>
    <cellStyle name="20% - Accent4 2 3 3 6 2" xfId="23517" xr:uid="{00000000-0005-0000-0000-00005D180000}"/>
    <cellStyle name="20% - Accent4 2 3 3 7" xfId="18918" xr:uid="{00000000-0005-0000-0000-00005E180000}"/>
    <cellStyle name="20% - Accent4 2 3 4" xfId="1599" xr:uid="{00000000-0005-0000-0000-00005F180000}"/>
    <cellStyle name="20% - Accent4 2 3 4 2" xfId="1600" xr:uid="{00000000-0005-0000-0000-000060180000}"/>
    <cellStyle name="20% - Accent4 2 3 4 2 2" xfId="14870" xr:uid="{00000000-0005-0000-0000-000061180000}"/>
    <cellStyle name="20% - Accent4 2 3 4 2 2 2" xfId="28419" xr:uid="{00000000-0005-0000-0000-000062180000}"/>
    <cellStyle name="20% - Accent4 2 3 4 2 3" xfId="18924" xr:uid="{00000000-0005-0000-0000-000063180000}"/>
    <cellStyle name="20% - Accent4 2 3 4 3" xfId="10764" xr:uid="{00000000-0005-0000-0000-000064180000}"/>
    <cellStyle name="20% - Accent4 2 3 4 3 2" xfId="24706" xr:uid="{00000000-0005-0000-0000-000065180000}"/>
    <cellStyle name="20% - Accent4 2 3 4 4" xfId="18923" xr:uid="{00000000-0005-0000-0000-000066180000}"/>
    <cellStyle name="20% - Accent4 2 3 5" xfId="1601" xr:uid="{00000000-0005-0000-0000-000067180000}"/>
    <cellStyle name="20% - Accent4 2 3 5 2" xfId="11998" xr:uid="{00000000-0005-0000-0000-000068180000}"/>
    <cellStyle name="20% - Accent4 2 3 5 2 2" xfId="25713" xr:uid="{00000000-0005-0000-0000-000069180000}"/>
    <cellStyle name="20% - Accent4 2 3 5 3" xfId="18925" xr:uid="{00000000-0005-0000-0000-00006A180000}"/>
    <cellStyle name="20% - Accent4 2 3 6" xfId="1602" xr:uid="{00000000-0005-0000-0000-00006B180000}"/>
    <cellStyle name="20% - Accent4 2 3 6 2" xfId="12737" xr:uid="{00000000-0005-0000-0000-00006C180000}"/>
    <cellStyle name="20% - Accent4 2 3 6 2 2" xfId="26449" xr:uid="{00000000-0005-0000-0000-00006D180000}"/>
    <cellStyle name="20% - Accent4 2 3 6 3" xfId="18926" xr:uid="{00000000-0005-0000-0000-00006E180000}"/>
    <cellStyle name="20% - Accent4 2 3 7" xfId="1603" xr:uid="{00000000-0005-0000-0000-00006F180000}"/>
    <cellStyle name="20% - Accent4 2 3 7 2" xfId="13573" xr:uid="{00000000-0005-0000-0000-000070180000}"/>
    <cellStyle name="20% - Accent4 2 3 7 2 2" xfId="27122" xr:uid="{00000000-0005-0000-0000-000071180000}"/>
    <cellStyle name="20% - Accent4 2 3 7 3" xfId="18927" xr:uid="{00000000-0005-0000-0000-000072180000}"/>
    <cellStyle name="20% - Accent4 2 3 8" xfId="1604" xr:uid="{00000000-0005-0000-0000-000073180000}"/>
    <cellStyle name="20% - Accent4 2 3 8 2" xfId="14154" xr:uid="{00000000-0005-0000-0000-000074180000}"/>
    <cellStyle name="20% - Accent4 2 3 8 2 2" xfId="27703" xr:uid="{00000000-0005-0000-0000-000075180000}"/>
    <cellStyle name="20% - Accent4 2 3 8 3" xfId="18928" xr:uid="{00000000-0005-0000-0000-000076180000}"/>
    <cellStyle name="20% - Accent4 2 3 9" xfId="1605" xr:uid="{00000000-0005-0000-0000-000077180000}"/>
    <cellStyle name="20% - Accent4 2 3 9 2" xfId="14865" xr:uid="{00000000-0005-0000-0000-000078180000}"/>
    <cellStyle name="20% - Accent4 2 3 9 2 2" xfId="28414" xr:uid="{00000000-0005-0000-0000-000079180000}"/>
    <cellStyle name="20% - Accent4 2 3 9 3" xfId="18929" xr:uid="{00000000-0005-0000-0000-00007A180000}"/>
    <cellStyle name="20% - Accent4 2 4" xfId="1606" xr:uid="{00000000-0005-0000-0000-00007B180000}"/>
    <cellStyle name="20% - Accent4 2 4 10" xfId="9043" xr:uid="{00000000-0005-0000-0000-00007C180000}"/>
    <cellStyle name="20% - Accent4 2 4 10 2" xfId="23518" xr:uid="{00000000-0005-0000-0000-00007D180000}"/>
    <cellStyle name="20% - Accent4 2 4 11" xfId="18930" xr:uid="{00000000-0005-0000-0000-00007E180000}"/>
    <cellStyle name="20% - Accent4 2 4 2" xfId="1607" xr:uid="{00000000-0005-0000-0000-00007F180000}"/>
    <cellStyle name="20% - Accent4 2 4 2 2" xfId="1608" xr:uid="{00000000-0005-0000-0000-000080180000}"/>
    <cellStyle name="20% - Accent4 2 4 2 2 2" xfId="10769" xr:uid="{00000000-0005-0000-0000-000081180000}"/>
    <cellStyle name="20% - Accent4 2 4 2 2 2 2" xfId="24711" xr:uid="{00000000-0005-0000-0000-000082180000}"/>
    <cellStyle name="20% - Accent4 2 4 2 2 3" xfId="18932" xr:uid="{00000000-0005-0000-0000-000083180000}"/>
    <cellStyle name="20% - Accent4 2 4 2 3" xfId="1609" xr:uid="{00000000-0005-0000-0000-000084180000}"/>
    <cellStyle name="20% - Accent4 2 4 2 3 2" xfId="12542" xr:uid="{00000000-0005-0000-0000-000085180000}"/>
    <cellStyle name="20% - Accent4 2 4 2 3 2 2" xfId="26254" xr:uid="{00000000-0005-0000-0000-000086180000}"/>
    <cellStyle name="20% - Accent4 2 4 2 3 3" xfId="18933" xr:uid="{00000000-0005-0000-0000-000087180000}"/>
    <cellStyle name="20% - Accent4 2 4 2 4" xfId="1610" xr:uid="{00000000-0005-0000-0000-000088180000}"/>
    <cellStyle name="20% - Accent4 2 4 2 4 2" xfId="14872" xr:uid="{00000000-0005-0000-0000-000089180000}"/>
    <cellStyle name="20% - Accent4 2 4 2 4 2 2" xfId="28421" xr:uid="{00000000-0005-0000-0000-00008A180000}"/>
    <cellStyle name="20% - Accent4 2 4 2 4 3" xfId="18934" xr:uid="{00000000-0005-0000-0000-00008B180000}"/>
    <cellStyle name="20% - Accent4 2 4 2 5" xfId="1611" xr:uid="{00000000-0005-0000-0000-00008C180000}"/>
    <cellStyle name="20% - Accent4 2 4 2 5 2" xfId="16767" xr:uid="{00000000-0005-0000-0000-00008D180000}"/>
    <cellStyle name="20% - Accent4 2 4 2 5 2 2" xfId="30174" xr:uid="{00000000-0005-0000-0000-00008E180000}"/>
    <cellStyle name="20% - Accent4 2 4 2 5 3" xfId="18935" xr:uid="{00000000-0005-0000-0000-00008F180000}"/>
    <cellStyle name="20% - Accent4 2 4 2 6" xfId="9044" xr:uid="{00000000-0005-0000-0000-000090180000}"/>
    <cellStyle name="20% - Accent4 2 4 2 6 2" xfId="23519" xr:uid="{00000000-0005-0000-0000-000091180000}"/>
    <cellStyle name="20% - Accent4 2 4 2 7" xfId="18931" xr:uid="{00000000-0005-0000-0000-000092180000}"/>
    <cellStyle name="20% - Accent4 2 4 3" xfId="1612" xr:uid="{00000000-0005-0000-0000-000093180000}"/>
    <cellStyle name="20% - Accent4 2 4 3 2" xfId="1613" xr:uid="{00000000-0005-0000-0000-000094180000}"/>
    <cellStyle name="20% - Accent4 2 4 3 2 2" xfId="14873" xr:uid="{00000000-0005-0000-0000-000095180000}"/>
    <cellStyle name="20% - Accent4 2 4 3 2 2 2" xfId="28422" xr:uid="{00000000-0005-0000-0000-000096180000}"/>
    <cellStyle name="20% - Accent4 2 4 3 2 3" xfId="18937" xr:uid="{00000000-0005-0000-0000-000097180000}"/>
    <cellStyle name="20% - Accent4 2 4 3 3" xfId="10768" xr:uid="{00000000-0005-0000-0000-000098180000}"/>
    <cellStyle name="20% - Accent4 2 4 3 3 2" xfId="24710" xr:uid="{00000000-0005-0000-0000-000099180000}"/>
    <cellStyle name="20% - Accent4 2 4 3 4" xfId="18936" xr:uid="{00000000-0005-0000-0000-00009A180000}"/>
    <cellStyle name="20% - Accent4 2 4 4" xfId="1614" xr:uid="{00000000-0005-0000-0000-00009B180000}"/>
    <cellStyle name="20% - Accent4 2 4 4 2" xfId="12155" xr:uid="{00000000-0005-0000-0000-00009C180000}"/>
    <cellStyle name="20% - Accent4 2 4 4 2 2" xfId="25867" xr:uid="{00000000-0005-0000-0000-00009D180000}"/>
    <cellStyle name="20% - Accent4 2 4 4 3" xfId="18938" xr:uid="{00000000-0005-0000-0000-00009E180000}"/>
    <cellStyle name="20% - Accent4 2 4 5" xfId="1615" xr:uid="{00000000-0005-0000-0000-00009F180000}"/>
    <cellStyle name="20% - Accent4 2 4 5 2" xfId="12488" xr:uid="{00000000-0005-0000-0000-0000A0180000}"/>
    <cellStyle name="20% - Accent4 2 4 5 2 2" xfId="26200" xr:uid="{00000000-0005-0000-0000-0000A1180000}"/>
    <cellStyle name="20% - Accent4 2 4 5 3" xfId="18939" xr:uid="{00000000-0005-0000-0000-0000A2180000}"/>
    <cellStyle name="20% - Accent4 2 4 6" xfId="1616" xr:uid="{00000000-0005-0000-0000-0000A3180000}"/>
    <cellStyle name="20% - Accent4 2 4 6 2" xfId="13719" xr:uid="{00000000-0005-0000-0000-0000A4180000}"/>
    <cellStyle name="20% - Accent4 2 4 6 2 2" xfId="27268" xr:uid="{00000000-0005-0000-0000-0000A5180000}"/>
    <cellStyle name="20% - Accent4 2 4 6 3" xfId="18940" xr:uid="{00000000-0005-0000-0000-0000A6180000}"/>
    <cellStyle name="20% - Accent4 2 4 7" xfId="1617" xr:uid="{00000000-0005-0000-0000-0000A7180000}"/>
    <cellStyle name="20% - Accent4 2 4 7 2" xfId="14300" xr:uid="{00000000-0005-0000-0000-0000A8180000}"/>
    <cellStyle name="20% - Accent4 2 4 7 2 2" xfId="27849" xr:uid="{00000000-0005-0000-0000-0000A9180000}"/>
    <cellStyle name="20% - Accent4 2 4 7 3" xfId="18941" xr:uid="{00000000-0005-0000-0000-0000AA180000}"/>
    <cellStyle name="20% - Accent4 2 4 8" xfId="1618" xr:uid="{00000000-0005-0000-0000-0000AB180000}"/>
    <cellStyle name="20% - Accent4 2 4 8 2" xfId="14871" xr:uid="{00000000-0005-0000-0000-0000AC180000}"/>
    <cellStyle name="20% - Accent4 2 4 8 2 2" xfId="28420" xr:uid="{00000000-0005-0000-0000-0000AD180000}"/>
    <cellStyle name="20% - Accent4 2 4 8 3" xfId="18942" xr:uid="{00000000-0005-0000-0000-0000AE180000}"/>
    <cellStyle name="20% - Accent4 2 4 9" xfId="1619" xr:uid="{00000000-0005-0000-0000-0000AF180000}"/>
    <cellStyle name="20% - Accent4 2 4 9 2" xfId="16186" xr:uid="{00000000-0005-0000-0000-0000B0180000}"/>
    <cellStyle name="20% - Accent4 2 4 9 2 2" xfId="29593" xr:uid="{00000000-0005-0000-0000-0000B1180000}"/>
    <cellStyle name="20% - Accent4 2 4 9 3" xfId="18943" xr:uid="{00000000-0005-0000-0000-0000B2180000}"/>
    <cellStyle name="20% - Accent4 2 5" xfId="1620" xr:uid="{00000000-0005-0000-0000-0000B3180000}"/>
    <cellStyle name="20% - Accent4 2 5 2" xfId="1621" xr:uid="{00000000-0005-0000-0000-0000B4180000}"/>
    <cellStyle name="20% - Accent4 2 5 2 2" xfId="1622" xr:uid="{00000000-0005-0000-0000-0000B5180000}"/>
    <cellStyle name="20% - Accent4 2 5 2 2 2" xfId="10771" xr:uid="{00000000-0005-0000-0000-0000B6180000}"/>
    <cellStyle name="20% - Accent4 2 5 2 2 2 2" xfId="24713" xr:uid="{00000000-0005-0000-0000-0000B7180000}"/>
    <cellStyle name="20% - Accent4 2 5 2 2 3" xfId="18946" xr:uid="{00000000-0005-0000-0000-0000B8180000}"/>
    <cellStyle name="20% - Accent4 2 5 2 3" xfId="1623" xr:uid="{00000000-0005-0000-0000-0000B9180000}"/>
    <cellStyle name="20% - Accent4 2 5 2 3 2" xfId="12769" xr:uid="{00000000-0005-0000-0000-0000BA180000}"/>
    <cellStyle name="20% - Accent4 2 5 2 3 2 2" xfId="26481" xr:uid="{00000000-0005-0000-0000-0000BB180000}"/>
    <cellStyle name="20% - Accent4 2 5 2 3 3" xfId="18947" xr:uid="{00000000-0005-0000-0000-0000BC180000}"/>
    <cellStyle name="20% - Accent4 2 5 2 4" xfId="1624" xr:uid="{00000000-0005-0000-0000-0000BD180000}"/>
    <cellStyle name="20% - Accent4 2 5 2 4 2" xfId="14875" xr:uid="{00000000-0005-0000-0000-0000BE180000}"/>
    <cellStyle name="20% - Accent4 2 5 2 4 2 2" xfId="28424" xr:uid="{00000000-0005-0000-0000-0000BF180000}"/>
    <cellStyle name="20% - Accent4 2 5 2 4 3" xfId="18948" xr:uid="{00000000-0005-0000-0000-0000C0180000}"/>
    <cellStyle name="20% - Accent4 2 5 2 5" xfId="9046" xr:uid="{00000000-0005-0000-0000-0000C1180000}"/>
    <cellStyle name="20% - Accent4 2 5 2 5 2" xfId="23521" xr:uid="{00000000-0005-0000-0000-0000C2180000}"/>
    <cellStyle name="20% - Accent4 2 5 2 6" xfId="18945" xr:uid="{00000000-0005-0000-0000-0000C3180000}"/>
    <cellStyle name="20% - Accent4 2 5 3" xfId="1625" xr:uid="{00000000-0005-0000-0000-0000C4180000}"/>
    <cellStyle name="20% - Accent4 2 5 3 2" xfId="10770" xr:uid="{00000000-0005-0000-0000-0000C5180000}"/>
    <cellStyle name="20% - Accent4 2 5 3 2 2" xfId="24712" xr:uid="{00000000-0005-0000-0000-0000C6180000}"/>
    <cellStyle name="20% - Accent4 2 5 3 3" xfId="18949" xr:uid="{00000000-0005-0000-0000-0000C7180000}"/>
    <cellStyle name="20% - Accent4 2 5 4" xfId="1626" xr:uid="{00000000-0005-0000-0000-0000C8180000}"/>
    <cellStyle name="20% - Accent4 2 5 4 2" xfId="12511" xr:uid="{00000000-0005-0000-0000-0000C9180000}"/>
    <cellStyle name="20% - Accent4 2 5 4 2 2" xfId="26223" xr:uid="{00000000-0005-0000-0000-0000CA180000}"/>
    <cellStyle name="20% - Accent4 2 5 4 3" xfId="18950" xr:uid="{00000000-0005-0000-0000-0000CB180000}"/>
    <cellStyle name="20% - Accent4 2 5 5" xfId="1627" xr:uid="{00000000-0005-0000-0000-0000CC180000}"/>
    <cellStyle name="20% - Accent4 2 5 5 2" xfId="14874" xr:uid="{00000000-0005-0000-0000-0000CD180000}"/>
    <cellStyle name="20% - Accent4 2 5 5 2 2" xfId="28423" xr:uid="{00000000-0005-0000-0000-0000CE180000}"/>
    <cellStyle name="20% - Accent4 2 5 5 3" xfId="18951" xr:uid="{00000000-0005-0000-0000-0000CF180000}"/>
    <cellStyle name="20% - Accent4 2 5 6" xfId="1628" xr:uid="{00000000-0005-0000-0000-0000D0180000}"/>
    <cellStyle name="20% - Accent4 2 5 6 2" xfId="16999" xr:uid="{00000000-0005-0000-0000-0000D1180000}"/>
    <cellStyle name="20% - Accent4 2 5 6 2 2" xfId="30406" xr:uid="{00000000-0005-0000-0000-0000D2180000}"/>
    <cellStyle name="20% - Accent4 2 5 6 3" xfId="18952" xr:uid="{00000000-0005-0000-0000-0000D3180000}"/>
    <cellStyle name="20% - Accent4 2 5 7" xfId="9045" xr:uid="{00000000-0005-0000-0000-0000D4180000}"/>
    <cellStyle name="20% - Accent4 2 5 7 2" xfId="23520" xr:uid="{00000000-0005-0000-0000-0000D5180000}"/>
    <cellStyle name="20% - Accent4 2 5 8" xfId="18944" xr:uid="{00000000-0005-0000-0000-0000D6180000}"/>
    <cellStyle name="20% - Accent4 2 6" xfId="1629" xr:uid="{00000000-0005-0000-0000-0000D7180000}"/>
    <cellStyle name="20% - Accent4 2 6 2" xfId="1630" xr:uid="{00000000-0005-0000-0000-0000D8180000}"/>
    <cellStyle name="20% - Accent4 2 6 2 2" xfId="10772" xr:uid="{00000000-0005-0000-0000-0000D9180000}"/>
    <cellStyle name="20% - Accent4 2 6 2 2 2" xfId="24714" xr:uid="{00000000-0005-0000-0000-0000DA180000}"/>
    <cellStyle name="20% - Accent4 2 6 2 3" xfId="18954" xr:uid="{00000000-0005-0000-0000-0000DB180000}"/>
    <cellStyle name="20% - Accent4 2 6 3" xfId="1631" xr:uid="{00000000-0005-0000-0000-0000DC180000}"/>
    <cellStyle name="20% - Accent4 2 6 3 2" xfId="12395" xr:uid="{00000000-0005-0000-0000-0000DD180000}"/>
    <cellStyle name="20% - Accent4 2 6 3 2 2" xfId="26107" xr:uid="{00000000-0005-0000-0000-0000DE180000}"/>
    <cellStyle name="20% - Accent4 2 6 3 3" xfId="18955" xr:uid="{00000000-0005-0000-0000-0000DF180000}"/>
    <cellStyle name="20% - Accent4 2 6 4" xfId="1632" xr:uid="{00000000-0005-0000-0000-0000E0180000}"/>
    <cellStyle name="20% - Accent4 2 6 4 2" xfId="14876" xr:uid="{00000000-0005-0000-0000-0000E1180000}"/>
    <cellStyle name="20% - Accent4 2 6 4 2 2" xfId="28425" xr:uid="{00000000-0005-0000-0000-0000E2180000}"/>
    <cellStyle name="20% - Accent4 2 6 4 3" xfId="18956" xr:uid="{00000000-0005-0000-0000-0000E3180000}"/>
    <cellStyle name="20% - Accent4 2 6 5" xfId="1633" xr:uid="{00000000-0005-0000-0000-0000E4180000}"/>
    <cellStyle name="20% - Accent4 2 6 5 2" xfId="17114" xr:uid="{00000000-0005-0000-0000-0000E5180000}"/>
    <cellStyle name="20% - Accent4 2 6 5 2 2" xfId="30473" xr:uid="{00000000-0005-0000-0000-0000E6180000}"/>
    <cellStyle name="20% - Accent4 2 6 5 3" xfId="18957" xr:uid="{00000000-0005-0000-0000-0000E7180000}"/>
    <cellStyle name="20% - Accent4 2 6 6" xfId="9047" xr:uid="{00000000-0005-0000-0000-0000E8180000}"/>
    <cellStyle name="20% - Accent4 2 6 6 2" xfId="23522" xr:uid="{00000000-0005-0000-0000-0000E9180000}"/>
    <cellStyle name="20% - Accent4 2 6 7" xfId="18953" xr:uid="{00000000-0005-0000-0000-0000EA180000}"/>
    <cellStyle name="20% - Accent4 2 7" xfId="1634" xr:uid="{00000000-0005-0000-0000-0000EB180000}"/>
    <cellStyle name="20% - Accent4 2 7 2" xfId="1635" xr:uid="{00000000-0005-0000-0000-0000EC180000}"/>
    <cellStyle name="20% - Accent4 2 7 2 2" xfId="10773" xr:uid="{00000000-0005-0000-0000-0000ED180000}"/>
    <cellStyle name="20% - Accent4 2 7 2 2 2" xfId="24715" xr:uid="{00000000-0005-0000-0000-0000EE180000}"/>
    <cellStyle name="20% - Accent4 2 7 2 3" xfId="18959" xr:uid="{00000000-0005-0000-0000-0000EF180000}"/>
    <cellStyle name="20% - Accent4 2 7 3" xfId="1636" xr:uid="{00000000-0005-0000-0000-0000F0180000}"/>
    <cellStyle name="20% - Accent4 2 7 3 2" xfId="12777" xr:uid="{00000000-0005-0000-0000-0000F1180000}"/>
    <cellStyle name="20% - Accent4 2 7 3 2 2" xfId="26489" xr:uid="{00000000-0005-0000-0000-0000F2180000}"/>
    <cellStyle name="20% - Accent4 2 7 3 3" xfId="18960" xr:uid="{00000000-0005-0000-0000-0000F3180000}"/>
    <cellStyle name="20% - Accent4 2 7 4" xfId="1637" xr:uid="{00000000-0005-0000-0000-0000F4180000}"/>
    <cellStyle name="20% - Accent4 2 7 4 2" xfId="14877" xr:uid="{00000000-0005-0000-0000-0000F5180000}"/>
    <cellStyle name="20% - Accent4 2 7 4 2 2" xfId="28426" xr:uid="{00000000-0005-0000-0000-0000F6180000}"/>
    <cellStyle name="20% - Accent4 2 7 4 3" xfId="18961" xr:uid="{00000000-0005-0000-0000-0000F7180000}"/>
    <cellStyle name="20% - Accent4 2 7 5" xfId="1638" xr:uid="{00000000-0005-0000-0000-0000F8180000}"/>
    <cellStyle name="20% - Accent4 2 7 5 2" xfId="17203" xr:uid="{00000000-0005-0000-0000-0000F9180000}"/>
    <cellStyle name="20% - Accent4 2 7 5 2 2" xfId="30562" xr:uid="{00000000-0005-0000-0000-0000FA180000}"/>
    <cellStyle name="20% - Accent4 2 7 5 3" xfId="18962" xr:uid="{00000000-0005-0000-0000-0000FB180000}"/>
    <cellStyle name="20% - Accent4 2 7 6" xfId="9048" xr:uid="{00000000-0005-0000-0000-0000FC180000}"/>
    <cellStyle name="20% - Accent4 2 7 6 2" xfId="23523" xr:uid="{00000000-0005-0000-0000-0000FD180000}"/>
    <cellStyle name="20% - Accent4 2 7 7" xfId="18958" xr:uid="{00000000-0005-0000-0000-0000FE180000}"/>
    <cellStyle name="20% - Accent4 2 8" xfId="1639" xr:uid="{00000000-0005-0000-0000-0000FF180000}"/>
    <cellStyle name="20% - Accent4 2 8 2" xfId="1640" xr:uid="{00000000-0005-0000-0000-000000190000}"/>
    <cellStyle name="20% - Accent4 2 8 2 2" xfId="12469" xr:uid="{00000000-0005-0000-0000-000001190000}"/>
    <cellStyle name="20% - Accent4 2 8 2 2 2" xfId="26181" xr:uid="{00000000-0005-0000-0000-000002190000}"/>
    <cellStyle name="20% - Accent4 2 8 2 3" xfId="18964" xr:uid="{00000000-0005-0000-0000-000003190000}"/>
    <cellStyle name="20% - Accent4 2 8 3" xfId="1641" xr:uid="{00000000-0005-0000-0000-000004190000}"/>
    <cellStyle name="20% - Accent4 2 8 3 2" xfId="14878" xr:uid="{00000000-0005-0000-0000-000005190000}"/>
    <cellStyle name="20% - Accent4 2 8 3 2 2" xfId="28427" xr:uid="{00000000-0005-0000-0000-000006190000}"/>
    <cellStyle name="20% - Accent4 2 8 3 3" xfId="18965" xr:uid="{00000000-0005-0000-0000-000007190000}"/>
    <cellStyle name="20% - Accent4 2 8 4" xfId="1642" xr:uid="{00000000-0005-0000-0000-000008190000}"/>
    <cellStyle name="20% - Accent4 2 8 4 2" xfId="16478" xr:uid="{00000000-0005-0000-0000-000009190000}"/>
    <cellStyle name="20% - Accent4 2 8 4 2 2" xfId="29885" xr:uid="{00000000-0005-0000-0000-00000A190000}"/>
    <cellStyle name="20% - Accent4 2 8 4 3" xfId="18966" xr:uid="{00000000-0005-0000-0000-00000B190000}"/>
    <cellStyle name="20% - Accent4 2 8 5" xfId="10520" xr:uid="{00000000-0005-0000-0000-00000C190000}"/>
    <cellStyle name="20% - Accent4 2 8 5 2" xfId="24462" xr:uid="{00000000-0005-0000-0000-00000D190000}"/>
    <cellStyle name="20% - Accent4 2 8 6" xfId="18963" xr:uid="{00000000-0005-0000-0000-00000E190000}"/>
    <cellStyle name="20% - Accent4 2 9" xfId="1643" xr:uid="{00000000-0005-0000-0000-00000F190000}"/>
    <cellStyle name="20% - Accent4 2 9 2" xfId="1644" xr:uid="{00000000-0005-0000-0000-000010190000}"/>
    <cellStyle name="20% - Accent4 2 9 2 2" xfId="12582" xr:uid="{00000000-0005-0000-0000-000011190000}"/>
    <cellStyle name="20% - Accent4 2 9 2 2 2" xfId="26294" xr:uid="{00000000-0005-0000-0000-000012190000}"/>
    <cellStyle name="20% - Accent4 2 9 2 3" xfId="18968" xr:uid="{00000000-0005-0000-0000-000013190000}"/>
    <cellStyle name="20% - Accent4 2 9 3" xfId="1645" xr:uid="{00000000-0005-0000-0000-000014190000}"/>
    <cellStyle name="20% - Accent4 2 9 3 2" xfId="14879" xr:uid="{00000000-0005-0000-0000-000015190000}"/>
    <cellStyle name="20% - Accent4 2 9 3 2 2" xfId="28428" xr:uid="{00000000-0005-0000-0000-000016190000}"/>
    <cellStyle name="20% - Accent4 2 9 3 3" xfId="18969" xr:uid="{00000000-0005-0000-0000-000017190000}"/>
    <cellStyle name="20% - Accent4 2 9 4" xfId="10755" xr:uid="{00000000-0005-0000-0000-000018190000}"/>
    <cellStyle name="20% - Accent4 2 9 4 2" xfId="24697" xr:uid="{00000000-0005-0000-0000-000019190000}"/>
    <cellStyle name="20% - Accent4 2 9 5" xfId="18967" xr:uid="{00000000-0005-0000-0000-00001A190000}"/>
    <cellStyle name="20% - Accent4 20" xfId="1646" xr:uid="{00000000-0005-0000-0000-00001B190000}"/>
    <cellStyle name="20% - Accent4 20 2" xfId="1647" xr:uid="{00000000-0005-0000-0000-00001C190000}"/>
    <cellStyle name="20% - Accent4 20 2 2" xfId="12672" xr:uid="{00000000-0005-0000-0000-00001D190000}"/>
    <cellStyle name="20% - Accent4 20 2 2 2" xfId="26384" xr:uid="{00000000-0005-0000-0000-00001E190000}"/>
    <cellStyle name="20% - Accent4 20 2 3" xfId="18971" xr:uid="{00000000-0005-0000-0000-00001F190000}"/>
    <cellStyle name="20% - Accent4 20 3" xfId="1648" xr:uid="{00000000-0005-0000-0000-000020190000}"/>
    <cellStyle name="20% - Accent4 20 3 2" xfId="14880" xr:uid="{00000000-0005-0000-0000-000021190000}"/>
    <cellStyle name="20% - Accent4 20 3 2 2" xfId="28429" xr:uid="{00000000-0005-0000-0000-000022190000}"/>
    <cellStyle name="20% - Accent4 20 3 3" xfId="18972" xr:uid="{00000000-0005-0000-0000-000023190000}"/>
    <cellStyle name="20% - Accent4 20 4" xfId="10495" xr:uid="{00000000-0005-0000-0000-000024190000}"/>
    <cellStyle name="20% - Accent4 20 4 2" xfId="24443" xr:uid="{00000000-0005-0000-0000-000025190000}"/>
    <cellStyle name="20% - Accent4 20 5" xfId="18970" xr:uid="{00000000-0005-0000-0000-000026190000}"/>
    <cellStyle name="20% - Accent4 21" xfId="1649" xr:uid="{00000000-0005-0000-0000-000027190000}"/>
    <cellStyle name="20% - Accent4 21 2" xfId="1650" xr:uid="{00000000-0005-0000-0000-000028190000}"/>
    <cellStyle name="20% - Accent4 21 2 2" xfId="12590" xr:uid="{00000000-0005-0000-0000-000029190000}"/>
    <cellStyle name="20% - Accent4 21 2 2 2" xfId="26302" xr:uid="{00000000-0005-0000-0000-00002A190000}"/>
    <cellStyle name="20% - Accent4 21 2 3" xfId="18974" xr:uid="{00000000-0005-0000-0000-00002B190000}"/>
    <cellStyle name="20% - Accent4 21 3" xfId="1651" xr:uid="{00000000-0005-0000-0000-00002C190000}"/>
    <cellStyle name="20% - Accent4 21 3 2" xfId="14881" xr:uid="{00000000-0005-0000-0000-00002D190000}"/>
    <cellStyle name="20% - Accent4 21 3 2 2" xfId="28430" xr:uid="{00000000-0005-0000-0000-00002E190000}"/>
    <cellStyle name="20% - Accent4 21 3 3" xfId="18975" xr:uid="{00000000-0005-0000-0000-00002F190000}"/>
    <cellStyle name="20% - Accent4 21 4" xfId="10744" xr:uid="{00000000-0005-0000-0000-000030190000}"/>
    <cellStyle name="20% - Accent4 21 4 2" xfId="24686" xr:uid="{00000000-0005-0000-0000-000031190000}"/>
    <cellStyle name="20% - Accent4 21 5" xfId="18973" xr:uid="{00000000-0005-0000-0000-000032190000}"/>
    <cellStyle name="20% - Accent4 22" xfId="1652" xr:uid="{00000000-0005-0000-0000-000033190000}"/>
    <cellStyle name="20% - Accent4 22 2" xfId="11731" xr:uid="{00000000-0005-0000-0000-000034190000}"/>
    <cellStyle name="20% - Accent4 22 2 2" xfId="25446" xr:uid="{00000000-0005-0000-0000-000035190000}"/>
    <cellStyle name="20% - Accent4 22 3" xfId="18976" xr:uid="{00000000-0005-0000-0000-000036190000}"/>
    <cellStyle name="20% - Accent4 23" xfId="1653" xr:uid="{00000000-0005-0000-0000-000037190000}"/>
    <cellStyle name="20% - Accent4 23 2" xfId="12436" xr:uid="{00000000-0005-0000-0000-000038190000}"/>
    <cellStyle name="20% - Accent4 23 2 2" xfId="26148" xr:uid="{00000000-0005-0000-0000-000039190000}"/>
    <cellStyle name="20% - Accent4 23 3" xfId="18977" xr:uid="{00000000-0005-0000-0000-00003A190000}"/>
    <cellStyle name="20% - Accent4 24" xfId="1654" xr:uid="{00000000-0005-0000-0000-00003B190000}"/>
    <cellStyle name="20% - Accent4 24 2" xfId="13370" xr:uid="{00000000-0005-0000-0000-00003C190000}"/>
    <cellStyle name="20% - Accent4 24 2 2" xfId="26919" xr:uid="{00000000-0005-0000-0000-00003D190000}"/>
    <cellStyle name="20% - Accent4 24 3" xfId="18978" xr:uid="{00000000-0005-0000-0000-00003E190000}"/>
    <cellStyle name="20% - Accent4 25" xfId="1655" xr:uid="{00000000-0005-0000-0000-00003F190000}"/>
    <cellStyle name="20% - Accent4 25 2" xfId="13951" xr:uid="{00000000-0005-0000-0000-000040190000}"/>
    <cellStyle name="20% - Accent4 25 2 2" xfId="27500" xr:uid="{00000000-0005-0000-0000-000041190000}"/>
    <cellStyle name="20% - Accent4 25 3" xfId="18979" xr:uid="{00000000-0005-0000-0000-000042190000}"/>
    <cellStyle name="20% - Accent4 26" xfId="1656" xr:uid="{00000000-0005-0000-0000-000043190000}"/>
    <cellStyle name="20% - Accent4 26 2" xfId="14838" xr:uid="{00000000-0005-0000-0000-000044190000}"/>
    <cellStyle name="20% - Accent4 26 2 2" xfId="28387" xr:uid="{00000000-0005-0000-0000-000045190000}"/>
    <cellStyle name="20% - Accent4 26 3" xfId="18980" xr:uid="{00000000-0005-0000-0000-000046190000}"/>
    <cellStyle name="20% - Accent4 27" xfId="1657" xr:uid="{00000000-0005-0000-0000-000047190000}"/>
    <cellStyle name="20% - Accent4 27 2" xfId="15826" xr:uid="{00000000-0005-0000-0000-000048190000}"/>
    <cellStyle name="20% - Accent4 27 2 2" xfId="29233" xr:uid="{00000000-0005-0000-0000-000049190000}"/>
    <cellStyle name="20% - Accent4 27 3" xfId="18981" xr:uid="{00000000-0005-0000-0000-00004A190000}"/>
    <cellStyle name="20% - Accent4 28" xfId="1658" xr:uid="{00000000-0005-0000-0000-00004B190000}"/>
    <cellStyle name="20% - Accent4 28 2" xfId="15837" xr:uid="{00000000-0005-0000-0000-00004C190000}"/>
    <cellStyle name="20% - Accent4 28 2 2" xfId="29244" xr:uid="{00000000-0005-0000-0000-00004D190000}"/>
    <cellStyle name="20% - Accent4 28 3" xfId="18982" xr:uid="{00000000-0005-0000-0000-00004E190000}"/>
    <cellStyle name="20% - Accent4 29" xfId="1659" xr:uid="{00000000-0005-0000-0000-00004F190000}"/>
    <cellStyle name="20% - Accent4 29 2" xfId="9019" xr:uid="{00000000-0005-0000-0000-000050190000}"/>
    <cellStyle name="20% - Accent4 29 2 2" xfId="23494" xr:uid="{00000000-0005-0000-0000-000051190000}"/>
    <cellStyle name="20% - Accent4 29 3" xfId="18983" xr:uid="{00000000-0005-0000-0000-000052190000}"/>
    <cellStyle name="20% - Accent4 3" xfId="1660" xr:uid="{00000000-0005-0000-0000-000053190000}"/>
    <cellStyle name="20% - Accent4 3 10" xfId="1661" xr:uid="{00000000-0005-0000-0000-000054190000}"/>
    <cellStyle name="20% - Accent4 3 10 2" xfId="14034" xr:uid="{00000000-0005-0000-0000-000055190000}"/>
    <cellStyle name="20% - Accent4 3 10 2 2" xfId="27583" xr:uid="{00000000-0005-0000-0000-000056190000}"/>
    <cellStyle name="20% - Accent4 3 10 3" xfId="18985" xr:uid="{00000000-0005-0000-0000-000057190000}"/>
    <cellStyle name="20% - Accent4 3 11" xfId="1662" xr:uid="{00000000-0005-0000-0000-000058190000}"/>
    <cellStyle name="20% - Accent4 3 11 2" xfId="14882" xr:uid="{00000000-0005-0000-0000-000059190000}"/>
    <cellStyle name="20% - Accent4 3 11 2 2" xfId="28431" xr:uid="{00000000-0005-0000-0000-00005A190000}"/>
    <cellStyle name="20% - Accent4 3 11 3" xfId="18986" xr:uid="{00000000-0005-0000-0000-00005B190000}"/>
    <cellStyle name="20% - Accent4 3 12" xfId="1663" xr:uid="{00000000-0005-0000-0000-00005C190000}"/>
    <cellStyle name="20% - Accent4 3 12 2" xfId="15920" xr:uid="{00000000-0005-0000-0000-00005D190000}"/>
    <cellStyle name="20% - Accent4 3 12 2 2" xfId="29327" xr:uid="{00000000-0005-0000-0000-00005E190000}"/>
    <cellStyle name="20% - Accent4 3 12 3" xfId="18987" xr:uid="{00000000-0005-0000-0000-00005F190000}"/>
    <cellStyle name="20% - Accent4 3 13" xfId="9049" xr:uid="{00000000-0005-0000-0000-000060190000}"/>
    <cellStyle name="20% - Accent4 3 13 2" xfId="23524" xr:uid="{00000000-0005-0000-0000-000061190000}"/>
    <cellStyle name="20% - Accent4 3 14" xfId="18984" xr:uid="{00000000-0005-0000-0000-000062190000}"/>
    <cellStyle name="20% - Accent4 3 2" xfId="1664" xr:uid="{00000000-0005-0000-0000-000063190000}"/>
    <cellStyle name="20% - Accent4 3 2 10" xfId="1665" xr:uid="{00000000-0005-0000-0000-000064190000}"/>
    <cellStyle name="20% - Accent4 3 2 10 2" xfId="16063" xr:uid="{00000000-0005-0000-0000-000065190000}"/>
    <cellStyle name="20% - Accent4 3 2 10 2 2" xfId="29470" xr:uid="{00000000-0005-0000-0000-000066190000}"/>
    <cellStyle name="20% - Accent4 3 2 10 3" xfId="18989" xr:uid="{00000000-0005-0000-0000-000067190000}"/>
    <cellStyle name="20% - Accent4 3 2 11" xfId="9050" xr:uid="{00000000-0005-0000-0000-000068190000}"/>
    <cellStyle name="20% - Accent4 3 2 11 2" xfId="23525" xr:uid="{00000000-0005-0000-0000-000069190000}"/>
    <cellStyle name="20% - Accent4 3 2 12" xfId="18988" xr:uid="{00000000-0005-0000-0000-00006A190000}"/>
    <cellStyle name="20% - Accent4 3 2 2" xfId="1666" xr:uid="{00000000-0005-0000-0000-00006B190000}"/>
    <cellStyle name="20% - Accent4 3 2 2 10" xfId="9051" xr:uid="{00000000-0005-0000-0000-00006C190000}"/>
    <cellStyle name="20% - Accent4 3 2 2 10 2" xfId="23526" xr:uid="{00000000-0005-0000-0000-00006D190000}"/>
    <cellStyle name="20% - Accent4 3 2 2 11" xfId="18990" xr:uid="{00000000-0005-0000-0000-00006E190000}"/>
    <cellStyle name="20% - Accent4 3 2 2 2" xfId="1667" xr:uid="{00000000-0005-0000-0000-00006F190000}"/>
    <cellStyle name="20% - Accent4 3 2 2 2 2" xfId="1668" xr:uid="{00000000-0005-0000-0000-000070190000}"/>
    <cellStyle name="20% - Accent4 3 2 2 2 2 2" xfId="10777" xr:uid="{00000000-0005-0000-0000-000071190000}"/>
    <cellStyle name="20% - Accent4 3 2 2 2 2 2 2" xfId="24719" xr:uid="{00000000-0005-0000-0000-000072190000}"/>
    <cellStyle name="20% - Accent4 3 2 2 2 2 3" xfId="18992" xr:uid="{00000000-0005-0000-0000-000073190000}"/>
    <cellStyle name="20% - Accent4 3 2 2 2 3" xfId="1669" xr:uid="{00000000-0005-0000-0000-000074190000}"/>
    <cellStyle name="20% - Accent4 3 2 2 2 3 2" xfId="12760" xr:uid="{00000000-0005-0000-0000-000075190000}"/>
    <cellStyle name="20% - Accent4 3 2 2 2 3 2 2" xfId="26472" xr:uid="{00000000-0005-0000-0000-000076190000}"/>
    <cellStyle name="20% - Accent4 3 2 2 2 3 3" xfId="18993" xr:uid="{00000000-0005-0000-0000-000077190000}"/>
    <cellStyle name="20% - Accent4 3 2 2 2 4" xfId="1670" xr:uid="{00000000-0005-0000-0000-000078190000}"/>
    <cellStyle name="20% - Accent4 3 2 2 2 4 2" xfId="14885" xr:uid="{00000000-0005-0000-0000-000079190000}"/>
    <cellStyle name="20% - Accent4 3 2 2 2 4 2 2" xfId="28434" xr:uid="{00000000-0005-0000-0000-00007A190000}"/>
    <cellStyle name="20% - Accent4 3 2 2 2 4 3" xfId="18994" xr:uid="{00000000-0005-0000-0000-00007B190000}"/>
    <cellStyle name="20% - Accent4 3 2 2 2 5" xfId="1671" xr:uid="{00000000-0005-0000-0000-00007C190000}"/>
    <cellStyle name="20% - Accent4 3 2 2 2 5 2" xfId="16933" xr:uid="{00000000-0005-0000-0000-00007D190000}"/>
    <cellStyle name="20% - Accent4 3 2 2 2 5 2 2" xfId="30340" xr:uid="{00000000-0005-0000-0000-00007E190000}"/>
    <cellStyle name="20% - Accent4 3 2 2 2 5 3" xfId="18995" xr:uid="{00000000-0005-0000-0000-00007F190000}"/>
    <cellStyle name="20% - Accent4 3 2 2 2 6" xfId="9052" xr:uid="{00000000-0005-0000-0000-000080190000}"/>
    <cellStyle name="20% - Accent4 3 2 2 2 6 2" xfId="23527" xr:uid="{00000000-0005-0000-0000-000081190000}"/>
    <cellStyle name="20% - Accent4 3 2 2 2 7" xfId="18991" xr:uid="{00000000-0005-0000-0000-000082190000}"/>
    <cellStyle name="20% - Accent4 3 2 2 3" xfId="1672" xr:uid="{00000000-0005-0000-0000-000083190000}"/>
    <cellStyle name="20% - Accent4 3 2 2 3 2" xfId="1673" xr:uid="{00000000-0005-0000-0000-000084190000}"/>
    <cellStyle name="20% - Accent4 3 2 2 3 2 2" xfId="14886" xr:uid="{00000000-0005-0000-0000-000085190000}"/>
    <cellStyle name="20% - Accent4 3 2 2 3 2 2 2" xfId="28435" xr:uid="{00000000-0005-0000-0000-000086190000}"/>
    <cellStyle name="20% - Accent4 3 2 2 3 2 3" xfId="18997" xr:uid="{00000000-0005-0000-0000-000087190000}"/>
    <cellStyle name="20% - Accent4 3 2 2 3 3" xfId="10776" xr:uid="{00000000-0005-0000-0000-000088190000}"/>
    <cellStyle name="20% - Accent4 3 2 2 3 3 2" xfId="24718" xr:uid="{00000000-0005-0000-0000-000089190000}"/>
    <cellStyle name="20% - Accent4 3 2 2 3 4" xfId="18996" xr:uid="{00000000-0005-0000-0000-00008A190000}"/>
    <cellStyle name="20% - Accent4 3 2 2 4" xfId="1674" xr:uid="{00000000-0005-0000-0000-00008B190000}"/>
    <cellStyle name="20% - Accent4 3 2 2 4 2" xfId="12321" xr:uid="{00000000-0005-0000-0000-00008C190000}"/>
    <cellStyle name="20% - Accent4 3 2 2 4 2 2" xfId="26033" xr:uid="{00000000-0005-0000-0000-00008D190000}"/>
    <cellStyle name="20% - Accent4 3 2 2 4 3" xfId="18998" xr:uid="{00000000-0005-0000-0000-00008E190000}"/>
    <cellStyle name="20% - Accent4 3 2 2 5" xfId="1675" xr:uid="{00000000-0005-0000-0000-00008F190000}"/>
    <cellStyle name="20% - Accent4 3 2 2 5 2" xfId="12584" xr:uid="{00000000-0005-0000-0000-000090190000}"/>
    <cellStyle name="20% - Accent4 3 2 2 5 2 2" xfId="26296" xr:uid="{00000000-0005-0000-0000-000091190000}"/>
    <cellStyle name="20% - Accent4 3 2 2 5 3" xfId="18999" xr:uid="{00000000-0005-0000-0000-000092190000}"/>
    <cellStyle name="20% - Accent4 3 2 2 6" xfId="1676" xr:uid="{00000000-0005-0000-0000-000093190000}"/>
    <cellStyle name="20% - Accent4 3 2 2 6 2" xfId="13885" xr:uid="{00000000-0005-0000-0000-000094190000}"/>
    <cellStyle name="20% - Accent4 3 2 2 6 2 2" xfId="27434" xr:uid="{00000000-0005-0000-0000-000095190000}"/>
    <cellStyle name="20% - Accent4 3 2 2 6 3" xfId="19000" xr:uid="{00000000-0005-0000-0000-000096190000}"/>
    <cellStyle name="20% - Accent4 3 2 2 7" xfId="1677" xr:uid="{00000000-0005-0000-0000-000097190000}"/>
    <cellStyle name="20% - Accent4 3 2 2 7 2" xfId="14466" xr:uid="{00000000-0005-0000-0000-000098190000}"/>
    <cellStyle name="20% - Accent4 3 2 2 7 2 2" xfId="28015" xr:uid="{00000000-0005-0000-0000-000099190000}"/>
    <cellStyle name="20% - Accent4 3 2 2 7 3" xfId="19001" xr:uid="{00000000-0005-0000-0000-00009A190000}"/>
    <cellStyle name="20% - Accent4 3 2 2 8" xfId="1678" xr:uid="{00000000-0005-0000-0000-00009B190000}"/>
    <cellStyle name="20% - Accent4 3 2 2 8 2" xfId="14884" xr:uid="{00000000-0005-0000-0000-00009C190000}"/>
    <cellStyle name="20% - Accent4 3 2 2 8 2 2" xfId="28433" xr:uid="{00000000-0005-0000-0000-00009D190000}"/>
    <cellStyle name="20% - Accent4 3 2 2 8 3" xfId="19002" xr:uid="{00000000-0005-0000-0000-00009E190000}"/>
    <cellStyle name="20% - Accent4 3 2 2 9" xfId="1679" xr:uid="{00000000-0005-0000-0000-00009F190000}"/>
    <cellStyle name="20% - Accent4 3 2 2 9 2" xfId="16352" xr:uid="{00000000-0005-0000-0000-0000A0190000}"/>
    <cellStyle name="20% - Accent4 3 2 2 9 2 2" xfId="29759" xr:uid="{00000000-0005-0000-0000-0000A1190000}"/>
    <cellStyle name="20% - Accent4 3 2 2 9 3" xfId="19003" xr:uid="{00000000-0005-0000-0000-0000A2190000}"/>
    <cellStyle name="20% - Accent4 3 2 3" xfId="1680" xr:uid="{00000000-0005-0000-0000-0000A3190000}"/>
    <cellStyle name="20% - Accent4 3 2 3 2" xfId="1681" xr:uid="{00000000-0005-0000-0000-0000A4190000}"/>
    <cellStyle name="20% - Accent4 3 2 3 2 2" xfId="10778" xr:uid="{00000000-0005-0000-0000-0000A5190000}"/>
    <cellStyle name="20% - Accent4 3 2 3 2 2 2" xfId="24720" xr:uid="{00000000-0005-0000-0000-0000A6190000}"/>
    <cellStyle name="20% - Accent4 3 2 3 2 3" xfId="19005" xr:uid="{00000000-0005-0000-0000-0000A7190000}"/>
    <cellStyle name="20% - Accent4 3 2 3 3" xfId="1682" xr:uid="{00000000-0005-0000-0000-0000A8190000}"/>
    <cellStyle name="20% - Accent4 3 2 3 3 2" xfId="11857" xr:uid="{00000000-0005-0000-0000-0000A9190000}"/>
    <cellStyle name="20% - Accent4 3 2 3 3 2 2" xfId="25572" xr:uid="{00000000-0005-0000-0000-0000AA190000}"/>
    <cellStyle name="20% - Accent4 3 2 3 3 3" xfId="19006" xr:uid="{00000000-0005-0000-0000-0000AB190000}"/>
    <cellStyle name="20% - Accent4 3 2 3 4" xfId="1683" xr:uid="{00000000-0005-0000-0000-0000AC190000}"/>
    <cellStyle name="20% - Accent4 3 2 3 4 2" xfId="14887" xr:uid="{00000000-0005-0000-0000-0000AD190000}"/>
    <cellStyle name="20% - Accent4 3 2 3 4 2 2" xfId="28436" xr:uid="{00000000-0005-0000-0000-0000AE190000}"/>
    <cellStyle name="20% - Accent4 3 2 3 4 3" xfId="19007" xr:uid="{00000000-0005-0000-0000-0000AF190000}"/>
    <cellStyle name="20% - Accent4 3 2 3 5" xfId="1684" xr:uid="{00000000-0005-0000-0000-0000B0190000}"/>
    <cellStyle name="20% - Accent4 3 2 3 5 2" xfId="16644" xr:uid="{00000000-0005-0000-0000-0000B1190000}"/>
    <cellStyle name="20% - Accent4 3 2 3 5 2 2" xfId="30051" xr:uid="{00000000-0005-0000-0000-0000B2190000}"/>
    <cellStyle name="20% - Accent4 3 2 3 5 3" xfId="19008" xr:uid="{00000000-0005-0000-0000-0000B3190000}"/>
    <cellStyle name="20% - Accent4 3 2 3 6" xfId="9053" xr:uid="{00000000-0005-0000-0000-0000B4190000}"/>
    <cellStyle name="20% - Accent4 3 2 3 6 2" xfId="23528" xr:uid="{00000000-0005-0000-0000-0000B5190000}"/>
    <cellStyle name="20% - Accent4 3 2 3 7" xfId="19004" xr:uid="{00000000-0005-0000-0000-0000B6190000}"/>
    <cellStyle name="20% - Accent4 3 2 4" xfId="1685" xr:uid="{00000000-0005-0000-0000-0000B7190000}"/>
    <cellStyle name="20% - Accent4 3 2 4 2" xfId="1686" xr:uid="{00000000-0005-0000-0000-0000B8190000}"/>
    <cellStyle name="20% - Accent4 3 2 4 2 2" xfId="14888" xr:uid="{00000000-0005-0000-0000-0000B9190000}"/>
    <cellStyle name="20% - Accent4 3 2 4 2 2 2" xfId="28437" xr:uid="{00000000-0005-0000-0000-0000BA190000}"/>
    <cellStyle name="20% - Accent4 3 2 4 2 3" xfId="19010" xr:uid="{00000000-0005-0000-0000-0000BB190000}"/>
    <cellStyle name="20% - Accent4 3 2 4 3" xfId="10775" xr:uid="{00000000-0005-0000-0000-0000BC190000}"/>
    <cellStyle name="20% - Accent4 3 2 4 3 2" xfId="24717" xr:uid="{00000000-0005-0000-0000-0000BD190000}"/>
    <cellStyle name="20% - Accent4 3 2 4 4" xfId="19009" xr:uid="{00000000-0005-0000-0000-0000BE190000}"/>
    <cellStyle name="20% - Accent4 3 2 5" xfId="1687" xr:uid="{00000000-0005-0000-0000-0000BF190000}"/>
    <cellStyle name="20% - Accent4 3 2 5 2" xfId="12021" xr:uid="{00000000-0005-0000-0000-0000C0190000}"/>
    <cellStyle name="20% - Accent4 3 2 5 2 2" xfId="25736" xr:uid="{00000000-0005-0000-0000-0000C1190000}"/>
    <cellStyle name="20% - Accent4 3 2 5 3" xfId="19011" xr:uid="{00000000-0005-0000-0000-0000C2190000}"/>
    <cellStyle name="20% - Accent4 3 2 6" xfId="1688" xr:uid="{00000000-0005-0000-0000-0000C3190000}"/>
    <cellStyle name="20% - Accent4 3 2 6 2" xfId="12517" xr:uid="{00000000-0005-0000-0000-0000C4190000}"/>
    <cellStyle name="20% - Accent4 3 2 6 2 2" xfId="26229" xr:uid="{00000000-0005-0000-0000-0000C5190000}"/>
    <cellStyle name="20% - Accent4 3 2 6 3" xfId="19012" xr:uid="{00000000-0005-0000-0000-0000C6190000}"/>
    <cellStyle name="20% - Accent4 3 2 7" xfId="1689" xr:uid="{00000000-0005-0000-0000-0000C7190000}"/>
    <cellStyle name="20% - Accent4 3 2 7 2" xfId="13596" xr:uid="{00000000-0005-0000-0000-0000C8190000}"/>
    <cellStyle name="20% - Accent4 3 2 7 2 2" xfId="27145" xr:uid="{00000000-0005-0000-0000-0000C9190000}"/>
    <cellStyle name="20% - Accent4 3 2 7 3" xfId="19013" xr:uid="{00000000-0005-0000-0000-0000CA190000}"/>
    <cellStyle name="20% - Accent4 3 2 8" xfId="1690" xr:uid="{00000000-0005-0000-0000-0000CB190000}"/>
    <cellStyle name="20% - Accent4 3 2 8 2" xfId="14177" xr:uid="{00000000-0005-0000-0000-0000CC190000}"/>
    <cellStyle name="20% - Accent4 3 2 8 2 2" xfId="27726" xr:uid="{00000000-0005-0000-0000-0000CD190000}"/>
    <cellStyle name="20% - Accent4 3 2 8 3" xfId="19014" xr:uid="{00000000-0005-0000-0000-0000CE190000}"/>
    <cellStyle name="20% - Accent4 3 2 9" xfId="1691" xr:uid="{00000000-0005-0000-0000-0000CF190000}"/>
    <cellStyle name="20% - Accent4 3 2 9 2" xfId="14883" xr:uid="{00000000-0005-0000-0000-0000D0190000}"/>
    <cellStyle name="20% - Accent4 3 2 9 2 2" xfId="28432" xr:uid="{00000000-0005-0000-0000-0000D1190000}"/>
    <cellStyle name="20% - Accent4 3 2 9 3" xfId="19015" xr:uid="{00000000-0005-0000-0000-0000D2190000}"/>
    <cellStyle name="20% - Accent4 3 3" xfId="1692" xr:uid="{00000000-0005-0000-0000-0000D3190000}"/>
    <cellStyle name="20% - Accent4 3 3 10" xfId="9054" xr:uid="{00000000-0005-0000-0000-0000D4190000}"/>
    <cellStyle name="20% - Accent4 3 3 10 2" xfId="23529" xr:uid="{00000000-0005-0000-0000-0000D5190000}"/>
    <cellStyle name="20% - Accent4 3 3 11" xfId="19016" xr:uid="{00000000-0005-0000-0000-0000D6190000}"/>
    <cellStyle name="20% - Accent4 3 3 2" xfId="1693" xr:uid="{00000000-0005-0000-0000-0000D7190000}"/>
    <cellStyle name="20% - Accent4 3 3 2 2" xfId="1694" xr:uid="{00000000-0005-0000-0000-0000D8190000}"/>
    <cellStyle name="20% - Accent4 3 3 2 2 2" xfId="10780" xr:uid="{00000000-0005-0000-0000-0000D9190000}"/>
    <cellStyle name="20% - Accent4 3 3 2 2 2 2" xfId="24722" xr:uid="{00000000-0005-0000-0000-0000DA190000}"/>
    <cellStyle name="20% - Accent4 3 3 2 2 3" xfId="19018" xr:uid="{00000000-0005-0000-0000-0000DB190000}"/>
    <cellStyle name="20% - Accent4 3 3 2 3" xfId="1695" xr:uid="{00000000-0005-0000-0000-0000DC190000}"/>
    <cellStyle name="20% - Accent4 3 3 2 3 2" xfId="12505" xr:uid="{00000000-0005-0000-0000-0000DD190000}"/>
    <cellStyle name="20% - Accent4 3 3 2 3 2 2" xfId="26217" xr:uid="{00000000-0005-0000-0000-0000DE190000}"/>
    <cellStyle name="20% - Accent4 3 3 2 3 3" xfId="19019" xr:uid="{00000000-0005-0000-0000-0000DF190000}"/>
    <cellStyle name="20% - Accent4 3 3 2 4" xfId="1696" xr:uid="{00000000-0005-0000-0000-0000E0190000}"/>
    <cellStyle name="20% - Accent4 3 3 2 4 2" xfId="14890" xr:uid="{00000000-0005-0000-0000-0000E1190000}"/>
    <cellStyle name="20% - Accent4 3 3 2 4 2 2" xfId="28439" xr:uid="{00000000-0005-0000-0000-0000E2190000}"/>
    <cellStyle name="20% - Accent4 3 3 2 4 3" xfId="19020" xr:uid="{00000000-0005-0000-0000-0000E3190000}"/>
    <cellStyle name="20% - Accent4 3 3 2 5" xfId="1697" xr:uid="{00000000-0005-0000-0000-0000E4190000}"/>
    <cellStyle name="20% - Accent4 3 3 2 5 2" xfId="16790" xr:uid="{00000000-0005-0000-0000-0000E5190000}"/>
    <cellStyle name="20% - Accent4 3 3 2 5 2 2" xfId="30197" xr:uid="{00000000-0005-0000-0000-0000E6190000}"/>
    <cellStyle name="20% - Accent4 3 3 2 5 3" xfId="19021" xr:uid="{00000000-0005-0000-0000-0000E7190000}"/>
    <cellStyle name="20% - Accent4 3 3 2 6" xfId="9055" xr:uid="{00000000-0005-0000-0000-0000E8190000}"/>
    <cellStyle name="20% - Accent4 3 3 2 6 2" xfId="23530" xr:uid="{00000000-0005-0000-0000-0000E9190000}"/>
    <cellStyle name="20% - Accent4 3 3 2 7" xfId="19017" xr:uid="{00000000-0005-0000-0000-0000EA190000}"/>
    <cellStyle name="20% - Accent4 3 3 3" xfId="1698" xr:uid="{00000000-0005-0000-0000-0000EB190000}"/>
    <cellStyle name="20% - Accent4 3 3 3 2" xfId="1699" xr:uid="{00000000-0005-0000-0000-0000EC190000}"/>
    <cellStyle name="20% - Accent4 3 3 3 2 2" xfId="14891" xr:uid="{00000000-0005-0000-0000-0000ED190000}"/>
    <cellStyle name="20% - Accent4 3 3 3 2 2 2" xfId="28440" xr:uid="{00000000-0005-0000-0000-0000EE190000}"/>
    <cellStyle name="20% - Accent4 3 3 3 2 3" xfId="19023" xr:uid="{00000000-0005-0000-0000-0000EF190000}"/>
    <cellStyle name="20% - Accent4 3 3 3 3" xfId="10779" xr:uid="{00000000-0005-0000-0000-0000F0190000}"/>
    <cellStyle name="20% - Accent4 3 3 3 3 2" xfId="24721" xr:uid="{00000000-0005-0000-0000-0000F1190000}"/>
    <cellStyle name="20% - Accent4 3 3 3 4" xfId="19022" xr:uid="{00000000-0005-0000-0000-0000F2190000}"/>
    <cellStyle name="20% - Accent4 3 3 4" xfId="1700" xr:uid="{00000000-0005-0000-0000-0000F3190000}"/>
    <cellStyle name="20% - Accent4 3 3 4 2" xfId="12178" xr:uid="{00000000-0005-0000-0000-0000F4190000}"/>
    <cellStyle name="20% - Accent4 3 3 4 2 2" xfId="25890" xr:uid="{00000000-0005-0000-0000-0000F5190000}"/>
    <cellStyle name="20% - Accent4 3 3 4 3" xfId="19024" xr:uid="{00000000-0005-0000-0000-0000F6190000}"/>
    <cellStyle name="20% - Accent4 3 3 5" xfId="1701" xr:uid="{00000000-0005-0000-0000-0000F7190000}"/>
    <cellStyle name="20% - Accent4 3 3 5 2" xfId="12534" xr:uid="{00000000-0005-0000-0000-0000F8190000}"/>
    <cellStyle name="20% - Accent4 3 3 5 2 2" xfId="26246" xr:uid="{00000000-0005-0000-0000-0000F9190000}"/>
    <cellStyle name="20% - Accent4 3 3 5 3" xfId="19025" xr:uid="{00000000-0005-0000-0000-0000FA190000}"/>
    <cellStyle name="20% - Accent4 3 3 6" xfId="1702" xr:uid="{00000000-0005-0000-0000-0000FB190000}"/>
    <cellStyle name="20% - Accent4 3 3 6 2" xfId="13742" xr:uid="{00000000-0005-0000-0000-0000FC190000}"/>
    <cellStyle name="20% - Accent4 3 3 6 2 2" xfId="27291" xr:uid="{00000000-0005-0000-0000-0000FD190000}"/>
    <cellStyle name="20% - Accent4 3 3 6 3" xfId="19026" xr:uid="{00000000-0005-0000-0000-0000FE190000}"/>
    <cellStyle name="20% - Accent4 3 3 7" xfId="1703" xr:uid="{00000000-0005-0000-0000-0000FF190000}"/>
    <cellStyle name="20% - Accent4 3 3 7 2" xfId="14323" xr:uid="{00000000-0005-0000-0000-0000001A0000}"/>
    <cellStyle name="20% - Accent4 3 3 7 2 2" xfId="27872" xr:uid="{00000000-0005-0000-0000-0000011A0000}"/>
    <cellStyle name="20% - Accent4 3 3 7 3" xfId="19027" xr:uid="{00000000-0005-0000-0000-0000021A0000}"/>
    <cellStyle name="20% - Accent4 3 3 8" xfId="1704" xr:uid="{00000000-0005-0000-0000-0000031A0000}"/>
    <cellStyle name="20% - Accent4 3 3 8 2" xfId="14889" xr:uid="{00000000-0005-0000-0000-0000041A0000}"/>
    <cellStyle name="20% - Accent4 3 3 8 2 2" xfId="28438" xr:uid="{00000000-0005-0000-0000-0000051A0000}"/>
    <cellStyle name="20% - Accent4 3 3 8 3" xfId="19028" xr:uid="{00000000-0005-0000-0000-0000061A0000}"/>
    <cellStyle name="20% - Accent4 3 3 9" xfId="1705" xr:uid="{00000000-0005-0000-0000-0000071A0000}"/>
    <cellStyle name="20% - Accent4 3 3 9 2" xfId="16209" xr:uid="{00000000-0005-0000-0000-0000081A0000}"/>
    <cellStyle name="20% - Accent4 3 3 9 2 2" xfId="29616" xr:uid="{00000000-0005-0000-0000-0000091A0000}"/>
    <cellStyle name="20% - Accent4 3 3 9 3" xfId="19029" xr:uid="{00000000-0005-0000-0000-00000A1A0000}"/>
    <cellStyle name="20% - Accent4 3 4" xfId="1706" xr:uid="{00000000-0005-0000-0000-00000B1A0000}"/>
    <cellStyle name="20% - Accent4 3 4 2" xfId="1707" xr:uid="{00000000-0005-0000-0000-00000C1A0000}"/>
    <cellStyle name="20% - Accent4 3 4 2 2" xfId="10781" xr:uid="{00000000-0005-0000-0000-00000D1A0000}"/>
    <cellStyle name="20% - Accent4 3 4 2 2 2" xfId="24723" xr:uid="{00000000-0005-0000-0000-00000E1A0000}"/>
    <cellStyle name="20% - Accent4 3 4 2 3" xfId="19031" xr:uid="{00000000-0005-0000-0000-00000F1A0000}"/>
    <cellStyle name="20% - Accent4 3 4 3" xfId="1708" xr:uid="{00000000-0005-0000-0000-0000101A0000}"/>
    <cellStyle name="20% - Accent4 3 4 3 2" xfId="12579" xr:uid="{00000000-0005-0000-0000-0000111A0000}"/>
    <cellStyle name="20% - Accent4 3 4 3 2 2" xfId="26291" xr:uid="{00000000-0005-0000-0000-0000121A0000}"/>
    <cellStyle name="20% - Accent4 3 4 3 3" xfId="19032" xr:uid="{00000000-0005-0000-0000-0000131A0000}"/>
    <cellStyle name="20% - Accent4 3 4 4" xfId="1709" xr:uid="{00000000-0005-0000-0000-0000141A0000}"/>
    <cellStyle name="20% - Accent4 3 4 4 2" xfId="14892" xr:uid="{00000000-0005-0000-0000-0000151A0000}"/>
    <cellStyle name="20% - Accent4 3 4 4 2 2" xfId="28441" xr:uid="{00000000-0005-0000-0000-0000161A0000}"/>
    <cellStyle name="20% - Accent4 3 4 4 3" xfId="19033" xr:uid="{00000000-0005-0000-0000-0000171A0000}"/>
    <cellStyle name="20% - Accent4 3 4 5" xfId="1710" xr:uid="{00000000-0005-0000-0000-0000181A0000}"/>
    <cellStyle name="20% - Accent4 3 4 5 2" xfId="17137" xr:uid="{00000000-0005-0000-0000-0000191A0000}"/>
    <cellStyle name="20% - Accent4 3 4 5 2 2" xfId="30496" xr:uid="{00000000-0005-0000-0000-00001A1A0000}"/>
    <cellStyle name="20% - Accent4 3 4 5 3" xfId="19034" xr:uid="{00000000-0005-0000-0000-00001B1A0000}"/>
    <cellStyle name="20% - Accent4 3 4 6" xfId="9056" xr:uid="{00000000-0005-0000-0000-00001C1A0000}"/>
    <cellStyle name="20% - Accent4 3 4 6 2" xfId="23531" xr:uid="{00000000-0005-0000-0000-00001D1A0000}"/>
    <cellStyle name="20% - Accent4 3 4 7" xfId="19030" xr:uid="{00000000-0005-0000-0000-00001E1A0000}"/>
    <cellStyle name="20% - Accent4 3 5" xfId="1711" xr:uid="{00000000-0005-0000-0000-00001F1A0000}"/>
    <cellStyle name="20% - Accent4 3 5 2" xfId="1712" xr:uid="{00000000-0005-0000-0000-0000201A0000}"/>
    <cellStyle name="20% - Accent4 3 5 2 2" xfId="10782" xr:uid="{00000000-0005-0000-0000-0000211A0000}"/>
    <cellStyle name="20% - Accent4 3 5 2 2 2" xfId="24724" xr:uid="{00000000-0005-0000-0000-0000221A0000}"/>
    <cellStyle name="20% - Accent4 3 5 2 3" xfId="19036" xr:uid="{00000000-0005-0000-0000-0000231A0000}"/>
    <cellStyle name="20% - Accent4 3 5 3" xfId="1713" xr:uid="{00000000-0005-0000-0000-0000241A0000}"/>
    <cellStyle name="20% - Accent4 3 5 3 2" xfId="11840" xr:uid="{00000000-0005-0000-0000-0000251A0000}"/>
    <cellStyle name="20% - Accent4 3 5 3 2 2" xfId="25555" xr:uid="{00000000-0005-0000-0000-0000261A0000}"/>
    <cellStyle name="20% - Accent4 3 5 3 3" xfId="19037" xr:uid="{00000000-0005-0000-0000-0000271A0000}"/>
    <cellStyle name="20% - Accent4 3 5 4" xfId="1714" xr:uid="{00000000-0005-0000-0000-0000281A0000}"/>
    <cellStyle name="20% - Accent4 3 5 4 2" xfId="14893" xr:uid="{00000000-0005-0000-0000-0000291A0000}"/>
    <cellStyle name="20% - Accent4 3 5 4 2 2" xfId="28442" xr:uid="{00000000-0005-0000-0000-00002A1A0000}"/>
    <cellStyle name="20% - Accent4 3 5 4 3" xfId="19038" xr:uid="{00000000-0005-0000-0000-00002B1A0000}"/>
    <cellStyle name="20% - Accent4 3 5 5" xfId="1715" xr:uid="{00000000-0005-0000-0000-00002C1A0000}"/>
    <cellStyle name="20% - Accent4 3 5 5 2" xfId="17226" xr:uid="{00000000-0005-0000-0000-00002D1A0000}"/>
    <cellStyle name="20% - Accent4 3 5 5 2 2" xfId="30585" xr:uid="{00000000-0005-0000-0000-00002E1A0000}"/>
    <cellStyle name="20% - Accent4 3 5 5 3" xfId="19039" xr:uid="{00000000-0005-0000-0000-00002F1A0000}"/>
    <cellStyle name="20% - Accent4 3 5 6" xfId="9057" xr:uid="{00000000-0005-0000-0000-0000301A0000}"/>
    <cellStyle name="20% - Accent4 3 5 6 2" xfId="23532" xr:uid="{00000000-0005-0000-0000-0000311A0000}"/>
    <cellStyle name="20% - Accent4 3 5 7" xfId="19035" xr:uid="{00000000-0005-0000-0000-0000321A0000}"/>
    <cellStyle name="20% - Accent4 3 6" xfId="1716" xr:uid="{00000000-0005-0000-0000-0000331A0000}"/>
    <cellStyle name="20% - Accent4 3 6 2" xfId="1717" xr:uid="{00000000-0005-0000-0000-0000341A0000}"/>
    <cellStyle name="20% - Accent4 3 6 2 2" xfId="14894" xr:uid="{00000000-0005-0000-0000-0000351A0000}"/>
    <cellStyle name="20% - Accent4 3 6 2 2 2" xfId="28443" xr:uid="{00000000-0005-0000-0000-0000361A0000}"/>
    <cellStyle name="20% - Accent4 3 6 2 3" xfId="19041" xr:uid="{00000000-0005-0000-0000-0000371A0000}"/>
    <cellStyle name="20% - Accent4 3 6 3" xfId="1718" xr:uid="{00000000-0005-0000-0000-0000381A0000}"/>
    <cellStyle name="20% - Accent4 3 6 3 2" xfId="16501" xr:uid="{00000000-0005-0000-0000-0000391A0000}"/>
    <cellStyle name="20% - Accent4 3 6 3 2 2" xfId="29908" xr:uid="{00000000-0005-0000-0000-00003A1A0000}"/>
    <cellStyle name="20% - Accent4 3 6 3 3" xfId="19042" xr:uid="{00000000-0005-0000-0000-00003B1A0000}"/>
    <cellStyle name="20% - Accent4 3 6 4" xfId="10774" xr:uid="{00000000-0005-0000-0000-00003C1A0000}"/>
    <cellStyle name="20% - Accent4 3 6 4 2" xfId="24716" xr:uid="{00000000-0005-0000-0000-00003D1A0000}"/>
    <cellStyle name="20% - Accent4 3 6 5" xfId="19040" xr:uid="{00000000-0005-0000-0000-00003E1A0000}"/>
    <cellStyle name="20% - Accent4 3 7" xfId="1719" xr:uid="{00000000-0005-0000-0000-00003F1A0000}"/>
    <cellStyle name="20% - Accent4 3 7 2" xfId="11873" xr:uid="{00000000-0005-0000-0000-0000401A0000}"/>
    <cellStyle name="20% - Accent4 3 7 2 2" xfId="25588" xr:uid="{00000000-0005-0000-0000-0000411A0000}"/>
    <cellStyle name="20% - Accent4 3 7 3" xfId="19043" xr:uid="{00000000-0005-0000-0000-0000421A0000}"/>
    <cellStyle name="20% - Accent4 3 8" xfId="1720" xr:uid="{00000000-0005-0000-0000-0000431A0000}"/>
    <cellStyle name="20% - Accent4 3 8 2" xfId="12424" xr:uid="{00000000-0005-0000-0000-0000441A0000}"/>
    <cellStyle name="20% - Accent4 3 8 2 2" xfId="26136" xr:uid="{00000000-0005-0000-0000-0000451A0000}"/>
    <cellStyle name="20% - Accent4 3 8 3" xfId="19044" xr:uid="{00000000-0005-0000-0000-0000461A0000}"/>
    <cellStyle name="20% - Accent4 3 9" xfId="1721" xr:uid="{00000000-0005-0000-0000-0000471A0000}"/>
    <cellStyle name="20% - Accent4 3 9 2" xfId="13453" xr:uid="{00000000-0005-0000-0000-0000481A0000}"/>
    <cellStyle name="20% - Accent4 3 9 2 2" xfId="27002" xr:uid="{00000000-0005-0000-0000-0000491A0000}"/>
    <cellStyle name="20% - Accent4 3 9 3" xfId="19045" xr:uid="{00000000-0005-0000-0000-00004A1A0000}"/>
    <cellStyle name="20% - Accent4 30" xfId="23246" xr:uid="{00000000-0005-0000-0000-00004B1A0000}"/>
    <cellStyle name="20% - Accent4 4" xfId="1722" xr:uid="{00000000-0005-0000-0000-00004C1A0000}"/>
    <cellStyle name="20% - Accent4 4 10" xfId="1723" xr:uid="{00000000-0005-0000-0000-00004D1A0000}"/>
    <cellStyle name="20% - Accent4 4 10 2" xfId="14895" xr:uid="{00000000-0005-0000-0000-00004E1A0000}"/>
    <cellStyle name="20% - Accent4 4 10 2 2" xfId="28444" xr:uid="{00000000-0005-0000-0000-00004F1A0000}"/>
    <cellStyle name="20% - Accent4 4 10 3" xfId="19047" xr:uid="{00000000-0005-0000-0000-0000501A0000}"/>
    <cellStyle name="20% - Accent4 4 11" xfId="1724" xr:uid="{00000000-0005-0000-0000-0000511A0000}"/>
    <cellStyle name="20% - Accent4 4 11 2" xfId="15871" xr:uid="{00000000-0005-0000-0000-0000521A0000}"/>
    <cellStyle name="20% - Accent4 4 11 2 2" xfId="29278" xr:uid="{00000000-0005-0000-0000-0000531A0000}"/>
    <cellStyle name="20% - Accent4 4 11 3" xfId="19048" xr:uid="{00000000-0005-0000-0000-0000541A0000}"/>
    <cellStyle name="20% - Accent4 4 12" xfId="9058" xr:uid="{00000000-0005-0000-0000-0000551A0000}"/>
    <cellStyle name="20% - Accent4 4 12 2" xfId="23533" xr:uid="{00000000-0005-0000-0000-0000561A0000}"/>
    <cellStyle name="20% - Accent4 4 13" xfId="19046" xr:uid="{00000000-0005-0000-0000-0000571A0000}"/>
    <cellStyle name="20% - Accent4 4 2" xfId="1725" xr:uid="{00000000-0005-0000-0000-0000581A0000}"/>
    <cellStyle name="20% - Accent4 4 2 10" xfId="1726" xr:uid="{00000000-0005-0000-0000-0000591A0000}"/>
    <cellStyle name="20% - Accent4 4 2 10 2" xfId="16014" xr:uid="{00000000-0005-0000-0000-00005A1A0000}"/>
    <cellStyle name="20% - Accent4 4 2 10 2 2" xfId="29421" xr:uid="{00000000-0005-0000-0000-00005B1A0000}"/>
    <cellStyle name="20% - Accent4 4 2 10 3" xfId="19050" xr:uid="{00000000-0005-0000-0000-00005C1A0000}"/>
    <cellStyle name="20% - Accent4 4 2 11" xfId="9059" xr:uid="{00000000-0005-0000-0000-00005D1A0000}"/>
    <cellStyle name="20% - Accent4 4 2 11 2" xfId="23534" xr:uid="{00000000-0005-0000-0000-00005E1A0000}"/>
    <cellStyle name="20% - Accent4 4 2 12" xfId="19049" xr:uid="{00000000-0005-0000-0000-00005F1A0000}"/>
    <cellStyle name="20% - Accent4 4 2 2" xfId="1727" xr:uid="{00000000-0005-0000-0000-0000601A0000}"/>
    <cellStyle name="20% - Accent4 4 2 2 10" xfId="9060" xr:uid="{00000000-0005-0000-0000-0000611A0000}"/>
    <cellStyle name="20% - Accent4 4 2 2 10 2" xfId="23535" xr:uid="{00000000-0005-0000-0000-0000621A0000}"/>
    <cellStyle name="20% - Accent4 4 2 2 11" xfId="19051" xr:uid="{00000000-0005-0000-0000-0000631A0000}"/>
    <cellStyle name="20% - Accent4 4 2 2 2" xfId="1728" xr:uid="{00000000-0005-0000-0000-0000641A0000}"/>
    <cellStyle name="20% - Accent4 4 2 2 2 2" xfId="1729" xr:uid="{00000000-0005-0000-0000-0000651A0000}"/>
    <cellStyle name="20% - Accent4 4 2 2 2 2 2" xfId="10786" xr:uid="{00000000-0005-0000-0000-0000661A0000}"/>
    <cellStyle name="20% - Accent4 4 2 2 2 2 2 2" xfId="24728" xr:uid="{00000000-0005-0000-0000-0000671A0000}"/>
    <cellStyle name="20% - Accent4 4 2 2 2 2 3" xfId="19053" xr:uid="{00000000-0005-0000-0000-0000681A0000}"/>
    <cellStyle name="20% - Accent4 4 2 2 2 3" xfId="1730" xr:uid="{00000000-0005-0000-0000-0000691A0000}"/>
    <cellStyle name="20% - Accent4 4 2 2 2 3 2" xfId="11727" xr:uid="{00000000-0005-0000-0000-00006A1A0000}"/>
    <cellStyle name="20% - Accent4 4 2 2 2 3 2 2" xfId="25442" xr:uid="{00000000-0005-0000-0000-00006B1A0000}"/>
    <cellStyle name="20% - Accent4 4 2 2 2 3 3" xfId="19054" xr:uid="{00000000-0005-0000-0000-00006C1A0000}"/>
    <cellStyle name="20% - Accent4 4 2 2 2 4" xfId="1731" xr:uid="{00000000-0005-0000-0000-00006D1A0000}"/>
    <cellStyle name="20% - Accent4 4 2 2 2 4 2" xfId="14898" xr:uid="{00000000-0005-0000-0000-00006E1A0000}"/>
    <cellStyle name="20% - Accent4 4 2 2 2 4 2 2" xfId="28447" xr:uid="{00000000-0005-0000-0000-00006F1A0000}"/>
    <cellStyle name="20% - Accent4 4 2 2 2 4 3" xfId="19055" xr:uid="{00000000-0005-0000-0000-0000701A0000}"/>
    <cellStyle name="20% - Accent4 4 2 2 2 5" xfId="1732" xr:uid="{00000000-0005-0000-0000-0000711A0000}"/>
    <cellStyle name="20% - Accent4 4 2 2 2 5 2" xfId="16884" xr:uid="{00000000-0005-0000-0000-0000721A0000}"/>
    <cellStyle name="20% - Accent4 4 2 2 2 5 2 2" xfId="30291" xr:uid="{00000000-0005-0000-0000-0000731A0000}"/>
    <cellStyle name="20% - Accent4 4 2 2 2 5 3" xfId="19056" xr:uid="{00000000-0005-0000-0000-0000741A0000}"/>
    <cellStyle name="20% - Accent4 4 2 2 2 6" xfId="9061" xr:uid="{00000000-0005-0000-0000-0000751A0000}"/>
    <cellStyle name="20% - Accent4 4 2 2 2 6 2" xfId="23536" xr:uid="{00000000-0005-0000-0000-0000761A0000}"/>
    <cellStyle name="20% - Accent4 4 2 2 2 7" xfId="19052" xr:uid="{00000000-0005-0000-0000-0000771A0000}"/>
    <cellStyle name="20% - Accent4 4 2 2 3" xfId="1733" xr:uid="{00000000-0005-0000-0000-0000781A0000}"/>
    <cellStyle name="20% - Accent4 4 2 2 3 2" xfId="1734" xr:uid="{00000000-0005-0000-0000-0000791A0000}"/>
    <cellStyle name="20% - Accent4 4 2 2 3 2 2" xfId="14899" xr:uid="{00000000-0005-0000-0000-00007A1A0000}"/>
    <cellStyle name="20% - Accent4 4 2 2 3 2 2 2" xfId="28448" xr:uid="{00000000-0005-0000-0000-00007B1A0000}"/>
    <cellStyle name="20% - Accent4 4 2 2 3 2 3" xfId="19058" xr:uid="{00000000-0005-0000-0000-00007C1A0000}"/>
    <cellStyle name="20% - Accent4 4 2 2 3 3" xfId="10785" xr:uid="{00000000-0005-0000-0000-00007D1A0000}"/>
    <cellStyle name="20% - Accent4 4 2 2 3 3 2" xfId="24727" xr:uid="{00000000-0005-0000-0000-00007E1A0000}"/>
    <cellStyle name="20% - Accent4 4 2 2 3 4" xfId="19057" xr:uid="{00000000-0005-0000-0000-00007F1A0000}"/>
    <cellStyle name="20% - Accent4 4 2 2 4" xfId="1735" xr:uid="{00000000-0005-0000-0000-0000801A0000}"/>
    <cellStyle name="20% - Accent4 4 2 2 4 2" xfId="12272" xr:uid="{00000000-0005-0000-0000-0000811A0000}"/>
    <cellStyle name="20% - Accent4 4 2 2 4 2 2" xfId="25984" xr:uid="{00000000-0005-0000-0000-0000821A0000}"/>
    <cellStyle name="20% - Accent4 4 2 2 4 3" xfId="19059" xr:uid="{00000000-0005-0000-0000-0000831A0000}"/>
    <cellStyle name="20% - Accent4 4 2 2 5" xfId="1736" xr:uid="{00000000-0005-0000-0000-0000841A0000}"/>
    <cellStyle name="20% - Accent4 4 2 2 5 2" xfId="12740" xr:uid="{00000000-0005-0000-0000-0000851A0000}"/>
    <cellStyle name="20% - Accent4 4 2 2 5 2 2" xfId="26452" xr:uid="{00000000-0005-0000-0000-0000861A0000}"/>
    <cellStyle name="20% - Accent4 4 2 2 5 3" xfId="19060" xr:uid="{00000000-0005-0000-0000-0000871A0000}"/>
    <cellStyle name="20% - Accent4 4 2 2 6" xfId="1737" xr:uid="{00000000-0005-0000-0000-0000881A0000}"/>
    <cellStyle name="20% - Accent4 4 2 2 6 2" xfId="13836" xr:uid="{00000000-0005-0000-0000-0000891A0000}"/>
    <cellStyle name="20% - Accent4 4 2 2 6 2 2" xfId="27385" xr:uid="{00000000-0005-0000-0000-00008A1A0000}"/>
    <cellStyle name="20% - Accent4 4 2 2 6 3" xfId="19061" xr:uid="{00000000-0005-0000-0000-00008B1A0000}"/>
    <cellStyle name="20% - Accent4 4 2 2 7" xfId="1738" xr:uid="{00000000-0005-0000-0000-00008C1A0000}"/>
    <cellStyle name="20% - Accent4 4 2 2 7 2" xfId="14417" xr:uid="{00000000-0005-0000-0000-00008D1A0000}"/>
    <cellStyle name="20% - Accent4 4 2 2 7 2 2" xfId="27966" xr:uid="{00000000-0005-0000-0000-00008E1A0000}"/>
    <cellStyle name="20% - Accent4 4 2 2 7 3" xfId="19062" xr:uid="{00000000-0005-0000-0000-00008F1A0000}"/>
    <cellStyle name="20% - Accent4 4 2 2 8" xfId="1739" xr:uid="{00000000-0005-0000-0000-0000901A0000}"/>
    <cellStyle name="20% - Accent4 4 2 2 8 2" xfId="14897" xr:uid="{00000000-0005-0000-0000-0000911A0000}"/>
    <cellStyle name="20% - Accent4 4 2 2 8 2 2" xfId="28446" xr:uid="{00000000-0005-0000-0000-0000921A0000}"/>
    <cellStyle name="20% - Accent4 4 2 2 8 3" xfId="19063" xr:uid="{00000000-0005-0000-0000-0000931A0000}"/>
    <cellStyle name="20% - Accent4 4 2 2 9" xfId="1740" xr:uid="{00000000-0005-0000-0000-0000941A0000}"/>
    <cellStyle name="20% - Accent4 4 2 2 9 2" xfId="16303" xr:uid="{00000000-0005-0000-0000-0000951A0000}"/>
    <cellStyle name="20% - Accent4 4 2 2 9 2 2" xfId="29710" xr:uid="{00000000-0005-0000-0000-0000961A0000}"/>
    <cellStyle name="20% - Accent4 4 2 2 9 3" xfId="19064" xr:uid="{00000000-0005-0000-0000-0000971A0000}"/>
    <cellStyle name="20% - Accent4 4 2 3" xfId="1741" xr:uid="{00000000-0005-0000-0000-0000981A0000}"/>
    <cellStyle name="20% - Accent4 4 2 3 2" xfId="1742" xr:uid="{00000000-0005-0000-0000-0000991A0000}"/>
    <cellStyle name="20% - Accent4 4 2 3 2 2" xfId="10787" xr:uid="{00000000-0005-0000-0000-00009A1A0000}"/>
    <cellStyle name="20% - Accent4 4 2 3 2 2 2" xfId="24729" xr:uid="{00000000-0005-0000-0000-00009B1A0000}"/>
    <cellStyle name="20% - Accent4 4 2 3 2 3" xfId="19066" xr:uid="{00000000-0005-0000-0000-00009C1A0000}"/>
    <cellStyle name="20% - Accent4 4 2 3 3" xfId="1743" xr:uid="{00000000-0005-0000-0000-00009D1A0000}"/>
    <cellStyle name="20% - Accent4 4 2 3 3 2" xfId="12624" xr:uid="{00000000-0005-0000-0000-00009E1A0000}"/>
    <cellStyle name="20% - Accent4 4 2 3 3 2 2" xfId="26336" xr:uid="{00000000-0005-0000-0000-00009F1A0000}"/>
    <cellStyle name="20% - Accent4 4 2 3 3 3" xfId="19067" xr:uid="{00000000-0005-0000-0000-0000A01A0000}"/>
    <cellStyle name="20% - Accent4 4 2 3 4" xfId="1744" xr:uid="{00000000-0005-0000-0000-0000A11A0000}"/>
    <cellStyle name="20% - Accent4 4 2 3 4 2" xfId="14900" xr:uid="{00000000-0005-0000-0000-0000A21A0000}"/>
    <cellStyle name="20% - Accent4 4 2 3 4 2 2" xfId="28449" xr:uid="{00000000-0005-0000-0000-0000A31A0000}"/>
    <cellStyle name="20% - Accent4 4 2 3 4 3" xfId="19068" xr:uid="{00000000-0005-0000-0000-0000A41A0000}"/>
    <cellStyle name="20% - Accent4 4 2 3 5" xfId="1745" xr:uid="{00000000-0005-0000-0000-0000A51A0000}"/>
    <cellStyle name="20% - Accent4 4 2 3 5 2" xfId="16595" xr:uid="{00000000-0005-0000-0000-0000A61A0000}"/>
    <cellStyle name="20% - Accent4 4 2 3 5 2 2" xfId="30002" xr:uid="{00000000-0005-0000-0000-0000A71A0000}"/>
    <cellStyle name="20% - Accent4 4 2 3 5 3" xfId="19069" xr:uid="{00000000-0005-0000-0000-0000A81A0000}"/>
    <cellStyle name="20% - Accent4 4 2 3 6" xfId="9062" xr:uid="{00000000-0005-0000-0000-0000A91A0000}"/>
    <cellStyle name="20% - Accent4 4 2 3 6 2" xfId="23537" xr:uid="{00000000-0005-0000-0000-0000AA1A0000}"/>
    <cellStyle name="20% - Accent4 4 2 3 7" xfId="19065" xr:uid="{00000000-0005-0000-0000-0000AB1A0000}"/>
    <cellStyle name="20% - Accent4 4 2 4" xfId="1746" xr:uid="{00000000-0005-0000-0000-0000AC1A0000}"/>
    <cellStyle name="20% - Accent4 4 2 4 2" xfId="1747" xr:uid="{00000000-0005-0000-0000-0000AD1A0000}"/>
    <cellStyle name="20% - Accent4 4 2 4 2 2" xfId="14901" xr:uid="{00000000-0005-0000-0000-0000AE1A0000}"/>
    <cellStyle name="20% - Accent4 4 2 4 2 2 2" xfId="28450" xr:uid="{00000000-0005-0000-0000-0000AF1A0000}"/>
    <cellStyle name="20% - Accent4 4 2 4 2 3" xfId="19071" xr:uid="{00000000-0005-0000-0000-0000B01A0000}"/>
    <cellStyle name="20% - Accent4 4 2 4 3" xfId="10784" xr:uid="{00000000-0005-0000-0000-0000B11A0000}"/>
    <cellStyle name="20% - Accent4 4 2 4 3 2" xfId="24726" xr:uid="{00000000-0005-0000-0000-0000B21A0000}"/>
    <cellStyle name="20% - Accent4 4 2 4 4" xfId="19070" xr:uid="{00000000-0005-0000-0000-0000B31A0000}"/>
    <cellStyle name="20% - Accent4 4 2 5" xfId="1748" xr:uid="{00000000-0005-0000-0000-0000B41A0000}"/>
    <cellStyle name="20% - Accent4 4 2 5 2" xfId="11972" xr:uid="{00000000-0005-0000-0000-0000B51A0000}"/>
    <cellStyle name="20% - Accent4 4 2 5 2 2" xfId="25687" xr:uid="{00000000-0005-0000-0000-0000B61A0000}"/>
    <cellStyle name="20% - Accent4 4 2 5 3" xfId="19072" xr:uid="{00000000-0005-0000-0000-0000B71A0000}"/>
    <cellStyle name="20% - Accent4 4 2 6" xfId="1749" xr:uid="{00000000-0005-0000-0000-0000B81A0000}"/>
    <cellStyle name="20% - Accent4 4 2 6 2" xfId="12496" xr:uid="{00000000-0005-0000-0000-0000B91A0000}"/>
    <cellStyle name="20% - Accent4 4 2 6 2 2" xfId="26208" xr:uid="{00000000-0005-0000-0000-0000BA1A0000}"/>
    <cellStyle name="20% - Accent4 4 2 6 3" xfId="19073" xr:uid="{00000000-0005-0000-0000-0000BB1A0000}"/>
    <cellStyle name="20% - Accent4 4 2 7" xfId="1750" xr:uid="{00000000-0005-0000-0000-0000BC1A0000}"/>
    <cellStyle name="20% - Accent4 4 2 7 2" xfId="13547" xr:uid="{00000000-0005-0000-0000-0000BD1A0000}"/>
    <cellStyle name="20% - Accent4 4 2 7 2 2" xfId="27096" xr:uid="{00000000-0005-0000-0000-0000BE1A0000}"/>
    <cellStyle name="20% - Accent4 4 2 7 3" xfId="19074" xr:uid="{00000000-0005-0000-0000-0000BF1A0000}"/>
    <cellStyle name="20% - Accent4 4 2 8" xfId="1751" xr:uid="{00000000-0005-0000-0000-0000C01A0000}"/>
    <cellStyle name="20% - Accent4 4 2 8 2" xfId="14128" xr:uid="{00000000-0005-0000-0000-0000C11A0000}"/>
    <cellStyle name="20% - Accent4 4 2 8 2 2" xfId="27677" xr:uid="{00000000-0005-0000-0000-0000C21A0000}"/>
    <cellStyle name="20% - Accent4 4 2 8 3" xfId="19075" xr:uid="{00000000-0005-0000-0000-0000C31A0000}"/>
    <cellStyle name="20% - Accent4 4 2 9" xfId="1752" xr:uid="{00000000-0005-0000-0000-0000C41A0000}"/>
    <cellStyle name="20% - Accent4 4 2 9 2" xfId="14896" xr:uid="{00000000-0005-0000-0000-0000C51A0000}"/>
    <cellStyle name="20% - Accent4 4 2 9 2 2" xfId="28445" xr:uid="{00000000-0005-0000-0000-0000C61A0000}"/>
    <cellStyle name="20% - Accent4 4 2 9 3" xfId="19076" xr:uid="{00000000-0005-0000-0000-0000C71A0000}"/>
    <cellStyle name="20% - Accent4 4 3" xfId="1753" xr:uid="{00000000-0005-0000-0000-0000C81A0000}"/>
    <cellStyle name="20% - Accent4 4 3 10" xfId="9063" xr:uid="{00000000-0005-0000-0000-0000C91A0000}"/>
    <cellStyle name="20% - Accent4 4 3 10 2" xfId="23538" xr:uid="{00000000-0005-0000-0000-0000CA1A0000}"/>
    <cellStyle name="20% - Accent4 4 3 11" xfId="19077" xr:uid="{00000000-0005-0000-0000-0000CB1A0000}"/>
    <cellStyle name="20% - Accent4 4 3 2" xfId="1754" xr:uid="{00000000-0005-0000-0000-0000CC1A0000}"/>
    <cellStyle name="20% - Accent4 4 3 2 2" xfId="1755" xr:uid="{00000000-0005-0000-0000-0000CD1A0000}"/>
    <cellStyle name="20% - Accent4 4 3 2 2 2" xfId="10789" xr:uid="{00000000-0005-0000-0000-0000CE1A0000}"/>
    <cellStyle name="20% - Accent4 4 3 2 2 2 2" xfId="24731" xr:uid="{00000000-0005-0000-0000-0000CF1A0000}"/>
    <cellStyle name="20% - Accent4 4 3 2 2 3" xfId="19079" xr:uid="{00000000-0005-0000-0000-0000D01A0000}"/>
    <cellStyle name="20% - Accent4 4 3 2 3" xfId="1756" xr:uid="{00000000-0005-0000-0000-0000D11A0000}"/>
    <cellStyle name="20% - Accent4 4 3 2 3 2" xfId="12598" xr:uid="{00000000-0005-0000-0000-0000D21A0000}"/>
    <cellStyle name="20% - Accent4 4 3 2 3 2 2" xfId="26310" xr:uid="{00000000-0005-0000-0000-0000D31A0000}"/>
    <cellStyle name="20% - Accent4 4 3 2 3 3" xfId="19080" xr:uid="{00000000-0005-0000-0000-0000D41A0000}"/>
    <cellStyle name="20% - Accent4 4 3 2 4" xfId="1757" xr:uid="{00000000-0005-0000-0000-0000D51A0000}"/>
    <cellStyle name="20% - Accent4 4 3 2 4 2" xfId="14903" xr:uid="{00000000-0005-0000-0000-0000D61A0000}"/>
    <cellStyle name="20% - Accent4 4 3 2 4 2 2" xfId="28452" xr:uid="{00000000-0005-0000-0000-0000D71A0000}"/>
    <cellStyle name="20% - Accent4 4 3 2 4 3" xfId="19081" xr:uid="{00000000-0005-0000-0000-0000D81A0000}"/>
    <cellStyle name="20% - Accent4 4 3 2 5" xfId="1758" xr:uid="{00000000-0005-0000-0000-0000D91A0000}"/>
    <cellStyle name="20% - Accent4 4 3 2 5 2" xfId="16744" xr:uid="{00000000-0005-0000-0000-0000DA1A0000}"/>
    <cellStyle name="20% - Accent4 4 3 2 5 2 2" xfId="30151" xr:uid="{00000000-0005-0000-0000-0000DB1A0000}"/>
    <cellStyle name="20% - Accent4 4 3 2 5 3" xfId="19082" xr:uid="{00000000-0005-0000-0000-0000DC1A0000}"/>
    <cellStyle name="20% - Accent4 4 3 2 6" xfId="9064" xr:uid="{00000000-0005-0000-0000-0000DD1A0000}"/>
    <cellStyle name="20% - Accent4 4 3 2 6 2" xfId="23539" xr:uid="{00000000-0005-0000-0000-0000DE1A0000}"/>
    <cellStyle name="20% - Accent4 4 3 2 7" xfId="19078" xr:uid="{00000000-0005-0000-0000-0000DF1A0000}"/>
    <cellStyle name="20% - Accent4 4 3 3" xfId="1759" xr:uid="{00000000-0005-0000-0000-0000E01A0000}"/>
    <cellStyle name="20% - Accent4 4 3 3 2" xfId="1760" xr:uid="{00000000-0005-0000-0000-0000E11A0000}"/>
    <cellStyle name="20% - Accent4 4 3 3 2 2" xfId="14904" xr:uid="{00000000-0005-0000-0000-0000E21A0000}"/>
    <cellStyle name="20% - Accent4 4 3 3 2 2 2" xfId="28453" xr:uid="{00000000-0005-0000-0000-0000E31A0000}"/>
    <cellStyle name="20% - Accent4 4 3 3 2 3" xfId="19084" xr:uid="{00000000-0005-0000-0000-0000E41A0000}"/>
    <cellStyle name="20% - Accent4 4 3 3 3" xfId="10788" xr:uid="{00000000-0005-0000-0000-0000E51A0000}"/>
    <cellStyle name="20% - Accent4 4 3 3 3 2" xfId="24730" xr:uid="{00000000-0005-0000-0000-0000E61A0000}"/>
    <cellStyle name="20% - Accent4 4 3 3 4" xfId="19083" xr:uid="{00000000-0005-0000-0000-0000E71A0000}"/>
    <cellStyle name="20% - Accent4 4 3 4" xfId="1761" xr:uid="{00000000-0005-0000-0000-0000E81A0000}"/>
    <cellStyle name="20% - Accent4 4 3 4 2" xfId="12132" xr:uid="{00000000-0005-0000-0000-0000E91A0000}"/>
    <cellStyle name="20% - Accent4 4 3 4 2 2" xfId="25844" xr:uid="{00000000-0005-0000-0000-0000EA1A0000}"/>
    <cellStyle name="20% - Accent4 4 3 4 3" xfId="19085" xr:uid="{00000000-0005-0000-0000-0000EB1A0000}"/>
    <cellStyle name="20% - Accent4 4 3 5" xfId="1762" xr:uid="{00000000-0005-0000-0000-0000EC1A0000}"/>
    <cellStyle name="20% - Accent4 4 3 5 2" xfId="12625" xr:uid="{00000000-0005-0000-0000-0000ED1A0000}"/>
    <cellStyle name="20% - Accent4 4 3 5 2 2" xfId="26337" xr:uid="{00000000-0005-0000-0000-0000EE1A0000}"/>
    <cellStyle name="20% - Accent4 4 3 5 3" xfId="19086" xr:uid="{00000000-0005-0000-0000-0000EF1A0000}"/>
    <cellStyle name="20% - Accent4 4 3 6" xfId="1763" xr:uid="{00000000-0005-0000-0000-0000F01A0000}"/>
    <cellStyle name="20% - Accent4 4 3 6 2" xfId="13696" xr:uid="{00000000-0005-0000-0000-0000F11A0000}"/>
    <cellStyle name="20% - Accent4 4 3 6 2 2" xfId="27245" xr:uid="{00000000-0005-0000-0000-0000F21A0000}"/>
    <cellStyle name="20% - Accent4 4 3 6 3" xfId="19087" xr:uid="{00000000-0005-0000-0000-0000F31A0000}"/>
    <cellStyle name="20% - Accent4 4 3 7" xfId="1764" xr:uid="{00000000-0005-0000-0000-0000F41A0000}"/>
    <cellStyle name="20% - Accent4 4 3 7 2" xfId="14277" xr:uid="{00000000-0005-0000-0000-0000F51A0000}"/>
    <cellStyle name="20% - Accent4 4 3 7 2 2" xfId="27826" xr:uid="{00000000-0005-0000-0000-0000F61A0000}"/>
    <cellStyle name="20% - Accent4 4 3 7 3" xfId="19088" xr:uid="{00000000-0005-0000-0000-0000F71A0000}"/>
    <cellStyle name="20% - Accent4 4 3 8" xfId="1765" xr:uid="{00000000-0005-0000-0000-0000F81A0000}"/>
    <cellStyle name="20% - Accent4 4 3 8 2" xfId="14902" xr:uid="{00000000-0005-0000-0000-0000F91A0000}"/>
    <cellStyle name="20% - Accent4 4 3 8 2 2" xfId="28451" xr:uid="{00000000-0005-0000-0000-0000FA1A0000}"/>
    <cellStyle name="20% - Accent4 4 3 8 3" xfId="19089" xr:uid="{00000000-0005-0000-0000-0000FB1A0000}"/>
    <cellStyle name="20% - Accent4 4 3 9" xfId="1766" xr:uid="{00000000-0005-0000-0000-0000FC1A0000}"/>
    <cellStyle name="20% - Accent4 4 3 9 2" xfId="16163" xr:uid="{00000000-0005-0000-0000-0000FD1A0000}"/>
    <cellStyle name="20% - Accent4 4 3 9 2 2" xfId="29570" xr:uid="{00000000-0005-0000-0000-0000FE1A0000}"/>
    <cellStyle name="20% - Accent4 4 3 9 3" xfId="19090" xr:uid="{00000000-0005-0000-0000-0000FF1A0000}"/>
    <cellStyle name="20% - Accent4 4 4" xfId="1767" xr:uid="{00000000-0005-0000-0000-0000001B0000}"/>
    <cellStyle name="20% - Accent4 4 4 2" xfId="1768" xr:uid="{00000000-0005-0000-0000-0000011B0000}"/>
    <cellStyle name="20% - Accent4 4 4 2 2" xfId="10790" xr:uid="{00000000-0005-0000-0000-0000021B0000}"/>
    <cellStyle name="20% - Accent4 4 4 2 2 2" xfId="24732" xr:uid="{00000000-0005-0000-0000-0000031B0000}"/>
    <cellStyle name="20% - Accent4 4 4 2 3" xfId="19092" xr:uid="{00000000-0005-0000-0000-0000041B0000}"/>
    <cellStyle name="20% - Accent4 4 4 3" xfId="1769" xr:uid="{00000000-0005-0000-0000-0000051B0000}"/>
    <cellStyle name="20% - Accent4 4 4 3 2" xfId="12414" xr:uid="{00000000-0005-0000-0000-0000061B0000}"/>
    <cellStyle name="20% - Accent4 4 4 3 2 2" xfId="26126" xr:uid="{00000000-0005-0000-0000-0000071B0000}"/>
    <cellStyle name="20% - Accent4 4 4 3 3" xfId="19093" xr:uid="{00000000-0005-0000-0000-0000081B0000}"/>
    <cellStyle name="20% - Accent4 4 4 4" xfId="1770" xr:uid="{00000000-0005-0000-0000-0000091B0000}"/>
    <cellStyle name="20% - Accent4 4 4 4 2" xfId="14905" xr:uid="{00000000-0005-0000-0000-00000A1B0000}"/>
    <cellStyle name="20% - Accent4 4 4 4 2 2" xfId="28454" xr:uid="{00000000-0005-0000-0000-00000B1B0000}"/>
    <cellStyle name="20% - Accent4 4 4 4 3" xfId="19094" xr:uid="{00000000-0005-0000-0000-00000C1B0000}"/>
    <cellStyle name="20% - Accent4 4 4 5" xfId="1771" xr:uid="{00000000-0005-0000-0000-00000D1B0000}"/>
    <cellStyle name="20% - Accent4 4 4 5 2" xfId="16452" xr:uid="{00000000-0005-0000-0000-00000E1B0000}"/>
    <cellStyle name="20% - Accent4 4 4 5 2 2" xfId="29859" xr:uid="{00000000-0005-0000-0000-00000F1B0000}"/>
    <cellStyle name="20% - Accent4 4 4 5 3" xfId="19095" xr:uid="{00000000-0005-0000-0000-0000101B0000}"/>
    <cellStyle name="20% - Accent4 4 4 6" xfId="9065" xr:uid="{00000000-0005-0000-0000-0000111B0000}"/>
    <cellStyle name="20% - Accent4 4 4 6 2" xfId="23540" xr:uid="{00000000-0005-0000-0000-0000121B0000}"/>
    <cellStyle name="20% - Accent4 4 4 7" xfId="19091" xr:uid="{00000000-0005-0000-0000-0000131B0000}"/>
    <cellStyle name="20% - Accent4 4 5" xfId="1772" xr:uid="{00000000-0005-0000-0000-0000141B0000}"/>
    <cellStyle name="20% - Accent4 4 5 2" xfId="1773" xr:uid="{00000000-0005-0000-0000-0000151B0000}"/>
    <cellStyle name="20% - Accent4 4 5 2 2" xfId="14906" xr:uid="{00000000-0005-0000-0000-0000161B0000}"/>
    <cellStyle name="20% - Accent4 4 5 2 2 2" xfId="28455" xr:uid="{00000000-0005-0000-0000-0000171B0000}"/>
    <cellStyle name="20% - Accent4 4 5 2 3" xfId="19097" xr:uid="{00000000-0005-0000-0000-0000181B0000}"/>
    <cellStyle name="20% - Accent4 4 5 3" xfId="10783" xr:uid="{00000000-0005-0000-0000-0000191B0000}"/>
    <cellStyle name="20% - Accent4 4 5 3 2" xfId="24725" xr:uid="{00000000-0005-0000-0000-00001A1B0000}"/>
    <cellStyle name="20% - Accent4 4 5 4" xfId="19096" xr:uid="{00000000-0005-0000-0000-00001B1B0000}"/>
    <cellStyle name="20% - Accent4 4 6" xfId="1774" xr:uid="{00000000-0005-0000-0000-00001C1B0000}"/>
    <cellStyle name="20% - Accent4 4 6 2" xfId="11803" xr:uid="{00000000-0005-0000-0000-00001D1B0000}"/>
    <cellStyle name="20% - Accent4 4 6 2 2" xfId="25518" xr:uid="{00000000-0005-0000-0000-00001E1B0000}"/>
    <cellStyle name="20% - Accent4 4 6 3" xfId="19098" xr:uid="{00000000-0005-0000-0000-00001F1B0000}"/>
    <cellStyle name="20% - Accent4 4 7" xfId="1775" xr:uid="{00000000-0005-0000-0000-0000201B0000}"/>
    <cellStyle name="20% - Accent4 4 7 2" xfId="11847" xr:uid="{00000000-0005-0000-0000-0000211B0000}"/>
    <cellStyle name="20% - Accent4 4 7 2 2" xfId="25562" xr:uid="{00000000-0005-0000-0000-0000221B0000}"/>
    <cellStyle name="20% - Accent4 4 7 3" xfId="19099" xr:uid="{00000000-0005-0000-0000-0000231B0000}"/>
    <cellStyle name="20% - Accent4 4 8" xfId="1776" xr:uid="{00000000-0005-0000-0000-0000241B0000}"/>
    <cellStyle name="20% - Accent4 4 8 2" xfId="13404" xr:uid="{00000000-0005-0000-0000-0000251B0000}"/>
    <cellStyle name="20% - Accent4 4 8 2 2" xfId="26953" xr:uid="{00000000-0005-0000-0000-0000261B0000}"/>
    <cellStyle name="20% - Accent4 4 8 3" xfId="19100" xr:uid="{00000000-0005-0000-0000-0000271B0000}"/>
    <cellStyle name="20% - Accent4 4 9" xfId="1777" xr:uid="{00000000-0005-0000-0000-0000281B0000}"/>
    <cellStyle name="20% - Accent4 4 9 2" xfId="13985" xr:uid="{00000000-0005-0000-0000-0000291B0000}"/>
    <cellStyle name="20% - Accent4 4 9 2 2" xfId="27534" xr:uid="{00000000-0005-0000-0000-00002A1B0000}"/>
    <cellStyle name="20% - Accent4 4 9 3" xfId="19101" xr:uid="{00000000-0005-0000-0000-00002B1B0000}"/>
    <cellStyle name="20% - Accent4 5" xfId="1778" xr:uid="{00000000-0005-0000-0000-00002C1B0000}"/>
    <cellStyle name="20% - Accent4 5 10" xfId="1779" xr:uid="{00000000-0005-0000-0000-00002D1B0000}"/>
    <cellStyle name="20% - Accent4 5 10 2" xfId="14907" xr:uid="{00000000-0005-0000-0000-00002E1B0000}"/>
    <cellStyle name="20% - Accent4 5 10 2 2" xfId="28456" xr:uid="{00000000-0005-0000-0000-00002F1B0000}"/>
    <cellStyle name="20% - Accent4 5 10 3" xfId="19103" xr:uid="{00000000-0005-0000-0000-0000301B0000}"/>
    <cellStyle name="20% - Accent4 5 11" xfId="1780" xr:uid="{00000000-0005-0000-0000-0000311B0000}"/>
    <cellStyle name="20% - Accent4 5 11 2" xfId="15854" xr:uid="{00000000-0005-0000-0000-0000321B0000}"/>
    <cellStyle name="20% - Accent4 5 11 2 2" xfId="29261" xr:uid="{00000000-0005-0000-0000-0000331B0000}"/>
    <cellStyle name="20% - Accent4 5 11 3" xfId="19104" xr:uid="{00000000-0005-0000-0000-0000341B0000}"/>
    <cellStyle name="20% - Accent4 5 12" xfId="9066" xr:uid="{00000000-0005-0000-0000-0000351B0000}"/>
    <cellStyle name="20% - Accent4 5 12 2" xfId="23541" xr:uid="{00000000-0005-0000-0000-0000361B0000}"/>
    <cellStyle name="20% - Accent4 5 13" xfId="19102" xr:uid="{00000000-0005-0000-0000-0000371B0000}"/>
    <cellStyle name="20% - Accent4 5 2" xfId="1781" xr:uid="{00000000-0005-0000-0000-0000381B0000}"/>
    <cellStyle name="20% - Accent4 5 2 10" xfId="1782" xr:uid="{00000000-0005-0000-0000-0000391B0000}"/>
    <cellStyle name="20% - Accent4 5 2 10 2" xfId="15997" xr:uid="{00000000-0005-0000-0000-00003A1B0000}"/>
    <cellStyle name="20% - Accent4 5 2 10 2 2" xfId="29404" xr:uid="{00000000-0005-0000-0000-00003B1B0000}"/>
    <cellStyle name="20% - Accent4 5 2 10 3" xfId="19106" xr:uid="{00000000-0005-0000-0000-00003C1B0000}"/>
    <cellStyle name="20% - Accent4 5 2 11" xfId="9067" xr:uid="{00000000-0005-0000-0000-00003D1B0000}"/>
    <cellStyle name="20% - Accent4 5 2 11 2" xfId="23542" xr:uid="{00000000-0005-0000-0000-00003E1B0000}"/>
    <cellStyle name="20% - Accent4 5 2 12" xfId="19105" xr:uid="{00000000-0005-0000-0000-00003F1B0000}"/>
    <cellStyle name="20% - Accent4 5 2 2" xfId="1783" xr:uid="{00000000-0005-0000-0000-0000401B0000}"/>
    <cellStyle name="20% - Accent4 5 2 2 10" xfId="9068" xr:uid="{00000000-0005-0000-0000-0000411B0000}"/>
    <cellStyle name="20% - Accent4 5 2 2 10 2" xfId="23543" xr:uid="{00000000-0005-0000-0000-0000421B0000}"/>
    <cellStyle name="20% - Accent4 5 2 2 11" xfId="19107" xr:uid="{00000000-0005-0000-0000-0000431B0000}"/>
    <cellStyle name="20% - Accent4 5 2 2 2" xfId="1784" xr:uid="{00000000-0005-0000-0000-0000441B0000}"/>
    <cellStyle name="20% - Accent4 5 2 2 2 2" xfId="1785" xr:uid="{00000000-0005-0000-0000-0000451B0000}"/>
    <cellStyle name="20% - Accent4 5 2 2 2 2 2" xfId="10794" xr:uid="{00000000-0005-0000-0000-0000461B0000}"/>
    <cellStyle name="20% - Accent4 5 2 2 2 2 2 2" xfId="24736" xr:uid="{00000000-0005-0000-0000-0000471B0000}"/>
    <cellStyle name="20% - Accent4 5 2 2 2 2 3" xfId="19109" xr:uid="{00000000-0005-0000-0000-0000481B0000}"/>
    <cellStyle name="20% - Accent4 5 2 2 2 3" xfId="1786" xr:uid="{00000000-0005-0000-0000-0000491B0000}"/>
    <cellStyle name="20% - Accent4 5 2 2 2 3 2" xfId="12727" xr:uid="{00000000-0005-0000-0000-00004A1B0000}"/>
    <cellStyle name="20% - Accent4 5 2 2 2 3 2 2" xfId="26439" xr:uid="{00000000-0005-0000-0000-00004B1B0000}"/>
    <cellStyle name="20% - Accent4 5 2 2 2 3 3" xfId="19110" xr:uid="{00000000-0005-0000-0000-00004C1B0000}"/>
    <cellStyle name="20% - Accent4 5 2 2 2 4" xfId="1787" xr:uid="{00000000-0005-0000-0000-00004D1B0000}"/>
    <cellStyle name="20% - Accent4 5 2 2 2 4 2" xfId="14910" xr:uid="{00000000-0005-0000-0000-00004E1B0000}"/>
    <cellStyle name="20% - Accent4 5 2 2 2 4 2 2" xfId="28459" xr:uid="{00000000-0005-0000-0000-00004F1B0000}"/>
    <cellStyle name="20% - Accent4 5 2 2 2 4 3" xfId="19111" xr:uid="{00000000-0005-0000-0000-0000501B0000}"/>
    <cellStyle name="20% - Accent4 5 2 2 2 5" xfId="1788" xr:uid="{00000000-0005-0000-0000-0000511B0000}"/>
    <cellStyle name="20% - Accent4 5 2 2 2 5 2" xfId="16867" xr:uid="{00000000-0005-0000-0000-0000521B0000}"/>
    <cellStyle name="20% - Accent4 5 2 2 2 5 2 2" xfId="30274" xr:uid="{00000000-0005-0000-0000-0000531B0000}"/>
    <cellStyle name="20% - Accent4 5 2 2 2 5 3" xfId="19112" xr:uid="{00000000-0005-0000-0000-0000541B0000}"/>
    <cellStyle name="20% - Accent4 5 2 2 2 6" xfId="9069" xr:uid="{00000000-0005-0000-0000-0000551B0000}"/>
    <cellStyle name="20% - Accent4 5 2 2 2 6 2" xfId="23544" xr:uid="{00000000-0005-0000-0000-0000561B0000}"/>
    <cellStyle name="20% - Accent4 5 2 2 2 7" xfId="19108" xr:uid="{00000000-0005-0000-0000-0000571B0000}"/>
    <cellStyle name="20% - Accent4 5 2 2 3" xfId="1789" xr:uid="{00000000-0005-0000-0000-0000581B0000}"/>
    <cellStyle name="20% - Accent4 5 2 2 3 2" xfId="1790" xr:uid="{00000000-0005-0000-0000-0000591B0000}"/>
    <cellStyle name="20% - Accent4 5 2 2 3 2 2" xfId="14911" xr:uid="{00000000-0005-0000-0000-00005A1B0000}"/>
    <cellStyle name="20% - Accent4 5 2 2 3 2 2 2" xfId="28460" xr:uid="{00000000-0005-0000-0000-00005B1B0000}"/>
    <cellStyle name="20% - Accent4 5 2 2 3 2 3" xfId="19114" xr:uid="{00000000-0005-0000-0000-00005C1B0000}"/>
    <cellStyle name="20% - Accent4 5 2 2 3 3" xfId="10793" xr:uid="{00000000-0005-0000-0000-00005D1B0000}"/>
    <cellStyle name="20% - Accent4 5 2 2 3 3 2" xfId="24735" xr:uid="{00000000-0005-0000-0000-00005E1B0000}"/>
    <cellStyle name="20% - Accent4 5 2 2 3 4" xfId="19113" xr:uid="{00000000-0005-0000-0000-00005F1B0000}"/>
    <cellStyle name="20% - Accent4 5 2 2 4" xfId="1791" xr:uid="{00000000-0005-0000-0000-0000601B0000}"/>
    <cellStyle name="20% - Accent4 5 2 2 4 2" xfId="12255" xr:uid="{00000000-0005-0000-0000-0000611B0000}"/>
    <cellStyle name="20% - Accent4 5 2 2 4 2 2" xfId="25967" xr:uid="{00000000-0005-0000-0000-0000621B0000}"/>
    <cellStyle name="20% - Accent4 5 2 2 4 3" xfId="19115" xr:uid="{00000000-0005-0000-0000-0000631B0000}"/>
    <cellStyle name="20% - Accent4 5 2 2 5" xfId="1792" xr:uid="{00000000-0005-0000-0000-0000641B0000}"/>
    <cellStyle name="20% - Accent4 5 2 2 5 2" xfId="12759" xr:uid="{00000000-0005-0000-0000-0000651B0000}"/>
    <cellStyle name="20% - Accent4 5 2 2 5 2 2" xfId="26471" xr:uid="{00000000-0005-0000-0000-0000661B0000}"/>
    <cellStyle name="20% - Accent4 5 2 2 5 3" xfId="19116" xr:uid="{00000000-0005-0000-0000-0000671B0000}"/>
    <cellStyle name="20% - Accent4 5 2 2 6" xfId="1793" xr:uid="{00000000-0005-0000-0000-0000681B0000}"/>
    <cellStyle name="20% - Accent4 5 2 2 6 2" xfId="13819" xr:uid="{00000000-0005-0000-0000-0000691B0000}"/>
    <cellStyle name="20% - Accent4 5 2 2 6 2 2" xfId="27368" xr:uid="{00000000-0005-0000-0000-00006A1B0000}"/>
    <cellStyle name="20% - Accent4 5 2 2 6 3" xfId="19117" xr:uid="{00000000-0005-0000-0000-00006B1B0000}"/>
    <cellStyle name="20% - Accent4 5 2 2 7" xfId="1794" xr:uid="{00000000-0005-0000-0000-00006C1B0000}"/>
    <cellStyle name="20% - Accent4 5 2 2 7 2" xfId="14400" xr:uid="{00000000-0005-0000-0000-00006D1B0000}"/>
    <cellStyle name="20% - Accent4 5 2 2 7 2 2" xfId="27949" xr:uid="{00000000-0005-0000-0000-00006E1B0000}"/>
    <cellStyle name="20% - Accent4 5 2 2 7 3" xfId="19118" xr:uid="{00000000-0005-0000-0000-00006F1B0000}"/>
    <cellStyle name="20% - Accent4 5 2 2 8" xfId="1795" xr:uid="{00000000-0005-0000-0000-0000701B0000}"/>
    <cellStyle name="20% - Accent4 5 2 2 8 2" xfId="14909" xr:uid="{00000000-0005-0000-0000-0000711B0000}"/>
    <cellStyle name="20% - Accent4 5 2 2 8 2 2" xfId="28458" xr:uid="{00000000-0005-0000-0000-0000721B0000}"/>
    <cellStyle name="20% - Accent4 5 2 2 8 3" xfId="19119" xr:uid="{00000000-0005-0000-0000-0000731B0000}"/>
    <cellStyle name="20% - Accent4 5 2 2 9" xfId="1796" xr:uid="{00000000-0005-0000-0000-0000741B0000}"/>
    <cellStyle name="20% - Accent4 5 2 2 9 2" xfId="16286" xr:uid="{00000000-0005-0000-0000-0000751B0000}"/>
    <cellStyle name="20% - Accent4 5 2 2 9 2 2" xfId="29693" xr:uid="{00000000-0005-0000-0000-0000761B0000}"/>
    <cellStyle name="20% - Accent4 5 2 2 9 3" xfId="19120" xr:uid="{00000000-0005-0000-0000-0000771B0000}"/>
    <cellStyle name="20% - Accent4 5 2 3" xfId="1797" xr:uid="{00000000-0005-0000-0000-0000781B0000}"/>
    <cellStyle name="20% - Accent4 5 2 3 2" xfId="1798" xr:uid="{00000000-0005-0000-0000-0000791B0000}"/>
    <cellStyle name="20% - Accent4 5 2 3 2 2" xfId="10795" xr:uid="{00000000-0005-0000-0000-00007A1B0000}"/>
    <cellStyle name="20% - Accent4 5 2 3 2 2 2" xfId="24737" xr:uid="{00000000-0005-0000-0000-00007B1B0000}"/>
    <cellStyle name="20% - Accent4 5 2 3 2 3" xfId="19122" xr:uid="{00000000-0005-0000-0000-00007C1B0000}"/>
    <cellStyle name="20% - Accent4 5 2 3 3" xfId="1799" xr:uid="{00000000-0005-0000-0000-00007D1B0000}"/>
    <cellStyle name="20% - Accent4 5 2 3 3 2" xfId="12518" xr:uid="{00000000-0005-0000-0000-00007E1B0000}"/>
    <cellStyle name="20% - Accent4 5 2 3 3 2 2" xfId="26230" xr:uid="{00000000-0005-0000-0000-00007F1B0000}"/>
    <cellStyle name="20% - Accent4 5 2 3 3 3" xfId="19123" xr:uid="{00000000-0005-0000-0000-0000801B0000}"/>
    <cellStyle name="20% - Accent4 5 2 3 4" xfId="1800" xr:uid="{00000000-0005-0000-0000-0000811B0000}"/>
    <cellStyle name="20% - Accent4 5 2 3 4 2" xfId="14912" xr:uid="{00000000-0005-0000-0000-0000821B0000}"/>
    <cellStyle name="20% - Accent4 5 2 3 4 2 2" xfId="28461" xr:uid="{00000000-0005-0000-0000-0000831B0000}"/>
    <cellStyle name="20% - Accent4 5 2 3 4 3" xfId="19124" xr:uid="{00000000-0005-0000-0000-0000841B0000}"/>
    <cellStyle name="20% - Accent4 5 2 3 5" xfId="1801" xr:uid="{00000000-0005-0000-0000-0000851B0000}"/>
    <cellStyle name="20% - Accent4 5 2 3 5 2" xfId="16578" xr:uid="{00000000-0005-0000-0000-0000861B0000}"/>
    <cellStyle name="20% - Accent4 5 2 3 5 2 2" xfId="29985" xr:uid="{00000000-0005-0000-0000-0000871B0000}"/>
    <cellStyle name="20% - Accent4 5 2 3 5 3" xfId="19125" xr:uid="{00000000-0005-0000-0000-0000881B0000}"/>
    <cellStyle name="20% - Accent4 5 2 3 6" xfId="9070" xr:uid="{00000000-0005-0000-0000-0000891B0000}"/>
    <cellStyle name="20% - Accent4 5 2 3 6 2" xfId="23545" xr:uid="{00000000-0005-0000-0000-00008A1B0000}"/>
    <cellStyle name="20% - Accent4 5 2 3 7" xfId="19121" xr:uid="{00000000-0005-0000-0000-00008B1B0000}"/>
    <cellStyle name="20% - Accent4 5 2 4" xfId="1802" xr:uid="{00000000-0005-0000-0000-00008C1B0000}"/>
    <cellStyle name="20% - Accent4 5 2 4 2" xfId="1803" xr:uid="{00000000-0005-0000-0000-00008D1B0000}"/>
    <cellStyle name="20% - Accent4 5 2 4 2 2" xfId="14913" xr:uid="{00000000-0005-0000-0000-00008E1B0000}"/>
    <cellStyle name="20% - Accent4 5 2 4 2 2 2" xfId="28462" xr:uid="{00000000-0005-0000-0000-00008F1B0000}"/>
    <cellStyle name="20% - Accent4 5 2 4 2 3" xfId="19127" xr:uid="{00000000-0005-0000-0000-0000901B0000}"/>
    <cellStyle name="20% - Accent4 5 2 4 3" xfId="10792" xr:uid="{00000000-0005-0000-0000-0000911B0000}"/>
    <cellStyle name="20% - Accent4 5 2 4 3 2" xfId="24734" xr:uid="{00000000-0005-0000-0000-0000921B0000}"/>
    <cellStyle name="20% - Accent4 5 2 4 4" xfId="19126" xr:uid="{00000000-0005-0000-0000-0000931B0000}"/>
    <cellStyle name="20% - Accent4 5 2 5" xfId="1804" xr:uid="{00000000-0005-0000-0000-0000941B0000}"/>
    <cellStyle name="20% - Accent4 5 2 5 2" xfId="11955" xr:uid="{00000000-0005-0000-0000-0000951B0000}"/>
    <cellStyle name="20% - Accent4 5 2 5 2 2" xfId="25670" xr:uid="{00000000-0005-0000-0000-0000961B0000}"/>
    <cellStyle name="20% - Accent4 5 2 5 3" xfId="19128" xr:uid="{00000000-0005-0000-0000-0000971B0000}"/>
    <cellStyle name="20% - Accent4 5 2 6" xfId="1805" xr:uid="{00000000-0005-0000-0000-0000981B0000}"/>
    <cellStyle name="20% - Accent4 5 2 6 2" xfId="12704" xr:uid="{00000000-0005-0000-0000-0000991B0000}"/>
    <cellStyle name="20% - Accent4 5 2 6 2 2" xfId="26416" xr:uid="{00000000-0005-0000-0000-00009A1B0000}"/>
    <cellStyle name="20% - Accent4 5 2 6 3" xfId="19129" xr:uid="{00000000-0005-0000-0000-00009B1B0000}"/>
    <cellStyle name="20% - Accent4 5 2 7" xfId="1806" xr:uid="{00000000-0005-0000-0000-00009C1B0000}"/>
    <cellStyle name="20% - Accent4 5 2 7 2" xfId="13530" xr:uid="{00000000-0005-0000-0000-00009D1B0000}"/>
    <cellStyle name="20% - Accent4 5 2 7 2 2" xfId="27079" xr:uid="{00000000-0005-0000-0000-00009E1B0000}"/>
    <cellStyle name="20% - Accent4 5 2 7 3" xfId="19130" xr:uid="{00000000-0005-0000-0000-00009F1B0000}"/>
    <cellStyle name="20% - Accent4 5 2 8" xfId="1807" xr:uid="{00000000-0005-0000-0000-0000A01B0000}"/>
    <cellStyle name="20% - Accent4 5 2 8 2" xfId="14111" xr:uid="{00000000-0005-0000-0000-0000A11B0000}"/>
    <cellStyle name="20% - Accent4 5 2 8 2 2" xfId="27660" xr:uid="{00000000-0005-0000-0000-0000A21B0000}"/>
    <cellStyle name="20% - Accent4 5 2 8 3" xfId="19131" xr:uid="{00000000-0005-0000-0000-0000A31B0000}"/>
    <cellStyle name="20% - Accent4 5 2 9" xfId="1808" xr:uid="{00000000-0005-0000-0000-0000A41B0000}"/>
    <cellStyle name="20% - Accent4 5 2 9 2" xfId="14908" xr:uid="{00000000-0005-0000-0000-0000A51B0000}"/>
    <cellStyle name="20% - Accent4 5 2 9 2 2" xfId="28457" xr:uid="{00000000-0005-0000-0000-0000A61B0000}"/>
    <cellStyle name="20% - Accent4 5 2 9 3" xfId="19132" xr:uid="{00000000-0005-0000-0000-0000A71B0000}"/>
    <cellStyle name="20% - Accent4 5 3" xfId="1809" xr:uid="{00000000-0005-0000-0000-0000A81B0000}"/>
    <cellStyle name="20% - Accent4 5 3 10" xfId="9071" xr:uid="{00000000-0005-0000-0000-0000A91B0000}"/>
    <cellStyle name="20% - Accent4 5 3 10 2" xfId="23546" xr:uid="{00000000-0005-0000-0000-0000AA1B0000}"/>
    <cellStyle name="20% - Accent4 5 3 11" xfId="19133" xr:uid="{00000000-0005-0000-0000-0000AB1B0000}"/>
    <cellStyle name="20% - Accent4 5 3 2" xfId="1810" xr:uid="{00000000-0005-0000-0000-0000AC1B0000}"/>
    <cellStyle name="20% - Accent4 5 3 2 2" xfId="1811" xr:uid="{00000000-0005-0000-0000-0000AD1B0000}"/>
    <cellStyle name="20% - Accent4 5 3 2 2 2" xfId="10797" xr:uid="{00000000-0005-0000-0000-0000AE1B0000}"/>
    <cellStyle name="20% - Accent4 5 3 2 2 2 2" xfId="24739" xr:uid="{00000000-0005-0000-0000-0000AF1B0000}"/>
    <cellStyle name="20% - Accent4 5 3 2 2 3" xfId="19135" xr:uid="{00000000-0005-0000-0000-0000B01B0000}"/>
    <cellStyle name="20% - Accent4 5 3 2 3" xfId="1812" xr:uid="{00000000-0005-0000-0000-0000B11B0000}"/>
    <cellStyle name="20% - Accent4 5 3 2 3 2" xfId="12525" xr:uid="{00000000-0005-0000-0000-0000B21B0000}"/>
    <cellStyle name="20% - Accent4 5 3 2 3 2 2" xfId="26237" xr:uid="{00000000-0005-0000-0000-0000B31B0000}"/>
    <cellStyle name="20% - Accent4 5 3 2 3 3" xfId="19136" xr:uid="{00000000-0005-0000-0000-0000B41B0000}"/>
    <cellStyle name="20% - Accent4 5 3 2 4" xfId="1813" xr:uid="{00000000-0005-0000-0000-0000B51B0000}"/>
    <cellStyle name="20% - Accent4 5 3 2 4 2" xfId="14915" xr:uid="{00000000-0005-0000-0000-0000B61B0000}"/>
    <cellStyle name="20% - Accent4 5 3 2 4 2 2" xfId="28464" xr:uid="{00000000-0005-0000-0000-0000B71B0000}"/>
    <cellStyle name="20% - Accent4 5 3 2 4 3" xfId="19137" xr:uid="{00000000-0005-0000-0000-0000B81B0000}"/>
    <cellStyle name="20% - Accent4 5 3 2 5" xfId="1814" xr:uid="{00000000-0005-0000-0000-0000B91B0000}"/>
    <cellStyle name="20% - Accent4 5 3 2 5 2" xfId="16727" xr:uid="{00000000-0005-0000-0000-0000BA1B0000}"/>
    <cellStyle name="20% - Accent4 5 3 2 5 2 2" xfId="30134" xr:uid="{00000000-0005-0000-0000-0000BB1B0000}"/>
    <cellStyle name="20% - Accent4 5 3 2 5 3" xfId="19138" xr:uid="{00000000-0005-0000-0000-0000BC1B0000}"/>
    <cellStyle name="20% - Accent4 5 3 2 6" xfId="9072" xr:uid="{00000000-0005-0000-0000-0000BD1B0000}"/>
    <cellStyle name="20% - Accent4 5 3 2 6 2" xfId="23547" xr:uid="{00000000-0005-0000-0000-0000BE1B0000}"/>
    <cellStyle name="20% - Accent4 5 3 2 7" xfId="19134" xr:uid="{00000000-0005-0000-0000-0000BF1B0000}"/>
    <cellStyle name="20% - Accent4 5 3 3" xfId="1815" xr:uid="{00000000-0005-0000-0000-0000C01B0000}"/>
    <cellStyle name="20% - Accent4 5 3 3 2" xfId="1816" xr:uid="{00000000-0005-0000-0000-0000C11B0000}"/>
    <cellStyle name="20% - Accent4 5 3 3 2 2" xfId="14916" xr:uid="{00000000-0005-0000-0000-0000C21B0000}"/>
    <cellStyle name="20% - Accent4 5 3 3 2 2 2" xfId="28465" xr:uid="{00000000-0005-0000-0000-0000C31B0000}"/>
    <cellStyle name="20% - Accent4 5 3 3 2 3" xfId="19140" xr:uid="{00000000-0005-0000-0000-0000C41B0000}"/>
    <cellStyle name="20% - Accent4 5 3 3 3" xfId="10796" xr:uid="{00000000-0005-0000-0000-0000C51B0000}"/>
    <cellStyle name="20% - Accent4 5 3 3 3 2" xfId="24738" xr:uid="{00000000-0005-0000-0000-0000C61B0000}"/>
    <cellStyle name="20% - Accent4 5 3 3 4" xfId="19139" xr:uid="{00000000-0005-0000-0000-0000C71B0000}"/>
    <cellStyle name="20% - Accent4 5 3 4" xfId="1817" xr:uid="{00000000-0005-0000-0000-0000C81B0000}"/>
    <cellStyle name="20% - Accent4 5 3 4 2" xfId="12115" xr:uid="{00000000-0005-0000-0000-0000C91B0000}"/>
    <cellStyle name="20% - Accent4 5 3 4 2 2" xfId="25827" xr:uid="{00000000-0005-0000-0000-0000CA1B0000}"/>
    <cellStyle name="20% - Accent4 5 3 4 3" xfId="19141" xr:uid="{00000000-0005-0000-0000-0000CB1B0000}"/>
    <cellStyle name="20% - Accent4 5 3 5" xfId="1818" xr:uid="{00000000-0005-0000-0000-0000CC1B0000}"/>
    <cellStyle name="20% - Accent4 5 3 5 2" xfId="12552" xr:uid="{00000000-0005-0000-0000-0000CD1B0000}"/>
    <cellStyle name="20% - Accent4 5 3 5 2 2" xfId="26264" xr:uid="{00000000-0005-0000-0000-0000CE1B0000}"/>
    <cellStyle name="20% - Accent4 5 3 5 3" xfId="19142" xr:uid="{00000000-0005-0000-0000-0000CF1B0000}"/>
    <cellStyle name="20% - Accent4 5 3 6" xfId="1819" xr:uid="{00000000-0005-0000-0000-0000D01B0000}"/>
    <cellStyle name="20% - Accent4 5 3 6 2" xfId="13679" xr:uid="{00000000-0005-0000-0000-0000D11B0000}"/>
    <cellStyle name="20% - Accent4 5 3 6 2 2" xfId="27228" xr:uid="{00000000-0005-0000-0000-0000D21B0000}"/>
    <cellStyle name="20% - Accent4 5 3 6 3" xfId="19143" xr:uid="{00000000-0005-0000-0000-0000D31B0000}"/>
    <cellStyle name="20% - Accent4 5 3 7" xfId="1820" xr:uid="{00000000-0005-0000-0000-0000D41B0000}"/>
    <cellStyle name="20% - Accent4 5 3 7 2" xfId="14260" xr:uid="{00000000-0005-0000-0000-0000D51B0000}"/>
    <cellStyle name="20% - Accent4 5 3 7 2 2" xfId="27809" xr:uid="{00000000-0005-0000-0000-0000D61B0000}"/>
    <cellStyle name="20% - Accent4 5 3 7 3" xfId="19144" xr:uid="{00000000-0005-0000-0000-0000D71B0000}"/>
    <cellStyle name="20% - Accent4 5 3 8" xfId="1821" xr:uid="{00000000-0005-0000-0000-0000D81B0000}"/>
    <cellStyle name="20% - Accent4 5 3 8 2" xfId="14914" xr:uid="{00000000-0005-0000-0000-0000D91B0000}"/>
    <cellStyle name="20% - Accent4 5 3 8 2 2" xfId="28463" xr:uid="{00000000-0005-0000-0000-0000DA1B0000}"/>
    <cellStyle name="20% - Accent4 5 3 8 3" xfId="19145" xr:uid="{00000000-0005-0000-0000-0000DB1B0000}"/>
    <cellStyle name="20% - Accent4 5 3 9" xfId="1822" xr:uid="{00000000-0005-0000-0000-0000DC1B0000}"/>
    <cellStyle name="20% - Accent4 5 3 9 2" xfId="16146" xr:uid="{00000000-0005-0000-0000-0000DD1B0000}"/>
    <cellStyle name="20% - Accent4 5 3 9 2 2" xfId="29553" xr:uid="{00000000-0005-0000-0000-0000DE1B0000}"/>
    <cellStyle name="20% - Accent4 5 3 9 3" xfId="19146" xr:uid="{00000000-0005-0000-0000-0000DF1B0000}"/>
    <cellStyle name="20% - Accent4 5 4" xfId="1823" xr:uid="{00000000-0005-0000-0000-0000E01B0000}"/>
    <cellStyle name="20% - Accent4 5 4 2" xfId="1824" xr:uid="{00000000-0005-0000-0000-0000E11B0000}"/>
    <cellStyle name="20% - Accent4 5 4 2 2" xfId="10798" xr:uid="{00000000-0005-0000-0000-0000E21B0000}"/>
    <cellStyle name="20% - Accent4 5 4 2 2 2" xfId="24740" xr:uid="{00000000-0005-0000-0000-0000E31B0000}"/>
    <cellStyle name="20% - Accent4 5 4 2 3" xfId="19148" xr:uid="{00000000-0005-0000-0000-0000E41B0000}"/>
    <cellStyle name="20% - Accent4 5 4 3" xfId="1825" xr:uid="{00000000-0005-0000-0000-0000E51B0000}"/>
    <cellStyle name="20% - Accent4 5 4 3 2" xfId="12793" xr:uid="{00000000-0005-0000-0000-0000E61B0000}"/>
    <cellStyle name="20% - Accent4 5 4 3 2 2" xfId="26505" xr:uid="{00000000-0005-0000-0000-0000E71B0000}"/>
    <cellStyle name="20% - Accent4 5 4 3 3" xfId="19149" xr:uid="{00000000-0005-0000-0000-0000E81B0000}"/>
    <cellStyle name="20% - Accent4 5 4 4" xfId="1826" xr:uid="{00000000-0005-0000-0000-0000E91B0000}"/>
    <cellStyle name="20% - Accent4 5 4 4 2" xfId="14917" xr:uid="{00000000-0005-0000-0000-0000EA1B0000}"/>
    <cellStyle name="20% - Accent4 5 4 4 2 2" xfId="28466" xr:uid="{00000000-0005-0000-0000-0000EB1B0000}"/>
    <cellStyle name="20% - Accent4 5 4 4 3" xfId="19150" xr:uid="{00000000-0005-0000-0000-0000EC1B0000}"/>
    <cellStyle name="20% - Accent4 5 4 5" xfId="1827" xr:uid="{00000000-0005-0000-0000-0000ED1B0000}"/>
    <cellStyle name="20% - Accent4 5 4 5 2" xfId="16435" xr:uid="{00000000-0005-0000-0000-0000EE1B0000}"/>
    <cellStyle name="20% - Accent4 5 4 5 2 2" xfId="29842" xr:uid="{00000000-0005-0000-0000-0000EF1B0000}"/>
    <cellStyle name="20% - Accent4 5 4 5 3" xfId="19151" xr:uid="{00000000-0005-0000-0000-0000F01B0000}"/>
    <cellStyle name="20% - Accent4 5 4 6" xfId="9073" xr:uid="{00000000-0005-0000-0000-0000F11B0000}"/>
    <cellStyle name="20% - Accent4 5 4 6 2" xfId="23548" xr:uid="{00000000-0005-0000-0000-0000F21B0000}"/>
    <cellStyle name="20% - Accent4 5 4 7" xfId="19147" xr:uid="{00000000-0005-0000-0000-0000F31B0000}"/>
    <cellStyle name="20% - Accent4 5 5" xfId="1828" xr:uid="{00000000-0005-0000-0000-0000F41B0000}"/>
    <cellStyle name="20% - Accent4 5 5 2" xfId="1829" xr:uid="{00000000-0005-0000-0000-0000F51B0000}"/>
    <cellStyle name="20% - Accent4 5 5 2 2" xfId="14918" xr:uid="{00000000-0005-0000-0000-0000F61B0000}"/>
    <cellStyle name="20% - Accent4 5 5 2 2 2" xfId="28467" xr:uid="{00000000-0005-0000-0000-0000F71B0000}"/>
    <cellStyle name="20% - Accent4 5 5 2 3" xfId="19153" xr:uid="{00000000-0005-0000-0000-0000F81B0000}"/>
    <cellStyle name="20% - Accent4 5 5 3" xfId="10791" xr:uid="{00000000-0005-0000-0000-0000F91B0000}"/>
    <cellStyle name="20% - Accent4 5 5 3 2" xfId="24733" xr:uid="{00000000-0005-0000-0000-0000FA1B0000}"/>
    <cellStyle name="20% - Accent4 5 5 4" xfId="19152" xr:uid="{00000000-0005-0000-0000-0000FB1B0000}"/>
    <cellStyle name="20% - Accent4 5 6" xfId="1830" xr:uid="{00000000-0005-0000-0000-0000FC1B0000}"/>
    <cellStyle name="20% - Accent4 5 6 2" xfId="11786" xr:uid="{00000000-0005-0000-0000-0000FD1B0000}"/>
    <cellStyle name="20% - Accent4 5 6 2 2" xfId="25501" xr:uid="{00000000-0005-0000-0000-0000FE1B0000}"/>
    <cellStyle name="20% - Accent4 5 6 3" xfId="19154" xr:uid="{00000000-0005-0000-0000-0000FF1B0000}"/>
    <cellStyle name="20% - Accent4 5 7" xfId="1831" xr:uid="{00000000-0005-0000-0000-0000001C0000}"/>
    <cellStyle name="20% - Accent4 5 7 2" xfId="12706" xr:uid="{00000000-0005-0000-0000-0000011C0000}"/>
    <cellStyle name="20% - Accent4 5 7 2 2" xfId="26418" xr:uid="{00000000-0005-0000-0000-0000021C0000}"/>
    <cellStyle name="20% - Accent4 5 7 3" xfId="19155" xr:uid="{00000000-0005-0000-0000-0000031C0000}"/>
    <cellStyle name="20% - Accent4 5 8" xfId="1832" xr:uid="{00000000-0005-0000-0000-0000041C0000}"/>
    <cellStyle name="20% - Accent4 5 8 2" xfId="13387" xr:uid="{00000000-0005-0000-0000-0000051C0000}"/>
    <cellStyle name="20% - Accent4 5 8 2 2" xfId="26936" xr:uid="{00000000-0005-0000-0000-0000061C0000}"/>
    <cellStyle name="20% - Accent4 5 8 3" xfId="19156" xr:uid="{00000000-0005-0000-0000-0000071C0000}"/>
    <cellStyle name="20% - Accent4 5 9" xfId="1833" xr:uid="{00000000-0005-0000-0000-0000081C0000}"/>
    <cellStyle name="20% - Accent4 5 9 2" xfId="13968" xr:uid="{00000000-0005-0000-0000-0000091C0000}"/>
    <cellStyle name="20% - Accent4 5 9 2 2" xfId="27517" xr:uid="{00000000-0005-0000-0000-00000A1C0000}"/>
    <cellStyle name="20% - Accent4 5 9 3" xfId="19157" xr:uid="{00000000-0005-0000-0000-00000B1C0000}"/>
    <cellStyle name="20% - Accent4 6" xfId="1834" xr:uid="{00000000-0005-0000-0000-00000C1C0000}"/>
    <cellStyle name="20% - Accent4 6 10" xfId="1835" xr:uid="{00000000-0005-0000-0000-00000D1C0000}"/>
    <cellStyle name="20% - Accent4 6 10 2" xfId="14919" xr:uid="{00000000-0005-0000-0000-00000E1C0000}"/>
    <cellStyle name="20% - Accent4 6 10 2 2" xfId="28468" xr:uid="{00000000-0005-0000-0000-00000F1C0000}"/>
    <cellStyle name="20% - Accent4 6 10 3" xfId="19159" xr:uid="{00000000-0005-0000-0000-0000101C0000}"/>
    <cellStyle name="20% - Accent4 6 11" xfId="1836" xr:uid="{00000000-0005-0000-0000-0000111C0000}"/>
    <cellStyle name="20% - Accent4 6 11 2" xfId="15960" xr:uid="{00000000-0005-0000-0000-0000121C0000}"/>
    <cellStyle name="20% - Accent4 6 11 2 2" xfId="29367" xr:uid="{00000000-0005-0000-0000-0000131C0000}"/>
    <cellStyle name="20% - Accent4 6 11 3" xfId="19160" xr:uid="{00000000-0005-0000-0000-0000141C0000}"/>
    <cellStyle name="20% - Accent4 6 12" xfId="9074" xr:uid="{00000000-0005-0000-0000-0000151C0000}"/>
    <cellStyle name="20% - Accent4 6 12 2" xfId="23549" xr:uid="{00000000-0005-0000-0000-0000161C0000}"/>
    <cellStyle name="20% - Accent4 6 13" xfId="19158" xr:uid="{00000000-0005-0000-0000-0000171C0000}"/>
    <cellStyle name="20% - Accent4 6 2" xfId="1837" xr:uid="{00000000-0005-0000-0000-0000181C0000}"/>
    <cellStyle name="20% - Accent4 6 2 10" xfId="1838" xr:uid="{00000000-0005-0000-0000-0000191C0000}"/>
    <cellStyle name="20% - Accent4 6 2 10 2" xfId="16103" xr:uid="{00000000-0005-0000-0000-00001A1C0000}"/>
    <cellStyle name="20% - Accent4 6 2 10 2 2" xfId="29510" xr:uid="{00000000-0005-0000-0000-00001B1C0000}"/>
    <cellStyle name="20% - Accent4 6 2 10 3" xfId="19162" xr:uid="{00000000-0005-0000-0000-00001C1C0000}"/>
    <cellStyle name="20% - Accent4 6 2 11" xfId="9075" xr:uid="{00000000-0005-0000-0000-00001D1C0000}"/>
    <cellStyle name="20% - Accent4 6 2 11 2" xfId="23550" xr:uid="{00000000-0005-0000-0000-00001E1C0000}"/>
    <cellStyle name="20% - Accent4 6 2 12" xfId="19161" xr:uid="{00000000-0005-0000-0000-00001F1C0000}"/>
    <cellStyle name="20% - Accent4 6 2 2" xfId="1839" xr:uid="{00000000-0005-0000-0000-0000201C0000}"/>
    <cellStyle name="20% - Accent4 6 2 2 10" xfId="9076" xr:uid="{00000000-0005-0000-0000-0000211C0000}"/>
    <cellStyle name="20% - Accent4 6 2 2 10 2" xfId="23551" xr:uid="{00000000-0005-0000-0000-0000221C0000}"/>
    <cellStyle name="20% - Accent4 6 2 2 11" xfId="19163" xr:uid="{00000000-0005-0000-0000-0000231C0000}"/>
    <cellStyle name="20% - Accent4 6 2 2 2" xfId="1840" xr:uid="{00000000-0005-0000-0000-0000241C0000}"/>
    <cellStyle name="20% - Accent4 6 2 2 2 2" xfId="1841" xr:uid="{00000000-0005-0000-0000-0000251C0000}"/>
    <cellStyle name="20% - Accent4 6 2 2 2 2 2" xfId="10802" xr:uid="{00000000-0005-0000-0000-0000261C0000}"/>
    <cellStyle name="20% - Accent4 6 2 2 2 2 2 2" xfId="24744" xr:uid="{00000000-0005-0000-0000-0000271C0000}"/>
    <cellStyle name="20% - Accent4 6 2 2 2 2 3" xfId="19165" xr:uid="{00000000-0005-0000-0000-0000281C0000}"/>
    <cellStyle name="20% - Accent4 6 2 2 2 3" xfId="1842" xr:uid="{00000000-0005-0000-0000-0000291C0000}"/>
    <cellStyle name="20% - Accent4 6 2 2 2 3 2" xfId="12752" xr:uid="{00000000-0005-0000-0000-00002A1C0000}"/>
    <cellStyle name="20% - Accent4 6 2 2 2 3 2 2" xfId="26464" xr:uid="{00000000-0005-0000-0000-00002B1C0000}"/>
    <cellStyle name="20% - Accent4 6 2 2 2 3 3" xfId="19166" xr:uid="{00000000-0005-0000-0000-00002C1C0000}"/>
    <cellStyle name="20% - Accent4 6 2 2 2 4" xfId="1843" xr:uid="{00000000-0005-0000-0000-00002D1C0000}"/>
    <cellStyle name="20% - Accent4 6 2 2 2 4 2" xfId="14922" xr:uid="{00000000-0005-0000-0000-00002E1C0000}"/>
    <cellStyle name="20% - Accent4 6 2 2 2 4 2 2" xfId="28471" xr:uid="{00000000-0005-0000-0000-00002F1C0000}"/>
    <cellStyle name="20% - Accent4 6 2 2 2 4 3" xfId="19167" xr:uid="{00000000-0005-0000-0000-0000301C0000}"/>
    <cellStyle name="20% - Accent4 6 2 2 2 5" xfId="1844" xr:uid="{00000000-0005-0000-0000-0000311C0000}"/>
    <cellStyle name="20% - Accent4 6 2 2 2 5 2" xfId="16973" xr:uid="{00000000-0005-0000-0000-0000321C0000}"/>
    <cellStyle name="20% - Accent4 6 2 2 2 5 2 2" xfId="30380" xr:uid="{00000000-0005-0000-0000-0000331C0000}"/>
    <cellStyle name="20% - Accent4 6 2 2 2 5 3" xfId="19168" xr:uid="{00000000-0005-0000-0000-0000341C0000}"/>
    <cellStyle name="20% - Accent4 6 2 2 2 6" xfId="9077" xr:uid="{00000000-0005-0000-0000-0000351C0000}"/>
    <cellStyle name="20% - Accent4 6 2 2 2 6 2" xfId="23552" xr:uid="{00000000-0005-0000-0000-0000361C0000}"/>
    <cellStyle name="20% - Accent4 6 2 2 2 7" xfId="19164" xr:uid="{00000000-0005-0000-0000-0000371C0000}"/>
    <cellStyle name="20% - Accent4 6 2 2 3" xfId="1845" xr:uid="{00000000-0005-0000-0000-0000381C0000}"/>
    <cellStyle name="20% - Accent4 6 2 2 3 2" xfId="1846" xr:uid="{00000000-0005-0000-0000-0000391C0000}"/>
    <cellStyle name="20% - Accent4 6 2 2 3 2 2" xfId="14923" xr:uid="{00000000-0005-0000-0000-00003A1C0000}"/>
    <cellStyle name="20% - Accent4 6 2 2 3 2 2 2" xfId="28472" xr:uid="{00000000-0005-0000-0000-00003B1C0000}"/>
    <cellStyle name="20% - Accent4 6 2 2 3 2 3" xfId="19170" xr:uid="{00000000-0005-0000-0000-00003C1C0000}"/>
    <cellStyle name="20% - Accent4 6 2 2 3 3" xfId="10801" xr:uid="{00000000-0005-0000-0000-00003D1C0000}"/>
    <cellStyle name="20% - Accent4 6 2 2 3 3 2" xfId="24743" xr:uid="{00000000-0005-0000-0000-00003E1C0000}"/>
    <cellStyle name="20% - Accent4 6 2 2 3 4" xfId="19169" xr:uid="{00000000-0005-0000-0000-00003F1C0000}"/>
    <cellStyle name="20% - Accent4 6 2 2 4" xfId="1847" xr:uid="{00000000-0005-0000-0000-0000401C0000}"/>
    <cellStyle name="20% - Accent4 6 2 2 4 2" xfId="12361" xr:uid="{00000000-0005-0000-0000-0000411C0000}"/>
    <cellStyle name="20% - Accent4 6 2 2 4 2 2" xfId="26073" xr:uid="{00000000-0005-0000-0000-0000421C0000}"/>
    <cellStyle name="20% - Accent4 6 2 2 4 3" xfId="19171" xr:uid="{00000000-0005-0000-0000-0000431C0000}"/>
    <cellStyle name="20% - Accent4 6 2 2 5" xfId="1848" xr:uid="{00000000-0005-0000-0000-0000441C0000}"/>
    <cellStyle name="20% - Accent4 6 2 2 5 2" xfId="12403" xr:uid="{00000000-0005-0000-0000-0000451C0000}"/>
    <cellStyle name="20% - Accent4 6 2 2 5 2 2" xfId="26115" xr:uid="{00000000-0005-0000-0000-0000461C0000}"/>
    <cellStyle name="20% - Accent4 6 2 2 5 3" xfId="19172" xr:uid="{00000000-0005-0000-0000-0000471C0000}"/>
    <cellStyle name="20% - Accent4 6 2 2 6" xfId="1849" xr:uid="{00000000-0005-0000-0000-0000481C0000}"/>
    <cellStyle name="20% - Accent4 6 2 2 6 2" xfId="13925" xr:uid="{00000000-0005-0000-0000-0000491C0000}"/>
    <cellStyle name="20% - Accent4 6 2 2 6 2 2" xfId="27474" xr:uid="{00000000-0005-0000-0000-00004A1C0000}"/>
    <cellStyle name="20% - Accent4 6 2 2 6 3" xfId="19173" xr:uid="{00000000-0005-0000-0000-00004B1C0000}"/>
    <cellStyle name="20% - Accent4 6 2 2 7" xfId="1850" xr:uid="{00000000-0005-0000-0000-00004C1C0000}"/>
    <cellStyle name="20% - Accent4 6 2 2 7 2" xfId="14506" xr:uid="{00000000-0005-0000-0000-00004D1C0000}"/>
    <cellStyle name="20% - Accent4 6 2 2 7 2 2" xfId="28055" xr:uid="{00000000-0005-0000-0000-00004E1C0000}"/>
    <cellStyle name="20% - Accent4 6 2 2 7 3" xfId="19174" xr:uid="{00000000-0005-0000-0000-00004F1C0000}"/>
    <cellStyle name="20% - Accent4 6 2 2 8" xfId="1851" xr:uid="{00000000-0005-0000-0000-0000501C0000}"/>
    <cellStyle name="20% - Accent4 6 2 2 8 2" xfId="14921" xr:uid="{00000000-0005-0000-0000-0000511C0000}"/>
    <cellStyle name="20% - Accent4 6 2 2 8 2 2" xfId="28470" xr:uid="{00000000-0005-0000-0000-0000521C0000}"/>
    <cellStyle name="20% - Accent4 6 2 2 8 3" xfId="19175" xr:uid="{00000000-0005-0000-0000-0000531C0000}"/>
    <cellStyle name="20% - Accent4 6 2 2 9" xfId="1852" xr:uid="{00000000-0005-0000-0000-0000541C0000}"/>
    <cellStyle name="20% - Accent4 6 2 2 9 2" xfId="16392" xr:uid="{00000000-0005-0000-0000-0000551C0000}"/>
    <cellStyle name="20% - Accent4 6 2 2 9 2 2" xfId="29799" xr:uid="{00000000-0005-0000-0000-0000561C0000}"/>
    <cellStyle name="20% - Accent4 6 2 2 9 3" xfId="19176" xr:uid="{00000000-0005-0000-0000-0000571C0000}"/>
    <cellStyle name="20% - Accent4 6 2 3" xfId="1853" xr:uid="{00000000-0005-0000-0000-0000581C0000}"/>
    <cellStyle name="20% - Accent4 6 2 3 2" xfId="1854" xr:uid="{00000000-0005-0000-0000-0000591C0000}"/>
    <cellStyle name="20% - Accent4 6 2 3 2 2" xfId="10803" xr:uid="{00000000-0005-0000-0000-00005A1C0000}"/>
    <cellStyle name="20% - Accent4 6 2 3 2 2 2" xfId="24745" xr:uid="{00000000-0005-0000-0000-00005B1C0000}"/>
    <cellStyle name="20% - Accent4 6 2 3 2 3" xfId="19178" xr:uid="{00000000-0005-0000-0000-00005C1C0000}"/>
    <cellStyle name="20% - Accent4 6 2 3 3" xfId="1855" xr:uid="{00000000-0005-0000-0000-00005D1C0000}"/>
    <cellStyle name="20% - Accent4 6 2 3 3 2" xfId="12621" xr:uid="{00000000-0005-0000-0000-00005E1C0000}"/>
    <cellStyle name="20% - Accent4 6 2 3 3 2 2" xfId="26333" xr:uid="{00000000-0005-0000-0000-00005F1C0000}"/>
    <cellStyle name="20% - Accent4 6 2 3 3 3" xfId="19179" xr:uid="{00000000-0005-0000-0000-0000601C0000}"/>
    <cellStyle name="20% - Accent4 6 2 3 4" xfId="1856" xr:uid="{00000000-0005-0000-0000-0000611C0000}"/>
    <cellStyle name="20% - Accent4 6 2 3 4 2" xfId="14924" xr:uid="{00000000-0005-0000-0000-0000621C0000}"/>
    <cellStyle name="20% - Accent4 6 2 3 4 2 2" xfId="28473" xr:uid="{00000000-0005-0000-0000-0000631C0000}"/>
    <cellStyle name="20% - Accent4 6 2 3 4 3" xfId="19180" xr:uid="{00000000-0005-0000-0000-0000641C0000}"/>
    <cellStyle name="20% - Accent4 6 2 3 5" xfId="1857" xr:uid="{00000000-0005-0000-0000-0000651C0000}"/>
    <cellStyle name="20% - Accent4 6 2 3 5 2" xfId="16684" xr:uid="{00000000-0005-0000-0000-0000661C0000}"/>
    <cellStyle name="20% - Accent4 6 2 3 5 2 2" xfId="30091" xr:uid="{00000000-0005-0000-0000-0000671C0000}"/>
    <cellStyle name="20% - Accent4 6 2 3 5 3" xfId="19181" xr:uid="{00000000-0005-0000-0000-0000681C0000}"/>
    <cellStyle name="20% - Accent4 6 2 3 6" xfId="9078" xr:uid="{00000000-0005-0000-0000-0000691C0000}"/>
    <cellStyle name="20% - Accent4 6 2 3 6 2" xfId="23553" xr:uid="{00000000-0005-0000-0000-00006A1C0000}"/>
    <cellStyle name="20% - Accent4 6 2 3 7" xfId="19177" xr:uid="{00000000-0005-0000-0000-00006B1C0000}"/>
    <cellStyle name="20% - Accent4 6 2 4" xfId="1858" xr:uid="{00000000-0005-0000-0000-00006C1C0000}"/>
    <cellStyle name="20% - Accent4 6 2 4 2" xfId="1859" xr:uid="{00000000-0005-0000-0000-00006D1C0000}"/>
    <cellStyle name="20% - Accent4 6 2 4 2 2" xfId="14925" xr:uid="{00000000-0005-0000-0000-00006E1C0000}"/>
    <cellStyle name="20% - Accent4 6 2 4 2 2 2" xfId="28474" xr:uid="{00000000-0005-0000-0000-00006F1C0000}"/>
    <cellStyle name="20% - Accent4 6 2 4 2 3" xfId="19183" xr:uid="{00000000-0005-0000-0000-0000701C0000}"/>
    <cellStyle name="20% - Accent4 6 2 4 3" xfId="10800" xr:uid="{00000000-0005-0000-0000-0000711C0000}"/>
    <cellStyle name="20% - Accent4 6 2 4 3 2" xfId="24742" xr:uid="{00000000-0005-0000-0000-0000721C0000}"/>
    <cellStyle name="20% - Accent4 6 2 4 4" xfId="19182" xr:uid="{00000000-0005-0000-0000-0000731C0000}"/>
    <cellStyle name="20% - Accent4 6 2 5" xfId="1860" xr:uid="{00000000-0005-0000-0000-0000741C0000}"/>
    <cellStyle name="20% - Accent4 6 2 5 2" xfId="12061" xr:uid="{00000000-0005-0000-0000-0000751C0000}"/>
    <cellStyle name="20% - Accent4 6 2 5 2 2" xfId="25776" xr:uid="{00000000-0005-0000-0000-0000761C0000}"/>
    <cellStyle name="20% - Accent4 6 2 5 3" xfId="19184" xr:uid="{00000000-0005-0000-0000-0000771C0000}"/>
    <cellStyle name="20% - Accent4 6 2 6" xfId="1861" xr:uid="{00000000-0005-0000-0000-0000781C0000}"/>
    <cellStyle name="20% - Accent4 6 2 6 2" xfId="12691" xr:uid="{00000000-0005-0000-0000-0000791C0000}"/>
    <cellStyle name="20% - Accent4 6 2 6 2 2" xfId="26403" xr:uid="{00000000-0005-0000-0000-00007A1C0000}"/>
    <cellStyle name="20% - Accent4 6 2 6 3" xfId="19185" xr:uid="{00000000-0005-0000-0000-00007B1C0000}"/>
    <cellStyle name="20% - Accent4 6 2 7" xfId="1862" xr:uid="{00000000-0005-0000-0000-00007C1C0000}"/>
    <cellStyle name="20% - Accent4 6 2 7 2" xfId="13636" xr:uid="{00000000-0005-0000-0000-00007D1C0000}"/>
    <cellStyle name="20% - Accent4 6 2 7 2 2" xfId="27185" xr:uid="{00000000-0005-0000-0000-00007E1C0000}"/>
    <cellStyle name="20% - Accent4 6 2 7 3" xfId="19186" xr:uid="{00000000-0005-0000-0000-00007F1C0000}"/>
    <cellStyle name="20% - Accent4 6 2 8" xfId="1863" xr:uid="{00000000-0005-0000-0000-0000801C0000}"/>
    <cellStyle name="20% - Accent4 6 2 8 2" xfId="14217" xr:uid="{00000000-0005-0000-0000-0000811C0000}"/>
    <cellStyle name="20% - Accent4 6 2 8 2 2" xfId="27766" xr:uid="{00000000-0005-0000-0000-0000821C0000}"/>
    <cellStyle name="20% - Accent4 6 2 8 3" xfId="19187" xr:uid="{00000000-0005-0000-0000-0000831C0000}"/>
    <cellStyle name="20% - Accent4 6 2 9" xfId="1864" xr:uid="{00000000-0005-0000-0000-0000841C0000}"/>
    <cellStyle name="20% - Accent4 6 2 9 2" xfId="14920" xr:uid="{00000000-0005-0000-0000-0000851C0000}"/>
    <cellStyle name="20% - Accent4 6 2 9 2 2" xfId="28469" xr:uid="{00000000-0005-0000-0000-0000861C0000}"/>
    <cellStyle name="20% - Accent4 6 2 9 3" xfId="19188" xr:uid="{00000000-0005-0000-0000-0000871C0000}"/>
    <cellStyle name="20% - Accent4 6 3" xfId="1865" xr:uid="{00000000-0005-0000-0000-0000881C0000}"/>
    <cellStyle name="20% - Accent4 6 3 10" xfId="9079" xr:uid="{00000000-0005-0000-0000-0000891C0000}"/>
    <cellStyle name="20% - Accent4 6 3 10 2" xfId="23554" xr:uid="{00000000-0005-0000-0000-00008A1C0000}"/>
    <cellStyle name="20% - Accent4 6 3 11" xfId="19189" xr:uid="{00000000-0005-0000-0000-00008B1C0000}"/>
    <cellStyle name="20% - Accent4 6 3 2" xfId="1866" xr:uid="{00000000-0005-0000-0000-00008C1C0000}"/>
    <cellStyle name="20% - Accent4 6 3 2 2" xfId="1867" xr:uid="{00000000-0005-0000-0000-00008D1C0000}"/>
    <cellStyle name="20% - Accent4 6 3 2 2 2" xfId="10805" xr:uid="{00000000-0005-0000-0000-00008E1C0000}"/>
    <cellStyle name="20% - Accent4 6 3 2 2 2 2" xfId="24747" xr:uid="{00000000-0005-0000-0000-00008F1C0000}"/>
    <cellStyle name="20% - Accent4 6 3 2 2 3" xfId="19191" xr:uid="{00000000-0005-0000-0000-0000901C0000}"/>
    <cellStyle name="20% - Accent4 6 3 2 3" xfId="1868" xr:uid="{00000000-0005-0000-0000-0000911C0000}"/>
    <cellStyle name="20% - Accent4 6 3 2 3 2" xfId="12390" xr:uid="{00000000-0005-0000-0000-0000921C0000}"/>
    <cellStyle name="20% - Accent4 6 3 2 3 2 2" xfId="26102" xr:uid="{00000000-0005-0000-0000-0000931C0000}"/>
    <cellStyle name="20% - Accent4 6 3 2 3 3" xfId="19192" xr:uid="{00000000-0005-0000-0000-0000941C0000}"/>
    <cellStyle name="20% - Accent4 6 3 2 4" xfId="1869" xr:uid="{00000000-0005-0000-0000-0000951C0000}"/>
    <cellStyle name="20% - Accent4 6 3 2 4 2" xfId="14927" xr:uid="{00000000-0005-0000-0000-0000961C0000}"/>
    <cellStyle name="20% - Accent4 6 3 2 4 2 2" xfId="28476" xr:uid="{00000000-0005-0000-0000-0000971C0000}"/>
    <cellStyle name="20% - Accent4 6 3 2 4 3" xfId="19193" xr:uid="{00000000-0005-0000-0000-0000981C0000}"/>
    <cellStyle name="20% - Accent4 6 3 2 5" xfId="1870" xr:uid="{00000000-0005-0000-0000-0000991C0000}"/>
    <cellStyle name="20% - Accent4 6 3 2 5 2" xfId="16830" xr:uid="{00000000-0005-0000-0000-00009A1C0000}"/>
    <cellStyle name="20% - Accent4 6 3 2 5 2 2" xfId="30237" xr:uid="{00000000-0005-0000-0000-00009B1C0000}"/>
    <cellStyle name="20% - Accent4 6 3 2 5 3" xfId="19194" xr:uid="{00000000-0005-0000-0000-00009C1C0000}"/>
    <cellStyle name="20% - Accent4 6 3 2 6" xfId="9080" xr:uid="{00000000-0005-0000-0000-00009D1C0000}"/>
    <cellStyle name="20% - Accent4 6 3 2 6 2" xfId="23555" xr:uid="{00000000-0005-0000-0000-00009E1C0000}"/>
    <cellStyle name="20% - Accent4 6 3 2 7" xfId="19190" xr:uid="{00000000-0005-0000-0000-00009F1C0000}"/>
    <cellStyle name="20% - Accent4 6 3 3" xfId="1871" xr:uid="{00000000-0005-0000-0000-0000A01C0000}"/>
    <cellStyle name="20% - Accent4 6 3 3 2" xfId="1872" xr:uid="{00000000-0005-0000-0000-0000A11C0000}"/>
    <cellStyle name="20% - Accent4 6 3 3 2 2" xfId="14928" xr:uid="{00000000-0005-0000-0000-0000A21C0000}"/>
    <cellStyle name="20% - Accent4 6 3 3 2 2 2" xfId="28477" xr:uid="{00000000-0005-0000-0000-0000A31C0000}"/>
    <cellStyle name="20% - Accent4 6 3 3 2 3" xfId="19196" xr:uid="{00000000-0005-0000-0000-0000A41C0000}"/>
    <cellStyle name="20% - Accent4 6 3 3 3" xfId="10804" xr:uid="{00000000-0005-0000-0000-0000A51C0000}"/>
    <cellStyle name="20% - Accent4 6 3 3 3 2" xfId="24746" xr:uid="{00000000-0005-0000-0000-0000A61C0000}"/>
    <cellStyle name="20% - Accent4 6 3 3 4" xfId="19195" xr:uid="{00000000-0005-0000-0000-0000A71C0000}"/>
    <cellStyle name="20% - Accent4 6 3 4" xfId="1873" xr:uid="{00000000-0005-0000-0000-0000A81C0000}"/>
    <cellStyle name="20% - Accent4 6 3 4 2" xfId="12218" xr:uid="{00000000-0005-0000-0000-0000A91C0000}"/>
    <cellStyle name="20% - Accent4 6 3 4 2 2" xfId="25930" xr:uid="{00000000-0005-0000-0000-0000AA1C0000}"/>
    <cellStyle name="20% - Accent4 6 3 4 3" xfId="19197" xr:uid="{00000000-0005-0000-0000-0000AB1C0000}"/>
    <cellStyle name="20% - Accent4 6 3 5" xfId="1874" xr:uid="{00000000-0005-0000-0000-0000AC1C0000}"/>
    <cellStyle name="20% - Accent4 6 3 5 2" xfId="11777" xr:uid="{00000000-0005-0000-0000-0000AD1C0000}"/>
    <cellStyle name="20% - Accent4 6 3 5 2 2" xfId="25492" xr:uid="{00000000-0005-0000-0000-0000AE1C0000}"/>
    <cellStyle name="20% - Accent4 6 3 5 3" xfId="19198" xr:uid="{00000000-0005-0000-0000-0000AF1C0000}"/>
    <cellStyle name="20% - Accent4 6 3 6" xfId="1875" xr:uid="{00000000-0005-0000-0000-0000B01C0000}"/>
    <cellStyle name="20% - Accent4 6 3 6 2" xfId="13782" xr:uid="{00000000-0005-0000-0000-0000B11C0000}"/>
    <cellStyle name="20% - Accent4 6 3 6 2 2" xfId="27331" xr:uid="{00000000-0005-0000-0000-0000B21C0000}"/>
    <cellStyle name="20% - Accent4 6 3 6 3" xfId="19199" xr:uid="{00000000-0005-0000-0000-0000B31C0000}"/>
    <cellStyle name="20% - Accent4 6 3 7" xfId="1876" xr:uid="{00000000-0005-0000-0000-0000B41C0000}"/>
    <cellStyle name="20% - Accent4 6 3 7 2" xfId="14363" xr:uid="{00000000-0005-0000-0000-0000B51C0000}"/>
    <cellStyle name="20% - Accent4 6 3 7 2 2" xfId="27912" xr:uid="{00000000-0005-0000-0000-0000B61C0000}"/>
    <cellStyle name="20% - Accent4 6 3 7 3" xfId="19200" xr:uid="{00000000-0005-0000-0000-0000B71C0000}"/>
    <cellStyle name="20% - Accent4 6 3 8" xfId="1877" xr:uid="{00000000-0005-0000-0000-0000B81C0000}"/>
    <cellStyle name="20% - Accent4 6 3 8 2" xfId="14926" xr:uid="{00000000-0005-0000-0000-0000B91C0000}"/>
    <cellStyle name="20% - Accent4 6 3 8 2 2" xfId="28475" xr:uid="{00000000-0005-0000-0000-0000BA1C0000}"/>
    <cellStyle name="20% - Accent4 6 3 8 3" xfId="19201" xr:uid="{00000000-0005-0000-0000-0000BB1C0000}"/>
    <cellStyle name="20% - Accent4 6 3 9" xfId="1878" xr:uid="{00000000-0005-0000-0000-0000BC1C0000}"/>
    <cellStyle name="20% - Accent4 6 3 9 2" xfId="16249" xr:uid="{00000000-0005-0000-0000-0000BD1C0000}"/>
    <cellStyle name="20% - Accent4 6 3 9 2 2" xfId="29656" xr:uid="{00000000-0005-0000-0000-0000BE1C0000}"/>
    <cellStyle name="20% - Accent4 6 3 9 3" xfId="19202" xr:uid="{00000000-0005-0000-0000-0000BF1C0000}"/>
    <cellStyle name="20% - Accent4 6 4" xfId="1879" xr:uid="{00000000-0005-0000-0000-0000C01C0000}"/>
    <cellStyle name="20% - Accent4 6 4 2" xfId="1880" xr:uid="{00000000-0005-0000-0000-0000C11C0000}"/>
    <cellStyle name="20% - Accent4 6 4 2 2" xfId="10806" xr:uid="{00000000-0005-0000-0000-0000C21C0000}"/>
    <cellStyle name="20% - Accent4 6 4 2 2 2" xfId="24748" xr:uid="{00000000-0005-0000-0000-0000C31C0000}"/>
    <cellStyle name="20% - Accent4 6 4 2 3" xfId="19204" xr:uid="{00000000-0005-0000-0000-0000C41C0000}"/>
    <cellStyle name="20% - Accent4 6 4 3" xfId="1881" xr:uid="{00000000-0005-0000-0000-0000C51C0000}"/>
    <cellStyle name="20% - Accent4 6 4 3 2" xfId="12095" xr:uid="{00000000-0005-0000-0000-0000C61C0000}"/>
    <cellStyle name="20% - Accent4 6 4 3 2 2" xfId="25807" xr:uid="{00000000-0005-0000-0000-0000C71C0000}"/>
    <cellStyle name="20% - Accent4 6 4 3 3" xfId="19205" xr:uid="{00000000-0005-0000-0000-0000C81C0000}"/>
    <cellStyle name="20% - Accent4 6 4 4" xfId="1882" xr:uid="{00000000-0005-0000-0000-0000C91C0000}"/>
    <cellStyle name="20% - Accent4 6 4 4 2" xfId="14929" xr:uid="{00000000-0005-0000-0000-0000CA1C0000}"/>
    <cellStyle name="20% - Accent4 6 4 4 2 2" xfId="28478" xr:uid="{00000000-0005-0000-0000-0000CB1C0000}"/>
    <cellStyle name="20% - Accent4 6 4 4 3" xfId="19206" xr:uid="{00000000-0005-0000-0000-0000CC1C0000}"/>
    <cellStyle name="20% - Accent4 6 4 5" xfId="1883" xr:uid="{00000000-0005-0000-0000-0000CD1C0000}"/>
    <cellStyle name="20% - Accent4 6 4 5 2" xfId="16541" xr:uid="{00000000-0005-0000-0000-0000CE1C0000}"/>
    <cellStyle name="20% - Accent4 6 4 5 2 2" xfId="29948" xr:uid="{00000000-0005-0000-0000-0000CF1C0000}"/>
    <cellStyle name="20% - Accent4 6 4 5 3" xfId="19207" xr:uid="{00000000-0005-0000-0000-0000D01C0000}"/>
    <cellStyle name="20% - Accent4 6 4 6" xfId="9081" xr:uid="{00000000-0005-0000-0000-0000D11C0000}"/>
    <cellStyle name="20% - Accent4 6 4 6 2" xfId="23556" xr:uid="{00000000-0005-0000-0000-0000D21C0000}"/>
    <cellStyle name="20% - Accent4 6 4 7" xfId="19203" xr:uid="{00000000-0005-0000-0000-0000D31C0000}"/>
    <cellStyle name="20% - Accent4 6 5" xfId="1884" xr:uid="{00000000-0005-0000-0000-0000D41C0000}"/>
    <cellStyle name="20% - Accent4 6 5 2" xfId="1885" xr:uid="{00000000-0005-0000-0000-0000D51C0000}"/>
    <cellStyle name="20% - Accent4 6 5 2 2" xfId="14930" xr:uid="{00000000-0005-0000-0000-0000D61C0000}"/>
    <cellStyle name="20% - Accent4 6 5 2 2 2" xfId="28479" xr:uid="{00000000-0005-0000-0000-0000D71C0000}"/>
    <cellStyle name="20% - Accent4 6 5 2 3" xfId="19209" xr:uid="{00000000-0005-0000-0000-0000D81C0000}"/>
    <cellStyle name="20% - Accent4 6 5 3" xfId="10799" xr:uid="{00000000-0005-0000-0000-0000D91C0000}"/>
    <cellStyle name="20% - Accent4 6 5 3 2" xfId="24741" xr:uid="{00000000-0005-0000-0000-0000DA1C0000}"/>
    <cellStyle name="20% - Accent4 6 5 4" xfId="19208" xr:uid="{00000000-0005-0000-0000-0000DB1C0000}"/>
    <cellStyle name="20% - Accent4 6 6" xfId="1886" xr:uid="{00000000-0005-0000-0000-0000DC1C0000}"/>
    <cellStyle name="20% - Accent4 6 6 2" xfId="11916" xr:uid="{00000000-0005-0000-0000-0000DD1C0000}"/>
    <cellStyle name="20% - Accent4 6 6 2 2" xfId="25631" xr:uid="{00000000-0005-0000-0000-0000DE1C0000}"/>
    <cellStyle name="20% - Accent4 6 6 3" xfId="19210" xr:uid="{00000000-0005-0000-0000-0000DF1C0000}"/>
    <cellStyle name="20% - Accent4 6 7" xfId="1887" xr:uid="{00000000-0005-0000-0000-0000E01C0000}"/>
    <cellStyle name="20% - Accent4 6 7 2" xfId="12396" xr:uid="{00000000-0005-0000-0000-0000E11C0000}"/>
    <cellStyle name="20% - Accent4 6 7 2 2" xfId="26108" xr:uid="{00000000-0005-0000-0000-0000E21C0000}"/>
    <cellStyle name="20% - Accent4 6 7 3" xfId="19211" xr:uid="{00000000-0005-0000-0000-0000E31C0000}"/>
    <cellStyle name="20% - Accent4 6 8" xfId="1888" xr:uid="{00000000-0005-0000-0000-0000E41C0000}"/>
    <cellStyle name="20% - Accent4 6 8 2" xfId="13493" xr:uid="{00000000-0005-0000-0000-0000E51C0000}"/>
    <cellStyle name="20% - Accent4 6 8 2 2" xfId="27042" xr:uid="{00000000-0005-0000-0000-0000E61C0000}"/>
    <cellStyle name="20% - Accent4 6 8 3" xfId="19212" xr:uid="{00000000-0005-0000-0000-0000E71C0000}"/>
    <cellStyle name="20% - Accent4 6 9" xfId="1889" xr:uid="{00000000-0005-0000-0000-0000E81C0000}"/>
    <cellStyle name="20% - Accent4 6 9 2" xfId="14074" xr:uid="{00000000-0005-0000-0000-0000E91C0000}"/>
    <cellStyle name="20% - Accent4 6 9 2 2" xfId="27623" xr:uid="{00000000-0005-0000-0000-0000EA1C0000}"/>
    <cellStyle name="20% - Accent4 6 9 3" xfId="19213" xr:uid="{00000000-0005-0000-0000-0000EB1C0000}"/>
    <cellStyle name="20% - Accent4 7" xfId="1890" xr:uid="{00000000-0005-0000-0000-0000EC1C0000}"/>
    <cellStyle name="20% - Accent4 7 10" xfId="1891" xr:uid="{00000000-0005-0000-0000-0000ED1C0000}"/>
    <cellStyle name="20% - Accent4 7 10 2" xfId="15983" xr:uid="{00000000-0005-0000-0000-0000EE1C0000}"/>
    <cellStyle name="20% - Accent4 7 10 2 2" xfId="29390" xr:uid="{00000000-0005-0000-0000-0000EF1C0000}"/>
    <cellStyle name="20% - Accent4 7 10 3" xfId="19215" xr:uid="{00000000-0005-0000-0000-0000F01C0000}"/>
    <cellStyle name="20% - Accent4 7 11" xfId="9082" xr:uid="{00000000-0005-0000-0000-0000F11C0000}"/>
    <cellStyle name="20% - Accent4 7 11 2" xfId="23557" xr:uid="{00000000-0005-0000-0000-0000F21C0000}"/>
    <cellStyle name="20% - Accent4 7 12" xfId="19214" xr:uid="{00000000-0005-0000-0000-0000F31C0000}"/>
    <cellStyle name="20% - Accent4 7 2" xfId="1892" xr:uid="{00000000-0005-0000-0000-0000F41C0000}"/>
    <cellStyle name="20% - Accent4 7 2 10" xfId="9083" xr:uid="{00000000-0005-0000-0000-0000F51C0000}"/>
    <cellStyle name="20% - Accent4 7 2 10 2" xfId="23558" xr:uid="{00000000-0005-0000-0000-0000F61C0000}"/>
    <cellStyle name="20% - Accent4 7 2 11" xfId="19216" xr:uid="{00000000-0005-0000-0000-0000F71C0000}"/>
    <cellStyle name="20% - Accent4 7 2 2" xfId="1893" xr:uid="{00000000-0005-0000-0000-0000F81C0000}"/>
    <cellStyle name="20% - Accent4 7 2 2 2" xfId="1894" xr:uid="{00000000-0005-0000-0000-0000F91C0000}"/>
    <cellStyle name="20% - Accent4 7 2 2 2 2" xfId="10809" xr:uid="{00000000-0005-0000-0000-0000FA1C0000}"/>
    <cellStyle name="20% - Accent4 7 2 2 2 2 2" xfId="24751" xr:uid="{00000000-0005-0000-0000-0000FB1C0000}"/>
    <cellStyle name="20% - Accent4 7 2 2 2 3" xfId="19218" xr:uid="{00000000-0005-0000-0000-0000FC1C0000}"/>
    <cellStyle name="20% - Accent4 7 2 2 3" xfId="1895" xr:uid="{00000000-0005-0000-0000-0000FD1C0000}"/>
    <cellStyle name="20% - Accent4 7 2 2 3 2" xfId="12400" xr:uid="{00000000-0005-0000-0000-0000FE1C0000}"/>
    <cellStyle name="20% - Accent4 7 2 2 3 2 2" xfId="26112" xr:uid="{00000000-0005-0000-0000-0000FF1C0000}"/>
    <cellStyle name="20% - Accent4 7 2 2 3 3" xfId="19219" xr:uid="{00000000-0005-0000-0000-0000001D0000}"/>
    <cellStyle name="20% - Accent4 7 2 2 4" xfId="1896" xr:uid="{00000000-0005-0000-0000-0000011D0000}"/>
    <cellStyle name="20% - Accent4 7 2 2 4 2" xfId="14933" xr:uid="{00000000-0005-0000-0000-0000021D0000}"/>
    <cellStyle name="20% - Accent4 7 2 2 4 2 2" xfId="28482" xr:uid="{00000000-0005-0000-0000-0000031D0000}"/>
    <cellStyle name="20% - Accent4 7 2 2 4 3" xfId="19220" xr:uid="{00000000-0005-0000-0000-0000041D0000}"/>
    <cellStyle name="20% - Accent4 7 2 2 5" xfId="1897" xr:uid="{00000000-0005-0000-0000-0000051D0000}"/>
    <cellStyle name="20% - Accent4 7 2 2 5 2" xfId="16853" xr:uid="{00000000-0005-0000-0000-0000061D0000}"/>
    <cellStyle name="20% - Accent4 7 2 2 5 2 2" xfId="30260" xr:uid="{00000000-0005-0000-0000-0000071D0000}"/>
    <cellStyle name="20% - Accent4 7 2 2 5 3" xfId="19221" xr:uid="{00000000-0005-0000-0000-0000081D0000}"/>
    <cellStyle name="20% - Accent4 7 2 2 6" xfId="9084" xr:uid="{00000000-0005-0000-0000-0000091D0000}"/>
    <cellStyle name="20% - Accent4 7 2 2 6 2" xfId="23559" xr:uid="{00000000-0005-0000-0000-00000A1D0000}"/>
    <cellStyle name="20% - Accent4 7 2 2 7" xfId="19217" xr:uid="{00000000-0005-0000-0000-00000B1D0000}"/>
    <cellStyle name="20% - Accent4 7 2 3" xfId="1898" xr:uid="{00000000-0005-0000-0000-00000C1D0000}"/>
    <cellStyle name="20% - Accent4 7 2 3 2" xfId="1899" xr:uid="{00000000-0005-0000-0000-00000D1D0000}"/>
    <cellStyle name="20% - Accent4 7 2 3 2 2" xfId="14934" xr:uid="{00000000-0005-0000-0000-00000E1D0000}"/>
    <cellStyle name="20% - Accent4 7 2 3 2 2 2" xfId="28483" xr:uid="{00000000-0005-0000-0000-00000F1D0000}"/>
    <cellStyle name="20% - Accent4 7 2 3 2 3" xfId="19223" xr:uid="{00000000-0005-0000-0000-0000101D0000}"/>
    <cellStyle name="20% - Accent4 7 2 3 3" xfId="10808" xr:uid="{00000000-0005-0000-0000-0000111D0000}"/>
    <cellStyle name="20% - Accent4 7 2 3 3 2" xfId="24750" xr:uid="{00000000-0005-0000-0000-0000121D0000}"/>
    <cellStyle name="20% - Accent4 7 2 3 4" xfId="19222" xr:uid="{00000000-0005-0000-0000-0000131D0000}"/>
    <cellStyle name="20% - Accent4 7 2 4" xfId="1900" xr:uid="{00000000-0005-0000-0000-0000141D0000}"/>
    <cellStyle name="20% - Accent4 7 2 4 2" xfId="12241" xr:uid="{00000000-0005-0000-0000-0000151D0000}"/>
    <cellStyle name="20% - Accent4 7 2 4 2 2" xfId="25953" xr:uid="{00000000-0005-0000-0000-0000161D0000}"/>
    <cellStyle name="20% - Accent4 7 2 4 3" xfId="19224" xr:uid="{00000000-0005-0000-0000-0000171D0000}"/>
    <cellStyle name="20% - Accent4 7 2 5" xfId="1901" xr:uid="{00000000-0005-0000-0000-0000181D0000}"/>
    <cellStyle name="20% - Accent4 7 2 5 2" xfId="12722" xr:uid="{00000000-0005-0000-0000-0000191D0000}"/>
    <cellStyle name="20% - Accent4 7 2 5 2 2" xfId="26434" xr:uid="{00000000-0005-0000-0000-00001A1D0000}"/>
    <cellStyle name="20% - Accent4 7 2 5 3" xfId="19225" xr:uid="{00000000-0005-0000-0000-00001B1D0000}"/>
    <cellStyle name="20% - Accent4 7 2 6" xfId="1902" xr:uid="{00000000-0005-0000-0000-00001C1D0000}"/>
    <cellStyle name="20% - Accent4 7 2 6 2" xfId="13805" xr:uid="{00000000-0005-0000-0000-00001D1D0000}"/>
    <cellStyle name="20% - Accent4 7 2 6 2 2" xfId="27354" xr:uid="{00000000-0005-0000-0000-00001E1D0000}"/>
    <cellStyle name="20% - Accent4 7 2 6 3" xfId="19226" xr:uid="{00000000-0005-0000-0000-00001F1D0000}"/>
    <cellStyle name="20% - Accent4 7 2 7" xfId="1903" xr:uid="{00000000-0005-0000-0000-0000201D0000}"/>
    <cellStyle name="20% - Accent4 7 2 7 2" xfId="14386" xr:uid="{00000000-0005-0000-0000-0000211D0000}"/>
    <cellStyle name="20% - Accent4 7 2 7 2 2" xfId="27935" xr:uid="{00000000-0005-0000-0000-0000221D0000}"/>
    <cellStyle name="20% - Accent4 7 2 7 3" xfId="19227" xr:uid="{00000000-0005-0000-0000-0000231D0000}"/>
    <cellStyle name="20% - Accent4 7 2 8" xfId="1904" xr:uid="{00000000-0005-0000-0000-0000241D0000}"/>
    <cellStyle name="20% - Accent4 7 2 8 2" xfId="14932" xr:uid="{00000000-0005-0000-0000-0000251D0000}"/>
    <cellStyle name="20% - Accent4 7 2 8 2 2" xfId="28481" xr:uid="{00000000-0005-0000-0000-0000261D0000}"/>
    <cellStyle name="20% - Accent4 7 2 8 3" xfId="19228" xr:uid="{00000000-0005-0000-0000-0000271D0000}"/>
    <cellStyle name="20% - Accent4 7 2 9" xfId="1905" xr:uid="{00000000-0005-0000-0000-0000281D0000}"/>
    <cellStyle name="20% - Accent4 7 2 9 2" xfId="16272" xr:uid="{00000000-0005-0000-0000-0000291D0000}"/>
    <cellStyle name="20% - Accent4 7 2 9 2 2" xfId="29679" xr:uid="{00000000-0005-0000-0000-00002A1D0000}"/>
    <cellStyle name="20% - Accent4 7 2 9 3" xfId="19229" xr:uid="{00000000-0005-0000-0000-00002B1D0000}"/>
    <cellStyle name="20% - Accent4 7 3" xfId="1906" xr:uid="{00000000-0005-0000-0000-00002C1D0000}"/>
    <cellStyle name="20% - Accent4 7 3 2" xfId="1907" xr:uid="{00000000-0005-0000-0000-00002D1D0000}"/>
    <cellStyle name="20% - Accent4 7 3 2 2" xfId="10810" xr:uid="{00000000-0005-0000-0000-00002E1D0000}"/>
    <cellStyle name="20% - Accent4 7 3 2 2 2" xfId="24752" xr:uid="{00000000-0005-0000-0000-00002F1D0000}"/>
    <cellStyle name="20% - Accent4 7 3 2 3" xfId="19231" xr:uid="{00000000-0005-0000-0000-0000301D0000}"/>
    <cellStyle name="20% - Accent4 7 3 3" xfId="1908" xr:uid="{00000000-0005-0000-0000-0000311D0000}"/>
    <cellStyle name="20% - Accent4 7 3 3 2" xfId="12589" xr:uid="{00000000-0005-0000-0000-0000321D0000}"/>
    <cellStyle name="20% - Accent4 7 3 3 2 2" xfId="26301" xr:uid="{00000000-0005-0000-0000-0000331D0000}"/>
    <cellStyle name="20% - Accent4 7 3 3 3" xfId="19232" xr:uid="{00000000-0005-0000-0000-0000341D0000}"/>
    <cellStyle name="20% - Accent4 7 3 4" xfId="1909" xr:uid="{00000000-0005-0000-0000-0000351D0000}"/>
    <cellStyle name="20% - Accent4 7 3 4 2" xfId="14935" xr:uid="{00000000-0005-0000-0000-0000361D0000}"/>
    <cellStyle name="20% - Accent4 7 3 4 2 2" xfId="28484" xr:uid="{00000000-0005-0000-0000-0000371D0000}"/>
    <cellStyle name="20% - Accent4 7 3 4 3" xfId="19233" xr:uid="{00000000-0005-0000-0000-0000381D0000}"/>
    <cellStyle name="20% - Accent4 7 3 5" xfId="1910" xr:uid="{00000000-0005-0000-0000-0000391D0000}"/>
    <cellStyle name="20% - Accent4 7 3 5 2" xfId="16564" xr:uid="{00000000-0005-0000-0000-00003A1D0000}"/>
    <cellStyle name="20% - Accent4 7 3 5 2 2" xfId="29971" xr:uid="{00000000-0005-0000-0000-00003B1D0000}"/>
    <cellStyle name="20% - Accent4 7 3 5 3" xfId="19234" xr:uid="{00000000-0005-0000-0000-00003C1D0000}"/>
    <cellStyle name="20% - Accent4 7 3 6" xfId="9085" xr:uid="{00000000-0005-0000-0000-00003D1D0000}"/>
    <cellStyle name="20% - Accent4 7 3 6 2" xfId="23560" xr:uid="{00000000-0005-0000-0000-00003E1D0000}"/>
    <cellStyle name="20% - Accent4 7 3 7" xfId="19230" xr:uid="{00000000-0005-0000-0000-00003F1D0000}"/>
    <cellStyle name="20% - Accent4 7 4" xfId="1911" xr:uid="{00000000-0005-0000-0000-0000401D0000}"/>
    <cellStyle name="20% - Accent4 7 4 2" xfId="1912" xr:uid="{00000000-0005-0000-0000-0000411D0000}"/>
    <cellStyle name="20% - Accent4 7 4 2 2" xfId="14936" xr:uid="{00000000-0005-0000-0000-0000421D0000}"/>
    <cellStyle name="20% - Accent4 7 4 2 2 2" xfId="28485" xr:uid="{00000000-0005-0000-0000-0000431D0000}"/>
    <cellStyle name="20% - Accent4 7 4 2 3" xfId="19236" xr:uid="{00000000-0005-0000-0000-0000441D0000}"/>
    <cellStyle name="20% - Accent4 7 4 3" xfId="10807" xr:uid="{00000000-0005-0000-0000-0000451D0000}"/>
    <cellStyle name="20% - Accent4 7 4 3 2" xfId="24749" xr:uid="{00000000-0005-0000-0000-0000461D0000}"/>
    <cellStyle name="20% - Accent4 7 4 4" xfId="19235" xr:uid="{00000000-0005-0000-0000-0000471D0000}"/>
    <cellStyle name="20% - Accent4 7 5" xfId="1913" xr:uid="{00000000-0005-0000-0000-0000481D0000}"/>
    <cellStyle name="20% - Accent4 7 5 2" xfId="11939" xr:uid="{00000000-0005-0000-0000-0000491D0000}"/>
    <cellStyle name="20% - Accent4 7 5 2 2" xfId="25654" xr:uid="{00000000-0005-0000-0000-00004A1D0000}"/>
    <cellStyle name="20% - Accent4 7 5 3" xfId="19237" xr:uid="{00000000-0005-0000-0000-00004B1D0000}"/>
    <cellStyle name="20% - Accent4 7 6" xfId="1914" xr:uid="{00000000-0005-0000-0000-00004C1D0000}"/>
    <cellStyle name="20% - Accent4 7 6 2" xfId="12750" xr:uid="{00000000-0005-0000-0000-00004D1D0000}"/>
    <cellStyle name="20% - Accent4 7 6 2 2" xfId="26462" xr:uid="{00000000-0005-0000-0000-00004E1D0000}"/>
    <cellStyle name="20% - Accent4 7 6 3" xfId="19238" xr:uid="{00000000-0005-0000-0000-00004F1D0000}"/>
    <cellStyle name="20% - Accent4 7 7" xfId="1915" xr:uid="{00000000-0005-0000-0000-0000501D0000}"/>
    <cellStyle name="20% - Accent4 7 7 2" xfId="13516" xr:uid="{00000000-0005-0000-0000-0000511D0000}"/>
    <cellStyle name="20% - Accent4 7 7 2 2" xfId="27065" xr:uid="{00000000-0005-0000-0000-0000521D0000}"/>
    <cellStyle name="20% - Accent4 7 7 3" xfId="19239" xr:uid="{00000000-0005-0000-0000-0000531D0000}"/>
    <cellStyle name="20% - Accent4 7 8" xfId="1916" xr:uid="{00000000-0005-0000-0000-0000541D0000}"/>
    <cellStyle name="20% - Accent4 7 8 2" xfId="14097" xr:uid="{00000000-0005-0000-0000-0000551D0000}"/>
    <cellStyle name="20% - Accent4 7 8 2 2" xfId="27646" xr:uid="{00000000-0005-0000-0000-0000561D0000}"/>
    <cellStyle name="20% - Accent4 7 8 3" xfId="19240" xr:uid="{00000000-0005-0000-0000-0000571D0000}"/>
    <cellStyle name="20% - Accent4 7 9" xfId="1917" xr:uid="{00000000-0005-0000-0000-0000581D0000}"/>
    <cellStyle name="20% - Accent4 7 9 2" xfId="14931" xr:uid="{00000000-0005-0000-0000-0000591D0000}"/>
    <cellStyle name="20% - Accent4 7 9 2 2" xfId="28480" xr:uid="{00000000-0005-0000-0000-00005A1D0000}"/>
    <cellStyle name="20% - Accent4 7 9 3" xfId="19241" xr:uid="{00000000-0005-0000-0000-00005B1D0000}"/>
    <cellStyle name="20% - Accent4 8" xfId="1918" xr:uid="{00000000-0005-0000-0000-00005C1D0000}"/>
    <cellStyle name="20% - Accent4 8 10" xfId="9086" xr:uid="{00000000-0005-0000-0000-00005D1D0000}"/>
    <cellStyle name="20% - Accent4 8 10 2" xfId="23561" xr:uid="{00000000-0005-0000-0000-00005E1D0000}"/>
    <cellStyle name="20% - Accent4 8 11" xfId="19242" xr:uid="{00000000-0005-0000-0000-00005F1D0000}"/>
    <cellStyle name="20% - Accent4 8 2" xfId="1919" xr:uid="{00000000-0005-0000-0000-0000601D0000}"/>
    <cellStyle name="20% - Accent4 8 2 2" xfId="1920" xr:uid="{00000000-0005-0000-0000-0000611D0000}"/>
    <cellStyle name="20% - Accent4 8 2 2 2" xfId="10812" xr:uid="{00000000-0005-0000-0000-0000621D0000}"/>
    <cellStyle name="20% - Accent4 8 2 2 2 2" xfId="24754" xr:uid="{00000000-0005-0000-0000-0000631D0000}"/>
    <cellStyle name="20% - Accent4 8 2 2 3" xfId="19244" xr:uid="{00000000-0005-0000-0000-0000641D0000}"/>
    <cellStyle name="20% - Accent4 8 2 3" xfId="1921" xr:uid="{00000000-0005-0000-0000-0000651D0000}"/>
    <cellStyle name="20% - Accent4 8 2 3 2" xfId="12713" xr:uid="{00000000-0005-0000-0000-0000661D0000}"/>
    <cellStyle name="20% - Accent4 8 2 3 2 2" xfId="26425" xr:uid="{00000000-0005-0000-0000-0000671D0000}"/>
    <cellStyle name="20% - Accent4 8 2 3 3" xfId="19245" xr:uid="{00000000-0005-0000-0000-0000681D0000}"/>
    <cellStyle name="20% - Accent4 8 2 4" xfId="1922" xr:uid="{00000000-0005-0000-0000-0000691D0000}"/>
    <cellStyle name="20% - Accent4 8 2 4 2" xfId="14938" xr:uid="{00000000-0005-0000-0000-00006A1D0000}"/>
    <cellStyle name="20% - Accent4 8 2 4 2 2" xfId="28487" xr:uid="{00000000-0005-0000-0000-00006B1D0000}"/>
    <cellStyle name="20% - Accent4 8 2 4 3" xfId="19246" xr:uid="{00000000-0005-0000-0000-00006C1D0000}"/>
    <cellStyle name="20% - Accent4 8 2 5" xfId="1923" xr:uid="{00000000-0005-0000-0000-00006D1D0000}"/>
    <cellStyle name="20% - Accent4 8 2 5 2" xfId="16704" xr:uid="{00000000-0005-0000-0000-00006E1D0000}"/>
    <cellStyle name="20% - Accent4 8 2 5 2 2" xfId="30111" xr:uid="{00000000-0005-0000-0000-00006F1D0000}"/>
    <cellStyle name="20% - Accent4 8 2 5 3" xfId="19247" xr:uid="{00000000-0005-0000-0000-0000701D0000}"/>
    <cellStyle name="20% - Accent4 8 2 6" xfId="9087" xr:uid="{00000000-0005-0000-0000-0000711D0000}"/>
    <cellStyle name="20% - Accent4 8 2 6 2" xfId="23562" xr:uid="{00000000-0005-0000-0000-0000721D0000}"/>
    <cellStyle name="20% - Accent4 8 2 7" xfId="19243" xr:uid="{00000000-0005-0000-0000-0000731D0000}"/>
    <cellStyle name="20% - Accent4 8 3" xfId="1924" xr:uid="{00000000-0005-0000-0000-0000741D0000}"/>
    <cellStyle name="20% - Accent4 8 3 2" xfId="1925" xr:uid="{00000000-0005-0000-0000-0000751D0000}"/>
    <cellStyle name="20% - Accent4 8 3 2 2" xfId="14939" xr:uid="{00000000-0005-0000-0000-0000761D0000}"/>
    <cellStyle name="20% - Accent4 8 3 2 2 2" xfId="28488" xr:uid="{00000000-0005-0000-0000-0000771D0000}"/>
    <cellStyle name="20% - Accent4 8 3 2 3" xfId="19249" xr:uid="{00000000-0005-0000-0000-0000781D0000}"/>
    <cellStyle name="20% - Accent4 8 3 3" xfId="10811" xr:uid="{00000000-0005-0000-0000-0000791D0000}"/>
    <cellStyle name="20% - Accent4 8 3 3 2" xfId="24753" xr:uid="{00000000-0005-0000-0000-00007A1D0000}"/>
    <cellStyle name="20% - Accent4 8 3 4" xfId="19248" xr:uid="{00000000-0005-0000-0000-00007B1D0000}"/>
    <cellStyle name="20% - Accent4 8 4" xfId="1926" xr:uid="{00000000-0005-0000-0000-00007C1D0000}"/>
    <cellStyle name="20% - Accent4 8 4 2" xfId="12082" xr:uid="{00000000-0005-0000-0000-00007D1D0000}"/>
    <cellStyle name="20% - Accent4 8 4 2 2" xfId="25796" xr:uid="{00000000-0005-0000-0000-00007E1D0000}"/>
    <cellStyle name="20% - Accent4 8 4 3" xfId="19250" xr:uid="{00000000-0005-0000-0000-00007F1D0000}"/>
    <cellStyle name="20% - Accent4 8 5" xfId="1927" xr:uid="{00000000-0005-0000-0000-0000801D0000}"/>
    <cellStyle name="20% - Accent4 8 5 2" xfId="12489" xr:uid="{00000000-0005-0000-0000-0000811D0000}"/>
    <cellStyle name="20% - Accent4 8 5 2 2" xfId="26201" xr:uid="{00000000-0005-0000-0000-0000821D0000}"/>
    <cellStyle name="20% - Accent4 8 5 3" xfId="19251" xr:uid="{00000000-0005-0000-0000-0000831D0000}"/>
    <cellStyle name="20% - Accent4 8 6" xfId="1928" xr:uid="{00000000-0005-0000-0000-0000841D0000}"/>
    <cellStyle name="20% - Accent4 8 6 2" xfId="13656" xr:uid="{00000000-0005-0000-0000-0000851D0000}"/>
    <cellStyle name="20% - Accent4 8 6 2 2" xfId="27205" xr:uid="{00000000-0005-0000-0000-0000861D0000}"/>
    <cellStyle name="20% - Accent4 8 6 3" xfId="19252" xr:uid="{00000000-0005-0000-0000-0000871D0000}"/>
    <cellStyle name="20% - Accent4 8 7" xfId="1929" xr:uid="{00000000-0005-0000-0000-0000881D0000}"/>
    <cellStyle name="20% - Accent4 8 7 2" xfId="14237" xr:uid="{00000000-0005-0000-0000-0000891D0000}"/>
    <cellStyle name="20% - Accent4 8 7 2 2" xfId="27786" xr:uid="{00000000-0005-0000-0000-00008A1D0000}"/>
    <cellStyle name="20% - Accent4 8 7 3" xfId="19253" xr:uid="{00000000-0005-0000-0000-00008B1D0000}"/>
    <cellStyle name="20% - Accent4 8 8" xfId="1930" xr:uid="{00000000-0005-0000-0000-00008C1D0000}"/>
    <cellStyle name="20% - Accent4 8 8 2" xfId="14937" xr:uid="{00000000-0005-0000-0000-00008D1D0000}"/>
    <cellStyle name="20% - Accent4 8 8 2 2" xfId="28486" xr:uid="{00000000-0005-0000-0000-00008E1D0000}"/>
    <cellStyle name="20% - Accent4 8 8 3" xfId="19254" xr:uid="{00000000-0005-0000-0000-00008F1D0000}"/>
    <cellStyle name="20% - Accent4 8 9" xfId="1931" xr:uid="{00000000-0005-0000-0000-0000901D0000}"/>
    <cellStyle name="20% - Accent4 8 9 2" xfId="16123" xr:uid="{00000000-0005-0000-0000-0000911D0000}"/>
    <cellStyle name="20% - Accent4 8 9 2 2" xfId="29530" xr:uid="{00000000-0005-0000-0000-0000921D0000}"/>
    <cellStyle name="20% - Accent4 8 9 3" xfId="19255" xr:uid="{00000000-0005-0000-0000-0000931D0000}"/>
    <cellStyle name="20% - Accent4 9" xfId="1932" xr:uid="{00000000-0005-0000-0000-0000941D0000}"/>
    <cellStyle name="20% - Accent4 9 2" xfId="1933" xr:uid="{00000000-0005-0000-0000-0000951D0000}"/>
    <cellStyle name="20% - Accent4 9 2 2" xfId="10813" xr:uid="{00000000-0005-0000-0000-0000961D0000}"/>
    <cellStyle name="20% - Accent4 9 2 2 2" xfId="24755" xr:uid="{00000000-0005-0000-0000-0000971D0000}"/>
    <cellStyle name="20% - Accent4 9 2 3" xfId="19257" xr:uid="{00000000-0005-0000-0000-0000981D0000}"/>
    <cellStyle name="20% - Accent4 9 3" xfId="1934" xr:uid="{00000000-0005-0000-0000-0000991D0000}"/>
    <cellStyle name="20% - Accent4 9 3 2" xfId="12627" xr:uid="{00000000-0005-0000-0000-00009A1D0000}"/>
    <cellStyle name="20% - Accent4 9 3 2 2" xfId="26339" xr:uid="{00000000-0005-0000-0000-00009B1D0000}"/>
    <cellStyle name="20% - Accent4 9 3 3" xfId="19258" xr:uid="{00000000-0005-0000-0000-00009C1D0000}"/>
    <cellStyle name="20% - Accent4 9 4" xfId="1935" xr:uid="{00000000-0005-0000-0000-00009D1D0000}"/>
    <cellStyle name="20% - Accent4 9 4 2" xfId="14940" xr:uid="{00000000-0005-0000-0000-00009E1D0000}"/>
    <cellStyle name="20% - Accent4 9 4 2 2" xfId="28489" xr:uid="{00000000-0005-0000-0000-00009F1D0000}"/>
    <cellStyle name="20% - Accent4 9 4 3" xfId="19259" xr:uid="{00000000-0005-0000-0000-0000A01D0000}"/>
    <cellStyle name="20% - Accent4 9 5" xfId="1936" xr:uid="{00000000-0005-0000-0000-0000A11D0000}"/>
    <cellStyle name="20% - Accent4 9 5 2" xfId="17088" xr:uid="{00000000-0005-0000-0000-0000A21D0000}"/>
    <cellStyle name="20% - Accent4 9 5 2 2" xfId="30447" xr:uid="{00000000-0005-0000-0000-0000A31D0000}"/>
    <cellStyle name="20% - Accent4 9 5 3" xfId="19260" xr:uid="{00000000-0005-0000-0000-0000A41D0000}"/>
    <cellStyle name="20% - Accent4 9 6" xfId="9088" xr:uid="{00000000-0005-0000-0000-0000A51D0000}"/>
    <cellStyle name="20% - Accent4 9 6 2" xfId="23563" xr:uid="{00000000-0005-0000-0000-0000A61D0000}"/>
    <cellStyle name="20% - Accent4 9 7" xfId="19256" xr:uid="{00000000-0005-0000-0000-0000A71D0000}"/>
    <cellStyle name="20% - Accent5" xfId="33" builtinId="46" customBuiltin="1"/>
    <cellStyle name="20% - Accent5 10" xfId="1937" xr:uid="{00000000-0005-0000-0000-0000A91D0000}"/>
    <cellStyle name="20% - Accent5 10 2" xfId="1938" xr:uid="{00000000-0005-0000-0000-0000AA1D0000}"/>
    <cellStyle name="20% - Accent5 10 2 2" xfId="12428" xr:uid="{00000000-0005-0000-0000-0000AB1D0000}"/>
    <cellStyle name="20% - Accent5 10 2 2 2" xfId="26140" xr:uid="{00000000-0005-0000-0000-0000AC1D0000}"/>
    <cellStyle name="20% - Accent5 10 2 3" xfId="19263" xr:uid="{00000000-0005-0000-0000-0000AD1D0000}"/>
    <cellStyle name="20% - Accent5 10 3" xfId="1939" xr:uid="{00000000-0005-0000-0000-0000AE1D0000}"/>
    <cellStyle name="20% - Accent5 10 3 2" xfId="14941" xr:uid="{00000000-0005-0000-0000-0000AF1D0000}"/>
    <cellStyle name="20% - Accent5 10 3 2 2" xfId="28490" xr:uid="{00000000-0005-0000-0000-0000B01D0000}"/>
    <cellStyle name="20% - Accent5 10 3 3" xfId="19264" xr:uid="{00000000-0005-0000-0000-0000B11D0000}"/>
    <cellStyle name="20% - Accent5 10 4" xfId="1940" xr:uid="{00000000-0005-0000-0000-0000B21D0000}"/>
    <cellStyle name="20% - Accent5 10 4 2" xfId="17178" xr:uid="{00000000-0005-0000-0000-0000B31D0000}"/>
    <cellStyle name="20% - Accent5 10 4 2 2" xfId="30537" xr:uid="{00000000-0005-0000-0000-0000B41D0000}"/>
    <cellStyle name="20% - Accent5 10 4 3" xfId="19265" xr:uid="{00000000-0005-0000-0000-0000B51D0000}"/>
    <cellStyle name="20% - Accent5 10 5" xfId="10496" xr:uid="{00000000-0005-0000-0000-0000B61D0000}"/>
    <cellStyle name="20% - Accent5 10 5 2" xfId="24444" xr:uid="{00000000-0005-0000-0000-0000B71D0000}"/>
    <cellStyle name="20% - Accent5 10 6" xfId="19262" xr:uid="{00000000-0005-0000-0000-0000B81D0000}"/>
    <cellStyle name="20% - Accent5 11" xfId="1941" xr:uid="{00000000-0005-0000-0000-0000B91D0000}"/>
    <cellStyle name="20% - Accent5 11 2" xfId="1942" xr:uid="{00000000-0005-0000-0000-0000BA1D0000}"/>
    <cellStyle name="20% - Accent5 11 2 2" xfId="12429" xr:uid="{00000000-0005-0000-0000-0000BB1D0000}"/>
    <cellStyle name="20% - Accent5 11 2 2 2" xfId="26141" xr:uid="{00000000-0005-0000-0000-0000BC1D0000}"/>
    <cellStyle name="20% - Accent5 11 2 3" xfId="19267" xr:uid="{00000000-0005-0000-0000-0000BD1D0000}"/>
    <cellStyle name="20% - Accent5 11 3" xfId="1943" xr:uid="{00000000-0005-0000-0000-0000BE1D0000}"/>
    <cellStyle name="20% - Accent5 11 3 2" xfId="14942" xr:uid="{00000000-0005-0000-0000-0000BF1D0000}"/>
    <cellStyle name="20% - Accent5 11 3 2 2" xfId="28491" xr:uid="{00000000-0005-0000-0000-0000C01D0000}"/>
    <cellStyle name="20% - Accent5 11 3 3" xfId="19268" xr:uid="{00000000-0005-0000-0000-0000C11D0000}"/>
    <cellStyle name="20% - Accent5 11 4" xfId="1944" xr:uid="{00000000-0005-0000-0000-0000C21D0000}"/>
    <cellStyle name="20% - Accent5 11 4 2" xfId="17267" xr:uid="{00000000-0005-0000-0000-0000C31D0000}"/>
    <cellStyle name="20% - Accent5 11 4 2 2" xfId="30626" xr:uid="{00000000-0005-0000-0000-0000C41D0000}"/>
    <cellStyle name="20% - Accent5 11 4 3" xfId="19269" xr:uid="{00000000-0005-0000-0000-0000C51D0000}"/>
    <cellStyle name="20% - Accent5 11 5" xfId="10814" xr:uid="{00000000-0005-0000-0000-0000C61D0000}"/>
    <cellStyle name="20% - Accent5 11 5 2" xfId="24756" xr:uid="{00000000-0005-0000-0000-0000C71D0000}"/>
    <cellStyle name="20% - Accent5 11 6" xfId="19266" xr:uid="{00000000-0005-0000-0000-0000C81D0000}"/>
    <cellStyle name="20% - Accent5 12" xfId="1945" xr:uid="{00000000-0005-0000-0000-0000C91D0000}"/>
    <cellStyle name="20% - Accent5 12 2" xfId="1946" xr:uid="{00000000-0005-0000-0000-0000CA1D0000}"/>
    <cellStyle name="20% - Accent5 12 2 2" xfId="16419" xr:uid="{00000000-0005-0000-0000-0000CB1D0000}"/>
    <cellStyle name="20% - Accent5 12 2 2 2" xfId="29826" xr:uid="{00000000-0005-0000-0000-0000CC1D0000}"/>
    <cellStyle name="20% - Accent5 12 2 3" xfId="19271" xr:uid="{00000000-0005-0000-0000-0000CD1D0000}"/>
    <cellStyle name="20% - Accent5 12 3" xfId="11732" xr:uid="{00000000-0005-0000-0000-0000CE1D0000}"/>
    <cellStyle name="20% - Accent5 12 3 2" xfId="25447" xr:uid="{00000000-0005-0000-0000-0000CF1D0000}"/>
    <cellStyle name="20% - Accent5 12 4" xfId="19270" xr:uid="{00000000-0005-0000-0000-0000D01D0000}"/>
    <cellStyle name="20% - Accent5 13" xfId="1947" xr:uid="{00000000-0005-0000-0000-0000D11D0000}"/>
    <cellStyle name="20% - Accent5 13 2" xfId="13371" xr:uid="{00000000-0005-0000-0000-0000D21D0000}"/>
    <cellStyle name="20% - Accent5 13 2 2" xfId="26920" xr:uid="{00000000-0005-0000-0000-0000D31D0000}"/>
    <cellStyle name="20% - Accent5 13 3" xfId="19272" xr:uid="{00000000-0005-0000-0000-0000D41D0000}"/>
    <cellStyle name="20% - Accent5 14" xfId="1948" xr:uid="{00000000-0005-0000-0000-0000D51D0000}"/>
    <cellStyle name="20% - Accent5 14 2" xfId="13952" xr:uid="{00000000-0005-0000-0000-0000D61D0000}"/>
    <cellStyle name="20% - Accent5 14 2 2" xfId="27501" xr:uid="{00000000-0005-0000-0000-0000D71D0000}"/>
    <cellStyle name="20% - Accent5 14 3" xfId="19273" xr:uid="{00000000-0005-0000-0000-0000D81D0000}"/>
    <cellStyle name="20% - Accent5 15" xfId="1949" xr:uid="{00000000-0005-0000-0000-0000D91D0000}"/>
    <cellStyle name="20% - Accent5 15 2" xfId="15825" xr:uid="{00000000-0005-0000-0000-0000DA1D0000}"/>
    <cellStyle name="20% - Accent5 15 2 2" xfId="29232" xr:uid="{00000000-0005-0000-0000-0000DB1D0000}"/>
    <cellStyle name="20% - Accent5 15 3" xfId="19274" xr:uid="{00000000-0005-0000-0000-0000DC1D0000}"/>
    <cellStyle name="20% - Accent5 16" xfId="1950" xr:uid="{00000000-0005-0000-0000-0000DD1D0000}"/>
    <cellStyle name="20% - Accent5 16 2" xfId="15838" xr:uid="{00000000-0005-0000-0000-0000DE1D0000}"/>
    <cellStyle name="20% - Accent5 16 2 2" xfId="29245" xr:uid="{00000000-0005-0000-0000-0000DF1D0000}"/>
    <cellStyle name="20% - Accent5 16 3" xfId="19275" xr:uid="{00000000-0005-0000-0000-0000E01D0000}"/>
    <cellStyle name="20% - Accent5 17" xfId="8807" xr:uid="{00000000-0005-0000-0000-0000E11D0000}"/>
    <cellStyle name="20% - Accent5 17 2" xfId="23283" xr:uid="{00000000-0005-0000-0000-0000E21D0000}"/>
    <cellStyle name="20% - Accent5 18" xfId="19261" xr:uid="{00000000-0005-0000-0000-0000E31D0000}"/>
    <cellStyle name="20% - Accent5 2" xfId="1951" xr:uid="{00000000-0005-0000-0000-0000E41D0000}"/>
    <cellStyle name="20% - Accent5 2 10" xfId="1952" xr:uid="{00000000-0005-0000-0000-0000E51D0000}"/>
    <cellStyle name="20% - Accent5 2 10 2" xfId="15899" xr:uid="{00000000-0005-0000-0000-0000E61D0000}"/>
    <cellStyle name="20% - Accent5 2 10 2 2" xfId="29306" xr:uid="{00000000-0005-0000-0000-0000E71D0000}"/>
    <cellStyle name="20% - Accent5 2 10 3" xfId="19277" xr:uid="{00000000-0005-0000-0000-0000E81D0000}"/>
    <cellStyle name="20% - Accent5 2 11" xfId="9089" xr:uid="{00000000-0005-0000-0000-0000E91D0000}"/>
    <cellStyle name="20% - Accent5 2 11 2" xfId="23564" xr:uid="{00000000-0005-0000-0000-0000EA1D0000}"/>
    <cellStyle name="20% - Accent5 2 12" xfId="19276" xr:uid="{00000000-0005-0000-0000-0000EB1D0000}"/>
    <cellStyle name="20% - Accent5 2 2" xfId="1953" xr:uid="{00000000-0005-0000-0000-0000EC1D0000}"/>
    <cellStyle name="20% - Accent5 2 2 10" xfId="19278" xr:uid="{00000000-0005-0000-0000-0000ED1D0000}"/>
    <cellStyle name="20% - Accent5 2 2 2" xfId="1954" xr:uid="{00000000-0005-0000-0000-0000EE1D0000}"/>
    <cellStyle name="20% - Accent5 2 2 2 2" xfId="1955" xr:uid="{00000000-0005-0000-0000-0000EF1D0000}"/>
    <cellStyle name="20% - Accent5 2 2 2 2 2" xfId="1956" xr:uid="{00000000-0005-0000-0000-0000F01D0000}"/>
    <cellStyle name="20% - Accent5 2 2 2 2 2 2" xfId="1957" xr:uid="{00000000-0005-0000-0000-0000F11D0000}"/>
    <cellStyle name="20% - Accent5 2 2 2 2 2 2 2" xfId="16958" xr:uid="{00000000-0005-0000-0000-0000F21D0000}"/>
    <cellStyle name="20% - Accent5 2 2 2 2 2 2 2 2" xfId="30365" xr:uid="{00000000-0005-0000-0000-0000F31D0000}"/>
    <cellStyle name="20% - Accent5 2 2 2 2 2 2 3" xfId="19282" xr:uid="{00000000-0005-0000-0000-0000F41D0000}"/>
    <cellStyle name="20% - Accent5 2 2 2 2 2 3" xfId="10818" xr:uid="{00000000-0005-0000-0000-0000F51D0000}"/>
    <cellStyle name="20% - Accent5 2 2 2 2 2 3 2" xfId="24760" xr:uid="{00000000-0005-0000-0000-0000F61D0000}"/>
    <cellStyle name="20% - Accent5 2 2 2 2 2 4" xfId="19281" xr:uid="{00000000-0005-0000-0000-0000F71D0000}"/>
    <cellStyle name="20% - Accent5 2 2 2 2 3" xfId="1958" xr:uid="{00000000-0005-0000-0000-0000F81D0000}"/>
    <cellStyle name="20% - Accent5 2 2 2 2 3 2" xfId="12346" xr:uid="{00000000-0005-0000-0000-0000F91D0000}"/>
    <cellStyle name="20% - Accent5 2 2 2 2 3 2 2" xfId="26058" xr:uid="{00000000-0005-0000-0000-0000FA1D0000}"/>
    <cellStyle name="20% - Accent5 2 2 2 2 3 3" xfId="19283" xr:uid="{00000000-0005-0000-0000-0000FB1D0000}"/>
    <cellStyle name="20% - Accent5 2 2 2 2 4" xfId="1959" xr:uid="{00000000-0005-0000-0000-0000FC1D0000}"/>
    <cellStyle name="20% - Accent5 2 2 2 2 4 2" xfId="13910" xr:uid="{00000000-0005-0000-0000-0000FD1D0000}"/>
    <cellStyle name="20% - Accent5 2 2 2 2 4 2 2" xfId="27459" xr:uid="{00000000-0005-0000-0000-0000FE1D0000}"/>
    <cellStyle name="20% - Accent5 2 2 2 2 4 3" xfId="19284" xr:uid="{00000000-0005-0000-0000-0000FF1D0000}"/>
    <cellStyle name="20% - Accent5 2 2 2 2 5" xfId="1960" xr:uid="{00000000-0005-0000-0000-0000001E0000}"/>
    <cellStyle name="20% - Accent5 2 2 2 2 5 2" xfId="14491" xr:uid="{00000000-0005-0000-0000-0000011E0000}"/>
    <cellStyle name="20% - Accent5 2 2 2 2 5 2 2" xfId="28040" xr:uid="{00000000-0005-0000-0000-0000021E0000}"/>
    <cellStyle name="20% - Accent5 2 2 2 2 5 3" xfId="19285" xr:uid="{00000000-0005-0000-0000-0000031E0000}"/>
    <cellStyle name="20% - Accent5 2 2 2 2 6" xfId="1961" xr:uid="{00000000-0005-0000-0000-0000041E0000}"/>
    <cellStyle name="20% - Accent5 2 2 2 2 6 2" xfId="16377" xr:uid="{00000000-0005-0000-0000-0000051E0000}"/>
    <cellStyle name="20% - Accent5 2 2 2 2 6 2 2" xfId="29784" xr:uid="{00000000-0005-0000-0000-0000061E0000}"/>
    <cellStyle name="20% - Accent5 2 2 2 2 6 3" xfId="19286" xr:uid="{00000000-0005-0000-0000-0000071E0000}"/>
    <cellStyle name="20% - Accent5 2 2 2 2 7" xfId="9092" xr:uid="{00000000-0005-0000-0000-0000081E0000}"/>
    <cellStyle name="20% - Accent5 2 2 2 2 7 2" xfId="23567" xr:uid="{00000000-0005-0000-0000-0000091E0000}"/>
    <cellStyle name="20% - Accent5 2 2 2 2 8" xfId="19280" xr:uid="{00000000-0005-0000-0000-00000A1E0000}"/>
    <cellStyle name="20% - Accent5 2 2 2 3" xfId="1962" xr:uid="{00000000-0005-0000-0000-00000B1E0000}"/>
    <cellStyle name="20% - Accent5 2 2 2 3 2" xfId="1963" xr:uid="{00000000-0005-0000-0000-00000C1E0000}"/>
    <cellStyle name="20% - Accent5 2 2 2 3 2 2" xfId="16669" xr:uid="{00000000-0005-0000-0000-00000D1E0000}"/>
    <cellStyle name="20% - Accent5 2 2 2 3 2 2 2" xfId="30076" xr:uid="{00000000-0005-0000-0000-00000E1E0000}"/>
    <cellStyle name="20% - Accent5 2 2 2 3 2 3" xfId="19288" xr:uid="{00000000-0005-0000-0000-00000F1E0000}"/>
    <cellStyle name="20% - Accent5 2 2 2 3 3" xfId="10817" xr:uid="{00000000-0005-0000-0000-0000101E0000}"/>
    <cellStyle name="20% - Accent5 2 2 2 3 3 2" xfId="24759" xr:uid="{00000000-0005-0000-0000-0000111E0000}"/>
    <cellStyle name="20% - Accent5 2 2 2 3 4" xfId="19287" xr:uid="{00000000-0005-0000-0000-0000121E0000}"/>
    <cellStyle name="20% - Accent5 2 2 2 4" xfId="1964" xr:uid="{00000000-0005-0000-0000-0000131E0000}"/>
    <cellStyle name="20% - Accent5 2 2 2 4 2" xfId="12046" xr:uid="{00000000-0005-0000-0000-0000141E0000}"/>
    <cellStyle name="20% - Accent5 2 2 2 4 2 2" xfId="25761" xr:uid="{00000000-0005-0000-0000-0000151E0000}"/>
    <cellStyle name="20% - Accent5 2 2 2 4 3" xfId="19289" xr:uid="{00000000-0005-0000-0000-0000161E0000}"/>
    <cellStyle name="20% - Accent5 2 2 2 5" xfId="1965" xr:uid="{00000000-0005-0000-0000-0000171E0000}"/>
    <cellStyle name="20% - Accent5 2 2 2 5 2" xfId="13621" xr:uid="{00000000-0005-0000-0000-0000181E0000}"/>
    <cellStyle name="20% - Accent5 2 2 2 5 2 2" xfId="27170" xr:uid="{00000000-0005-0000-0000-0000191E0000}"/>
    <cellStyle name="20% - Accent5 2 2 2 5 3" xfId="19290" xr:uid="{00000000-0005-0000-0000-00001A1E0000}"/>
    <cellStyle name="20% - Accent5 2 2 2 6" xfId="1966" xr:uid="{00000000-0005-0000-0000-00001B1E0000}"/>
    <cellStyle name="20% - Accent5 2 2 2 6 2" xfId="14202" xr:uid="{00000000-0005-0000-0000-00001C1E0000}"/>
    <cellStyle name="20% - Accent5 2 2 2 6 2 2" xfId="27751" xr:uid="{00000000-0005-0000-0000-00001D1E0000}"/>
    <cellStyle name="20% - Accent5 2 2 2 6 3" xfId="19291" xr:uid="{00000000-0005-0000-0000-00001E1E0000}"/>
    <cellStyle name="20% - Accent5 2 2 2 7" xfId="1967" xr:uid="{00000000-0005-0000-0000-00001F1E0000}"/>
    <cellStyle name="20% - Accent5 2 2 2 7 2" xfId="16088" xr:uid="{00000000-0005-0000-0000-0000201E0000}"/>
    <cellStyle name="20% - Accent5 2 2 2 7 2 2" xfId="29495" xr:uid="{00000000-0005-0000-0000-0000211E0000}"/>
    <cellStyle name="20% - Accent5 2 2 2 7 3" xfId="19292" xr:uid="{00000000-0005-0000-0000-0000221E0000}"/>
    <cellStyle name="20% - Accent5 2 2 2 8" xfId="9091" xr:uid="{00000000-0005-0000-0000-0000231E0000}"/>
    <cellStyle name="20% - Accent5 2 2 2 8 2" xfId="23566" xr:uid="{00000000-0005-0000-0000-0000241E0000}"/>
    <cellStyle name="20% - Accent5 2 2 2 9" xfId="19279" xr:uid="{00000000-0005-0000-0000-0000251E0000}"/>
    <cellStyle name="20% - Accent5 2 2 3" xfId="1968" xr:uid="{00000000-0005-0000-0000-0000261E0000}"/>
    <cellStyle name="20% - Accent5 2 2 3 2" xfId="1969" xr:uid="{00000000-0005-0000-0000-0000271E0000}"/>
    <cellStyle name="20% - Accent5 2 2 3 2 2" xfId="1970" xr:uid="{00000000-0005-0000-0000-0000281E0000}"/>
    <cellStyle name="20% - Accent5 2 2 3 2 2 2" xfId="16815" xr:uid="{00000000-0005-0000-0000-0000291E0000}"/>
    <cellStyle name="20% - Accent5 2 2 3 2 2 2 2" xfId="30222" xr:uid="{00000000-0005-0000-0000-00002A1E0000}"/>
    <cellStyle name="20% - Accent5 2 2 3 2 2 3" xfId="19295" xr:uid="{00000000-0005-0000-0000-00002B1E0000}"/>
    <cellStyle name="20% - Accent5 2 2 3 2 3" xfId="10819" xr:uid="{00000000-0005-0000-0000-00002C1E0000}"/>
    <cellStyle name="20% - Accent5 2 2 3 2 3 2" xfId="24761" xr:uid="{00000000-0005-0000-0000-00002D1E0000}"/>
    <cellStyle name="20% - Accent5 2 2 3 2 4" xfId="19294" xr:uid="{00000000-0005-0000-0000-00002E1E0000}"/>
    <cellStyle name="20% - Accent5 2 2 3 3" xfId="1971" xr:uid="{00000000-0005-0000-0000-00002F1E0000}"/>
    <cellStyle name="20% - Accent5 2 2 3 3 2" xfId="12203" xr:uid="{00000000-0005-0000-0000-0000301E0000}"/>
    <cellStyle name="20% - Accent5 2 2 3 3 2 2" xfId="25915" xr:uid="{00000000-0005-0000-0000-0000311E0000}"/>
    <cellStyle name="20% - Accent5 2 2 3 3 3" xfId="19296" xr:uid="{00000000-0005-0000-0000-0000321E0000}"/>
    <cellStyle name="20% - Accent5 2 2 3 4" xfId="1972" xr:uid="{00000000-0005-0000-0000-0000331E0000}"/>
    <cellStyle name="20% - Accent5 2 2 3 4 2" xfId="13767" xr:uid="{00000000-0005-0000-0000-0000341E0000}"/>
    <cellStyle name="20% - Accent5 2 2 3 4 2 2" xfId="27316" xr:uid="{00000000-0005-0000-0000-0000351E0000}"/>
    <cellStyle name="20% - Accent5 2 2 3 4 3" xfId="19297" xr:uid="{00000000-0005-0000-0000-0000361E0000}"/>
    <cellStyle name="20% - Accent5 2 2 3 5" xfId="1973" xr:uid="{00000000-0005-0000-0000-0000371E0000}"/>
    <cellStyle name="20% - Accent5 2 2 3 5 2" xfId="14348" xr:uid="{00000000-0005-0000-0000-0000381E0000}"/>
    <cellStyle name="20% - Accent5 2 2 3 5 2 2" xfId="27897" xr:uid="{00000000-0005-0000-0000-0000391E0000}"/>
    <cellStyle name="20% - Accent5 2 2 3 5 3" xfId="19298" xr:uid="{00000000-0005-0000-0000-00003A1E0000}"/>
    <cellStyle name="20% - Accent5 2 2 3 6" xfId="1974" xr:uid="{00000000-0005-0000-0000-00003B1E0000}"/>
    <cellStyle name="20% - Accent5 2 2 3 6 2" xfId="16234" xr:uid="{00000000-0005-0000-0000-00003C1E0000}"/>
    <cellStyle name="20% - Accent5 2 2 3 6 2 2" xfId="29641" xr:uid="{00000000-0005-0000-0000-00003D1E0000}"/>
    <cellStyle name="20% - Accent5 2 2 3 6 3" xfId="19299" xr:uid="{00000000-0005-0000-0000-00003E1E0000}"/>
    <cellStyle name="20% - Accent5 2 2 3 7" xfId="9093" xr:uid="{00000000-0005-0000-0000-00003F1E0000}"/>
    <cellStyle name="20% - Accent5 2 2 3 7 2" xfId="23568" xr:uid="{00000000-0005-0000-0000-0000401E0000}"/>
    <cellStyle name="20% - Accent5 2 2 3 8" xfId="19293" xr:uid="{00000000-0005-0000-0000-0000411E0000}"/>
    <cellStyle name="20% - Accent5 2 2 4" xfId="1975" xr:uid="{00000000-0005-0000-0000-0000421E0000}"/>
    <cellStyle name="20% - Accent5 2 2 4 2" xfId="1976" xr:uid="{00000000-0005-0000-0000-0000431E0000}"/>
    <cellStyle name="20% - Accent5 2 2 4 2 2" xfId="17162" xr:uid="{00000000-0005-0000-0000-0000441E0000}"/>
    <cellStyle name="20% - Accent5 2 2 4 2 2 2" xfId="30521" xr:uid="{00000000-0005-0000-0000-0000451E0000}"/>
    <cellStyle name="20% - Accent5 2 2 4 2 3" xfId="19301" xr:uid="{00000000-0005-0000-0000-0000461E0000}"/>
    <cellStyle name="20% - Accent5 2 2 4 3" xfId="10816" xr:uid="{00000000-0005-0000-0000-0000471E0000}"/>
    <cellStyle name="20% - Accent5 2 2 4 3 2" xfId="24758" xr:uid="{00000000-0005-0000-0000-0000481E0000}"/>
    <cellStyle name="20% - Accent5 2 2 4 4" xfId="19300" xr:uid="{00000000-0005-0000-0000-0000491E0000}"/>
    <cellStyle name="20% - Accent5 2 2 5" xfId="1977" xr:uid="{00000000-0005-0000-0000-00004A1E0000}"/>
    <cellStyle name="20% - Accent5 2 2 5 2" xfId="1978" xr:uid="{00000000-0005-0000-0000-00004B1E0000}"/>
    <cellStyle name="20% - Accent5 2 2 5 2 2" xfId="17251" xr:uid="{00000000-0005-0000-0000-00004C1E0000}"/>
    <cellStyle name="20% - Accent5 2 2 5 2 2 2" xfId="30610" xr:uid="{00000000-0005-0000-0000-00004D1E0000}"/>
    <cellStyle name="20% - Accent5 2 2 5 2 3" xfId="19303" xr:uid="{00000000-0005-0000-0000-00004E1E0000}"/>
    <cellStyle name="20% - Accent5 2 2 5 3" xfId="11901" xr:uid="{00000000-0005-0000-0000-00004F1E0000}"/>
    <cellStyle name="20% - Accent5 2 2 5 3 2" xfId="25616" xr:uid="{00000000-0005-0000-0000-0000501E0000}"/>
    <cellStyle name="20% - Accent5 2 2 5 4" xfId="19302" xr:uid="{00000000-0005-0000-0000-0000511E0000}"/>
    <cellStyle name="20% - Accent5 2 2 6" xfId="1979" xr:uid="{00000000-0005-0000-0000-0000521E0000}"/>
    <cellStyle name="20% - Accent5 2 2 6 2" xfId="1980" xr:uid="{00000000-0005-0000-0000-0000531E0000}"/>
    <cellStyle name="20% - Accent5 2 2 6 2 2" xfId="16526" xr:uid="{00000000-0005-0000-0000-0000541E0000}"/>
    <cellStyle name="20% - Accent5 2 2 6 2 2 2" xfId="29933" xr:uid="{00000000-0005-0000-0000-0000551E0000}"/>
    <cellStyle name="20% - Accent5 2 2 6 2 3" xfId="19305" xr:uid="{00000000-0005-0000-0000-0000561E0000}"/>
    <cellStyle name="20% - Accent5 2 2 6 3" xfId="13478" xr:uid="{00000000-0005-0000-0000-0000571E0000}"/>
    <cellStyle name="20% - Accent5 2 2 6 3 2" xfId="27027" xr:uid="{00000000-0005-0000-0000-0000581E0000}"/>
    <cellStyle name="20% - Accent5 2 2 6 4" xfId="19304" xr:uid="{00000000-0005-0000-0000-0000591E0000}"/>
    <cellStyle name="20% - Accent5 2 2 7" xfId="1981" xr:uid="{00000000-0005-0000-0000-00005A1E0000}"/>
    <cellStyle name="20% - Accent5 2 2 7 2" xfId="14059" xr:uid="{00000000-0005-0000-0000-00005B1E0000}"/>
    <cellStyle name="20% - Accent5 2 2 7 2 2" xfId="27608" xr:uid="{00000000-0005-0000-0000-00005C1E0000}"/>
    <cellStyle name="20% - Accent5 2 2 7 3" xfId="19306" xr:uid="{00000000-0005-0000-0000-00005D1E0000}"/>
    <cellStyle name="20% - Accent5 2 2 8" xfId="1982" xr:uid="{00000000-0005-0000-0000-00005E1E0000}"/>
    <cellStyle name="20% - Accent5 2 2 8 2" xfId="15945" xr:uid="{00000000-0005-0000-0000-00005F1E0000}"/>
    <cellStyle name="20% - Accent5 2 2 8 2 2" xfId="29352" xr:uid="{00000000-0005-0000-0000-0000601E0000}"/>
    <cellStyle name="20% - Accent5 2 2 8 3" xfId="19307" xr:uid="{00000000-0005-0000-0000-0000611E0000}"/>
    <cellStyle name="20% - Accent5 2 2 9" xfId="9090" xr:uid="{00000000-0005-0000-0000-0000621E0000}"/>
    <cellStyle name="20% - Accent5 2 2 9 2" xfId="23565" xr:uid="{00000000-0005-0000-0000-0000631E0000}"/>
    <cellStyle name="20% - Accent5 2 3" xfId="1983" xr:uid="{00000000-0005-0000-0000-0000641E0000}"/>
    <cellStyle name="20% - Accent5 2 3 2" xfId="1984" xr:uid="{00000000-0005-0000-0000-0000651E0000}"/>
    <cellStyle name="20% - Accent5 2 3 2 2" xfId="1985" xr:uid="{00000000-0005-0000-0000-0000661E0000}"/>
    <cellStyle name="20% - Accent5 2 3 2 2 2" xfId="1986" xr:uid="{00000000-0005-0000-0000-0000671E0000}"/>
    <cellStyle name="20% - Accent5 2 3 2 2 2 2" xfId="16912" xr:uid="{00000000-0005-0000-0000-0000681E0000}"/>
    <cellStyle name="20% - Accent5 2 3 2 2 2 2 2" xfId="30319" xr:uid="{00000000-0005-0000-0000-0000691E0000}"/>
    <cellStyle name="20% - Accent5 2 3 2 2 2 3" xfId="19311" xr:uid="{00000000-0005-0000-0000-00006A1E0000}"/>
    <cellStyle name="20% - Accent5 2 3 2 2 3" xfId="10821" xr:uid="{00000000-0005-0000-0000-00006B1E0000}"/>
    <cellStyle name="20% - Accent5 2 3 2 2 3 2" xfId="24763" xr:uid="{00000000-0005-0000-0000-00006C1E0000}"/>
    <cellStyle name="20% - Accent5 2 3 2 2 4" xfId="19310" xr:uid="{00000000-0005-0000-0000-00006D1E0000}"/>
    <cellStyle name="20% - Accent5 2 3 2 3" xfId="1987" xr:uid="{00000000-0005-0000-0000-00006E1E0000}"/>
    <cellStyle name="20% - Accent5 2 3 2 3 2" xfId="12300" xr:uid="{00000000-0005-0000-0000-00006F1E0000}"/>
    <cellStyle name="20% - Accent5 2 3 2 3 2 2" xfId="26012" xr:uid="{00000000-0005-0000-0000-0000701E0000}"/>
    <cellStyle name="20% - Accent5 2 3 2 3 3" xfId="19312" xr:uid="{00000000-0005-0000-0000-0000711E0000}"/>
    <cellStyle name="20% - Accent5 2 3 2 4" xfId="1988" xr:uid="{00000000-0005-0000-0000-0000721E0000}"/>
    <cellStyle name="20% - Accent5 2 3 2 4 2" xfId="13864" xr:uid="{00000000-0005-0000-0000-0000731E0000}"/>
    <cellStyle name="20% - Accent5 2 3 2 4 2 2" xfId="27413" xr:uid="{00000000-0005-0000-0000-0000741E0000}"/>
    <cellStyle name="20% - Accent5 2 3 2 4 3" xfId="19313" xr:uid="{00000000-0005-0000-0000-0000751E0000}"/>
    <cellStyle name="20% - Accent5 2 3 2 5" xfId="1989" xr:uid="{00000000-0005-0000-0000-0000761E0000}"/>
    <cellStyle name="20% - Accent5 2 3 2 5 2" xfId="14445" xr:uid="{00000000-0005-0000-0000-0000771E0000}"/>
    <cellStyle name="20% - Accent5 2 3 2 5 2 2" xfId="27994" xr:uid="{00000000-0005-0000-0000-0000781E0000}"/>
    <cellStyle name="20% - Accent5 2 3 2 5 3" xfId="19314" xr:uid="{00000000-0005-0000-0000-0000791E0000}"/>
    <cellStyle name="20% - Accent5 2 3 2 6" xfId="1990" xr:uid="{00000000-0005-0000-0000-00007A1E0000}"/>
    <cellStyle name="20% - Accent5 2 3 2 6 2" xfId="16331" xr:uid="{00000000-0005-0000-0000-00007B1E0000}"/>
    <cellStyle name="20% - Accent5 2 3 2 6 2 2" xfId="29738" xr:uid="{00000000-0005-0000-0000-00007C1E0000}"/>
    <cellStyle name="20% - Accent5 2 3 2 6 3" xfId="19315" xr:uid="{00000000-0005-0000-0000-00007D1E0000}"/>
    <cellStyle name="20% - Accent5 2 3 2 7" xfId="9095" xr:uid="{00000000-0005-0000-0000-00007E1E0000}"/>
    <cellStyle name="20% - Accent5 2 3 2 7 2" xfId="23570" xr:uid="{00000000-0005-0000-0000-00007F1E0000}"/>
    <cellStyle name="20% - Accent5 2 3 2 8" xfId="19309" xr:uid="{00000000-0005-0000-0000-0000801E0000}"/>
    <cellStyle name="20% - Accent5 2 3 3" xfId="1991" xr:uid="{00000000-0005-0000-0000-0000811E0000}"/>
    <cellStyle name="20% - Accent5 2 3 3 2" xfId="1992" xr:uid="{00000000-0005-0000-0000-0000821E0000}"/>
    <cellStyle name="20% - Accent5 2 3 3 2 2" xfId="16623" xr:uid="{00000000-0005-0000-0000-0000831E0000}"/>
    <cellStyle name="20% - Accent5 2 3 3 2 2 2" xfId="30030" xr:uid="{00000000-0005-0000-0000-0000841E0000}"/>
    <cellStyle name="20% - Accent5 2 3 3 2 3" xfId="19317" xr:uid="{00000000-0005-0000-0000-0000851E0000}"/>
    <cellStyle name="20% - Accent5 2 3 3 3" xfId="10820" xr:uid="{00000000-0005-0000-0000-0000861E0000}"/>
    <cellStyle name="20% - Accent5 2 3 3 3 2" xfId="24762" xr:uid="{00000000-0005-0000-0000-0000871E0000}"/>
    <cellStyle name="20% - Accent5 2 3 3 4" xfId="19316" xr:uid="{00000000-0005-0000-0000-0000881E0000}"/>
    <cellStyle name="20% - Accent5 2 3 4" xfId="1993" xr:uid="{00000000-0005-0000-0000-0000891E0000}"/>
    <cellStyle name="20% - Accent5 2 3 4 2" xfId="12000" xr:uid="{00000000-0005-0000-0000-00008A1E0000}"/>
    <cellStyle name="20% - Accent5 2 3 4 2 2" xfId="25715" xr:uid="{00000000-0005-0000-0000-00008B1E0000}"/>
    <cellStyle name="20% - Accent5 2 3 4 3" xfId="19318" xr:uid="{00000000-0005-0000-0000-00008C1E0000}"/>
    <cellStyle name="20% - Accent5 2 3 5" xfId="1994" xr:uid="{00000000-0005-0000-0000-00008D1E0000}"/>
    <cellStyle name="20% - Accent5 2 3 5 2" xfId="13575" xr:uid="{00000000-0005-0000-0000-00008E1E0000}"/>
    <cellStyle name="20% - Accent5 2 3 5 2 2" xfId="27124" xr:uid="{00000000-0005-0000-0000-00008F1E0000}"/>
    <cellStyle name="20% - Accent5 2 3 5 3" xfId="19319" xr:uid="{00000000-0005-0000-0000-0000901E0000}"/>
    <cellStyle name="20% - Accent5 2 3 6" xfId="1995" xr:uid="{00000000-0005-0000-0000-0000911E0000}"/>
    <cellStyle name="20% - Accent5 2 3 6 2" xfId="14156" xr:uid="{00000000-0005-0000-0000-0000921E0000}"/>
    <cellStyle name="20% - Accent5 2 3 6 2 2" xfId="27705" xr:uid="{00000000-0005-0000-0000-0000931E0000}"/>
    <cellStyle name="20% - Accent5 2 3 6 3" xfId="19320" xr:uid="{00000000-0005-0000-0000-0000941E0000}"/>
    <cellStyle name="20% - Accent5 2 3 7" xfId="1996" xr:uid="{00000000-0005-0000-0000-0000951E0000}"/>
    <cellStyle name="20% - Accent5 2 3 7 2" xfId="16042" xr:uid="{00000000-0005-0000-0000-0000961E0000}"/>
    <cellStyle name="20% - Accent5 2 3 7 2 2" xfId="29449" xr:uid="{00000000-0005-0000-0000-0000971E0000}"/>
    <cellStyle name="20% - Accent5 2 3 7 3" xfId="19321" xr:uid="{00000000-0005-0000-0000-0000981E0000}"/>
    <cellStyle name="20% - Accent5 2 3 8" xfId="9094" xr:uid="{00000000-0005-0000-0000-0000991E0000}"/>
    <cellStyle name="20% - Accent5 2 3 8 2" xfId="23569" xr:uid="{00000000-0005-0000-0000-00009A1E0000}"/>
    <cellStyle name="20% - Accent5 2 3 9" xfId="19308" xr:uid="{00000000-0005-0000-0000-00009B1E0000}"/>
    <cellStyle name="20% - Accent5 2 4" xfId="1997" xr:uid="{00000000-0005-0000-0000-00009C1E0000}"/>
    <cellStyle name="20% - Accent5 2 4 2" xfId="1998" xr:uid="{00000000-0005-0000-0000-00009D1E0000}"/>
    <cellStyle name="20% - Accent5 2 4 2 2" xfId="1999" xr:uid="{00000000-0005-0000-0000-00009E1E0000}"/>
    <cellStyle name="20% - Accent5 2 4 2 2 2" xfId="16769" xr:uid="{00000000-0005-0000-0000-00009F1E0000}"/>
    <cellStyle name="20% - Accent5 2 4 2 2 2 2" xfId="30176" xr:uid="{00000000-0005-0000-0000-0000A01E0000}"/>
    <cellStyle name="20% - Accent5 2 4 2 2 3" xfId="19324" xr:uid="{00000000-0005-0000-0000-0000A11E0000}"/>
    <cellStyle name="20% - Accent5 2 4 2 3" xfId="10822" xr:uid="{00000000-0005-0000-0000-0000A21E0000}"/>
    <cellStyle name="20% - Accent5 2 4 2 3 2" xfId="24764" xr:uid="{00000000-0005-0000-0000-0000A31E0000}"/>
    <cellStyle name="20% - Accent5 2 4 2 4" xfId="19323" xr:uid="{00000000-0005-0000-0000-0000A41E0000}"/>
    <cellStyle name="20% - Accent5 2 4 3" xfId="2000" xr:uid="{00000000-0005-0000-0000-0000A51E0000}"/>
    <cellStyle name="20% - Accent5 2 4 3 2" xfId="12157" xr:uid="{00000000-0005-0000-0000-0000A61E0000}"/>
    <cellStyle name="20% - Accent5 2 4 3 2 2" xfId="25869" xr:uid="{00000000-0005-0000-0000-0000A71E0000}"/>
    <cellStyle name="20% - Accent5 2 4 3 3" xfId="19325" xr:uid="{00000000-0005-0000-0000-0000A81E0000}"/>
    <cellStyle name="20% - Accent5 2 4 4" xfId="2001" xr:uid="{00000000-0005-0000-0000-0000A91E0000}"/>
    <cellStyle name="20% - Accent5 2 4 4 2" xfId="13721" xr:uid="{00000000-0005-0000-0000-0000AA1E0000}"/>
    <cellStyle name="20% - Accent5 2 4 4 2 2" xfId="27270" xr:uid="{00000000-0005-0000-0000-0000AB1E0000}"/>
    <cellStyle name="20% - Accent5 2 4 4 3" xfId="19326" xr:uid="{00000000-0005-0000-0000-0000AC1E0000}"/>
    <cellStyle name="20% - Accent5 2 4 5" xfId="2002" xr:uid="{00000000-0005-0000-0000-0000AD1E0000}"/>
    <cellStyle name="20% - Accent5 2 4 5 2" xfId="14302" xr:uid="{00000000-0005-0000-0000-0000AE1E0000}"/>
    <cellStyle name="20% - Accent5 2 4 5 2 2" xfId="27851" xr:uid="{00000000-0005-0000-0000-0000AF1E0000}"/>
    <cellStyle name="20% - Accent5 2 4 5 3" xfId="19327" xr:uid="{00000000-0005-0000-0000-0000B01E0000}"/>
    <cellStyle name="20% - Accent5 2 4 6" xfId="2003" xr:uid="{00000000-0005-0000-0000-0000B11E0000}"/>
    <cellStyle name="20% - Accent5 2 4 6 2" xfId="16188" xr:uid="{00000000-0005-0000-0000-0000B21E0000}"/>
    <cellStyle name="20% - Accent5 2 4 6 2 2" xfId="29595" xr:uid="{00000000-0005-0000-0000-0000B31E0000}"/>
    <cellStyle name="20% - Accent5 2 4 6 3" xfId="19328" xr:uid="{00000000-0005-0000-0000-0000B41E0000}"/>
    <cellStyle name="20% - Accent5 2 4 7" xfId="9096" xr:uid="{00000000-0005-0000-0000-0000B51E0000}"/>
    <cellStyle name="20% - Accent5 2 4 7 2" xfId="23571" xr:uid="{00000000-0005-0000-0000-0000B61E0000}"/>
    <cellStyle name="20% - Accent5 2 4 8" xfId="19322" xr:uid="{00000000-0005-0000-0000-0000B71E0000}"/>
    <cellStyle name="20% - Accent5 2 5" xfId="2004" xr:uid="{00000000-0005-0000-0000-0000B81E0000}"/>
    <cellStyle name="20% - Accent5 2 5 2" xfId="2005" xr:uid="{00000000-0005-0000-0000-0000B91E0000}"/>
    <cellStyle name="20% - Accent5 2 5 2 2" xfId="12628" xr:uid="{00000000-0005-0000-0000-0000BA1E0000}"/>
    <cellStyle name="20% - Accent5 2 5 2 2 2" xfId="26340" xr:uid="{00000000-0005-0000-0000-0000BB1E0000}"/>
    <cellStyle name="20% - Accent5 2 5 2 3" xfId="19330" xr:uid="{00000000-0005-0000-0000-0000BC1E0000}"/>
    <cellStyle name="20% - Accent5 2 5 3" xfId="2006" xr:uid="{00000000-0005-0000-0000-0000BD1E0000}"/>
    <cellStyle name="20% - Accent5 2 5 3 2" xfId="14943" xr:uid="{00000000-0005-0000-0000-0000BE1E0000}"/>
    <cellStyle name="20% - Accent5 2 5 3 2 2" xfId="28492" xr:uid="{00000000-0005-0000-0000-0000BF1E0000}"/>
    <cellStyle name="20% - Accent5 2 5 3 3" xfId="19331" xr:uid="{00000000-0005-0000-0000-0000C01E0000}"/>
    <cellStyle name="20% - Accent5 2 5 4" xfId="2007" xr:uid="{00000000-0005-0000-0000-0000C11E0000}"/>
    <cellStyle name="20% - Accent5 2 5 4 2" xfId="17000" xr:uid="{00000000-0005-0000-0000-0000C21E0000}"/>
    <cellStyle name="20% - Accent5 2 5 4 2 2" xfId="30407" xr:uid="{00000000-0005-0000-0000-0000C31E0000}"/>
    <cellStyle name="20% - Accent5 2 5 4 3" xfId="19332" xr:uid="{00000000-0005-0000-0000-0000C41E0000}"/>
    <cellStyle name="20% - Accent5 2 5 5" xfId="10521" xr:uid="{00000000-0005-0000-0000-0000C51E0000}"/>
    <cellStyle name="20% - Accent5 2 5 5 2" xfId="24463" xr:uid="{00000000-0005-0000-0000-0000C61E0000}"/>
    <cellStyle name="20% - Accent5 2 5 6" xfId="19329" xr:uid="{00000000-0005-0000-0000-0000C71E0000}"/>
    <cellStyle name="20% - Accent5 2 6" xfId="2008" xr:uid="{00000000-0005-0000-0000-0000C81E0000}"/>
    <cellStyle name="20% - Accent5 2 6 2" xfId="2009" xr:uid="{00000000-0005-0000-0000-0000C91E0000}"/>
    <cellStyle name="20% - Accent5 2 6 2 2" xfId="12510" xr:uid="{00000000-0005-0000-0000-0000CA1E0000}"/>
    <cellStyle name="20% - Accent5 2 6 2 2 2" xfId="26222" xr:uid="{00000000-0005-0000-0000-0000CB1E0000}"/>
    <cellStyle name="20% - Accent5 2 6 2 3" xfId="19334" xr:uid="{00000000-0005-0000-0000-0000CC1E0000}"/>
    <cellStyle name="20% - Accent5 2 6 3" xfId="2010" xr:uid="{00000000-0005-0000-0000-0000CD1E0000}"/>
    <cellStyle name="20% - Accent5 2 6 3 2" xfId="14944" xr:uid="{00000000-0005-0000-0000-0000CE1E0000}"/>
    <cellStyle name="20% - Accent5 2 6 3 2 2" xfId="28493" xr:uid="{00000000-0005-0000-0000-0000CF1E0000}"/>
    <cellStyle name="20% - Accent5 2 6 3 3" xfId="19335" xr:uid="{00000000-0005-0000-0000-0000D01E0000}"/>
    <cellStyle name="20% - Accent5 2 6 4" xfId="2011" xr:uid="{00000000-0005-0000-0000-0000D11E0000}"/>
    <cellStyle name="20% - Accent5 2 6 4 2" xfId="17116" xr:uid="{00000000-0005-0000-0000-0000D21E0000}"/>
    <cellStyle name="20% - Accent5 2 6 4 2 2" xfId="30475" xr:uid="{00000000-0005-0000-0000-0000D31E0000}"/>
    <cellStyle name="20% - Accent5 2 6 4 3" xfId="19336" xr:uid="{00000000-0005-0000-0000-0000D41E0000}"/>
    <cellStyle name="20% - Accent5 2 6 5" xfId="10815" xr:uid="{00000000-0005-0000-0000-0000D51E0000}"/>
    <cellStyle name="20% - Accent5 2 6 5 2" xfId="24757" xr:uid="{00000000-0005-0000-0000-0000D61E0000}"/>
    <cellStyle name="20% - Accent5 2 6 6" xfId="19333" xr:uid="{00000000-0005-0000-0000-0000D71E0000}"/>
    <cellStyle name="20% - Accent5 2 7" xfId="2012" xr:uid="{00000000-0005-0000-0000-0000D81E0000}"/>
    <cellStyle name="20% - Accent5 2 7 2" xfId="2013" xr:uid="{00000000-0005-0000-0000-0000D91E0000}"/>
    <cellStyle name="20% - Accent5 2 7 2 2" xfId="17205" xr:uid="{00000000-0005-0000-0000-0000DA1E0000}"/>
    <cellStyle name="20% - Accent5 2 7 2 2 2" xfId="30564" xr:uid="{00000000-0005-0000-0000-0000DB1E0000}"/>
    <cellStyle name="20% - Accent5 2 7 2 3" xfId="19338" xr:uid="{00000000-0005-0000-0000-0000DC1E0000}"/>
    <cellStyle name="20% - Accent5 2 7 3" xfId="11834" xr:uid="{00000000-0005-0000-0000-0000DD1E0000}"/>
    <cellStyle name="20% - Accent5 2 7 3 2" xfId="25549" xr:uid="{00000000-0005-0000-0000-0000DE1E0000}"/>
    <cellStyle name="20% - Accent5 2 7 4" xfId="19337" xr:uid="{00000000-0005-0000-0000-0000DF1E0000}"/>
    <cellStyle name="20% - Accent5 2 8" xfId="2014" xr:uid="{00000000-0005-0000-0000-0000E01E0000}"/>
    <cellStyle name="20% - Accent5 2 8 2" xfId="2015" xr:uid="{00000000-0005-0000-0000-0000E11E0000}"/>
    <cellStyle name="20% - Accent5 2 8 2 2" xfId="16480" xr:uid="{00000000-0005-0000-0000-0000E21E0000}"/>
    <cellStyle name="20% - Accent5 2 8 2 2 2" xfId="29887" xr:uid="{00000000-0005-0000-0000-0000E31E0000}"/>
    <cellStyle name="20% - Accent5 2 8 2 3" xfId="19340" xr:uid="{00000000-0005-0000-0000-0000E41E0000}"/>
    <cellStyle name="20% - Accent5 2 8 3" xfId="13432" xr:uid="{00000000-0005-0000-0000-0000E51E0000}"/>
    <cellStyle name="20% - Accent5 2 8 3 2" xfId="26981" xr:uid="{00000000-0005-0000-0000-0000E61E0000}"/>
    <cellStyle name="20% - Accent5 2 8 4" xfId="19339" xr:uid="{00000000-0005-0000-0000-0000E71E0000}"/>
    <cellStyle name="20% - Accent5 2 9" xfId="2016" xr:uid="{00000000-0005-0000-0000-0000E81E0000}"/>
    <cellStyle name="20% - Accent5 2 9 2" xfId="14013" xr:uid="{00000000-0005-0000-0000-0000E91E0000}"/>
    <cellStyle name="20% - Accent5 2 9 2 2" xfId="27562" xr:uid="{00000000-0005-0000-0000-0000EA1E0000}"/>
    <cellStyle name="20% - Accent5 2 9 3" xfId="19341" xr:uid="{00000000-0005-0000-0000-0000EB1E0000}"/>
    <cellStyle name="20% - Accent5 3" xfId="2017" xr:uid="{00000000-0005-0000-0000-0000EC1E0000}"/>
    <cellStyle name="20% - Accent5 3 10" xfId="19342" xr:uid="{00000000-0005-0000-0000-0000ED1E0000}"/>
    <cellStyle name="20% - Accent5 3 2" xfId="2018" xr:uid="{00000000-0005-0000-0000-0000EE1E0000}"/>
    <cellStyle name="20% - Accent5 3 2 2" xfId="2019" xr:uid="{00000000-0005-0000-0000-0000EF1E0000}"/>
    <cellStyle name="20% - Accent5 3 2 2 2" xfId="2020" xr:uid="{00000000-0005-0000-0000-0000F01E0000}"/>
    <cellStyle name="20% - Accent5 3 2 2 2 2" xfId="2021" xr:uid="{00000000-0005-0000-0000-0000F11E0000}"/>
    <cellStyle name="20% - Accent5 3 2 2 2 2 2" xfId="16935" xr:uid="{00000000-0005-0000-0000-0000F21E0000}"/>
    <cellStyle name="20% - Accent5 3 2 2 2 2 2 2" xfId="30342" xr:uid="{00000000-0005-0000-0000-0000F31E0000}"/>
    <cellStyle name="20% - Accent5 3 2 2 2 2 3" xfId="19346" xr:uid="{00000000-0005-0000-0000-0000F41E0000}"/>
    <cellStyle name="20% - Accent5 3 2 2 2 3" xfId="10825" xr:uid="{00000000-0005-0000-0000-0000F51E0000}"/>
    <cellStyle name="20% - Accent5 3 2 2 2 3 2" xfId="24767" xr:uid="{00000000-0005-0000-0000-0000F61E0000}"/>
    <cellStyle name="20% - Accent5 3 2 2 2 4" xfId="19345" xr:uid="{00000000-0005-0000-0000-0000F71E0000}"/>
    <cellStyle name="20% - Accent5 3 2 2 3" xfId="2022" xr:uid="{00000000-0005-0000-0000-0000F81E0000}"/>
    <cellStyle name="20% - Accent5 3 2 2 3 2" xfId="12323" xr:uid="{00000000-0005-0000-0000-0000F91E0000}"/>
    <cellStyle name="20% - Accent5 3 2 2 3 2 2" xfId="26035" xr:uid="{00000000-0005-0000-0000-0000FA1E0000}"/>
    <cellStyle name="20% - Accent5 3 2 2 3 3" xfId="19347" xr:uid="{00000000-0005-0000-0000-0000FB1E0000}"/>
    <cellStyle name="20% - Accent5 3 2 2 4" xfId="2023" xr:uid="{00000000-0005-0000-0000-0000FC1E0000}"/>
    <cellStyle name="20% - Accent5 3 2 2 4 2" xfId="13887" xr:uid="{00000000-0005-0000-0000-0000FD1E0000}"/>
    <cellStyle name="20% - Accent5 3 2 2 4 2 2" xfId="27436" xr:uid="{00000000-0005-0000-0000-0000FE1E0000}"/>
    <cellStyle name="20% - Accent5 3 2 2 4 3" xfId="19348" xr:uid="{00000000-0005-0000-0000-0000FF1E0000}"/>
    <cellStyle name="20% - Accent5 3 2 2 5" xfId="2024" xr:uid="{00000000-0005-0000-0000-0000001F0000}"/>
    <cellStyle name="20% - Accent5 3 2 2 5 2" xfId="14468" xr:uid="{00000000-0005-0000-0000-0000011F0000}"/>
    <cellStyle name="20% - Accent5 3 2 2 5 2 2" xfId="28017" xr:uid="{00000000-0005-0000-0000-0000021F0000}"/>
    <cellStyle name="20% - Accent5 3 2 2 5 3" xfId="19349" xr:uid="{00000000-0005-0000-0000-0000031F0000}"/>
    <cellStyle name="20% - Accent5 3 2 2 6" xfId="2025" xr:uid="{00000000-0005-0000-0000-0000041F0000}"/>
    <cellStyle name="20% - Accent5 3 2 2 6 2" xfId="16354" xr:uid="{00000000-0005-0000-0000-0000051F0000}"/>
    <cellStyle name="20% - Accent5 3 2 2 6 2 2" xfId="29761" xr:uid="{00000000-0005-0000-0000-0000061F0000}"/>
    <cellStyle name="20% - Accent5 3 2 2 6 3" xfId="19350" xr:uid="{00000000-0005-0000-0000-0000071F0000}"/>
    <cellStyle name="20% - Accent5 3 2 2 7" xfId="9099" xr:uid="{00000000-0005-0000-0000-0000081F0000}"/>
    <cellStyle name="20% - Accent5 3 2 2 7 2" xfId="23574" xr:uid="{00000000-0005-0000-0000-0000091F0000}"/>
    <cellStyle name="20% - Accent5 3 2 2 8" xfId="19344" xr:uid="{00000000-0005-0000-0000-00000A1F0000}"/>
    <cellStyle name="20% - Accent5 3 2 3" xfId="2026" xr:uid="{00000000-0005-0000-0000-00000B1F0000}"/>
    <cellStyle name="20% - Accent5 3 2 3 2" xfId="2027" xr:uid="{00000000-0005-0000-0000-00000C1F0000}"/>
    <cellStyle name="20% - Accent5 3 2 3 2 2" xfId="16646" xr:uid="{00000000-0005-0000-0000-00000D1F0000}"/>
    <cellStyle name="20% - Accent5 3 2 3 2 2 2" xfId="30053" xr:uid="{00000000-0005-0000-0000-00000E1F0000}"/>
    <cellStyle name="20% - Accent5 3 2 3 2 3" xfId="19352" xr:uid="{00000000-0005-0000-0000-00000F1F0000}"/>
    <cellStyle name="20% - Accent5 3 2 3 3" xfId="10824" xr:uid="{00000000-0005-0000-0000-0000101F0000}"/>
    <cellStyle name="20% - Accent5 3 2 3 3 2" xfId="24766" xr:uid="{00000000-0005-0000-0000-0000111F0000}"/>
    <cellStyle name="20% - Accent5 3 2 3 4" xfId="19351" xr:uid="{00000000-0005-0000-0000-0000121F0000}"/>
    <cellStyle name="20% - Accent5 3 2 4" xfId="2028" xr:uid="{00000000-0005-0000-0000-0000131F0000}"/>
    <cellStyle name="20% - Accent5 3 2 4 2" xfId="12023" xr:uid="{00000000-0005-0000-0000-0000141F0000}"/>
    <cellStyle name="20% - Accent5 3 2 4 2 2" xfId="25738" xr:uid="{00000000-0005-0000-0000-0000151F0000}"/>
    <cellStyle name="20% - Accent5 3 2 4 3" xfId="19353" xr:uid="{00000000-0005-0000-0000-0000161F0000}"/>
    <cellStyle name="20% - Accent5 3 2 5" xfId="2029" xr:uid="{00000000-0005-0000-0000-0000171F0000}"/>
    <cellStyle name="20% - Accent5 3 2 5 2" xfId="13598" xr:uid="{00000000-0005-0000-0000-0000181F0000}"/>
    <cellStyle name="20% - Accent5 3 2 5 2 2" xfId="27147" xr:uid="{00000000-0005-0000-0000-0000191F0000}"/>
    <cellStyle name="20% - Accent5 3 2 5 3" xfId="19354" xr:uid="{00000000-0005-0000-0000-00001A1F0000}"/>
    <cellStyle name="20% - Accent5 3 2 6" xfId="2030" xr:uid="{00000000-0005-0000-0000-00001B1F0000}"/>
    <cellStyle name="20% - Accent5 3 2 6 2" xfId="14179" xr:uid="{00000000-0005-0000-0000-00001C1F0000}"/>
    <cellStyle name="20% - Accent5 3 2 6 2 2" xfId="27728" xr:uid="{00000000-0005-0000-0000-00001D1F0000}"/>
    <cellStyle name="20% - Accent5 3 2 6 3" xfId="19355" xr:uid="{00000000-0005-0000-0000-00001E1F0000}"/>
    <cellStyle name="20% - Accent5 3 2 7" xfId="2031" xr:uid="{00000000-0005-0000-0000-00001F1F0000}"/>
    <cellStyle name="20% - Accent5 3 2 7 2" xfId="16065" xr:uid="{00000000-0005-0000-0000-0000201F0000}"/>
    <cellStyle name="20% - Accent5 3 2 7 2 2" xfId="29472" xr:uid="{00000000-0005-0000-0000-0000211F0000}"/>
    <cellStyle name="20% - Accent5 3 2 7 3" xfId="19356" xr:uid="{00000000-0005-0000-0000-0000221F0000}"/>
    <cellStyle name="20% - Accent5 3 2 8" xfId="9098" xr:uid="{00000000-0005-0000-0000-0000231F0000}"/>
    <cellStyle name="20% - Accent5 3 2 8 2" xfId="23573" xr:uid="{00000000-0005-0000-0000-0000241F0000}"/>
    <cellStyle name="20% - Accent5 3 2 9" xfId="19343" xr:uid="{00000000-0005-0000-0000-0000251F0000}"/>
    <cellStyle name="20% - Accent5 3 3" xfId="2032" xr:uid="{00000000-0005-0000-0000-0000261F0000}"/>
    <cellStyle name="20% - Accent5 3 3 2" xfId="2033" xr:uid="{00000000-0005-0000-0000-0000271F0000}"/>
    <cellStyle name="20% - Accent5 3 3 2 2" xfId="2034" xr:uid="{00000000-0005-0000-0000-0000281F0000}"/>
    <cellStyle name="20% - Accent5 3 3 2 2 2" xfId="16792" xr:uid="{00000000-0005-0000-0000-0000291F0000}"/>
    <cellStyle name="20% - Accent5 3 3 2 2 2 2" xfId="30199" xr:uid="{00000000-0005-0000-0000-00002A1F0000}"/>
    <cellStyle name="20% - Accent5 3 3 2 2 3" xfId="19359" xr:uid="{00000000-0005-0000-0000-00002B1F0000}"/>
    <cellStyle name="20% - Accent5 3 3 2 3" xfId="10826" xr:uid="{00000000-0005-0000-0000-00002C1F0000}"/>
    <cellStyle name="20% - Accent5 3 3 2 3 2" xfId="24768" xr:uid="{00000000-0005-0000-0000-00002D1F0000}"/>
    <cellStyle name="20% - Accent5 3 3 2 4" xfId="19358" xr:uid="{00000000-0005-0000-0000-00002E1F0000}"/>
    <cellStyle name="20% - Accent5 3 3 3" xfId="2035" xr:uid="{00000000-0005-0000-0000-00002F1F0000}"/>
    <cellStyle name="20% - Accent5 3 3 3 2" xfId="12180" xr:uid="{00000000-0005-0000-0000-0000301F0000}"/>
    <cellStyle name="20% - Accent5 3 3 3 2 2" xfId="25892" xr:uid="{00000000-0005-0000-0000-0000311F0000}"/>
    <cellStyle name="20% - Accent5 3 3 3 3" xfId="19360" xr:uid="{00000000-0005-0000-0000-0000321F0000}"/>
    <cellStyle name="20% - Accent5 3 3 4" xfId="2036" xr:uid="{00000000-0005-0000-0000-0000331F0000}"/>
    <cellStyle name="20% - Accent5 3 3 4 2" xfId="13744" xr:uid="{00000000-0005-0000-0000-0000341F0000}"/>
    <cellStyle name="20% - Accent5 3 3 4 2 2" xfId="27293" xr:uid="{00000000-0005-0000-0000-0000351F0000}"/>
    <cellStyle name="20% - Accent5 3 3 4 3" xfId="19361" xr:uid="{00000000-0005-0000-0000-0000361F0000}"/>
    <cellStyle name="20% - Accent5 3 3 5" xfId="2037" xr:uid="{00000000-0005-0000-0000-0000371F0000}"/>
    <cellStyle name="20% - Accent5 3 3 5 2" xfId="14325" xr:uid="{00000000-0005-0000-0000-0000381F0000}"/>
    <cellStyle name="20% - Accent5 3 3 5 2 2" xfId="27874" xr:uid="{00000000-0005-0000-0000-0000391F0000}"/>
    <cellStyle name="20% - Accent5 3 3 5 3" xfId="19362" xr:uid="{00000000-0005-0000-0000-00003A1F0000}"/>
    <cellStyle name="20% - Accent5 3 3 6" xfId="2038" xr:uid="{00000000-0005-0000-0000-00003B1F0000}"/>
    <cellStyle name="20% - Accent5 3 3 6 2" xfId="16211" xr:uid="{00000000-0005-0000-0000-00003C1F0000}"/>
    <cellStyle name="20% - Accent5 3 3 6 2 2" xfId="29618" xr:uid="{00000000-0005-0000-0000-00003D1F0000}"/>
    <cellStyle name="20% - Accent5 3 3 6 3" xfId="19363" xr:uid="{00000000-0005-0000-0000-00003E1F0000}"/>
    <cellStyle name="20% - Accent5 3 3 7" xfId="9100" xr:uid="{00000000-0005-0000-0000-00003F1F0000}"/>
    <cellStyle name="20% - Accent5 3 3 7 2" xfId="23575" xr:uid="{00000000-0005-0000-0000-0000401F0000}"/>
    <cellStyle name="20% - Accent5 3 3 8" xfId="19357" xr:uid="{00000000-0005-0000-0000-0000411F0000}"/>
    <cellStyle name="20% - Accent5 3 4" xfId="2039" xr:uid="{00000000-0005-0000-0000-0000421F0000}"/>
    <cellStyle name="20% - Accent5 3 4 2" xfId="2040" xr:uid="{00000000-0005-0000-0000-0000431F0000}"/>
    <cellStyle name="20% - Accent5 3 4 2 2" xfId="17139" xr:uid="{00000000-0005-0000-0000-0000441F0000}"/>
    <cellStyle name="20% - Accent5 3 4 2 2 2" xfId="30498" xr:uid="{00000000-0005-0000-0000-0000451F0000}"/>
    <cellStyle name="20% - Accent5 3 4 2 3" xfId="19365" xr:uid="{00000000-0005-0000-0000-0000461F0000}"/>
    <cellStyle name="20% - Accent5 3 4 3" xfId="10823" xr:uid="{00000000-0005-0000-0000-0000471F0000}"/>
    <cellStyle name="20% - Accent5 3 4 3 2" xfId="24765" xr:uid="{00000000-0005-0000-0000-0000481F0000}"/>
    <cellStyle name="20% - Accent5 3 4 4" xfId="19364" xr:uid="{00000000-0005-0000-0000-0000491F0000}"/>
    <cellStyle name="20% - Accent5 3 5" xfId="2041" xr:uid="{00000000-0005-0000-0000-00004A1F0000}"/>
    <cellStyle name="20% - Accent5 3 5 2" xfId="2042" xr:uid="{00000000-0005-0000-0000-00004B1F0000}"/>
    <cellStyle name="20% - Accent5 3 5 2 2" xfId="17228" xr:uid="{00000000-0005-0000-0000-00004C1F0000}"/>
    <cellStyle name="20% - Accent5 3 5 2 2 2" xfId="30587" xr:uid="{00000000-0005-0000-0000-00004D1F0000}"/>
    <cellStyle name="20% - Accent5 3 5 2 3" xfId="19367" xr:uid="{00000000-0005-0000-0000-00004E1F0000}"/>
    <cellStyle name="20% - Accent5 3 5 3" xfId="11875" xr:uid="{00000000-0005-0000-0000-00004F1F0000}"/>
    <cellStyle name="20% - Accent5 3 5 3 2" xfId="25590" xr:uid="{00000000-0005-0000-0000-0000501F0000}"/>
    <cellStyle name="20% - Accent5 3 5 4" xfId="19366" xr:uid="{00000000-0005-0000-0000-0000511F0000}"/>
    <cellStyle name="20% - Accent5 3 6" xfId="2043" xr:uid="{00000000-0005-0000-0000-0000521F0000}"/>
    <cellStyle name="20% - Accent5 3 6 2" xfId="2044" xr:uid="{00000000-0005-0000-0000-0000531F0000}"/>
    <cellStyle name="20% - Accent5 3 6 2 2" xfId="16503" xr:uid="{00000000-0005-0000-0000-0000541F0000}"/>
    <cellStyle name="20% - Accent5 3 6 2 2 2" xfId="29910" xr:uid="{00000000-0005-0000-0000-0000551F0000}"/>
    <cellStyle name="20% - Accent5 3 6 2 3" xfId="19369" xr:uid="{00000000-0005-0000-0000-0000561F0000}"/>
    <cellStyle name="20% - Accent5 3 6 3" xfId="13455" xr:uid="{00000000-0005-0000-0000-0000571F0000}"/>
    <cellStyle name="20% - Accent5 3 6 3 2" xfId="27004" xr:uid="{00000000-0005-0000-0000-0000581F0000}"/>
    <cellStyle name="20% - Accent5 3 6 4" xfId="19368" xr:uid="{00000000-0005-0000-0000-0000591F0000}"/>
    <cellStyle name="20% - Accent5 3 7" xfId="2045" xr:uid="{00000000-0005-0000-0000-00005A1F0000}"/>
    <cellStyle name="20% - Accent5 3 7 2" xfId="14036" xr:uid="{00000000-0005-0000-0000-00005B1F0000}"/>
    <cellStyle name="20% - Accent5 3 7 2 2" xfId="27585" xr:uid="{00000000-0005-0000-0000-00005C1F0000}"/>
    <cellStyle name="20% - Accent5 3 7 3" xfId="19370" xr:uid="{00000000-0005-0000-0000-00005D1F0000}"/>
    <cellStyle name="20% - Accent5 3 8" xfId="2046" xr:uid="{00000000-0005-0000-0000-00005E1F0000}"/>
    <cellStyle name="20% - Accent5 3 8 2" xfId="15922" xr:uid="{00000000-0005-0000-0000-00005F1F0000}"/>
    <cellStyle name="20% - Accent5 3 8 2 2" xfId="29329" xr:uid="{00000000-0005-0000-0000-0000601F0000}"/>
    <cellStyle name="20% - Accent5 3 8 3" xfId="19371" xr:uid="{00000000-0005-0000-0000-0000611F0000}"/>
    <cellStyle name="20% - Accent5 3 9" xfId="9097" xr:uid="{00000000-0005-0000-0000-0000621F0000}"/>
    <cellStyle name="20% - Accent5 3 9 2" xfId="23572" xr:uid="{00000000-0005-0000-0000-0000631F0000}"/>
    <cellStyle name="20% - Accent5 4" xfId="2047" xr:uid="{00000000-0005-0000-0000-0000641F0000}"/>
    <cellStyle name="20% - Accent5 4 10" xfId="19372" xr:uid="{00000000-0005-0000-0000-0000651F0000}"/>
    <cellStyle name="20% - Accent5 4 2" xfId="2048" xr:uid="{00000000-0005-0000-0000-0000661F0000}"/>
    <cellStyle name="20% - Accent5 4 2 2" xfId="2049" xr:uid="{00000000-0005-0000-0000-0000671F0000}"/>
    <cellStyle name="20% - Accent5 4 2 2 2" xfId="2050" xr:uid="{00000000-0005-0000-0000-0000681F0000}"/>
    <cellStyle name="20% - Accent5 4 2 2 2 2" xfId="2051" xr:uid="{00000000-0005-0000-0000-0000691F0000}"/>
    <cellStyle name="20% - Accent5 4 2 2 2 2 2" xfId="16885" xr:uid="{00000000-0005-0000-0000-00006A1F0000}"/>
    <cellStyle name="20% - Accent5 4 2 2 2 2 2 2" xfId="30292" xr:uid="{00000000-0005-0000-0000-00006B1F0000}"/>
    <cellStyle name="20% - Accent5 4 2 2 2 2 3" xfId="19376" xr:uid="{00000000-0005-0000-0000-00006C1F0000}"/>
    <cellStyle name="20% - Accent5 4 2 2 2 3" xfId="10829" xr:uid="{00000000-0005-0000-0000-00006D1F0000}"/>
    <cellStyle name="20% - Accent5 4 2 2 2 3 2" xfId="24771" xr:uid="{00000000-0005-0000-0000-00006E1F0000}"/>
    <cellStyle name="20% - Accent5 4 2 2 2 4" xfId="19375" xr:uid="{00000000-0005-0000-0000-00006F1F0000}"/>
    <cellStyle name="20% - Accent5 4 2 2 3" xfId="2052" xr:uid="{00000000-0005-0000-0000-0000701F0000}"/>
    <cellStyle name="20% - Accent5 4 2 2 3 2" xfId="12273" xr:uid="{00000000-0005-0000-0000-0000711F0000}"/>
    <cellStyle name="20% - Accent5 4 2 2 3 2 2" xfId="25985" xr:uid="{00000000-0005-0000-0000-0000721F0000}"/>
    <cellStyle name="20% - Accent5 4 2 2 3 3" xfId="19377" xr:uid="{00000000-0005-0000-0000-0000731F0000}"/>
    <cellStyle name="20% - Accent5 4 2 2 4" xfId="2053" xr:uid="{00000000-0005-0000-0000-0000741F0000}"/>
    <cellStyle name="20% - Accent5 4 2 2 4 2" xfId="13837" xr:uid="{00000000-0005-0000-0000-0000751F0000}"/>
    <cellStyle name="20% - Accent5 4 2 2 4 2 2" xfId="27386" xr:uid="{00000000-0005-0000-0000-0000761F0000}"/>
    <cellStyle name="20% - Accent5 4 2 2 4 3" xfId="19378" xr:uid="{00000000-0005-0000-0000-0000771F0000}"/>
    <cellStyle name="20% - Accent5 4 2 2 5" xfId="2054" xr:uid="{00000000-0005-0000-0000-0000781F0000}"/>
    <cellStyle name="20% - Accent5 4 2 2 5 2" xfId="14418" xr:uid="{00000000-0005-0000-0000-0000791F0000}"/>
    <cellStyle name="20% - Accent5 4 2 2 5 2 2" xfId="27967" xr:uid="{00000000-0005-0000-0000-00007A1F0000}"/>
    <cellStyle name="20% - Accent5 4 2 2 5 3" xfId="19379" xr:uid="{00000000-0005-0000-0000-00007B1F0000}"/>
    <cellStyle name="20% - Accent5 4 2 2 6" xfId="2055" xr:uid="{00000000-0005-0000-0000-00007C1F0000}"/>
    <cellStyle name="20% - Accent5 4 2 2 6 2" xfId="16304" xr:uid="{00000000-0005-0000-0000-00007D1F0000}"/>
    <cellStyle name="20% - Accent5 4 2 2 6 2 2" xfId="29711" xr:uid="{00000000-0005-0000-0000-00007E1F0000}"/>
    <cellStyle name="20% - Accent5 4 2 2 6 3" xfId="19380" xr:uid="{00000000-0005-0000-0000-00007F1F0000}"/>
    <cellStyle name="20% - Accent5 4 2 2 7" xfId="9103" xr:uid="{00000000-0005-0000-0000-0000801F0000}"/>
    <cellStyle name="20% - Accent5 4 2 2 7 2" xfId="23578" xr:uid="{00000000-0005-0000-0000-0000811F0000}"/>
    <cellStyle name="20% - Accent5 4 2 2 8" xfId="19374" xr:uid="{00000000-0005-0000-0000-0000821F0000}"/>
    <cellStyle name="20% - Accent5 4 2 3" xfId="2056" xr:uid="{00000000-0005-0000-0000-0000831F0000}"/>
    <cellStyle name="20% - Accent5 4 2 3 2" xfId="2057" xr:uid="{00000000-0005-0000-0000-0000841F0000}"/>
    <cellStyle name="20% - Accent5 4 2 3 2 2" xfId="16596" xr:uid="{00000000-0005-0000-0000-0000851F0000}"/>
    <cellStyle name="20% - Accent5 4 2 3 2 2 2" xfId="30003" xr:uid="{00000000-0005-0000-0000-0000861F0000}"/>
    <cellStyle name="20% - Accent5 4 2 3 2 3" xfId="19382" xr:uid="{00000000-0005-0000-0000-0000871F0000}"/>
    <cellStyle name="20% - Accent5 4 2 3 3" xfId="10828" xr:uid="{00000000-0005-0000-0000-0000881F0000}"/>
    <cellStyle name="20% - Accent5 4 2 3 3 2" xfId="24770" xr:uid="{00000000-0005-0000-0000-0000891F0000}"/>
    <cellStyle name="20% - Accent5 4 2 3 4" xfId="19381" xr:uid="{00000000-0005-0000-0000-00008A1F0000}"/>
    <cellStyle name="20% - Accent5 4 2 4" xfId="2058" xr:uid="{00000000-0005-0000-0000-00008B1F0000}"/>
    <cellStyle name="20% - Accent5 4 2 4 2" xfId="11973" xr:uid="{00000000-0005-0000-0000-00008C1F0000}"/>
    <cellStyle name="20% - Accent5 4 2 4 2 2" xfId="25688" xr:uid="{00000000-0005-0000-0000-00008D1F0000}"/>
    <cellStyle name="20% - Accent5 4 2 4 3" xfId="19383" xr:uid="{00000000-0005-0000-0000-00008E1F0000}"/>
    <cellStyle name="20% - Accent5 4 2 5" xfId="2059" xr:uid="{00000000-0005-0000-0000-00008F1F0000}"/>
    <cellStyle name="20% - Accent5 4 2 5 2" xfId="13548" xr:uid="{00000000-0005-0000-0000-0000901F0000}"/>
    <cellStyle name="20% - Accent5 4 2 5 2 2" xfId="27097" xr:uid="{00000000-0005-0000-0000-0000911F0000}"/>
    <cellStyle name="20% - Accent5 4 2 5 3" xfId="19384" xr:uid="{00000000-0005-0000-0000-0000921F0000}"/>
    <cellStyle name="20% - Accent5 4 2 6" xfId="2060" xr:uid="{00000000-0005-0000-0000-0000931F0000}"/>
    <cellStyle name="20% - Accent5 4 2 6 2" xfId="14129" xr:uid="{00000000-0005-0000-0000-0000941F0000}"/>
    <cellStyle name="20% - Accent5 4 2 6 2 2" xfId="27678" xr:uid="{00000000-0005-0000-0000-0000951F0000}"/>
    <cellStyle name="20% - Accent5 4 2 6 3" xfId="19385" xr:uid="{00000000-0005-0000-0000-0000961F0000}"/>
    <cellStyle name="20% - Accent5 4 2 7" xfId="2061" xr:uid="{00000000-0005-0000-0000-0000971F0000}"/>
    <cellStyle name="20% - Accent5 4 2 7 2" xfId="16015" xr:uid="{00000000-0005-0000-0000-0000981F0000}"/>
    <cellStyle name="20% - Accent5 4 2 7 2 2" xfId="29422" xr:uid="{00000000-0005-0000-0000-0000991F0000}"/>
    <cellStyle name="20% - Accent5 4 2 7 3" xfId="19386" xr:uid="{00000000-0005-0000-0000-00009A1F0000}"/>
    <cellStyle name="20% - Accent5 4 2 8" xfId="9102" xr:uid="{00000000-0005-0000-0000-00009B1F0000}"/>
    <cellStyle name="20% - Accent5 4 2 8 2" xfId="23577" xr:uid="{00000000-0005-0000-0000-00009C1F0000}"/>
    <cellStyle name="20% - Accent5 4 2 9" xfId="19373" xr:uid="{00000000-0005-0000-0000-00009D1F0000}"/>
    <cellStyle name="20% - Accent5 4 3" xfId="2062" xr:uid="{00000000-0005-0000-0000-00009E1F0000}"/>
    <cellStyle name="20% - Accent5 4 3 2" xfId="2063" xr:uid="{00000000-0005-0000-0000-00009F1F0000}"/>
    <cellStyle name="20% - Accent5 4 3 2 2" xfId="2064" xr:uid="{00000000-0005-0000-0000-0000A01F0000}"/>
    <cellStyle name="20% - Accent5 4 3 2 2 2" xfId="16745" xr:uid="{00000000-0005-0000-0000-0000A11F0000}"/>
    <cellStyle name="20% - Accent5 4 3 2 2 2 2" xfId="30152" xr:uid="{00000000-0005-0000-0000-0000A21F0000}"/>
    <cellStyle name="20% - Accent5 4 3 2 2 3" xfId="19389" xr:uid="{00000000-0005-0000-0000-0000A31F0000}"/>
    <cellStyle name="20% - Accent5 4 3 2 3" xfId="10830" xr:uid="{00000000-0005-0000-0000-0000A41F0000}"/>
    <cellStyle name="20% - Accent5 4 3 2 3 2" xfId="24772" xr:uid="{00000000-0005-0000-0000-0000A51F0000}"/>
    <cellStyle name="20% - Accent5 4 3 2 4" xfId="19388" xr:uid="{00000000-0005-0000-0000-0000A61F0000}"/>
    <cellStyle name="20% - Accent5 4 3 3" xfId="2065" xr:uid="{00000000-0005-0000-0000-0000A71F0000}"/>
    <cellStyle name="20% - Accent5 4 3 3 2" xfId="12133" xr:uid="{00000000-0005-0000-0000-0000A81F0000}"/>
    <cellStyle name="20% - Accent5 4 3 3 2 2" xfId="25845" xr:uid="{00000000-0005-0000-0000-0000A91F0000}"/>
    <cellStyle name="20% - Accent5 4 3 3 3" xfId="19390" xr:uid="{00000000-0005-0000-0000-0000AA1F0000}"/>
    <cellStyle name="20% - Accent5 4 3 4" xfId="2066" xr:uid="{00000000-0005-0000-0000-0000AB1F0000}"/>
    <cellStyle name="20% - Accent5 4 3 4 2" xfId="13697" xr:uid="{00000000-0005-0000-0000-0000AC1F0000}"/>
    <cellStyle name="20% - Accent5 4 3 4 2 2" xfId="27246" xr:uid="{00000000-0005-0000-0000-0000AD1F0000}"/>
    <cellStyle name="20% - Accent5 4 3 4 3" xfId="19391" xr:uid="{00000000-0005-0000-0000-0000AE1F0000}"/>
    <cellStyle name="20% - Accent5 4 3 5" xfId="2067" xr:uid="{00000000-0005-0000-0000-0000AF1F0000}"/>
    <cellStyle name="20% - Accent5 4 3 5 2" xfId="14278" xr:uid="{00000000-0005-0000-0000-0000B01F0000}"/>
    <cellStyle name="20% - Accent5 4 3 5 2 2" xfId="27827" xr:uid="{00000000-0005-0000-0000-0000B11F0000}"/>
    <cellStyle name="20% - Accent5 4 3 5 3" xfId="19392" xr:uid="{00000000-0005-0000-0000-0000B21F0000}"/>
    <cellStyle name="20% - Accent5 4 3 6" xfId="2068" xr:uid="{00000000-0005-0000-0000-0000B31F0000}"/>
    <cellStyle name="20% - Accent5 4 3 6 2" xfId="16164" xr:uid="{00000000-0005-0000-0000-0000B41F0000}"/>
    <cellStyle name="20% - Accent5 4 3 6 2 2" xfId="29571" xr:uid="{00000000-0005-0000-0000-0000B51F0000}"/>
    <cellStyle name="20% - Accent5 4 3 6 3" xfId="19393" xr:uid="{00000000-0005-0000-0000-0000B61F0000}"/>
    <cellStyle name="20% - Accent5 4 3 7" xfId="9104" xr:uid="{00000000-0005-0000-0000-0000B71F0000}"/>
    <cellStyle name="20% - Accent5 4 3 7 2" xfId="23579" xr:uid="{00000000-0005-0000-0000-0000B81F0000}"/>
    <cellStyle name="20% - Accent5 4 3 8" xfId="19387" xr:uid="{00000000-0005-0000-0000-0000B91F0000}"/>
    <cellStyle name="20% - Accent5 4 4" xfId="2069" xr:uid="{00000000-0005-0000-0000-0000BA1F0000}"/>
    <cellStyle name="20% - Accent5 4 4 2" xfId="2070" xr:uid="{00000000-0005-0000-0000-0000BB1F0000}"/>
    <cellStyle name="20% - Accent5 4 4 2 2" xfId="16453" xr:uid="{00000000-0005-0000-0000-0000BC1F0000}"/>
    <cellStyle name="20% - Accent5 4 4 2 2 2" xfId="29860" xr:uid="{00000000-0005-0000-0000-0000BD1F0000}"/>
    <cellStyle name="20% - Accent5 4 4 2 3" xfId="19395" xr:uid="{00000000-0005-0000-0000-0000BE1F0000}"/>
    <cellStyle name="20% - Accent5 4 4 3" xfId="10827" xr:uid="{00000000-0005-0000-0000-0000BF1F0000}"/>
    <cellStyle name="20% - Accent5 4 4 3 2" xfId="24769" xr:uid="{00000000-0005-0000-0000-0000C01F0000}"/>
    <cellStyle name="20% - Accent5 4 4 4" xfId="19394" xr:uid="{00000000-0005-0000-0000-0000C11F0000}"/>
    <cellStyle name="20% - Accent5 4 5" xfId="2071" xr:uid="{00000000-0005-0000-0000-0000C21F0000}"/>
    <cellStyle name="20% - Accent5 4 5 2" xfId="11804" xr:uid="{00000000-0005-0000-0000-0000C31F0000}"/>
    <cellStyle name="20% - Accent5 4 5 2 2" xfId="25519" xr:uid="{00000000-0005-0000-0000-0000C41F0000}"/>
    <cellStyle name="20% - Accent5 4 5 3" xfId="19396" xr:uid="{00000000-0005-0000-0000-0000C51F0000}"/>
    <cellStyle name="20% - Accent5 4 6" xfId="2072" xr:uid="{00000000-0005-0000-0000-0000C61F0000}"/>
    <cellStyle name="20% - Accent5 4 6 2" xfId="13405" xr:uid="{00000000-0005-0000-0000-0000C71F0000}"/>
    <cellStyle name="20% - Accent5 4 6 2 2" xfId="26954" xr:uid="{00000000-0005-0000-0000-0000C81F0000}"/>
    <cellStyle name="20% - Accent5 4 6 3" xfId="19397" xr:uid="{00000000-0005-0000-0000-0000C91F0000}"/>
    <cellStyle name="20% - Accent5 4 7" xfId="2073" xr:uid="{00000000-0005-0000-0000-0000CA1F0000}"/>
    <cellStyle name="20% - Accent5 4 7 2" xfId="13986" xr:uid="{00000000-0005-0000-0000-0000CB1F0000}"/>
    <cellStyle name="20% - Accent5 4 7 2 2" xfId="27535" xr:uid="{00000000-0005-0000-0000-0000CC1F0000}"/>
    <cellStyle name="20% - Accent5 4 7 3" xfId="19398" xr:uid="{00000000-0005-0000-0000-0000CD1F0000}"/>
    <cellStyle name="20% - Accent5 4 8" xfId="2074" xr:uid="{00000000-0005-0000-0000-0000CE1F0000}"/>
    <cellStyle name="20% - Accent5 4 8 2" xfId="15872" xr:uid="{00000000-0005-0000-0000-0000CF1F0000}"/>
    <cellStyle name="20% - Accent5 4 8 2 2" xfId="29279" xr:uid="{00000000-0005-0000-0000-0000D01F0000}"/>
    <cellStyle name="20% - Accent5 4 8 3" xfId="19399" xr:uid="{00000000-0005-0000-0000-0000D11F0000}"/>
    <cellStyle name="20% - Accent5 4 9" xfId="9101" xr:uid="{00000000-0005-0000-0000-0000D21F0000}"/>
    <cellStyle name="20% - Accent5 4 9 2" xfId="23576" xr:uid="{00000000-0005-0000-0000-0000D31F0000}"/>
    <cellStyle name="20% - Accent5 5" xfId="2075" xr:uid="{00000000-0005-0000-0000-0000D41F0000}"/>
    <cellStyle name="20% - Accent5 5 10" xfId="19400" xr:uid="{00000000-0005-0000-0000-0000D51F0000}"/>
    <cellStyle name="20% - Accent5 5 2" xfId="2076" xr:uid="{00000000-0005-0000-0000-0000D61F0000}"/>
    <cellStyle name="20% - Accent5 5 2 2" xfId="2077" xr:uid="{00000000-0005-0000-0000-0000D71F0000}"/>
    <cellStyle name="20% - Accent5 5 2 2 2" xfId="2078" xr:uid="{00000000-0005-0000-0000-0000D81F0000}"/>
    <cellStyle name="20% - Accent5 5 2 2 2 2" xfId="2079" xr:uid="{00000000-0005-0000-0000-0000D91F0000}"/>
    <cellStyle name="20% - Accent5 5 2 2 2 2 2" xfId="16868" xr:uid="{00000000-0005-0000-0000-0000DA1F0000}"/>
    <cellStyle name="20% - Accent5 5 2 2 2 2 2 2" xfId="30275" xr:uid="{00000000-0005-0000-0000-0000DB1F0000}"/>
    <cellStyle name="20% - Accent5 5 2 2 2 2 3" xfId="19404" xr:uid="{00000000-0005-0000-0000-0000DC1F0000}"/>
    <cellStyle name="20% - Accent5 5 2 2 2 3" xfId="10833" xr:uid="{00000000-0005-0000-0000-0000DD1F0000}"/>
    <cellStyle name="20% - Accent5 5 2 2 2 3 2" xfId="24775" xr:uid="{00000000-0005-0000-0000-0000DE1F0000}"/>
    <cellStyle name="20% - Accent5 5 2 2 2 4" xfId="19403" xr:uid="{00000000-0005-0000-0000-0000DF1F0000}"/>
    <cellStyle name="20% - Accent5 5 2 2 3" xfId="2080" xr:uid="{00000000-0005-0000-0000-0000E01F0000}"/>
    <cellStyle name="20% - Accent5 5 2 2 3 2" xfId="12256" xr:uid="{00000000-0005-0000-0000-0000E11F0000}"/>
    <cellStyle name="20% - Accent5 5 2 2 3 2 2" xfId="25968" xr:uid="{00000000-0005-0000-0000-0000E21F0000}"/>
    <cellStyle name="20% - Accent5 5 2 2 3 3" xfId="19405" xr:uid="{00000000-0005-0000-0000-0000E31F0000}"/>
    <cellStyle name="20% - Accent5 5 2 2 4" xfId="2081" xr:uid="{00000000-0005-0000-0000-0000E41F0000}"/>
    <cellStyle name="20% - Accent5 5 2 2 4 2" xfId="13820" xr:uid="{00000000-0005-0000-0000-0000E51F0000}"/>
    <cellStyle name="20% - Accent5 5 2 2 4 2 2" xfId="27369" xr:uid="{00000000-0005-0000-0000-0000E61F0000}"/>
    <cellStyle name="20% - Accent5 5 2 2 4 3" xfId="19406" xr:uid="{00000000-0005-0000-0000-0000E71F0000}"/>
    <cellStyle name="20% - Accent5 5 2 2 5" xfId="2082" xr:uid="{00000000-0005-0000-0000-0000E81F0000}"/>
    <cellStyle name="20% - Accent5 5 2 2 5 2" xfId="14401" xr:uid="{00000000-0005-0000-0000-0000E91F0000}"/>
    <cellStyle name="20% - Accent5 5 2 2 5 2 2" xfId="27950" xr:uid="{00000000-0005-0000-0000-0000EA1F0000}"/>
    <cellStyle name="20% - Accent5 5 2 2 5 3" xfId="19407" xr:uid="{00000000-0005-0000-0000-0000EB1F0000}"/>
    <cellStyle name="20% - Accent5 5 2 2 6" xfId="2083" xr:uid="{00000000-0005-0000-0000-0000EC1F0000}"/>
    <cellStyle name="20% - Accent5 5 2 2 6 2" xfId="16287" xr:uid="{00000000-0005-0000-0000-0000ED1F0000}"/>
    <cellStyle name="20% - Accent5 5 2 2 6 2 2" xfId="29694" xr:uid="{00000000-0005-0000-0000-0000EE1F0000}"/>
    <cellStyle name="20% - Accent5 5 2 2 6 3" xfId="19408" xr:uid="{00000000-0005-0000-0000-0000EF1F0000}"/>
    <cellStyle name="20% - Accent5 5 2 2 7" xfId="9107" xr:uid="{00000000-0005-0000-0000-0000F01F0000}"/>
    <cellStyle name="20% - Accent5 5 2 2 7 2" xfId="23582" xr:uid="{00000000-0005-0000-0000-0000F11F0000}"/>
    <cellStyle name="20% - Accent5 5 2 2 8" xfId="19402" xr:uid="{00000000-0005-0000-0000-0000F21F0000}"/>
    <cellStyle name="20% - Accent5 5 2 3" xfId="2084" xr:uid="{00000000-0005-0000-0000-0000F31F0000}"/>
    <cellStyle name="20% - Accent5 5 2 3 2" xfId="2085" xr:uid="{00000000-0005-0000-0000-0000F41F0000}"/>
    <cellStyle name="20% - Accent5 5 2 3 2 2" xfId="16579" xr:uid="{00000000-0005-0000-0000-0000F51F0000}"/>
    <cellStyle name="20% - Accent5 5 2 3 2 2 2" xfId="29986" xr:uid="{00000000-0005-0000-0000-0000F61F0000}"/>
    <cellStyle name="20% - Accent5 5 2 3 2 3" xfId="19410" xr:uid="{00000000-0005-0000-0000-0000F71F0000}"/>
    <cellStyle name="20% - Accent5 5 2 3 3" xfId="10832" xr:uid="{00000000-0005-0000-0000-0000F81F0000}"/>
    <cellStyle name="20% - Accent5 5 2 3 3 2" xfId="24774" xr:uid="{00000000-0005-0000-0000-0000F91F0000}"/>
    <cellStyle name="20% - Accent5 5 2 3 4" xfId="19409" xr:uid="{00000000-0005-0000-0000-0000FA1F0000}"/>
    <cellStyle name="20% - Accent5 5 2 4" xfId="2086" xr:uid="{00000000-0005-0000-0000-0000FB1F0000}"/>
    <cellStyle name="20% - Accent5 5 2 4 2" xfId="11956" xr:uid="{00000000-0005-0000-0000-0000FC1F0000}"/>
    <cellStyle name="20% - Accent5 5 2 4 2 2" xfId="25671" xr:uid="{00000000-0005-0000-0000-0000FD1F0000}"/>
    <cellStyle name="20% - Accent5 5 2 4 3" xfId="19411" xr:uid="{00000000-0005-0000-0000-0000FE1F0000}"/>
    <cellStyle name="20% - Accent5 5 2 5" xfId="2087" xr:uid="{00000000-0005-0000-0000-0000FF1F0000}"/>
    <cellStyle name="20% - Accent5 5 2 5 2" xfId="13531" xr:uid="{00000000-0005-0000-0000-000000200000}"/>
    <cellStyle name="20% - Accent5 5 2 5 2 2" xfId="27080" xr:uid="{00000000-0005-0000-0000-000001200000}"/>
    <cellStyle name="20% - Accent5 5 2 5 3" xfId="19412" xr:uid="{00000000-0005-0000-0000-000002200000}"/>
    <cellStyle name="20% - Accent5 5 2 6" xfId="2088" xr:uid="{00000000-0005-0000-0000-000003200000}"/>
    <cellStyle name="20% - Accent5 5 2 6 2" xfId="14112" xr:uid="{00000000-0005-0000-0000-000004200000}"/>
    <cellStyle name="20% - Accent5 5 2 6 2 2" xfId="27661" xr:uid="{00000000-0005-0000-0000-000005200000}"/>
    <cellStyle name="20% - Accent5 5 2 6 3" xfId="19413" xr:uid="{00000000-0005-0000-0000-000006200000}"/>
    <cellStyle name="20% - Accent5 5 2 7" xfId="2089" xr:uid="{00000000-0005-0000-0000-000007200000}"/>
    <cellStyle name="20% - Accent5 5 2 7 2" xfId="15998" xr:uid="{00000000-0005-0000-0000-000008200000}"/>
    <cellStyle name="20% - Accent5 5 2 7 2 2" xfId="29405" xr:uid="{00000000-0005-0000-0000-000009200000}"/>
    <cellStyle name="20% - Accent5 5 2 7 3" xfId="19414" xr:uid="{00000000-0005-0000-0000-00000A200000}"/>
    <cellStyle name="20% - Accent5 5 2 8" xfId="9106" xr:uid="{00000000-0005-0000-0000-00000B200000}"/>
    <cellStyle name="20% - Accent5 5 2 8 2" xfId="23581" xr:uid="{00000000-0005-0000-0000-00000C200000}"/>
    <cellStyle name="20% - Accent5 5 2 9" xfId="19401" xr:uid="{00000000-0005-0000-0000-00000D200000}"/>
    <cellStyle name="20% - Accent5 5 3" xfId="2090" xr:uid="{00000000-0005-0000-0000-00000E200000}"/>
    <cellStyle name="20% - Accent5 5 3 2" xfId="2091" xr:uid="{00000000-0005-0000-0000-00000F200000}"/>
    <cellStyle name="20% - Accent5 5 3 2 2" xfId="2092" xr:uid="{00000000-0005-0000-0000-000010200000}"/>
    <cellStyle name="20% - Accent5 5 3 2 2 2" xfId="16728" xr:uid="{00000000-0005-0000-0000-000011200000}"/>
    <cellStyle name="20% - Accent5 5 3 2 2 2 2" xfId="30135" xr:uid="{00000000-0005-0000-0000-000012200000}"/>
    <cellStyle name="20% - Accent5 5 3 2 2 3" xfId="19417" xr:uid="{00000000-0005-0000-0000-000013200000}"/>
    <cellStyle name="20% - Accent5 5 3 2 3" xfId="10834" xr:uid="{00000000-0005-0000-0000-000014200000}"/>
    <cellStyle name="20% - Accent5 5 3 2 3 2" xfId="24776" xr:uid="{00000000-0005-0000-0000-000015200000}"/>
    <cellStyle name="20% - Accent5 5 3 2 4" xfId="19416" xr:uid="{00000000-0005-0000-0000-000016200000}"/>
    <cellStyle name="20% - Accent5 5 3 3" xfId="2093" xr:uid="{00000000-0005-0000-0000-000017200000}"/>
    <cellStyle name="20% - Accent5 5 3 3 2" xfId="12116" xr:uid="{00000000-0005-0000-0000-000018200000}"/>
    <cellStyle name="20% - Accent5 5 3 3 2 2" xfId="25828" xr:uid="{00000000-0005-0000-0000-000019200000}"/>
    <cellStyle name="20% - Accent5 5 3 3 3" xfId="19418" xr:uid="{00000000-0005-0000-0000-00001A200000}"/>
    <cellStyle name="20% - Accent5 5 3 4" xfId="2094" xr:uid="{00000000-0005-0000-0000-00001B200000}"/>
    <cellStyle name="20% - Accent5 5 3 4 2" xfId="13680" xr:uid="{00000000-0005-0000-0000-00001C200000}"/>
    <cellStyle name="20% - Accent5 5 3 4 2 2" xfId="27229" xr:uid="{00000000-0005-0000-0000-00001D200000}"/>
    <cellStyle name="20% - Accent5 5 3 4 3" xfId="19419" xr:uid="{00000000-0005-0000-0000-00001E200000}"/>
    <cellStyle name="20% - Accent5 5 3 5" xfId="2095" xr:uid="{00000000-0005-0000-0000-00001F200000}"/>
    <cellStyle name="20% - Accent5 5 3 5 2" xfId="14261" xr:uid="{00000000-0005-0000-0000-000020200000}"/>
    <cellStyle name="20% - Accent5 5 3 5 2 2" xfId="27810" xr:uid="{00000000-0005-0000-0000-000021200000}"/>
    <cellStyle name="20% - Accent5 5 3 5 3" xfId="19420" xr:uid="{00000000-0005-0000-0000-000022200000}"/>
    <cellStyle name="20% - Accent5 5 3 6" xfId="2096" xr:uid="{00000000-0005-0000-0000-000023200000}"/>
    <cellStyle name="20% - Accent5 5 3 6 2" xfId="16147" xr:uid="{00000000-0005-0000-0000-000024200000}"/>
    <cellStyle name="20% - Accent5 5 3 6 2 2" xfId="29554" xr:uid="{00000000-0005-0000-0000-000025200000}"/>
    <cellStyle name="20% - Accent5 5 3 6 3" xfId="19421" xr:uid="{00000000-0005-0000-0000-000026200000}"/>
    <cellStyle name="20% - Accent5 5 3 7" xfId="9108" xr:uid="{00000000-0005-0000-0000-000027200000}"/>
    <cellStyle name="20% - Accent5 5 3 7 2" xfId="23583" xr:uid="{00000000-0005-0000-0000-000028200000}"/>
    <cellStyle name="20% - Accent5 5 3 8" xfId="19415" xr:uid="{00000000-0005-0000-0000-000029200000}"/>
    <cellStyle name="20% - Accent5 5 4" xfId="2097" xr:uid="{00000000-0005-0000-0000-00002A200000}"/>
    <cellStyle name="20% - Accent5 5 4 2" xfId="2098" xr:uid="{00000000-0005-0000-0000-00002B200000}"/>
    <cellStyle name="20% - Accent5 5 4 2 2" xfId="16436" xr:uid="{00000000-0005-0000-0000-00002C200000}"/>
    <cellStyle name="20% - Accent5 5 4 2 2 2" xfId="29843" xr:uid="{00000000-0005-0000-0000-00002D200000}"/>
    <cellStyle name="20% - Accent5 5 4 2 3" xfId="19423" xr:uid="{00000000-0005-0000-0000-00002E200000}"/>
    <cellStyle name="20% - Accent5 5 4 3" xfId="10831" xr:uid="{00000000-0005-0000-0000-00002F200000}"/>
    <cellStyle name="20% - Accent5 5 4 3 2" xfId="24773" xr:uid="{00000000-0005-0000-0000-000030200000}"/>
    <cellStyle name="20% - Accent5 5 4 4" xfId="19422" xr:uid="{00000000-0005-0000-0000-000031200000}"/>
    <cellStyle name="20% - Accent5 5 5" xfId="2099" xr:uid="{00000000-0005-0000-0000-000032200000}"/>
    <cellStyle name="20% - Accent5 5 5 2" xfId="11787" xr:uid="{00000000-0005-0000-0000-000033200000}"/>
    <cellStyle name="20% - Accent5 5 5 2 2" xfId="25502" xr:uid="{00000000-0005-0000-0000-000034200000}"/>
    <cellStyle name="20% - Accent5 5 5 3" xfId="19424" xr:uid="{00000000-0005-0000-0000-000035200000}"/>
    <cellStyle name="20% - Accent5 5 6" xfId="2100" xr:uid="{00000000-0005-0000-0000-000036200000}"/>
    <cellStyle name="20% - Accent5 5 6 2" xfId="13388" xr:uid="{00000000-0005-0000-0000-000037200000}"/>
    <cellStyle name="20% - Accent5 5 6 2 2" xfId="26937" xr:uid="{00000000-0005-0000-0000-000038200000}"/>
    <cellStyle name="20% - Accent5 5 6 3" xfId="19425" xr:uid="{00000000-0005-0000-0000-000039200000}"/>
    <cellStyle name="20% - Accent5 5 7" xfId="2101" xr:uid="{00000000-0005-0000-0000-00003A200000}"/>
    <cellStyle name="20% - Accent5 5 7 2" xfId="13969" xr:uid="{00000000-0005-0000-0000-00003B200000}"/>
    <cellStyle name="20% - Accent5 5 7 2 2" xfId="27518" xr:uid="{00000000-0005-0000-0000-00003C200000}"/>
    <cellStyle name="20% - Accent5 5 7 3" xfId="19426" xr:uid="{00000000-0005-0000-0000-00003D200000}"/>
    <cellStyle name="20% - Accent5 5 8" xfId="2102" xr:uid="{00000000-0005-0000-0000-00003E200000}"/>
    <cellStyle name="20% - Accent5 5 8 2" xfId="15855" xr:uid="{00000000-0005-0000-0000-00003F200000}"/>
    <cellStyle name="20% - Accent5 5 8 2 2" xfId="29262" xr:uid="{00000000-0005-0000-0000-000040200000}"/>
    <cellStyle name="20% - Accent5 5 8 3" xfId="19427" xr:uid="{00000000-0005-0000-0000-000041200000}"/>
    <cellStyle name="20% - Accent5 5 9" xfId="9105" xr:uid="{00000000-0005-0000-0000-000042200000}"/>
    <cellStyle name="20% - Accent5 5 9 2" xfId="23580" xr:uid="{00000000-0005-0000-0000-000043200000}"/>
    <cellStyle name="20% - Accent5 6" xfId="2103" xr:uid="{00000000-0005-0000-0000-000044200000}"/>
    <cellStyle name="20% - Accent5 6 10" xfId="19428" xr:uid="{00000000-0005-0000-0000-000045200000}"/>
    <cellStyle name="20% - Accent5 6 2" xfId="2104" xr:uid="{00000000-0005-0000-0000-000046200000}"/>
    <cellStyle name="20% - Accent5 6 2 2" xfId="2105" xr:uid="{00000000-0005-0000-0000-000047200000}"/>
    <cellStyle name="20% - Accent5 6 2 2 2" xfId="2106" xr:uid="{00000000-0005-0000-0000-000048200000}"/>
    <cellStyle name="20% - Accent5 6 2 2 2 2" xfId="2107" xr:uid="{00000000-0005-0000-0000-000049200000}"/>
    <cellStyle name="20% - Accent5 6 2 2 2 2 2" xfId="16974" xr:uid="{00000000-0005-0000-0000-00004A200000}"/>
    <cellStyle name="20% - Accent5 6 2 2 2 2 2 2" xfId="30381" xr:uid="{00000000-0005-0000-0000-00004B200000}"/>
    <cellStyle name="20% - Accent5 6 2 2 2 2 3" xfId="19432" xr:uid="{00000000-0005-0000-0000-00004C200000}"/>
    <cellStyle name="20% - Accent5 6 2 2 2 3" xfId="10837" xr:uid="{00000000-0005-0000-0000-00004D200000}"/>
    <cellStyle name="20% - Accent5 6 2 2 2 3 2" xfId="24779" xr:uid="{00000000-0005-0000-0000-00004E200000}"/>
    <cellStyle name="20% - Accent5 6 2 2 2 4" xfId="19431" xr:uid="{00000000-0005-0000-0000-00004F200000}"/>
    <cellStyle name="20% - Accent5 6 2 2 3" xfId="2108" xr:uid="{00000000-0005-0000-0000-000050200000}"/>
    <cellStyle name="20% - Accent5 6 2 2 3 2" xfId="12362" xr:uid="{00000000-0005-0000-0000-000051200000}"/>
    <cellStyle name="20% - Accent5 6 2 2 3 2 2" xfId="26074" xr:uid="{00000000-0005-0000-0000-000052200000}"/>
    <cellStyle name="20% - Accent5 6 2 2 3 3" xfId="19433" xr:uid="{00000000-0005-0000-0000-000053200000}"/>
    <cellStyle name="20% - Accent5 6 2 2 4" xfId="2109" xr:uid="{00000000-0005-0000-0000-000054200000}"/>
    <cellStyle name="20% - Accent5 6 2 2 4 2" xfId="13926" xr:uid="{00000000-0005-0000-0000-000055200000}"/>
    <cellStyle name="20% - Accent5 6 2 2 4 2 2" xfId="27475" xr:uid="{00000000-0005-0000-0000-000056200000}"/>
    <cellStyle name="20% - Accent5 6 2 2 4 3" xfId="19434" xr:uid="{00000000-0005-0000-0000-000057200000}"/>
    <cellStyle name="20% - Accent5 6 2 2 5" xfId="2110" xr:uid="{00000000-0005-0000-0000-000058200000}"/>
    <cellStyle name="20% - Accent5 6 2 2 5 2" xfId="14507" xr:uid="{00000000-0005-0000-0000-000059200000}"/>
    <cellStyle name="20% - Accent5 6 2 2 5 2 2" xfId="28056" xr:uid="{00000000-0005-0000-0000-00005A200000}"/>
    <cellStyle name="20% - Accent5 6 2 2 5 3" xfId="19435" xr:uid="{00000000-0005-0000-0000-00005B200000}"/>
    <cellStyle name="20% - Accent5 6 2 2 6" xfId="2111" xr:uid="{00000000-0005-0000-0000-00005C200000}"/>
    <cellStyle name="20% - Accent5 6 2 2 6 2" xfId="16393" xr:uid="{00000000-0005-0000-0000-00005D200000}"/>
    <cellStyle name="20% - Accent5 6 2 2 6 2 2" xfId="29800" xr:uid="{00000000-0005-0000-0000-00005E200000}"/>
    <cellStyle name="20% - Accent5 6 2 2 6 3" xfId="19436" xr:uid="{00000000-0005-0000-0000-00005F200000}"/>
    <cellStyle name="20% - Accent5 6 2 2 7" xfId="9111" xr:uid="{00000000-0005-0000-0000-000060200000}"/>
    <cellStyle name="20% - Accent5 6 2 2 7 2" xfId="23586" xr:uid="{00000000-0005-0000-0000-000061200000}"/>
    <cellStyle name="20% - Accent5 6 2 2 8" xfId="19430" xr:uid="{00000000-0005-0000-0000-000062200000}"/>
    <cellStyle name="20% - Accent5 6 2 3" xfId="2112" xr:uid="{00000000-0005-0000-0000-000063200000}"/>
    <cellStyle name="20% - Accent5 6 2 3 2" xfId="2113" xr:uid="{00000000-0005-0000-0000-000064200000}"/>
    <cellStyle name="20% - Accent5 6 2 3 2 2" xfId="16685" xr:uid="{00000000-0005-0000-0000-000065200000}"/>
    <cellStyle name="20% - Accent5 6 2 3 2 2 2" xfId="30092" xr:uid="{00000000-0005-0000-0000-000066200000}"/>
    <cellStyle name="20% - Accent5 6 2 3 2 3" xfId="19438" xr:uid="{00000000-0005-0000-0000-000067200000}"/>
    <cellStyle name="20% - Accent5 6 2 3 3" xfId="10836" xr:uid="{00000000-0005-0000-0000-000068200000}"/>
    <cellStyle name="20% - Accent5 6 2 3 3 2" xfId="24778" xr:uid="{00000000-0005-0000-0000-000069200000}"/>
    <cellStyle name="20% - Accent5 6 2 3 4" xfId="19437" xr:uid="{00000000-0005-0000-0000-00006A200000}"/>
    <cellStyle name="20% - Accent5 6 2 4" xfId="2114" xr:uid="{00000000-0005-0000-0000-00006B200000}"/>
    <cellStyle name="20% - Accent5 6 2 4 2" xfId="12062" xr:uid="{00000000-0005-0000-0000-00006C200000}"/>
    <cellStyle name="20% - Accent5 6 2 4 2 2" xfId="25777" xr:uid="{00000000-0005-0000-0000-00006D200000}"/>
    <cellStyle name="20% - Accent5 6 2 4 3" xfId="19439" xr:uid="{00000000-0005-0000-0000-00006E200000}"/>
    <cellStyle name="20% - Accent5 6 2 5" xfId="2115" xr:uid="{00000000-0005-0000-0000-00006F200000}"/>
    <cellStyle name="20% - Accent5 6 2 5 2" xfId="13637" xr:uid="{00000000-0005-0000-0000-000070200000}"/>
    <cellStyle name="20% - Accent5 6 2 5 2 2" xfId="27186" xr:uid="{00000000-0005-0000-0000-000071200000}"/>
    <cellStyle name="20% - Accent5 6 2 5 3" xfId="19440" xr:uid="{00000000-0005-0000-0000-000072200000}"/>
    <cellStyle name="20% - Accent5 6 2 6" xfId="2116" xr:uid="{00000000-0005-0000-0000-000073200000}"/>
    <cellStyle name="20% - Accent5 6 2 6 2" xfId="14218" xr:uid="{00000000-0005-0000-0000-000074200000}"/>
    <cellStyle name="20% - Accent5 6 2 6 2 2" xfId="27767" xr:uid="{00000000-0005-0000-0000-000075200000}"/>
    <cellStyle name="20% - Accent5 6 2 6 3" xfId="19441" xr:uid="{00000000-0005-0000-0000-000076200000}"/>
    <cellStyle name="20% - Accent5 6 2 7" xfId="2117" xr:uid="{00000000-0005-0000-0000-000077200000}"/>
    <cellStyle name="20% - Accent5 6 2 7 2" xfId="16104" xr:uid="{00000000-0005-0000-0000-000078200000}"/>
    <cellStyle name="20% - Accent5 6 2 7 2 2" xfId="29511" xr:uid="{00000000-0005-0000-0000-000079200000}"/>
    <cellStyle name="20% - Accent5 6 2 7 3" xfId="19442" xr:uid="{00000000-0005-0000-0000-00007A200000}"/>
    <cellStyle name="20% - Accent5 6 2 8" xfId="9110" xr:uid="{00000000-0005-0000-0000-00007B200000}"/>
    <cellStyle name="20% - Accent5 6 2 8 2" xfId="23585" xr:uid="{00000000-0005-0000-0000-00007C200000}"/>
    <cellStyle name="20% - Accent5 6 2 9" xfId="19429" xr:uid="{00000000-0005-0000-0000-00007D200000}"/>
    <cellStyle name="20% - Accent5 6 3" xfId="2118" xr:uid="{00000000-0005-0000-0000-00007E200000}"/>
    <cellStyle name="20% - Accent5 6 3 2" xfId="2119" xr:uid="{00000000-0005-0000-0000-00007F200000}"/>
    <cellStyle name="20% - Accent5 6 3 2 2" xfId="2120" xr:uid="{00000000-0005-0000-0000-000080200000}"/>
    <cellStyle name="20% - Accent5 6 3 2 2 2" xfId="16831" xr:uid="{00000000-0005-0000-0000-000081200000}"/>
    <cellStyle name="20% - Accent5 6 3 2 2 2 2" xfId="30238" xr:uid="{00000000-0005-0000-0000-000082200000}"/>
    <cellStyle name="20% - Accent5 6 3 2 2 3" xfId="19445" xr:uid="{00000000-0005-0000-0000-000083200000}"/>
    <cellStyle name="20% - Accent5 6 3 2 3" xfId="10838" xr:uid="{00000000-0005-0000-0000-000084200000}"/>
    <cellStyle name="20% - Accent5 6 3 2 3 2" xfId="24780" xr:uid="{00000000-0005-0000-0000-000085200000}"/>
    <cellStyle name="20% - Accent5 6 3 2 4" xfId="19444" xr:uid="{00000000-0005-0000-0000-000086200000}"/>
    <cellStyle name="20% - Accent5 6 3 3" xfId="2121" xr:uid="{00000000-0005-0000-0000-000087200000}"/>
    <cellStyle name="20% - Accent5 6 3 3 2" xfId="12219" xr:uid="{00000000-0005-0000-0000-000088200000}"/>
    <cellStyle name="20% - Accent5 6 3 3 2 2" xfId="25931" xr:uid="{00000000-0005-0000-0000-000089200000}"/>
    <cellStyle name="20% - Accent5 6 3 3 3" xfId="19446" xr:uid="{00000000-0005-0000-0000-00008A200000}"/>
    <cellStyle name="20% - Accent5 6 3 4" xfId="2122" xr:uid="{00000000-0005-0000-0000-00008B200000}"/>
    <cellStyle name="20% - Accent5 6 3 4 2" xfId="13783" xr:uid="{00000000-0005-0000-0000-00008C200000}"/>
    <cellStyle name="20% - Accent5 6 3 4 2 2" xfId="27332" xr:uid="{00000000-0005-0000-0000-00008D200000}"/>
    <cellStyle name="20% - Accent5 6 3 4 3" xfId="19447" xr:uid="{00000000-0005-0000-0000-00008E200000}"/>
    <cellStyle name="20% - Accent5 6 3 5" xfId="2123" xr:uid="{00000000-0005-0000-0000-00008F200000}"/>
    <cellStyle name="20% - Accent5 6 3 5 2" xfId="14364" xr:uid="{00000000-0005-0000-0000-000090200000}"/>
    <cellStyle name="20% - Accent5 6 3 5 2 2" xfId="27913" xr:uid="{00000000-0005-0000-0000-000091200000}"/>
    <cellStyle name="20% - Accent5 6 3 5 3" xfId="19448" xr:uid="{00000000-0005-0000-0000-000092200000}"/>
    <cellStyle name="20% - Accent5 6 3 6" xfId="2124" xr:uid="{00000000-0005-0000-0000-000093200000}"/>
    <cellStyle name="20% - Accent5 6 3 6 2" xfId="16250" xr:uid="{00000000-0005-0000-0000-000094200000}"/>
    <cellStyle name="20% - Accent5 6 3 6 2 2" xfId="29657" xr:uid="{00000000-0005-0000-0000-000095200000}"/>
    <cellStyle name="20% - Accent5 6 3 6 3" xfId="19449" xr:uid="{00000000-0005-0000-0000-000096200000}"/>
    <cellStyle name="20% - Accent5 6 3 7" xfId="9112" xr:uid="{00000000-0005-0000-0000-000097200000}"/>
    <cellStyle name="20% - Accent5 6 3 7 2" xfId="23587" xr:uid="{00000000-0005-0000-0000-000098200000}"/>
    <cellStyle name="20% - Accent5 6 3 8" xfId="19443" xr:uid="{00000000-0005-0000-0000-000099200000}"/>
    <cellStyle name="20% - Accent5 6 4" xfId="2125" xr:uid="{00000000-0005-0000-0000-00009A200000}"/>
    <cellStyle name="20% - Accent5 6 4 2" xfId="2126" xr:uid="{00000000-0005-0000-0000-00009B200000}"/>
    <cellStyle name="20% - Accent5 6 4 2 2" xfId="16542" xr:uid="{00000000-0005-0000-0000-00009C200000}"/>
    <cellStyle name="20% - Accent5 6 4 2 2 2" xfId="29949" xr:uid="{00000000-0005-0000-0000-00009D200000}"/>
    <cellStyle name="20% - Accent5 6 4 2 3" xfId="19451" xr:uid="{00000000-0005-0000-0000-00009E200000}"/>
    <cellStyle name="20% - Accent5 6 4 3" xfId="10835" xr:uid="{00000000-0005-0000-0000-00009F200000}"/>
    <cellStyle name="20% - Accent5 6 4 3 2" xfId="24777" xr:uid="{00000000-0005-0000-0000-0000A0200000}"/>
    <cellStyle name="20% - Accent5 6 4 4" xfId="19450" xr:uid="{00000000-0005-0000-0000-0000A1200000}"/>
    <cellStyle name="20% - Accent5 6 5" xfId="2127" xr:uid="{00000000-0005-0000-0000-0000A2200000}"/>
    <cellStyle name="20% - Accent5 6 5 2" xfId="11917" xr:uid="{00000000-0005-0000-0000-0000A3200000}"/>
    <cellStyle name="20% - Accent5 6 5 2 2" xfId="25632" xr:uid="{00000000-0005-0000-0000-0000A4200000}"/>
    <cellStyle name="20% - Accent5 6 5 3" xfId="19452" xr:uid="{00000000-0005-0000-0000-0000A5200000}"/>
    <cellStyle name="20% - Accent5 6 6" xfId="2128" xr:uid="{00000000-0005-0000-0000-0000A6200000}"/>
    <cellStyle name="20% - Accent5 6 6 2" xfId="13494" xr:uid="{00000000-0005-0000-0000-0000A7200000}"/>
    <cellStyle name="20% - Accent5 6 6 2 2" xfId="27043" xr:uid="{00000000-0005-0000-0000-0000A8200000}"/>
    <cellStyle name="20% - Accent5 6 6 3" xfId="19453" xr:uid="{00000000-0005-0000-0000-0000A9200000}"/>
    <cellStyle name="20% - Accent5 6 7" xfId="2129" xr:uid="{00000000-0005-0000-0000-0000AA200000}"/>
    <cellStyle name="20% - Accent5 6 7 2" xfId="14075" xr:uid="{00000000-0005-0000-0000-0000AB200000}"/>
    <cellStyle name="20% - Accent5 6 7 2 2" xfId="27624" xr:uid="{00000000-0005-0000-0000-0000AC200000}"/>
    <cellStyle name="20% - Accent5 6 7 3" xfId="19454" xr:uid="{00000000-0005-0000-0000-0000AD200000}"/>
    <cellStyle name="20% - Accent5 6 8" xfId="2130" xr:uid="{00000000-0005-0000-0000-0000AE200000}"/>
    <cellStyle name="20% - Accent5 6 8 2" xfId="15961" xr:uid="{00000000-0005-0000-0000-0000AF200000}"/>
    <cellStyle name="20% - Accent5 6 8 2 2" xfId="29368" xr:uid="{00000000-0005-0000-0000-0000B0200000}"/>
    <cellStyle name="20% - Accent5 6 8 3" xfId="19455" xr:uid="{00000000-0005-0000-0000-0000B1200000}"/>
    <cellStyle name="20% - Accent5 6 9" xfId="9109" xr:uid="{00000000-0005-0000-0000-0000B2200000}"/>
    <cellStyle name="20% - Accent5 6 9 2" xfId="23584" xr:uid="{00000000-0005-0000-0000-0000B3200000}"/>
    <cellStyle name="20% - Accent5 7" xfId="2131" xr:uid="{00000000-0005-0000-0000-0000B4200000}"/>
    <cellStyle name="20% - Accent5 7 2" xfId="2132" xr:uid="{00000000-0005-0000-0000-0000B5200000}"/>
    <cellStyle name="20% - Accent5 7 2 2" xfId="2133" xr:uid="{00000000-0005-0000-0000-0000B6200000}"/>
    <cellStyle name="20% - Accent5 7 2 2 2" xfId="2134" xr:uid="{00000000-0005-0000-0000-0000B7200000}"/>
    <cellStyle name="20% - Accent5 7 2 2 2 2" xfId="16855" xr:uid="{00000000-0005-0000-0000-0000B8200000}"/>
    <cellStyle name="20% - Accent5 7 2 2 2 2 2" xfId="30262" xr:uid="{00000000-0005-0000-0000-0000B9200000}"/>
    <cellStyle name="20% - Accent5 7 2 2 2 3" xfId="19459" xr:uid="{00000000-0005-0000-0000-0000BA200000}"/>
    <cellStyle name="20% - Accent5 7 2 2 3" xfId="10840" xr:uid="{00000000-0005-0000-0000-0000BB200000}"/>
    <cellStyle name="20% - Accent5 7 2 2 3 2" xfId="24782" xr:uid="{00000000-0005-0000-0000-0000BC200000}"/>
    <cellStyle name="20% - Accent5 7 2 2 4" xfId="19458" xr:uid="{00000000-0005-0000-0000-0000BD200000}"/>
    <cellStyle name="20% - Accent5 7 2 3" xfId="2135" xr:uid="{00000000-0005-0000-0000-0000BE200000}"/>
    <cellStyle name="20% - Accent5 7 2 3 2" xfId="12243" xr:uid="{00000000-0005-0000-0000-0000BF200000}"/>
    <cellStyle name="20% - Accent5 7 2 3 2 2" xfId="25955" xr:uid="{00000000-0005-0000-0000-0000C0200000}"/>
    <cellStyle name="20% - Accent5 7 2 3 3" xfId="19460" xr:uid="{00000000-0005-0000-0000-0000C1200000}"/>
    <cellStyle name="20% - Accent5 7 2 4" xfId="2136" xr:uid="{00000000-0005-0000-0000-0000C2200000}"/>
    <cellStyle name="20% - Accent5 7 2 4 2" xfId="13807" xr:uid="{00000000-0005-0000-0000-0000C3200000}"/>
    <cellStyle name="20% - Accent5 7 2 4 2 2" xfId="27356" xr:uid="{00000000-0005-0000-0000-0000C4200000}"/>
    <cellStyle name="20% - Accent5 7 2 4 3" xfId="19461" xr:uid="{00000000-0005-0000-0000-0000C5200000}"/>
    <cellStyle name="20% - Accent5 7 2 5" xfId="2137" xr:uid="{00000000-0005-0000-0000-0000C6200000}"/>
    <cellStyle name="20% - Accent5 7 2 5 2" xfId="14388" xr:uid="{00000000-0005-0000-0000-0000C7200000}"/>
    <cellStyle name="20% - Accent5 7 2 5 2 2" xfId="27937" xr:uid="{00000000-0005-0000-0000-0000C8200000}"/>
    <cellStyle name="20% - Accent5 7 2 5 3" xfId="19462" xr:uid="{00000000-0005-0000-0000-0000C9200000}"/>
    <cellStyle name="20% - Accent5 7 2 6" xfId="2138" xr:uid="{00000000-0005-0000-0000-0000CA200000}"/>
    <cellStyle name="20% - Accent5 7 2 6 2" xfId="16274" xr:uid="{00000000-0005-0000-0000-0000CB200000}"/>
    <cellStyle name="20% - Accent5 7 2 6 2 2" xfId="29681" xr:uid="{00000000-0005-0000-0000-0000CC200000}"/>
    <cellStyle name="20% - Accent5 7 2 6 3" xfId="19463" xr:uid="{00000000-0005-0000-0000-0000CD200000}"/>
    <cellStyle name="20% - Accent5 7 2 7" xfId="9114" xr:uid="{00000000-0005-0000-0000-0000CE200000}"/>
    <cellStyle name="20% - Accent5 7 2 7 2" xfId="23589" xr:uid="{00000000-0005-0000-0000-0000CF200000}"/>
    <cellStyle name="20% - Accent5 7 2 8" xfId="19457" xr:uid="{00000000-0005-0000-0000-0000D0200000}"/>
    <cellStyle name="20% - Accent5 7 3" xfId="2139" xr:uid="{00000000-0005-0000-0000-0000D1200000}"/>
    <cellStyle name="20% - Accent5 7 3 2" xfId="2140" xr:uid="{00000000-0005-0000-0000-0000D2200000}"/>
    <cellStyle name="20% - Accent5 7 3 2 2" xfId="16566" xr:uid="{00000000-0005-0000-0000-0000D3200000}"/>
    <cellStyle name="20% - Accent5 7 3 2 2 2" xfId="29973" xr:uid="{00000000-0005-0000-0000-0000D4200000}"/>
    <cellStyle name="20% - Accent5 7 3 2 3" xfId="19465" xr:uid="{00000000-0005-0000-0000-0000D5200000}"/>
    <cellStyle name="20% - Accent5 7 3 3" xfId="10839" xr:uid="{00000000-0005-0000-0000-0000D6200000}"/>
    <cellStyle name="20% - Accent5 7 3 3 2" xfId="24781" xr:uid="{00000000-0005-0000-0000-0000D7200000}"/>
    <cellStyle name="20% - Accent5 7 3 4" xfId="19464" xr:uid="{00000000-0005-0000-0000-0000D8200000}"/>
    <cellStyle name="20% - Accent5 7 4" xfId="2141" xr:uid="{00000000-0005-0000-0000-0000D9200000}"/>
    <cellStyle name="20% - Accent5 7 4 2" xfId="11941" xr:uid="{00000000-0005-0000-0000-0000DA200000}"/>
    <cellStyle name="20% - Accent5 7 4 2 2" xfId="25656" xr:uid="{00000000-0005-0000-0000-0000DB200000}"/>
    <cellStyle name="20% - Accent5 7 4 3" xfId="19466" xr:uid="{00000000-0005-0000-0000-0000DC200000}"/>
    <cellStyle name="20% - Accent5 7 5" xfId="2142" xr:uid="{00000000-0005-0000-0000-0000DD200000}"/>
    <cellStyle name="20% - Accent5 7 5 2" xfId="13518" xr:uid="{00000000-0005-0000-0000-0000DE200000}"/>
    <cellStyle name="20% - Accent5 7 5 2 2" xfId="27067" xr:uid="{00000000-0005-0000-0000-0000DF200000}"/>
    <cellStyle name="20% - Accent5 7 5 3" xfId="19467" xr:uid="{00000000-0005-0000-0000-0000E0200000}"/>
    <cellStyle name="20% - Accent5 7 6" xfId="2143" xr:uid="{00000000-0005-0000-0000-0000E1200000}"/>
    <cellStyle name="20% - Accent5 7 6 2" xfId="14099" xr:uid="{00000000-0005-0000-0000-0000E2200000}"/>
    <cellStyle name="20% - Accent5 7 6 2 2" xfId="27648" xr:uid="{00000000-0005-0000-0000-0000E3200000}"/>
    <cellStyle name="20% - Accent5 7 6 3" xfId="19468" xr:uid="{00000000-0005-0000-0000-0000E4200000}"/>
    <cellStyle name="20% - Accent5 7 7" xfId="2144" xr:uid="{00000000-0005-0000-0000-0000E5200000}"/>
    <cellStyle name="20% - Accent5 7 7 2" xfId="15985" xr:uid="{00000000-0005-0000-0000-0000E6200000}"/>
    <cellStyle name="20% - Accent5 7 7 2 2" xfId="29392" xr:uid="{00000000-0005-0000-0000-0000E7200000}"/>
    <cellStyle name="20% - Accent5 7 7 3" xfId="19469" xr:uid="{00000000-0005-0000-0000-0000E8200000}"/>
    <cellStyle name="20% - Accent5 7 8" xfId="9113" xr:uid="{00000000-0005-0000-0000-0000E9200000}"/>
    <cellStyle name="20% - Accent5 7 8 2" xfId="23588" xr:uid="{00000000-0005-0000-0000-0000EA200000}"/>
    <cellStyle name="20% - Accent5 7 9" xfId="19456" xr:uid="{00000000-0005-0000-0000-0000EB200000}"/>
    <cellStyle name="20% - Accent5 8" xfId="2145" xr:uid="{00000000-0005-0000-0000-0000EC200000}"/>
    <cellStyle name="20% - Accent5 8 2" xfId="2146" xr:uid="{00000000-0005-0000-0000-0000ED200000}"/>
    <cellStyle name="20% - Accent5 8 2 2" xfId="2147" xr:uid="{00000000-0005-0000-0000-0000EE200000}"/>
    <cellStyle name="20% - Accent5 8 2 2 2" xfId="16705" xr:uid="{00000000-0005-0000-0000-0000EF200000}"/>
    <cellStyle name="20% - Accent5 8 2 2 2 2" xfId="30112" xr:uid="{00000000-0005-0000-0000-0000F0200000}"/>
    <cellStyle name="20% - Accent5 8 2 2 3" xfId="19472" xr:uid="{00000000-0005-0000-0000-0000F1200000}"/>
    <cellStyle name="20% - Accent5 8 2 3" xfId="10841" xr:uid="{00000000-0005-0000-0000-0000F2200000}"/>
    <cellStyle name="20% - Accent5 8 2 3 2" xfId="24783" xr:uid="{00000000-0005-0000-0000-0000F3200000}"/>
    <cellStyle name="20% - Accent5 8 2 4" xfId="19471" xr:uid="{00000000-0005-0000-0000-0000F4200000}"/>
    <cellStyle name="20% - Accent5 8 3" xfId="2148" xr:uid="{00000000-0005-0000-0000-0000F5200000}"/>
    <cellStyle name="20% - Accent5 8 3 2" xfId="12083" xr:uid="{00000000-0005-0000-0000-0000F6200000}"/>
    <cellStyle name="20% - Accent5 8 3 2 2" xfId="25797" xr:uid="{00000000-0005-0000-0000-0000F7200000}"/>
    <cellStyle name="20% - Accent5 8 3 3" xfId="19473" xr:uid="{00000000-0005-0000-0000-0000F8200000}"/>
    <cellStyle name="20% - Accent5 8 4" xfId="2149" xr:uid="{00000000-0005-0000-0000-0000F9200000}"/>
    <cellStyle name="20% - Accent5 8 4 2" xfId="13657" xr:uid="{00000000-0005-0000-0000-0000FA200000}"/>
    <cellStyle name="20% - Accent5 8 4 2 2" xfId="27206" xr:uid="{00000000-0005-0000-0000-0000FB200000}"/>
    <cellStyle name="20% - Accent5 8 4 3" xfId="19474" xr:uid="{00000000-0005-0000-0000-0000FC200000}"/>
    <cellStyle name="20% - Accent5 8 5" xfId="2150" xr:uid="{00000000-0005-0000-0000-0000FD200000}"/>
    <cellStyle name="20% - Accent5 8 5 2" xfId="14238" xr:uid="{00000000-0005-0000-0000-0000FE200000}"/>
    <cellStyle name="20% - Accent5 8 5 2 2" xfId="27787" xr:uid="{00000000-0005-0000-0000-0000FF200000}"/>
    <cellStyle name="20% - Accent5 8 5 3" xfId="19475" xr:uid="{00000000-0005-0000-0000-000000210000}"/>
    <cellStyle name="20% - Accent5 8 6" xfId="2151" xr:uid="{00000000-0005-0000-0000-000001210000}"/>
    <cellStyle name="20% - Accent5 8 6 2" xfId="16124" xr:uid="{00000000-0005-0000-0000-000002210000}"/>
    <cellStyle name="20% - Accent5 8 6 2 2" xfId="29531" xr:uid="{00000000-0005-0000-0000-000003210000}"/>
    <cellStyle name="20% - Accent5 8 6 3" xfId="19476" xr:uid="{00000000-0005-0000-0000-000004210000}"/>
    <cellStyle name="20% - Accent5 8 7" xfId="9115" xr:uid="{00000000-0005-0000-0000-000005210000}"/>
    <cellStyle name="20% - Accent5 8 7 2" xfId="23590" xr:uid="{00000000-0005-0000-0000-000006210000}"/>
    <cellStyle name="20% - Accent5 8 8" xfId="19470" xr:uid="{00000000-0005-0000-0000-000007210000}"/>
    <cellStyle name="20% - Accent5 9" xfId="2152" xr:uid="{00000000-0005-0000-0000-000008210000}"/>
    <cellStyle name="20% - Accent5 9 2" xfId="2153" xr:uid="{00000000-0005-0000-0000-000009210000}"/>
    <cellStyle name="20% - Accent5 9 2 2" xfId="11703" xr:uid="{00000000-0005-0000-0000-00000A210000}"/>
    <cellStyle name="20% - Accent5 9 2 2 2" xfId="25423" xr:uid="{00000000-0005-0000-0000-00000B210000}"/>
    <cellStyle name="20% - Accent5 9 2 3" xfId="19478" xr:uid="{00000000-0005-0000-0000-00000C210000}"/>
    <cellStyle name="20% - Accent5 9 3" xfId="2154" xr:uid="{00000000-0005-0000-0000-00000D210000}"/>
    <cellStyle name="20% - Accent5 9 3 2" xfId="12798" xr:uid="{00000000-0005-0000-0000-00000E210000}"/>
    <cellStyle name="20% - Accent5 9 3 2 2" xfId="26510" xr:uid="{00000000-0005-0000-0000-00000F210000}"/>
    <cellStyle name="20% - Accent5 9 3 3" xfId="19479" xr:uid="{00000000-0005-0000-0000-000010210000}"/>
    <cellStyle name="20% - Accent5 9 4" xfId="2155" xr:uid="{00000000-0005-0000-0000-000011210000}"/>
    <cellStyle name="20% - Accent5 9 4 2" xfId="14945" xr:uid="{00000000-0005-0000-0000-000012210000}"/>
    <cellStyle name="20% - Accent5 9 4 2 2" xfId="28494" xr:uid="{00000000-0005-0000-0000-000013210000}"/>
    <cellStyle name="20% - Accent5 9 4 3" xfId="19480" xr:uid="{00000000-0005-0000-0000-000014210000}"/>
    <cellStyle name="20% - Accent5 9 5" xfId="2156" xr:uid="{00000000-0005-0000-0000-000015210000}"/>
    <cellStyle name="20% - Accent5 9 5 2" xfId="17089" xr:uid="{00000000-0005-0000-0000-000016210000}"/>
    <cellStyle name="20% - Accent5 9 5 2 2" xfId="30448" xr:uid="{00000000-0005-0000-0000-000017210000}"/>
    <cellStyle name="20% - Accent5 9 5 3" xfId="19481" xr:uid="{00000000-0005-0000-0000-000018210000}"/>
    <cellStyle name="20% - Accent5 9 6" xfId="10455" xr:uid="{00000000-0005-0000-0000-000019210000}"/>
    <cellStyle name="20% - Accent5 9 6 2" xfId="24414" xr:uid="{00000000-0005-0000-0000-00001A210000}"/>
    <cellStyle name="20% - Accent5 9 7" xfId="19477" xr:uid="{00000000-0005-0000-0000-00001B210000}"/>
    <cellStyle name="20% - Accent6" xfId="37" builtinId="50" customBuiltin="1"/>
    <cellStyle name="20% - Accent6 10" xfId="2157" xr:uid="{00000000-0005-0000-0000-00001D210000}"/>
    <cellStyle name="20% - Accent6 10 2" xfId="2158" xr:uid="{00000000-0005-0000-0000-00001E210000}"/>
    <cellStyle name="20% - Accent6 10 2 2" xfId="2159" xr:uid="{00000000-0005-0000-0000-00001F210000}"/>
    <cellStyle name="20% - Accent6 10 2 2 2" xfId="12389" xr:uid="{00000000-0005-0000-0000-000020210000}"/>
    <cellStyle name="20% - Accent6 10 2 2 2 2" xfId="26101" xr:uid="{00000000-0005-0000-0000-000021210000}"/>
    <cellStyle name="20% - Accent6 10 2 2 3" xfId="19484" xr:uid="{00000000-0005-0000-0000-000022210000}"/>
    <cellStyle name="20% - Accent6 10 2 3" xfId="2160" xr:uid="{00000000-0005-0000-0000-000023210000}"/>
    <cellStyle name="20% - Accent6 10 2 3 2" xfId="14948" xr:uid="{00000000-0005-0000-0000-000024210000}"/>
    <cellStyle name="20% - Accent6 10 2 3 2 2" xfId="28497" xr:uid="{00000000-0005-0000-0000-000025210000}"/>
    <cellStyle name="20% - Accent6 10 2 3 3" xfId="19485" xr:uid="{00000000-0005-0000-0000-000026210000}"/>
    <cellStyle name="20% - Accent6 10 2 4" xfId="10843" xr:uid="{00000000-0005-0000-0000-000027210000}"/>
    <cellStyle name="20% - Accent6 10 2 4 2" xfId="24785" xr:uid="{00000000-0005-0000-0000-000028210000}"/>
    <cellStyle name="20% - Accent6 10 2 5" xfId="19483" xr:uid="{00000000-0005-0000-0000-000029210000}"/>
    <cellStyle name="20% - Accent6 10 3" xfId="2161" xr:uid="{00000000-0005-0000-0000-00002A210000}"/>
    <cellStyle name="20% - Accent6 10 3 2" xfId="12461" xr:uid="{00000000-0005-0000-0000-00002B210000}"/>
    <cellStyle name="20% - Accent6 10 3 2 2" xfId="26173" xr:uid="{00000000-0005-0000-0000-00002C210000}"/>
    <cellStyle name="20% - Accent6 10 3 3" xfId="19486" xr:uid="{00000000-0005-0000-0000-00002D210000}"/>
    <cellStyle name="20% - Accent6 10 4" xfId="2162" xr:uid="{00000000-0005-0000-0000-00002E210000}"/>
    <cellStyle name="20% - Accent6 10 4 2" xfId="14947" xr:uid="{00000000-0005-0000-0000-00002F210000}"/>
    <cellStyle name="20% - Accent6 10 4 2 2" xfId="28496" xr:uid="{00000000-0005-0000-0000-000030210000}"/>
    <cellStyle name="20% - Accent6 10 4 3" xfId="19487" xr:uid="{00000000-0005-0000-0000-000031210000}"/>
    <cellStyle name="20% - Accent6 10 5" xfId="2163" xr:uid="{00000000-0005-0000-0000-000032210000}"/>
    <cellStyle name="20% - Accent6 10 5 2" xfId="17179" xr:uid="{00000000-0005-0000-0000-000033210000}"/>
    <cellStyle name="20% - Accent6 10 5 2 2" xfId="30538" xr:uid="{00000000-0005-0000-0000-000034210000}"/>
    <cellStyle name="20% - Accent6 10 5 3" xfId="19488" xr:uid="{00000000-0005-0000-0000-000035210000}"/>
    <cellStyle name="20% - Accent6 10 6" xfId="9117" xr:uid="{00000000-0005-0000-0000-000036210000}"/>
    <cellStyle name="20% - Accent6 10 6 2" xfId="23592" xr:uid="{00000000-0005-0000-0000-000037210000}"/>
    <cellStyle name="20% - Accent6 10 7" xfId="19482" xr:uid="{00000000-0005-0000-0000-000038210000}"/>
    <cellStyle name="20% - Accent6 11" xfId="2164" xr:uid="{00000000-0005-0000-0000-000039210000}"/>
    <cellStyle name="20% - Accent6 11 2" xfId="2165" xr:uid="{00000000-0005-0000-0000-00003A210000}"/>
    <cellStyle name="20% - Accent6 11 2 2" xfId="10844" xr:uid="{00000000-0005-0000-0000-00003B210000}"/>
    <cellStyle name="20% - Accent6 11 2 2 2" xfId="24786" xr:uid="{00000000-0005-0000-0000-00003C210000}"/>
    <cellStyle name="20% - Accent6 11 2 3" xfId="19490" xr:uid="{00000000-0005-0000-0000-00003D210000}"/>
    <cellStyle name="20% - Accent6 11 3" xfId="2166" xr:uid="{00000000-0005-0000-0000-00003E210000}"/>
    <cellStyle name="20% - Accent6 11 3 2" xfId="12801" xr:uid="{00000000-0005-0000-0000-00003F210000}"/>
    <cellStyle name="20% - Accent6 11 3 2 2" xfId="26513" xr:uid="{00000000-0005-0000-0000-000040210000}"/>
    <cellStyle name="20% - Accent6 11 3 3" xfId="19491" xr:uid="{00000000-0005-0000-0000-000041210000}"/>
    <cellStyle name="20% - Accent6 11 4" xfId="2167" xr:uid="{00000000-0005-0000-0000-000042210000}"/>
    <cellStyle name="20% - Accent6 11 4 2" xfId="14949" xr:uid="{00000000-0005-0000-0000-000043210000}"/>
    <cellStyle name="20% - Accent6 11 4 2 2" xfId="28498" xr:uid="{00000000-0005-0000-0000-000044210000}"/>
    <cellStyle name="20% - Accent6 11 4 3" xfId="19492" xr:uid="{00000000-0005-0000-0000-000045210000}"/>
    <cellStyle name="20% - Accent6 11 5" xfId="2168" xr:uid="{00000000-0005-0000-0000-000046210000}"/>
    <cellStyle name="20% - Accent6 11 5 2" xfId="17268" xr:uid="{00000000-0005-0000-0000-000047210000}"/>
    <cellStyle name="20% - Accent6 11 5 2 2" xfId="30627" xr:uid="{00000000-0005-0000-0000-000048210000}"/>
    <cellStyle name="20% - Accent6 11 5 3" xfId="19493" xr:uid="{00000000-0005-0000-0000-000049210000}"/>
    <cellStyle name="20% - Accent6 11 6" xfId="9118" xr:uid="{00000000-0005-0000-0000-00004A210000}"/>
    <cellStyle name="20% - Accent6 11 6 2" xfId="23593" xr:uid="{00000000-0005-0000-0000-00004B210000}"/>
    <cellStyle name="20% - Accent6 11 7" xfId="19489" xr:uid="{00000000-0005-0000-0000-00004C210000}"/>
    <cellStyle name="20% - Accent6 12" xfId="2169" xr:uid="{00000000-0005-0000-0000-00004D210000}"/>
    <cellStyle name="20% - Accent6 12 2" xfId="2170" xr:uid="{00000000-0005-0000-0000-00004E210000}"/>
    <cellStyle name="20% - Accent6 12 2 2" xfId="2171" xr:uid="{00000000-0005-0000-0000-00004F210000}"/>
    <cellStyle name="20% - Accent6 12 2 2 2" xfId="10846" xr:uid="{00000000-0005-0000-0000-000050210000}"/>
    <cellStyle name="20% - Accent6 12 2 2 2 2" xfId="24788" xr:uid="{00000000-0005-0000-0000-000051210000}"/>
    <cellStyle name="20% - Accent6 12 2 2 3" xfId="19496" xr:uid="{00000000-0005-0000-0000-000052210000}"/>
    <cellStyle name="20% - Accent6 12 2 3" xfId="2172" xr:uid="{00000000-0005-0000-0000-000053210000}"/>
    <cellStyle name="20% - Accent6 12 2 3 2" xfId="12733" xr:uid="{00000000-0005-0000-0000-000054210000}"/>
    <cellStyle name="20% - Accent6 12 2 3 2 2" xfId="26445" xr:uid="{00000000-0005-0000-0000-000055210000}"/>
    <cellStyle name="20% - Accent6 12 2 3 3" xfId="19497" xr:uid="{00000000-0005-0000-0000-000056210000}"/>
    <cellStyle name="20% - Accent6 12 2 4" xfId="2173" xr:uid="{00000000-0005-0000-0000-000057210000}"/>
    <cellStyle name="20% - Accent6 12 2 4 2" xfId="14951" xr:uid="{00000000-0005-0000-0000-000058210000}"/>
    <cellStyle name="20% - Accent6 12 2 4 2 2" xfId="28500" xr:uid="{00000000-0005-0000-0000-000059210000}"/>
    <cellStyle name="20% - Accent6 12 2 4 3" xfId="19498" xr:uid="{00000000-0005-0000-0000-00005A210000}"/>
    <cellStyle name="20% - Accent6 12 2 5" xfId="9120" xr:uid="{00000000-0005-0000-0000-00005B210000}"/>
    <cellStyle name="20% - Accent6 12 2 5 2" xfId="23595" xr:uid="{00000000-0005-0000-0000-00005C210000}"/>
    <cellStyle name="20% - Accent6 12 2 6" xfId="19495" xr:uid="{00000000-0005-0000-0000-00005D210000}"/>
    <cellStyle name="20% - Accent6 12 3" xfId="2174" xr:uid="{00000000-0005-0000-0000-00005E210000}"/>
    <cellStyle name="20% - Accent6 12 3 2" xfId="10845" xr:uid="{00000000-0005-0000-0000-00005F210000}"/>
    <cellStyle name="20% - Accent6 12 3 2 2" xfId="24787" xr:uid="{00000000-0005-0000-0000-000060210000}"/>
    <cellStyle name="20% - Accent6 12 3 3" xfId="19499" xr:uid="{00000000-0005-0000-0000-000061210000}"/>
    <cellStyle name="20% - Accent6 12 4" xfId="2175" xr:uid="{00000000-0005-0000-0000-000062210000}"/>
    <cellStyle name="20% - Accent6 12 4 2" xfId="12537" xr:uid="{00000000-0005-0000-0000-000063210000}"/>
    <cellStyle name="20% - Accent6 12 4 2 2" xfId="26249" xr:uid="{00000000-0005-0000-0000-000064210000}"/>
    <cellStyle name="20% - Accent6 12 4 3" xfId="19500" xr:uid="{00000000-0005-0000-0000-000065210000}"/>
    <cellStyle name="20% - Accent6 12 5" xfId="2176" xr:uid="{00000000-0005-0000-0000-000066210000}"/>
    <cellStyle name="20% - Accent6 12 5 2" xfId="14950" xr:uid="{00000000-0005-0000-0000-000067210000}"/>
    <cellStyle name="20% - Accent6 12 5 2 2" xfId="28499" xr:uid="{00000000-0005-0000-0000-000068210000}"/>
    <cellStyle name="20% - Accent6 12 5 3" xfId="19501" xr:uid="{00000000-0005-0000-0000-000069210000}"/>
    <cellStyle name="20% - Accent6 12 6" xfId="2177" xr:uid="{00000000-0005-0000-0000-00006A210000}"/>
    <cellStyle name="20% - Accent6 12 6 2" xfId="16420" xr:uid="{00000000-0005-0000-0000-00006B210000}"/>
    <cellStyle name="20% - Accent6 12 6 2 2" xfId="29827" xr:uid="{00000000-0005-0000-0000-00006C210000}"/>
    <cellStyle name="20% - Accent6 12 6 3" xfId="19502" xr:uid="{00000000-0005-0000-0000-00006D210000}"/>
    <cellStyle name="20% - Accent6 12 7" xfId="9119" xr:uid="{00000000-0005-0000-0000-00006E210000}"/>
    <cellStyle name="20% - Accent6 12 7 2" xfId="23594" xr:uid="{00000000-0005-0000-0000-00006F210000}"/>
    <cellStyle name="20% - Accent6 12 8" xfId="19494" xr:uid="{00000000-0005-0000-0000-000070210000}"/>
    <cellStyle name="20% - Accent6 13" xfId="2178" xr:uid="{00000000-0005-0000-0000-000071210000}"/>
    <cellStyle name="20% - Accent6 13 2" xfId="2179" xr:uid="{00000000-0005-0000-0000-000072210000}"/>
    <cellStyle name="20% - Accent6 13 2 2" xfId="10847" xr:uid="{00000000-0005-0000-0000-000073210000}"/>
    <cellStyle name="20% - Accent6 13 2 2 2" xfId="24789" xr:uid="{00000000-0005-0000-0000-000074210000}"/>
    <cellStyle name="20% - Accent6 13 2 3" xfId="19504" xr:uid="{00000000-0005-0000-0000-000075210000}"/>
    <cellStyle name="20% - Accent6 13 3" xfId="2180" xr:uid="{00000000-0005-0000-0000-000076210000}"/>
    <cellStyle name="20% - Accent6 13 3 2" xfId="12541" xr:uid="{00000000-0005-0000-0000-000077210000}"/>
    <cellStyle name="20% - Accent6 13 3 2 2" xfId="26253" xr:uid="{00000000-0005-0000-0000-000078210000}"/>
    <cellStyle name="20% - Accent6 13 3 3" xfId="19505" xr:uid="{00000000-0005-0000-0000-000079210000}"/>
    <cellStyle name="20% - Accent6 13 4" xfId="2181" xr:uid="{00000000-0005-0000-0000-00007A210000}"/>
    <cellStyle name="20% - Accent6 13 4 2" xfId="14952" xr:uid="{00000000-0005-0000-0000-00007B210000}"/>
    <cellStyle name="20% - Accent6 13 4 2 2" xfId="28501" xr:uid="{00000000-0005-0000-0000-00007C210000}"/>
    <cellStyle name="20% - Accent6 13 4 3" xfId="19506" xr:uid="{00000000-0005-0000-0000-00007D210000}"/>
    <cellStyle name="20% - Accent6 13 5" xfId="9121" xr:uid="{00000000-0005-0000-0000-00007E210000}"/>
    <cellStyle name="20% - Accent6 13 5 2" xfId="23596" xr:uid="{00000000-0005-0000-0000-00007F210000}"/>
    <cellStyle name="20% - Accent6 13 6" xfId="19503" xr:uid="{00000000-0005-0000-0000-000080210000}"/>
    <cellStyle name="20% - Accent6 14" xfId="2182" xr:uid="{00000000-0005-0000-0000-000081210000}"/>
    <cellStyle name="20% - Accent6 14 2" xfId="2183" xr:uid="{00000000-0005-0000-0000-000082210000}"/>
    <cellStyle name="20% - Accent6 14 2 2" xfId="10848" xr:uid="{00000000-0005-0000-0000-000083210000}"/>
    <cellStyle name="20% - Accent6 14 2 2 2" xfId="24790" xr:uid="{00000000-0005-0000-0000-000084210000}"/>
    <cellStyle name="20% - Accent6 14 2 3" xfId="19508" xr:uid="{00000000-0005-0000-0000-000085210000}"/>
    <cellStyle name="20% - Accent6 14 3" xfId="2184" xr:uid="{00000000-0005-0000-0000-000086210000}"/>
    <cellStyle name="20% - Accent6 14 3 2" xfId="12597" xr:uid="{00000000-0005-0000-0000-000087210000}"/>
    <cellStyle name="20% - Accent6 14 3 2 2" xfId="26309" xr:uid="{00000000-0005-0000-0000-000088210000}"/>
    <cellStyle name="20% - Accent6 14 3 3" xfId="19509" xr:uid="{00000000-0005-0000-0000-000089210000}"/>
    <cellStyle name="20% - Accent6 14 4" xfId="2185" xr:uid="{00000000-0005-0000-0000-00008A210000}"/>
    <cellStyle name="20% - Accent6 14 4 2" xfId="14953" xr:uid="{00000000-0005-0000-0000-00008B210000}"/>
    <cellStyle name="20% - Accent6 14 4 2 2" xfId="28502" xr:uid="{00000000-0005-0000-0000-00008C210000}"/>
    <cellStyle name="20% - Accent6 14 4 3" xfId="19510" xr:uid="{00000000-0005-0000-0000-00008D210000}"/>
    <cellStyle name="20% - Accent6 14 5" xfId="9122" xr:uid="{00000000-0005-0000-0000-00008E210000}"/>
    <cellStyle name="20% - Accent6 14 5 2" xfId="23597" xr:uid="{00000000-0005-0000-0000-00008F210000}"/>
    <cellStyle name="20% - Accent6 14 6" xfId="19507" xr:uid="{00000000-0005-0000-0000-000090210000}"/>
    <cellStyle name="20% - Accent6 15" xfId="2186" xr:uid="{00000000-0005-0000-0000-000091210000}"/>
    <cellStyle name="20% - Accent6 15 2" xfId="2187" xr:uid="{00000000-0005-0000-0000-000092210000}"/>
    <cellStyle name="20% - Accent6 15 2 2" xfId="10849" xr:uid="{00000000-0005-0000-0000-000093210000}"/>
    <cellStyle name="20% - Accent6 15 2 2 2" xfId="24791" xr:uid="{00000000-0005-0000-0000-000094210000}"/>
    <cellStyle name="20% - Accent6 15 2 3" xfId="19512" xr:uid="{00000000-0005-0000-0000-000095210000}"/>
    <cellStyle name="20% - Accent6 15 3" xfId="2188" xr:uid="{00000000-0005-0000-0000-000096210000}"/>
    <cellStyle name="20% - Accent6 15 3 2" xfId="12658" xr:uid="{00000000-0005-0000-0000-000097210000}"/>
    <cellStyle name="20% - Accent6 15 3 2 2" xfId="26370" xr:uid="{00000000-0005-0000-0000-000098210000}"/>
    <cellStyle name="20% - Accent6 15 3 3" xfId="19513" xr:uid="{00000000-0005-0000-0000-000099210000}"/>
    <cellStyle name="20% - Accent6 15 4" xfId="2189" xr:uid="{00000000-0005-0000-0000-00009A210000}"/>
    <cellStyle name="20% - Accent6 15 4 2" xfId="14954" xr:uid="{00000000-0005-0000-0000-00009B210000}"/>
    <cellStyle name="20% - Accent6 15 4 2 2" xfId="28503" xr:uid="{00000000-0005-0000-0000-00009C210000}"/>
    <cellStyle name="20% - Accent6 15 4 3" xfId="19514" xr:uid="{00000000-0005-0000-0000-00009D210000}"/>
    <cellStyle name="20% - Accent6 15 5" xfId="9123" xr:uid="{00000000-0005-0000-0000-00009E210000}"/>
    <cellStyle name="20% - Accent6 15 5 2" xfId="23598" xr:uid="{00000000-0005-0000-0000-00009F210000}"/>
    <cellStyle name="20% - Accent6 15 6" xfId="19511" xr:uid="{00000000-0005-0000-0000-0000A0210000}"/>
    <cellStyle name="20% - Accent6 16" xfId="2190" xr:uid="{00000000-0005-0000-0000-0000A1210000}"/>
    <cellStyle name="20% - Accent6 16 2" xfId="2191" xr:uid="{00000000-0005-0000-0000-0000A2210000}"/>
    <cellStyle name="20% - Accent6 16 2 2" xfId="10850" xr:uid="{00000000-0005-0000-0000-0000A3210000}"/>
    <cellStyle name="20% - Accent6 16 2 2 2" xfId="24792" xr:uid="{00000000-0005-0000-0000-0000A4210000}"/>
    <cellStyle name="20% - Accent6 16 2 3" xfId="19516" xr:uid="{00000000-0005-0000-0000-0000A5210000}"/>
    <cellStyle name="20% - Accent6 16 3" xfId="2192" xr:uid="{00000000-0005-0000-0000-0000A6210000}"/>
    <cellStyle name="20% - Accent6 16 3 2" xfId="12450" xr:uid="{00000000-0005-0000-0000-0000A7210000}"/>
    <cellStyle name="20% - Accent6 16 3 2 2" xfId="26162" xr:uid="{00000000-0005-0000-0000-0000A8210000}"/>
    <cellStyle name="20% - Accent6 16 3 3" xfId="19517" xr:uid="{00000000-0005-0000-0000-0000A9210000}"/>
    <cellStyle name="20% - Accent6 16 4" xfId="2193" xr:uid="{00000000-0005-0000-0000-0000AA210000}"/>
    <cellStyle name="20% - Accent6 16 4 2" xfId="14955" xr:uid="{00000000-0005-0000-0000-0000AB210000}"/>
    <cellStyle name="20% - Accent6 16 4 2 2" xfId="28504" xr:uid="{00000000-0005-0000-0000-0000AC210000}"/>
    <cellStyle name="20% - Accent6 16 4 3" xfId="19518" xr:uid="{00000000-0005-0000-0000-0000AD210000}"/>
    <cellStyle name="20% - Accent6 16 5" xfId="9124" xr:uid="{00000000-0005-0000-0000-0000AE210000}"/>
    <cellStyle name="20% - Accent6 16 5 2" xfId="23599" xr:uid="{00000000-0005-0000-0000-0000AF210000}"/>
    <cellStyle name="20% - Accent6 16 6" xfId="19515" xr:uid="{00000000-0005-0000-0000-0000B0210000}"/>
    <cellStyle name="20% - Accent6 17" xfId="2194" xr:uid="{00000000-0005-0000-0000-0000B1210000}"/>
    <cellStyle name="20% - Accent6 17 2" xfId="2195" xr:uid="{00000000-0005-0000-0000-0000B2210000}"/>
    <cellStyle name="20% - Accent6 17 2 2" xfId="10851" xr:uid="{00000000-0005-0000-0000-0000B3210000}"/>
    <cellStyle name="20% - Accent6 17 2 2 2" xfId="24793" xr:uid="{00000000-0005-0000-0000-0000B4210000}"/>
    <cellStyle name="20% - Accent6 17 2 3" xfId="19520" xr:uid="{00000000-0005-0000-0000-0000B5210000}"/>
    <cellStyle name="20% - Accent6 17 3" xfId="2196" xr:uid="{00000000-0005-0000-0000-0000B6210000}"/>
    <cellStyle name="20% - Accent6 17 3 2" xfId="11770" xr:uid="{00000000-0005-0000-0000-0000B7210000}"/>
    <cellStyle name="20% - Accent6 17 3 2 2" xfId="25485" xr:uid="{00000000-0005-0000-0000-0000B8210000}"/>
    <cellStyle name="20% - Accent6 17 3 3" xfId="19521" xr:uid="{00000000-0005-0000-0000-0000B9210000}"/>
    <cellStyle name="20% - Accent6 17 4" xfId="2197" xr:uid="{00000000-0005-0000-0000-0000BA210000}"/>
    <cellStyle name="20% - Accent6 17 4 2" xfId="14956" xr:uid="{00000000-0005-0000-0000-0000BB210000}"/>
    <cellStyle name="20% - Accent6 17 4 2 2" xfId="28505" xr:uid="{00000000-0005-0000-0000-0000BC210000}"/>
    <cellStyle name="20% - Accent6 17 4 3" xfId="19522" xr:uid="{00000000-0005-0000-0000-0000BD210000}"/>
    <cellStyle name="20% - Accent6 17 5" xfId="9125" xr:uid="{00000000-0005-0000-0000-0000BE210000}"/>
    <cellStyle name="20% - Accent6 17 5 2" xfId="23600" xr:uid="{00000000-0005-0000-0000-0000BF210000}"/>
    <cellStyle name="20% - Accent6 17 6" xfId="19519" xr:uid="{00000000-0005-0000-0000-0000C0210000}"/>
    <cellStyle name="20% - Accent6 18" xfId="2198" xr:uid="{00000000-0005-0000-0000-0000C1210000}"/>
    <cellStyle name="20% - Accent6 18 2" xfId="2199" xr:uid="{00000000-0005-0000-0000-0000C2210000}"/>
    <cellStyle name="20% - Accent6 18 2 2" xfId="10852" xr:uid="{00000000-0005-0000-0000-0000C3210000}"/>
    <cellStyle name="20% - Accent6 18 2 2 2" xfId="24794" xr:uid="{00000000-0005-0000-0000-0000C4210000}"/>
    <cellStyle name="20% - Accent6 18 2 3" xfId="19524" xr:uid="{00000000-0005-0000-0000-0000C5210000}"/>
    <cellStyle name="20% - Accent6 18 3" xfId="2200" xr:uid="{00000000-0005-0000-0000-0000C6210000}"/>
    <cellStyle name="20% - Accent6 18 3 2" xfId="12718" xr:uid="{00000000-0005-0000-0000-0000C7210000}"/>
    <cellStyle name="20% - Accent6 18 3 2 2" xfId="26430" xr:uid="{00000000-0005-0000-0000-0000C8210000}"/>
    <cellStyle name="20% - Accent6 18 3 3" xfId="19525" xr:uid="{00000000-0005-0000-0000-0000C9210000}"/>
    <cellStyle name="20% - Accent6 18 4" xfId="2201" xr:uid="{00000000-0005-0000-0000-0000CA210000}"/>
    <cellStyle name="20% - Accent6 18 4 2" xfId="14957" xr:uid="{00000000-0005-0000-0000-0000CB210000}"/>
    <cellStyle name="20% - Accent6 18 4 2 2" xfId="28506" xr:uid="{00000000-0005-0000-0000-0000CC210000}"/>
    <cellStyle name="20% - Accent6 18 4 3" xfId="19526" xr:uid="{00000000-0005-0000-0000-0000CD210000}"/>
    <cellStyle name="20% - Accent6 18 5" xfId="9126" xr:uid="{00000000-0005-0000-0000-0000CE210000}"/>
    <cellStyle name="20% - Accent6 18 5 2" xfId="23601" xr:uid="{00000000-0005-0000-0000-0000CF210000}"/>
    <cellStyle name="20% - Accent6 18 6" xfId="19523" xr:uid="{00000000-0005-0000-0000-0000D0210000}"/>
    <cellStyle name="20% - Accent6 19" xfId="2202" xr:uid="{00000000-0005-0000-0000-0000D1210000}"/>
    <cellStyle name="20% - Accent6 19 2" xfId="2203" xr:uid="{00000000-0005-0000-0000-0000D2210000}"/>
    <cellStyle name="20% - Accent6 19 2 2" xfId="11704" xr:uid="{00000000-0005-0000-0000-0000D3210000}"/>
    <cellStyle name="20% - Accent6 19 2 2 2" xfId="25424" xr:uid="{00000000-0005-0000-0000-0000D4210000}"/>
    <cellStyle name="20% - Accent6 19 2 3" xfId="19528" xr:uid="{00000000-0005-0000-0000-0000D5210000}"/>
    <cellStyle name="20% - Accent6 19 3" xfId="2204" xr:uid="{00000000-0005-0000-0000-0000D6210000}"/>
    <cellStyle name="20% - Accent6 19 3 2" xfId="12639" xr:uid="{00000000-0005-0000-0000-0000D7210000}"/>
    <cellStyle name="20% - Accent6 19 3 2 2" xfId="26351" xr:uid="{00000000-0005-0000-0000-0000D8210000}"/>
    <cellStyle name="20% - Accent6 19 3 3" xfId="19529" xr:uid="{00000000-0005-0000-0000-0000D9210000}"/>
    <cellStyle name="20% - Accent6 19 4" xfId="2205" xr:uid="{00000000-0005-0000-0000-0000DA210000}"/>
    <cellStyle name="20% - Accent6 19 4 2" xfId="14958" xr:uid="{00000000-0005-0000-0000-0000DB210000}"/>
    <cellStyle name="20% - Accent6 19 4 2 2" xfId="28507" xr:uid="{00000000-0005-0000-0000-0000DC210000}"/>
    <cellStyle name="20% - Accent6 19 4 3" xfId="19530" xr:uid="{00000000-0005-0000-0000-0000DD210000}"/>
    <cellStyle name="20% - Accent6 19 5" xfId="10456" xr:uid="{00000000-0005-0000-0000-0000DE210000}"/>
    <cellStyle name="20% - Accent6 19 5 2" xfId="24415" xr:uid="{00000000-0005-0000-0000-0000DF210000}"/>
    <cellStyle name="20% - Accent6 19 6" xfId="19527" xr:uid="{00000000-0005-0000-0000-0000E0210000}"/>
    <cellStyle name="20% - Accent6 2" xfId="2206" xr:uid="{00000000-0005-0000-0000-0000E1210000}"/>
    <cellStyle name="20% - Accent6 2 10" xfId="2207" xr:uid="{00000000-0005-0000-0000-0000E2210000}"/>
    <cellStyle name="20% - Accent6 2 10 2" xfId="2208" xr:uid="{00000000-0005-0000-0000-0000E3210000}"/>
    <cellStyle name="20% - Accent6 2 10 2 2" xfId="14960" xr:uid="{00000000-0005-0000-0000-0000E4210000}"/>
    <cellStyle name="20% - Accent6 2 10 2 2 2" xfId="28509" xr:uid="{00000000-0005-0000-0000-0000E5210000}"/>
    <cellStyle name="20% - Accent6 2 10 2 3" xfId="19533" xr:uid="{00000000-0005-0000-0000-0000E6210000}"/>
    <cellStyle name="20% - Accent6 2 10 3" xfId="11837" xr:uid="{00000000-0005-0000-0000-0000E7210000}"/>
    <cellStyle name="20% - Accent6 2 10 3 2" xfId="25552" xr:uid="{00000000-0005-0000-0000-0000E8210000}"/>
    <cellStyle name="20% - Accent6 2 10 4" xfId="19532" xr:uid="{00000000-0005-0000-0000-0000E9210000}"/>
    <cellStyle name="20% - Accent6 2 11" xfId="2209" xr:uid="{00000000-0005-0000-0000-0000EA210000}"/>
    <cellStyle name="20% - Accent6 2 11 2" xfId="11855" xr:uid="{00000000-0005-0000-0000-0000EB210000}"/>
    <cellStyle name="20% - Accent6 2 11 2 2" xfId="25570" xr:uid="{00000000-0005-0000-0000-0000EC210000}"/>
    <cellStyle name="20% - Accent6 2 11 3" xfId="19534" xr:uid="{00000000-0005-0000-0000-0000ED210000}"/>
    <cellStyle name="20% - Accent6 2 12" xfId="2210" xr:uid="{00000000-0005-0000-0000-0000EE210000}"/>
    <cellStyle name="20% - Accent6 2 12 2" xfId="13434" xr:uid="{00000000-0005-0000-0000-0000EF210000}"/>
    <cellStyle name="20% - Accent6 2 12 2 2" xfId="26983" xr:uid="{00000000-0005-0000-0000-0000F0210000}"/>
    <cellStyle name="20% - Accent6 2 12 3" xfId="19535" xr:uid="{00000000-0005-0000-0000-0000F1210000}"/>
    <cellStyle name="20% - Accent6 2 13" xfId="2211" xr:uid="{00000000-0005-0000-0000-0000F2210000}"/>
    <cellStyle name="20% - Accent6 2 13 2" xfId="14015" xr:uid="{00000000-0005-0000-0000-0000F3210000}"/>
    <cellStyle name="20% - Accent6 2 13 2 2" xfId="27564" xr:uid="{00000000-0005-0000-0000-0000F4210000}"/>
    <cellStyle name="20% - Accent6 2 13 3" xfId="19536" xr:uid="{00000000-0005-0000-0000-0000F5210000}"/>
    <cellStyle name="20% - Accent6 2 14" xfId="2212" xr:uid="{00000000-0005-0000-0000-0000F6210000}"/>
    <cellStyle name="20% - Accent6 2 14 2" xfId="14959" xr:uid="{00000000-0005-0000-0000-0000F7210000}"/>
    <cellStyle name="20% - Accent6 2 14 2 2" xfId="28508" xr:uid="{00000000-0005-0000-0000-0000F8210000}"/>
    <cellStyle name="20% - Accent6 2 14 3" xfId="19537" xr:uid="{00000000-0005-0000-0000-0000F9210000}"/>
    <cellStyle name="20% - Accent6 2 15" xfId="2213" xr:uid="{00000000-0005-0000-0000-0000FA210000}"/>
    <cellStyle name="20% - Accent6 2 15 2" xfId="15901" xr:uid="{00000000-0005-0000-0000-0000FB210000}"/>
    <cellStyle name="20% - Accent6 2 15 2 2" xfId="29308" xr:uid="{00000000-0005-0000-0000-0000FC210000}"/>
    <cellStyle name="20% - Accent6 2 15 3" xfId="19538" xr:uid="{00000000-0005-0000-0000-0000FD210000}"/>
    <cellStyle name="20% - Accent6 2 16" xfId="9127" xr:uid="{00000000-0005-0000-0000-0000FE210000}"/>
    <cellStyle name="20% - Accent6 2 16 2" xfId="23602" xr:uid="{00000000-0005-0000-0000-0000FF210000}"/>
    <cellStyle name="20% - Accent6 2 17" xfId="19531" xr:uid="{00000000-0005-0000-0000-000000220000}"/>
    <cellStyle name="20% - Accent6 2 2" xfId="2214" xr:uid="{00000000-0005-0000-0000-000001220000}"/>
    <cellStyle name="20% - Accent6 2 2 10" xfId="2215" xr:uid="{00000000-0005-0000-0000-000002220000}"/>
    <cellStyle name="20% - Accent6 2 2 10 2" xfId="14961" xr:uid="{00000000-0005-0000-0000-000003220000}"/>
    <cellStyle name="20% - Accent6 2 2 10 2 2" xfId="28510" xr:uid="{00000000-0005-0000-0000-000004220000}"/>
    <cellStyle name="20% - Accent6 2 2 10 3" xfId="19540" xr:uid="{00000000-0005-0000-0000-000005220000}"/>
    <cellStyle name="20% - Accent6 2 2 11" xfId="2216" xr:uid="{00000000-0005-0000-0000-000006220000}"/>
    <cellStyle name="20% - Accent6 2 2 11 2" xfId="15947" xr:uid="{00000000-0005-0000-0000-000007220000}"/>
    <cellStyle name="20% - Accent6 2 2 11 2 2" xfId="29354" xr:uid="{00000000-0005-0000-0000-000008220000}"/>
    <cellStyle name="20% - Accent6 2 2 11 3" xfId="19541" xr:uid="{00000000-0005-0000-0000-000009220000}"/>
    <cellStyle name="20% - Accent6 2 2 12" xfId="9128" xr:uid="{00000000-0005-0000-0000-00000A220000}"/>
    <cellStyle name="20% - Accent6 2 2 12 2" xfId="23603" xr:uid="{00000000-0005-0000-0000-00000B220000}"/>
    <cellStyle name="20% - Accent6 2 2 13" xfId="19539" xr:uid="{00000000-0005-0000-0000-00000C220000}"/>
    <cellStyle name="20% - Accent6 2 2 2" xfId="2217" xr:uid="{00000000-0005-0000-0000-00000D220000}"/>
    <cellStyle name="20% - Accent6 2 2 2 10" xfId="2218" xr:uid="{00000000-0005-0000-0000-00000E220000}"/>
    <cellStyle name="20% - Accent6 2 2 2 10 2" xfId="16090" xr:uid="{00000000-0005-0000-0000-00000F220000}"/>
    <cellStyle name="20% - Accent6 2 2 2 10 2 2" xfId="29497" xr:uid="{00000000-0005-0000-0000-000010220000}"/>
    <cellStyle name="20% - Accent6 2 2 2 10 3" xfId="19543" xr:uid="{00000000-0005-0000-0000-000011220000}"/>
    <cellStyle name="20% - Accent6 2 2 2 11" xfId="9129" xr:uid="{00000000-0005-0000-0000-000012220000}"/>
    <cellStyle name="20% - Accent6 2 2 2 11 2" xfId="23604" xr:uid="{00000000-0005-0000-0000-000013220000}"/>
    <cellStyle name="20% - Accent6 2 2 2 12" xfId="19542" xr:uid="{00000000-0005-0000-0000-000014220000}"/>
    <cellStyle name="20% - Accent6 2 2 2 2" xfId="2219" xr:uid="{00000000-0005-0000-0000-000015220000}"/>
    <cellStyle name="20% - Accent6 2 2 2 2 10" xfId="9130" xr:uid="{00000000-0005-0000-0000-000016220000}"/>
    <cellStyle name="20% - Accent6 2 2 2 2 10 2" xfId="23605" xr:uid="{00000000-0005-0000-0000-000017220000}"/>
    <cellStyle name="20% - Accent6 2 2 2 2 11" xfId="19544" xr:uid="{00000000-0005-0000-0000-000018220000}"/>
    <cellStyle name="20% - Accent6 2 2 2 2 2" xfId="2220" xr:uid="{00000000-0005-0000-0000-000019220000}"/>
    <cellStyle name="20% - Accent6 2 2 2 2 2 2" xfId="2221" xr:uid="{00000000-0005-0000-0000-00001A220000}"/>
    <cellStyle name="20% - Accent6 2 2 2 2 2 2 2" xfId="10857" xr:uid="{00000000-0005-0000-0000-00001B220000}"/>
    <cellStyle name="20% - Accent6 2 2 2 2 2 2 2 2" xfId="24799" xr:uid="{00000000-0005-0000-0000-00001C220000}"/>
    <cellStyle name="20% - Accent6 2 2 2 2 2 2 3" xfId="19546" xr:uid="{00000000-0005-0000-0000-00001D220000}"/>
    <cellStyle name="20% - Accent6 2 2 2 2 2 3" xfId="2222" xr:uid="{00000000-0005-0000-0000-00001E220000}"/>
    <cellStyle name="20% - Accent6 2 2 2 2 2 3 2" xfId="12663" xr:uid="{00000000-0005-0000-0000-00001F220000}"/>
    <cellStyle name="20% - Accent6 2 2 2 2 2 3 2 2" xfId="26375" xr:uid="{00000000-0005-0000-0000-000020220000}"/>
    <cellStyle name="20% - Accent6 2 2 2 2 2 3 3" xfId="19547" xr:uid="{00000000-0005-0000-0000-000021220000}"/>
    <cellStyle name="20% - Accent6 2 2 2 2 2 4" xfId="2223" xr:uid="{00000000-0005-0000-0000-000022220000}"/>
    <cellStyle name="20% - Accent6 2 2 2 2 2 4 2" xfId="14964" xr:uid="{00000000-0005-0000-0000-000023220000}"/>
    <cellStyle name="20% - Accent6 2 2 2 2 2 4 2 2" xfId="28513" xr:uid="{00000000-0005-0000-0000-000024220000}"/>
    <cellStyle name="20% - Accent6 2 2 2 2 2 4 3" xfId="19548" xr:uid="{00000000-0005-0000-0000-000025220000}"/>
    <cellStyle name="20% - Accent6 2 2 2 2 2 5" xfId="2224" xr:uid="{00000000-0005-0000-0000-000026220000}"/>
    <cellStyle name="20% - Accent6 2 2 2 2 2 5 2" xfId="16960" xr:uid="{00000000-0005-0000-0000-000027220000}"/>
    <cellStyle name="20% - Accent6 2 2 2 2 2 5 2 2" xfId="30367" xr:uid="{00000000-0005-0000-0000-000028220000}"/>
    <cellStyle name="20% - Accent6 2 2 2 2 2 5 3" xfId="19549" xr:uid="{00000000-0005-0000-0000-000029220000}"/>
    <cellStyle name="20% - Accent6 2 2 2 2 2 6" xfId="9131" xr:uid="{00000000-0005-0000-0000-00002A220000}"/>
    <cellStyle name="20% - Accent6 2 2 2 2 2 6 2" xfId="23606" xr:uid="{00000000-0005-0000-0000-00002B220000}"/>
    <cellStyle name="20% - Accent6 2 2 2 2 2 7" xfId="19545" xr:uid="{00000000-0005-0000-0000-00002C220000}"/>
    <cellStyle name="20% - Accent6 2 2 2 2 3" xfId="2225" xr:uid="{00000000-0005-0000-0000-00002D220000}"/>
    <cellStyle name="20% - Accent6 2 2 2 2 3 2" xfId="2226" xr:uid="{00000000-0005-0000-0000-00002E220000}"/>
    <cellStyle name="20% - Accent6 2 2 2 2 3 2 2" xfId="14965" xr:uid="{00000000-0005-0000-0000-00002F220000}"/>
    <cellStyle name="20% - Accent6 2 2 2 2 3 2 2 2" xfId="28514" xr:uid="{00000000-0005-0000-0000-000030220000}"/>
    <cellStyle name="20% - Accent6 2 2 2 2 3 2 3" xfId="19551" xr:uid="{00000000-0005-0000-0000-000031220000}"/>
    <cellStyle name="20% - Accent6 2 2 2 2 3 3" xfId="10856" xr:uid="{00000000-0005-0000-0000-000032220000}"/>
    <cellStyle name="20% - Accent6 2 2 2 2 3 3 2" xfId="24798" xr:uid="{00000000-0005-0000-0000-000033220000}"/>
    <cellStyle name="20% - Accent6 2 2 2 2 3 4" xfId="19550" xr:uid="{00000000-0005-0000-0000-000034220000}"/>
    <cellStyle name="20% - Accent6 2 2 2 2 4" xfId="2227" xr:uid="{00000000-0005-0000-0000-000035220000}"/>
    <cellStyle name="20% - Accent6 2 2 2 2 4 2" xfId="12348" xr:uid="{00000000-0005-0000-0000-000036220000}"/>
    <cellStyle name="20% - Accent6 2 2 2 2 4 2 2" xfId="26060" xr:uid="{00000000-0005-0000-0000-000037220000}"/>
    <cellStyle name="20% - Accent6 2 2 2 2 4 3" xfId="19552" xr:uid="{00000000-0005-0000-0000-000038220000}"/>
    <cellStyle name="20% - Accent6 2 2 2 2 5" xfId="2228" xr:uid="{00000000-0005-0000-0000-000039220000}"/>
    <cellStyle name="20% - Accent6 2 2 2 2 5 2" xfId="11748" xr:uid="{00000000-0005-0000-0000-00003A220000}"/>
    <cellStyle name="20% - Accent6 2 2 2 2 5 2 2" xfId="25463" xr:uid="{00000000-0005-0000-0000-00003B220000}"/>
    <cellStyle name="20% - Accent6 2 2 2 2 5 3" xfId="19553" xr:uid="{00000000-0005-0000-0000-00003C220000}"/>
    <cellStyle name="20% - Accent6 2 2 2 2 6" xfId="2229" xr:uid="{00000000-0005-0000-0000-00003D220000}"/>
    <cellStyle name="20% - Accent6 2 2 2 2 6 2" xfId="13912" xr:uid="{00000000-0005-0000-0000-00003E220000}"/>
    <cellStyle name="20% - Accent6 2 2 2 2 6 2 2" xfId="27461" xr:uid="{00000000-0005-0000-0000-00003F220000}"/>
    <cellStyle name="20% - Accent6 2 2 2 2 6 3" xfId="19554" xr:uid="{00000000-0005-0000-0000-000040220000}"/>
    <cellStyle name="20% - Accent6 2 2 2 2 7" xfId="2230" xr:uid="{00000000-0005-0000-0000-000041220000}"/>
    <cellStyle name="20% - Accent6 2 2 2 2 7 2" xfId="14493" xr:uid="{00000000-0005-0000-0000-000042220000}"/>
    <cellStyle name="20% - Accent6 2 2 2 2 7 2 2" xfId="28042" xr:uid="{00000000-0005-0000-0000-000043220000}"/>
    <cellStyle name="20% - Accent6 2 2 2 2 7 3" xfId="19555" xr:uid="{00000000-0005-0000-0000-000044220000}"/>
    <cellStyle name="20% - Accent6 2 2 2 2 8" xfId="2231" xr:uid="{00000000-0005-0000-0000-000045220000}"/>
    <cellStyle name="20% - Accent6 2 2 2 2 8 2" xfId="14963" xr:uid="{00000000-0005-0000-0000-000046220000}"/>
    <cellStyle name="20% - Accent6 2 2 2 2 8 2 2" xfId="28512" xr:uid="{00000000-0005-0000-0000-000047220000}"/>
    <cellStyle name="20% - Accent6 2 2 2 2 8 3" xfId="19556" xr:uid="{00000000-0005-0000-0000-000048220000}"/>
    <cellStyle name="20% - Accent6 2 2 2 2 9" xfId="2232" xr:uid="{00000000-0005-0000-0000-000049220000}"/>
    <cellStyle name="20% - Accent6 2 2 2 2 9 2" xfId="16379" xr:uid="{00000000-0005-0000-0000-00004A220000}"/>
    <cellStyle name="20% - Accent6 2 2 2 2 9 2 2" xfId="29786" xr:uid="{00000000-0005-0000-0000-00004B220000}"/>
    <cellStyle name="20% - Accent6 2 2 2 2 9 3" xfId="19557" xr:uid="{00000000-0005-0000-0000-00004C220000}"/>
    <cellStyle name="20% - Accent6 2 2 2 3" xfId="2233" xr:uid="{00000000-0005-0000-0000-00004D220000}"/>
    <cellStyle name="20% - Accent6 2 2 2 3 2" xfId="2234" xr:uid="{00000000-0005-0000-0000-00004E220000}"/>
    <cellStyle name="20% - Accent6 2 2 2 3 2 2" xfId="10858" xr:uid="{00000000-0005-0000-0000-00004F220000}"/>
    <cellStyle name="20% - Accent6 2 2 2 3 2 2 2" xfId="24800" xr:uid="{00000000-0005-0000-0000-000050220000}"/>
    <cellStyle name="20% - Accent6 2 2 2 3 2 3" xfId="19559" xr:uid="{00000000-0005-0000-0000-000051220000}"/>
    <cellStyle name="20% - Accent6 2 2 2 3 3" xfId="2235" xr:uid="{00000000-0005-0000-0000-000052220000}"/>
    <cellStyle name="20% - Accent6 2 2 2 3 3 2" xfId="12437" xr:uid="{00000000-0005-0000-0000-000053220000}"/>
    <cellStyle name="20% - Accent6 2 2 2 3 3 2 2" xfId="26149" xr:uid="{00000000-0005-0000-0000-000054220000}"/>
    <cellStyle name="20% - Accent6 2 2 2 3 3 3" xfId="19560" xr:uid="{00000000-0005-0000-0000-000055220000}"/>
    <cellStyle name="20% - Accent6 2 2 2 3 4" xfId="2236" xr:uid="{00000000-0005-0000-0000-000056220000}"/>
    <cellStyle name="20% - Accent6 2 2 2 3 4 2" xfId="14966" xr:uid="{00000000-0005-0000-0000-000057220000}"/>
    <cellStyle name="20% - Accent6 2 2 2 3 4 2 2" xfId="28515" xr:uid="{00000000-0005-0000-0000-000058220000}"/>
    <cellStyle name="20% - Accent6 2 2 2 3 4 3" xfId="19561" xr:uid="{00000000-0005-0000-0000-000059220000}"/>
    <cellStyle name="20% - Accent6 2 2 2 3 5" xfId="2237" xr:uid="{00000000-0005-0000-0000-00005A220000}"/>
    <cellStyle name="20% - Accent6 2 2 2 3 5 2" xfId="16671" xr:uid="{00000000-0005-0000-0000-00005B220000}"/>
    <cellStyle name="20% - Accent6 2 2 2 3 5 2 2" xfId="30078" xr:uid="{00000000-0005-0000-0000-00005C220000}"/>
    <cellStyle name="20% - Accent6 2 2 2 3 5 3" xfId="19562" xr:uid="{00000000-0005-0000-0000-00005D220000}"/>
    <cellStyle name="20% - Accent6 2 2 2 3 6" xfId="9132" xr:uid="{00000000-0005-0000-0000-00005E220000}"/>
    <cellStyle name="20% - Accent6 2 2 2 3 6 2" xfId="23607" xr:uid="{00000000-0005-0000-0000-00005F220000}"/>
    <cellStyle name="20% - Accent6 2 2 2 3 7" xfId="19558" xr:uid="{00000000-0005-0000-0000-000060220000}"/>
    <cellStyle name="20% - Accent6 2 2 2 4" xfId="2238" xr:uid="{00000000-0005-0000-0000-000061220000}"/>
    <cellStyle name="20% - Accent6 2 2 2 4 2" xfId="2239" xr:uid="{00000000-0005-0000-0000-000062220000}"/>
    <cellStyle name="20% - Accent6 2 2 2 4 2 2" xfId="14967" xr:uid="{00000000-0005-0000-0000-000063220000}"/>
    <cellStyle name="20% - Accent6 2 2 2 4 2 2 2" xfId="28516" xr:uid="{00000000-0005-0000-0000-000064220000}"/>
    <cellStyle name="20% - Accent6 2 2 2 4 2 3" xfId="19564" xr:uid="{00000000-0005-0000-0000-000065220000}"/>
    <cellStyle name="20% - Accent6 2 2 2 4 3" xfId="10855" xr:uid="{00000000-0005-0000-0000-000066220000}"/>
    <cellStyle name="20% - Accent6 2 2 2 4 3 2" xfId="24797" xr:uid="{00000000-0005-0000-0000-000067220000}"/>
    <cellStyle name="20% - Accent6 2 2 2 4 4" xfId="19563" xr:uid="{00000000-0005-0000-0000-000068220000}"/>
    <cellStyle name="20% - Accent6 2 2 2 5" xfId="2240" xr:uid="{00000000-0005-0000-0000-000069220000}"/>
    <cellStyle name="20% - Accent6 2 2 2 5 2" xfId="12048" xr:uid="{00000000-0005-0000-0000-00006A220000}"/>
    <cellStyle name="20% - Accent6 2 2 2 5 2 2" xfId="25763" xr:uid="{00000000-0005-0000-0000-00006B220000}"/>
    <cellStyle name="20% - Accent6 2 2 2 5 3" xfId="19565" xr:uid="{00000000-0005-0000-0000-00006C220000}"/>
    <cellStyle name="20% - Accent6 2 2 2 6" xfId="2241" xr:uid="{00000000-0005-0000-0000-00006D220000}"/>
    <cellStyle name="20% - Accent6 2 2 2 6 2" xfId="12440" xr:uid="{00000000-0005-0000-0000-00006E220000}"/>
    <cellStyle name="20% - Accent6 2 2 2 6 2 2" xfId="26152" xr:uid="{00000000-0005-0000-0000-00006F220000}"/>
    <cellStyle name="20% - Accent6 2 2 2 6 3" xfId="19566" xr:uid="{00000000-0005-0000-0000-000070220000}"/>
    <cellStyle name="20% - Accent6 2 2 2 7" xfId="2242" xr:uid="{00000000-0005-0000-0000-000071220000}"/>
    <cellStyle name="20% - Accent6 2 2 2 7 2" xfId="13623" xr:uid="{00000000-0005-0000-0000-000072220000}"/>
    <cellStyle name="20% - Accent6 2 2 2 7 2 2" xfId="27172" xr:uid="{00000000-0005-0000-0000-000073220000}"/>
    <cellStyle name="20% - Accent6 2 2 2 7 3" xfId="19567" xr:uid="{00000000-0005-0000-0000-000074220000}"/>
    <cellStyle name="20% - Accent6 2 2 2 8" xfId="2243" xr:uid="{00000000-0005-0000-0000-000075220000}"/>
    <cellStyle name="20% - Accent6 2 2 2 8 2" xfId="14204" xr:uid="{00000000-0005-0000-0000-000076220000}"/>
    <cellStyle name="20% - Accent6 2 2 2 8 2 2" xfId="27753" xr:uid="{00000000-0005-0000-0000-000077220000}"/>
    <cellStyle name="20% - Accent6 2 2 2 8 3" xfId="19568" xr:uid="{00000000-0005-0000-0000-000078220000}"/>
    <cellStyle name="20% - Accent6 2 2 2 9" xfId="2244" xr:uid="{00000000-0005-0000-0000-000079220000}"/>
    <cellStyle name="20% - Accent6 2 2 2 9 2" xfId="14962" xr:uid="{00000000-0005-0000-0000-00007A220000}"/>
    <cellStyle name="20% - Accent6 2 2 2 9 2 2" xfId="28511" xr:uid="{00000000-0005-0000-0000-00007B220000}"/>
    <cellStyle name="20% - Accent6 2 2 2 9 3" xfId="19569" xr:uid="{00000000-0005-0000-0000-00007C220000}"/>
    <cellStyle name="20% - Accent6 2 2 3" xfId="2245" xr:uid="{00000000-0005-0000-0000-00007D220000}"/>
    <cellStyle name="20% - Accent6 2 2 3 10" xfId="9133" xr:uid="{00000000-0005-0000-0000-00007E220000}"/>
    <cellStyle name="20% - Accent6 2 2 3 10 2" xfId="23608" xr:uid="{00000000-0005-0000-0000-00007F220000}"/>
    <cellStyle name="20% - Accent6 2 2 3 11" xfId="19570" xr:uid="{00000000-0005-0000-0000-000080220000}"/>
    <cellStyle name="20% - Accent6 2 2 3 2" xfId="2246" xr:uid="{00000000-0005-0000-0000-000081220000}"/>
    <cellStyle name="20% - Accent6 2 2 3 2 2" xfId="2247" xr:uid="{00000000-0005-0000-0000-000082220000}"/>
    <cellStyle name="20% - Accent6 2 2 3 2 2 2" xfId="10860" xr:uid="{00000000-0005-0000-0000-000083220000}"/>
    <cellStyle name="20% - Accent6 2 2 3 2 2 2 2" xfId="24802" xr:uid="{00000000-0005-0000-0000-000084220000}"/>
    <cellStyle name="20% - Accent6 2 2 3 2 2 3" xfId="19572" xr:uid="{00000000-0005-0000-0000-000085220000}"/>
    <cellStyle name="20% - Accent6 2 2 3 2 3" xfId="2248" xr:uid="{00000000-0005-0000-0000-000086220000}"/>
    <cellStyle name="20% - Accent6 2 2 3 2 3 2" xfId="11946" xr:uid="{00000000-0005-0000-0000-000087220000}"/>
    <cellStyle name="20% - Accent6 2 2 3 2 3 2 2" xfId="25661" xr:uid="{00000000-0005-0000-0000-000088220000}"/>
    <cellStyle name="20% - Accent6 2 2 3 2 3 3" xfId="19573" xr:uid="{00000000-0005-0000-0000-000089220000}"/>
    <cellStyle name="20% - Accent6 2 2 3 2 4" xfId="2249" xr:uid="{00000000-0005-0000-0000-00008A220000}"/>
    <cellStyle name="20% - Accent6 2 2 3 2 4 2" xfId="14969" xr:uid="{00000000-0005-0000-0000-00008B220000}"/>
    <cellStyle name="20% - Accent6 2 2 3 2 4 2 2" xfId="28518" xr:uid="{00000000-0005-0000-0000-00008C220000}"/>
    <cellStyle name="20% - Accent6 2 2 3 2 4 3" xfId="19574" xr:uid="{00000000-0005-0000-0000-00008D220000}"/>
    <cellStyle name="20% - Accent6 2 2 3 2 5" xfId="2250" xr:uid="{00000000-0005-0000-0000-00008E220000}"/>
    <cellStyle name="20% - Accent6 2 2 3 2 5 2" xfId="16817" xr:uid="{00000000-0005-0000-0000-00008F220000}"/>
    <cellStyle name="20% - Accent6 2 2 3 2 5 2 2" xfId="30224" xr:uid="{00000000-0005-0000-0000-000090220000}"/>
    <cellStyle name="20% - Accent6 2 2 3 2 5 3" xfId="19575" xr:uid="{00000000-0005-0000-0000-000091220000}"/>
    <cellStyle name="20% - Accent6 2 2 3 2 6" xfId="9134" xr:uid="{00000000-0005-0000-0000-000092220000}"/>
    <cellStyle name="20% - Accent6 2 2 3 2 6 2" xfId="23609" xr:uid="{00000000-0005-0000-0000-000093220000}"/>
    <cellStyle name="20% - Accent6 2 2 3 2 7" xfId="19571" xr:uid="{00000000-0005-0000-0000-000094220000}"/>
    <cellStyle name="20% - Accent6 2 2 3 3" xfId="2251" xr:uid="{00000000-0005-0000-0000-000095220000}"/>
    <cellStyle name="20% - Accent6 2 2 3 3 2" xfId="2252" xr:uid="{00000000-0005-0000-0000-000096220000}"/>
    <cellStyle name="20% - Accent6 2 2 3 3 2 2" xfId="14970" xr:uid="{00000000-0005-0000-0000-000097220000}"/>
    <cellStyle name="20% - Accent6 2 2 3 3 2 2 2" xfId="28519" xr:uid="{00000000-0005-0000-0000-000098220000}"/>
    <cellStyle name="20% - Accent6 2 2 3 3 2 3" xfId="19577" xr:uid="{00000000-0005-0000-0000-000099220000}"/>
    <cellStyle name="20% - Accent6 2 2 3 3 3" xfId="10859" xr:uid="{00000000-0005-0000-0000-00009A220000}"/>
    <cellStyle name="20% - Accent6 2 2 3 3 3 2" xfId="24801" xr:uid="{00000000-0005-0000-0000-00009B220000}"/>
    <cellStyle name="20% - Accent6 2 2 3 3 4" xfId="19576" xr:uid="{00000000-0005-0000-0000-00009C220000}"/>
    <cellStyle name="20% - Accent6 2 2 3 4" xfId="2253" xr:uid="{00000000-0005-0000-0000-00009D220000}"/>
    <cellStyle name="20% - Accent6 2 2 3 4 2" xfId="12205" xr:uid="{00000000-0005-0000-0000-00009E220000}"/>
    <cellStyle name="20% - Accent6 2 2 3 4 2 2" xfId="25917" xr:uid="{00000000-0005-0000-0000-00009F220000}"/>
    <cellStyle name="20% - Accent6 2 2 3 4 3" xfId="19578" xr:uid="{00000000-0005-0000-0000-0000A0220000}"/>
    <cellStyle name="20% - Accent6 2 2 3 5" xfId="2254" xr:uid="{00000000-0005-0000-0000-0000A1220000}"/>
    <cellStyle name="20% - Accent6 2 2 3 5 2" xfId="12603" xr:uid="{00000000-0005-0000-0000-0000A2220000}"/>
    <cellStyle name="20% - Accent6 2 2 3 5 2 2" xfId="26315" xr:uid="{00000000-0005-0000-0000-0000A3220000}"/>
    <cellStyle name="20% - Accent6 2 2 3 5 3" xfId="19579" xr:uid="{00000000-0005-0000-0000-0000A4220000}"/>
    <cellStyle name="20% - Accent6 2 2 3 6" xfId="2255" xr:uid="{00000000-0005-0000-0000-0000A5220000}"/>
    <cellStyle name="20% - Accent6 2 2 3 6 2" xfId="13769" xr:uid="{00000000-0005-0000-0000-0000A6220000}"/>
    <cellStyle name="20% - Accent6 2 2 3 6 2 2" xfId="27318" xr:uid="{00000000-0005-0000-0000-0000A7220000}"/>
    <cellStyle name="20% - Accent6 2 2 3 6 3" xfId="19580" xr:uid="{00000000-0005-0000-0000-0000A8220000}"/>
    <cellStyle name="20% - Accent6 2 2 3 7" xfId="2256" xr:uid="{00000000-0005-0000-0000-0000A9220000}"/>
    <cellStyle name="20% - Accent6 2 2 3 7 2" xfId="14350" xr:uid="{00000000-0005-0000-0000-0000AA220000}"/>
    <cellStyle name="20% - Accent6 2 2 3 7 2 2" xfId="27899" xr:uid="{00000000-0005-0000-0000-0000AB220000}"/>
    <cellStyle name="20% - Accent6 2 2 3 7 3" xfId="19581" xr:uid="{00000000-0005-0000-0000-0000AC220000}"/>
    <cellStyle name="20% - Accent6 2 2 3 8" xfId="2257" xr:uid="{00000000-0005-0000-0000-0000AD220000}"/>
    <cellStyle name="20% - Accent6 2 2 3 8 2" xfId="14968" xr:uid="{00000000-0005-0000-0000-0000AE220000}"/>
    <cellStyle name="20% - Accent6 2 2 3 8 2 2" xfId="28517" xr:uid="{00000000-0005-0000-0000-0000AF220000}"/>
    <cellStyle name="20% - Accent6 2 2 3 8 3" xfId="19582" xr:uid="{00000000-0005-0000-0000-0000B0220000}"/>
    <cellStyle name="20% - Accent6 2 2 3 9" xfId="2258" xr:uid="{00000000-0005-0000-0000-0000B1220000}"/>
    <cellStyle name="20% - Accent6 2 2 3 9 2" xfId="16236" xr:uid="{00000000-0005-0000-0000-0000B2220000}"/>
    <cellStyle name="20% - Accent6 2 2 3 9 2 2" xfId="29643" xr:uid="{00000000-0005-0000-0000-0000B3220000}"/>
    <cellStyle name="20% - Accent6 2 2 3 9 3" xfId="19583" xr:uid="{00000000-0005-0000-0000-0000B4220000}"/>
    <cellStyle name="20% - Accent6 2 2 4" xfId="2259" xr:uid="{00000000-0005-0000-0000-0000B5220000}"/>
    <cellStyle name="20% - Accent6 2 2 4 2" xfId="2260" xr:uid="{00000000-0005-0000-0000-0000B6220000}"/>
    <cellStyle name="20% - Accent6 2 2 4 2 2" xfId="10861" xr:uid="{00000000-0005-0000-0000-0000B7220000}"/>
    <cellStyle name="20% - Accent6 2 2 4 2 2 2" xfId="24803" xr:uid="{00000000-0005-0000-0000-0000B8220000}"/>
    <cellStyle name="20% - Accent6 2 2 4 2 3" xfId="19585" xr:uid="{00000000-0005-0000-0000-0000B9220000}"/>
    <cellStyle name="20% - Accent6 2 2 4 3" xfId="2261" xr:uid="{00000000-0005-0000-0000-0000BA220000}"/>
    <cellStyle name="20% - Accent6 2 2 4 3 2" xfId="12540" xr:uid="{00000000-0005-0000-0000-0000BB220000}"/>
    <cellStyle name="20% - Accent6 2 2 4 3 2 2" xfId="26252" xr:uid="{00000000-0005-0000-0000-0000BC220000}"/>
    <cellStyle name="20% - Accent6 2 2 4 3 3" xfId="19586" xr:uid="{00000000-0005-0000-0000-0000BD220000}"/>
    <cellStyle name="20% - Accent6 2 2 4 4" xfId="2262" xr:uid="{00000000-0005-0000-0000-0000BE220000}"/>
    <cellStyle name="20% - Accent6 2 2 4 4 2" xfId="14971" xr:uid="{00000000-0005-0000-0000-0000BF220000}"/>
    <cellStyle name="20% - Accent6 2 2 4 4 2 2" xfId="28520" xr:uid="{00000000-0005-0000-0000-0000C0220000}"/>
    <cellStyle name="20% - Accent6 2 2 4 4 3" xfId="19587" xr:uid="{00000000-0005-0000-0000-0000C1220000}"/>
    <cellStyle name="20% - Accent6 2 2 4 5" xfId="2263" xr:uid="{00000000-0005-0000-0000-0000C2220000}"/>
    <cellStyle name="20% - Accent6 2 2 4 5 2" xfId="17164" xr:uid="{00000000-0005-0000-0000-0000C3220000}"/>
    <cellStyle name="20% - Accent6 2 2 4 5 2 2" xfId="30523" xr:uid="{00000000-0005-0000-0000-0000C4220000}"/>
    <cellStyle name="20% - Accent6 2 2 4 5 3" xfId="19588" xr:uid="{00000000-0005-0000-0000-0000C5220000}"/>
    <cellStyle name="20% - Accent6 2 2 4 6" xfId="9135" xr:uid="{00000000-0005-0000-0000-0000C6220000}"/>
    <cellStyle name="20% - Accent6 2 2 4 6 2" xfId="23610" xr:uid="{00000000-0005-0000-0000-0000C7220000}"/>
    <cellStyle name="20% - Accent6 2 2 4 7" xfId="19584" xr:uid="{00000000-0005-0000-0000-0000C8220000}"/>
    <cellStyle name="20% - Accent6 2 2 5" xfId="2264" xr:uid="{00000000-0005-0000-0000-0000C9220000}"/>
    <cellStyle name="20% - Accent6 2 2 5 2" xfId="2265" xr:uid="{00000000-0005-0000-0000-0000CA220000}"/>
    <cellStyle name="20% - Accent6 2 2 5 2 2" xfId="14972" xr:uid="{00000000-0005-0000-0000-0000CB220000}"/>
    <cellStyle name="20% - Accent6 2 2 5 2 2 2" xfId="28521" xr:uid="{00000000-0005-0000-0000-0000CC220000}"/>
    <cellStyle name="20% - Accent6 2 2 5 2 3" xfId="19590" xr:uid="{00000000-0005-0000-0000-0000CD220000}"/>
    <cellStyle name="20% - Accent6 2 2 5 3" xfId="2266" xr:uid="{00000000-0005-0000-0000-0000CE220000}"/>
    <cellStyle name="20% - Accent6 2 2 5 3 2" xfId="17253" xr:uid="{00000000-0005-0000-0000-0000CF220000}"/>
    <cellStyle name="20% - Accent6 2 2 5 3 2 2" xfId="30612" xr:uid="{00000000-0005-0000-0000-0000D0220000}"/>
    <cellStyle name="20% - Accent6 2 2 5 3 3" xfId="19591" xr:uid="{00000000-0005-0000-0000-0000D1220000}"/>
    <cellStyle name="20% - Accent6 2 2 5 4" xfId="10854" xr:uid="{00000000-0005-0000-0000-0000D2220000}"/>
    <cellStyle name="20% - Accent6 2 2 5 4 2" xfId="24796" xr:uid="{00000000-0005-0000-0000-0000D3220000}"/>
    <cellStyle name="20% - Accent6 2 2 5 5" xfId="19589" xr:uid="{00000000-0005-0000-0000-0000D4220000}"/>
    <cellStyle name="20% - Accent6 2 2 6" xfId="2267" xr:uid="{00000000-0005-0000-0000-0000D5220000}"/>
    <cellStyle name="20% - Accent6 2 2 6 2" xfId="2268" xr:uid="{00000000-0005-0000-0000-0000D6220000}"/>
    <cellStyle name="20% - Accent6 2 2 6 2 2" xfId="16528" xr:uid="{00000000-0005-0000-0000-0000D7220000}"/>
    <cellStyle name="20% - Accent6 2 2 6 2 2 2" xfId="29935" xr:uid="{00000000-0005-0000-0000-0000D8220000}"/>
    <cellStyle name="20% - Accent6 2 2 6 2 3" xfId="19593" xr:uid="{00000000-0005-0000-0000-0000D9220000}"/>
    <cellStyle name="20% - Accent6 2 2 6 3" xfId="11903" xr:uid="{00000000-0005-0000-0000-0000DA220000}"/>
    <cellStyle name="20% - Accent6 2 2 6 3 2" xfId="25618" xr:uid="{00000000-0005-0000-0000-0000DB220000}"/>
    <cellStyle name="20% - Accent6 2 2 6 4" xfId="19592" xr:uid="{00000000-0005-0000-0000-0000DC220000}"/>
    <cellStyle name="20% - Accent6 2 2 7" xfId="2269" xr:uid="{00000000-0005-0000-0000-0000DD220000}"/>
    <cellStyle name="20% - Accent6 2 2 7 2" xfId="12799" xr:uid="{00000000-0005-0000-0000-0000DE220000}"/>
    <cellStyle name="20% - Accent6 2 2 7 2 2" xfId="26511" xr:uid="{00000000-0005-0000-0000-0000DF220000}"/>
    <cellStyle name="20% - Accent6 2 2 7 3" xfId="19594" xr:uid="{00000000-0005-0000-0000-0000E0220000}"/>
    <cellStyle name="20% - Accent6 2 2 8" xfId="2270" xr:uid="{00000000-0005-0000-0000-0000E1220000}"/>
    <cellStyle name="20% - Accent6 2 2 8 2" xfId="13480" xr:uid="{00000000-0005-0000-0000-0000E2220000}"/>
    <cellStyle name="20% - Accent6 2 2 8 2 2" xfId="27029" xr:uid="{00000000-0005-0000-0000-0000E3220000}"/>
    <cellStyle name="20% - Accent6 2 2 8 3" xfId="19595" xr:uid="{00000000-0005-0000-0000-0000E4220000}"/>
    <cellStyle name="20% - Accent6 2 2 9" xfId="2271" xr:uid="{00000000-0005-0000-0000-0000E5220000}"/>
    <cellStyle name="20% - Accent6 2 2 9 2" xfId="14061" xr:uid="{00000000-0005-0000-0000-0000E6220000}"/>
    <cellStyle name="20% - Accent6 2 2 9 2 2" xfId="27610" xr:uid="{00000000-0005-0000-0000-0000E7220000}"/>
    <cellStyle name="20% - Accent6 2 2 9 3" xfId="19596" xr:uid="{00000000-0005-0000-0000-0000E8220000}"/>
    <cellStyle name="20% - Accent6 2 3" xfId="2272" xr:uid="{00000000-0005-0000-0000-0000E9220000}"/>
    <cellStyle name="20% - Accent6 2 3 10" xfId="2273" xr:uid="{00000000-0005-0000-0000-0000EA220000}"/>
    <cellStyle name="20% - Accent6 2 3 10 2" xfId="16044" xr:uid="{00000000-0005-0000-0000-0000EB220000}"/>
    <cellStyle name="20% - Accent6 2 3 10 2 2" xfId="29451" xr:uid="{00000000-0005-0000-0000-0000EC220000}"/>
    <cellStyle name="20% - Accent6 2 3 10 3" xfId="19598" xr:uid="{00000000-0005-0000-0000-0000ED220000}"/>
    <cellStyle name="20% - Accent6 2 3 11" xfId="9136" xr:uid="{00000000-0005-0000-0000-0000EE220000}"/>
    <cellStyle name="20% - Accent6 2 3 11 2" xfId="23611" xr:uid="{00000000-0005-0000-0000-0000EF220000}"/>
    <cellStyle name="20% - Accent6 2 3 12" xfId="19597" xr:uid="{00000000-0005-0000-0000-0000F0220000}"/>
    <cellStyle name="20% - Accent6 2 3 2" xfId="2274" xr:uid="{00000000-0005-0000-0000-0000F1220000}"/>
    <cellStyle name="20% - Accent6 2 3 2 10" xfId="9137" xr:uid="{00000000-0005-0000-0000-0000F2220000}"/>
    <cellStyle name="20% - Accent6 2 3 2 10 2" xfId="23612" xr:uid="{00000000-0005-0000-0000-0000F3220000}"/>
    <cellStyle name="20% - Accent6 2 3 2 11" xfId="19599" xr:uid="{00000000-0005-0000-0000-0000F4220000}"/>
    <cellStyle name="20% - Accent6 2 3 2 2" xfId="2275" xr:uid="{00000000-0005-0000-0000-0000F5220000}"/>
    <cellStyle name="20% - Accent6 2 3 2 2 2" xfId="2276" xr:uid="{00000000-0005-0000-0000-0000F6220000}"/>
    <cellStyle name="20% - Accent6 2 3 2 2 2 2" xfId="10864" xr:uid="{00000000-0005-0000-0000-0000F7220000}"/>
    <cellStyle name="20% - Accent6 2 3 2 2 2 2 2" xfId="24806" xr:uid="{00000000-0005-0000-0000-0000F8220000}"/>
    <cellStyle name="20% - Accent6 2 3 2 2 2 3" xfId="19601" xr:uid="{00000000-0005-0000-0000-0000F9220000}"/>
    <cellStyle name="20% - Accent6 2 3 2 2 3" xfId="2277" xr:uid="{00000000-0005-0000-0000-0000FA220000}"/>
    <cellStyle name="20% - Accent6 2 3 2 2 3 2" xfId="12757" xr:uid="{00000000-0005-0000-0000-0000FB220000}"/>
    <cellStyle name="20% - Accent6 2 3 2 2 3 2 2" xfId="26469" xr:uid="{00000000-0005-0000-0000-0000FC220000}"/>
    <cellStyle name="20% - Accent6 2 3 2 2 3 3" xfId="19602" xr:uid="{00000000-0005-0000-0000-0000FD220000}"/>
    <cellStyle name="20% - Accent6 2 3 2 2 4" xfId="2278" xr:uid="{00000000-0005-0000-0000-0000FE220000}"/>
    <cellStyle name="20% - Accent6 2 3 2 2 4 2" xfId="14975" xr:uid="{00000000-0005-0000-0000-0000FF220000}"/>
    <cellStyle name="20% - Accent6 2 3 2 2 4 2 2" xfId="28524" xr:uid="{00000000-0005-0000-0000-000000230000}"/>
    <cellStyle name="20% - Accent6 2 3 2 2 4 3" xfId="19603" xr:uid="{00000000-0005-0000-0000-000001230000}"/>
    <cellStyle name="20% - Accent6 2 3 2 2 5" xfId="2279" xr:uid="{00000000-0005-0000-0000-000002230000}"/>
    <cellStyle name="20% - Accent6 2 3 2 2 5 2" xfId="16914" xr:uid="{00000000-0005-0000-0000-000003230000}"/>
    <cellStyle name="20% - Accent6 2 3 2 2 5 2 2" xfId="30321" xr:uid="{00000000-0005-0000-0000-000004230000}"/>
    <cellStyle name="20% - Accent6 2 3 2 2 5 3" xfId="19604" xr:uid="{00000000-0005-0000-0000-000005230000}"/>
    <cellStyle name="20% - Accent6 2 3 2 2 6" xfId="9138" xr:uid="{00000000-0005-0000-0000-000006230000}"/>
    <cellStyle name="20% - Accent6 2 3 2 2 6 2" xfId="23613" xr:uid="{00000000-0005-0000-0000-000007230000}"/>
    <cellStyle name="20% - Accent6 2 3 2 2 7" xfId="19600" xr:uid="{00000000-0005-0000-0000-000008230000}"/>
    <cellStyle name="20% - Accent6 2 3 2 3" xfId="2280" xr:uid="{00000000-0005-0000-0000-000009230000}"/>
    <cellStyle name="20% - Accent6 2 3 2 3 2" xfId="2281" xr:uid="{00000000-0005-0000-0000-00000A230000}"/>
    <cellStyle name="20% - Accent6 2 3 2 3 2 2" xfId="14976" xr:uid="{00000000-0005-0000-0000-00000B230000}"/>
    <cellStyle name="20% - Accent6 2 3 2 3 2 2 2" xfId="28525" xr:uid="{00000000-0005-0000-0000-00000C230000}"/>
    <cellStyle name="20% - Accent6 2 3 2 3 2 3" xfId="19606" xr:uid="{00000000-0005-0000-0000-00000D230000}"/>
    <cellStyle name="20% - Accent6 2 3 2 3 3" xfId="10863" xr:uid="{00000000-0005-0000-0000-00000E230000}"/>
    <cellStyle name="20% - Accent6 2 3 2 3 3 2" xfId="24805" xr:uid="{00000000-0005-0000-0000-00000F230000}"/>
    <cellStyle name="20% - Accent6 2 3 2 3 4" xfId="19605" xr:uid="{00000000-0005-0000-0000-000010230000}"/>
    <cellStyle name="20% - Accent6 2 3 2 4" xfId="2282" xr:uid="{00000000-0005-0000-0000-000011230000}"/>
    <cellStyle name="20% - Accent6 2 3 2 4 2" xfId="12302" xr:uid="{00000000-0005-0000-0000-000012230000}"/>
    <cellStyle name="20% - Accent6 2 3 2 4 2 2" xfId="26014" xr:uid="{00000000-0005-0000-0000-000013230000}"/>
    <cellStyle name="20% - Accent6 2 3 2 4 3" xfId="19607" xr:uid="{00000000-0005-0000-0000-000014230000}"/>
    <cellStyle name="20% - Accent6 2 3 2 5" xfId="2283" xr:uid="{00000000-0005-0000-0000-000015230000}"/>
    <cellStyle name="20% - Accent6 2 3 2 5 2" xfId="12756" xr:uid="{00000000-0005-0000-0000-000016230000}"/>
    <cellStyle name="20% - Accent6 2 3 2 5 2 2" xfId="26468" xr:uid="{00000000-0005-0000-0000-000017230000}"/>
    <cellStyle name="20% - Accent6 2 3 2 5 3" xfId="19608" xr:uid="{00000000-0005-0000-0000-000018230000}"/>
    <cellStyle name="20% - Accent6 2 3 2 6" xfId="2284" xr:uid="{00000000-0005-0000-0000-000019230000}"/>
    <cellStyle name="20% - Accent6 2 3 2 6 2" xfId="13866" xr:uid="{00000000-0005-0000-0000-00001A230000}"/>
    <cellStyle name="20% - Accent6 2 3 2 6 2 2" xfId="27415" xr:uid="{00000000-0005-0000-0000-00001B230000}"/>
    <cellStyle name="20% - Accent6 2 3 2 6 3" xfId="19609" xr:uid="{00000000-0005-0000-0000-00001C230000}"/>
    <cellStyle name="20% - Accent6 2 3 2 7" xfId="2285" xr:uid="{00000000-0005-0000-0000-00001D230000}"/>
    <cellStyle name="20% - Accent6 2 3 2 7 2" xfId="14447" xr:uid="{00000000-0005-0000-0000-00001E230000}"/>
    <cellStyle name="20% - Accent6 2 3 2 7 2 2" xfId="27996" xr:uid="{00000000-0005-0000-0000-00001F230000}"/>
    <cellStyle name="20% - Accent6 2 3 2 7 3" xfId="19610" xr:uid="{00000000-0005-0000-0000-000020230000}"/>
    <cellStyle name="20% - Accent6 2 3 2 8" xfId="2286" xr:uid="{00000000-0005-0000-0000-000021230000}"/>
    <cellStyle name="20% - Accent6 2 3 2 8 2" xfId="14974" xr:uid="{00000000-0005-0000-0000-000022230000}"/>
    <cellStyle name="20% - Accent6 2 3 2 8 2 2" xfId="28523" xr:uid="{00000000-0005-0000-0000-000023230000}"/>
    <cellStyle name="20% - Accent6 2 3 2 8 3" xfId="19611" xr:uid="{00000000-0005-0000-0000-000024230000}"/>
    <cellStyle name="20% - Accent6 2 3 2 9" xfId="2287" xr:uid="{00000000-0005-0000-0000-000025230000}"/>
    <cellStyle name="20% - Accent6 2 3 2 9 2" xfId="16333" xr:uid="{00000000-0005-0000-0000-000026230000}"/>
    <cellStyle name="20% - Accent6 2 3 2 9 2 2" xfId="29740" xr:uid="{00000000-0005-0000-0000-000027230000}"/>
    <cellStyle name="20% - Accent6 2 3 2 9 3" xfId="19612" xr:uid="{00000000-0005-0000-0000-000028230000}"/>
    <cellStyle name="20% - Accent6 2 3 3" xfId="2288" xr:uid="{00000000-0005-0000-0000-000029230000}"/>
    <cellStyle name="20% - Accent6 2 3 3 2" xfId="2289" xr:uid="{00000000-0005-0000-0000-00002A230000}"/>
    <cellStyle name="20% - Accent6 2 3 3 2 2" xfId="10865" xr:uid="{00000000-0005-0000-0000-00002B230000}"/>
    <cellStyle name="20% - Accent6 2 3 3 2 2 2" xfId="24807" xr:uid="{00000000-0005-0000-0000-00002C230000}"/>
    <cellStyle name="20% - Accent6 2 3 3 2 3" xfId="19614" xr:uid="{00000000-0005-0000-0000-00002D230000}"/>
    <cellStyle name="20% - Accent6 2 3 3 3" xfId="2290" xr:uid="{00000000-0005-0000-0000-00002E230000}"/>
    <cellStyle name="20% - Accent6 2 3 3 3 2" xfId="12444" xr:uid="{00000000-0005-0000-0000-00002F230000}"/>
    <cellStyle name="20% - Accent6 2 3 3 3 2 2" xfId="26156" xr:uid="{00000000-0005-0000-0000-000030230000}"/>
    <cellStyle name="20% - Accent6 2 3 3 3 3" xfId="19615" xr:uid="{00000000-0005-0000-0000-000031230000}"/>
    <cellStyle name="20% - Accent6 2 3 3 4" xfId="2291" xr:uid="{00000000-0005-0000-0000-000032230000}"/>
    <cellStyle name="20% - Accent6 2 3 3 4 2" xfId="14977" xr:uid="{00000000-0005-0000-0000-000033230000}"/>
    <cellStyle name="20% - Accent6 2 3 3 4 2 2" xfId="28526" xr:uid="{00000000-0005-0000-0000-000034230000}"/>
    <cellStyle name="20% - Accent6 2 3 3 4 3" xfId="19616" xr:uid="{00000000-0005-0000-0000-000035230000}"/>
    <cellStyle name="20% - Accent6 2 3 3 5" xfId="2292" xr:uid="{00000000-0005-0000-0000-000036230000}"/>
    <cellStyle name="20% - Accent6 2 3 3 5 2" xfId="16625" xr:uid="{00000000-0005-0000-0000-000037230000}"/>
    <cellStyle name="20% - Accent6 2 3 3 5 2 2" xfId="30032" xr:uid="{00000000-0005-0000-0000-000038230000}"/>
    <cellStyle name="20% - Accent6 2 3 3 5 3" xfId="19617" xr:uid="{00000000-0005-0000-0000-000039230000}"/>
    <cellStyle name="20% - Accent6 2 3 3 6" xfId="9139" xr:uid="{00000000-0005-0000-0000-00003A230000}"/>
    <cellStyle name="20% - Accent6 2 3 3 6 2" xfId="23614" xr:uid="{00000000-0005-0000-0000-00003B230000}"/>
    <cellStyle name="20% - Accent6 2 3 3 7" xfId="19613" xr:uid="{00000000-0005-0000-0000-00003C230000}"/>
    <cellStyle name="20% - Accent6 2 3 4" xfId="2293" xr:uid="{00000000-0005-0000-0000-00003D230000}"/>
    <cellStyle name="20% - Accent6 2 3 4 2" xfId="2294" xr:uid="{00000000-0005-0000-0000-00003E230000}"/>
    <cellStyle name="20% - Accent6 2 3 4 2 2" xfId="14978" xr:uid="{00000000-0005-0000-0000-00003F230000}"/>
    <cellStyle name="20% - Accent6 2 3 4 2 2 2" xfId="28527" xr:uid="{00000000-0005-0000-0000-000040230000}"/>
    <cellStyle name="20% - Accent6 2 3 4 2 3" xfId="19619" xr:uid="{00000000-0005-0000-0000-000041230000}"/>
    <cellStyle name="20% - Accent6 2 3 4 3" xfId="10862" xr:uid="{00000000-0005-0000-0000-000042230000}"/>
    <cellStyle name="20% - Accent6 2 3 4 3 2" xfId="24804" xr:uid="{00000000-0005-0000-0000-000043230000}"/>
    <cellStyle name="20% - Accent6 2 3 4 4" xfId="19618" xr:uid="{00000000-0005-0000-0000-000044230000}"/>
    <cellStyle name="20% - Accent6 2 3 5" xfId="2295" xr:uid="{00000000-0005-0000-0000-000045230000}"/>
    <cellStyle name="20% - Accent6 2 3 5 2" xfId="12002" xr:uid="{00000000-0005-0000-0000-000046230000}"/>
    <cellStyle name="20% - Accent6 2 3 5 2 2" xfId="25717" xr:uid="{00000000-0005-0000-0000-000047230000}"/>
    <cellStyle name="20% - Accent6 2 3 5 3" xfId="19620" xr:uid="{00000000-0005-0000-0000-000048230000}"/>
    <cellStyle name="20% - Accent6 2 3 6" xfId="2296" xr:uid="{00000000-0005-0000-0000-000049230000}"/>
    <cellStyle name="20% - Accent6 2 3 6 2" xfId="11763" xr:uid="{00000000-0005-0000-0000-00004A230000}"/>
    <cellStyle name="20% - Accent6 2 3 6 2 2" xfId="25478" xr:uid="{00000000-0005-0000-0000-00004B230000}"/>
    <cellStyle name="20% - Accent6 2 3 6 3" xfId="19621" xr:uid="{00000000-0005-0000-0000-00004C230000}"/>
    <cellStyle name="20% - Accent6 2 3 7" xfId="2297" xr:uid="{00000000-0005-0000-0000-00004D230000}"/>
    <cellStyle name="20% - Accent6 2 3 7 2" xfId="13577" xr:uid="{00000000-0005-0000-0000-00004E230000}"/>
    <cellStyle name="20% - Accent6 2 3 7 2 2" xfId="27126" xr:uid="{00000000-0005-0000-0000-00004F230000}"/>
    <cellStyle name="20% - Accent6 2 3 7 3" xfId="19622" xr:uid="{00000000-0005-0000-0000-000050230000}"/>
    <cellStyle name="20% - Accent6 2 3 8" xfId="2298" xr:uid="{00000000-0005-0000-0000-000051230000}"/>
    <cellStyle name="20% - Accent6 2 3 8 2" xfId="14158" xr:uid="{00000000-0005-0000-0000-000052230000}"/>
    <cellStyle name="20% - Accent6 2 3 8 2 2" xfId="27707" xr:uid="{00000000-0005-0000-0000-000053230000}"/>
    <cellStyle name="20% - Accent6 2 3 8 3" xfId="19623" xr:uid="{00000000-0005-0000-0000-000054230000}"/>
    <cellStyle name="20% - Accent6 2 3 9" xfId="2299" xr:uid="{00000000-0005-0000-0000-000055230000}"/>
    <cellStyle name="20% - Accent6 2 3 9 2" xfId="14973" xr:uid="{00000000-0005-0000-0000-000056230000}"/>
    <cellStyle name="20% - Accent6 2 3 9 2 2" xfId="28522" xr:uid="{00000000-0005-0000-0000-000057230000}"/>
    <cellStyle name="20% - Accent6 2 3 9 3" xfId="19624" xr:uid="{00000000-0005-0000-0000-000058230000}"/>
    <cellStyle name="20% - Accent6 2 4" xfId="2300" xr:uid="{00000000-0005-0000-0000-000059230000}"/>
    <cellStyle name="20% - Accent6 2 4 10" xfId="9140" xr:uid="{00000000-0005-0000-0000-00005A230000}"/>
    <cellStyle name="20% - Accent6 2 4 10 2" xfId="23615" xr:uid="{00000000-0005-0000-0000-00005B230000}"/>
    <cellStyle name="20% - Accent6 2 4 11" xfId="19625" xr:uid="{00000000-0005-0000-0000-00005C230000}"/>
    <cellStyle name="20% - Accent6 2 4 2" xfId="2301" xr:uid="{00000000-0005-0000-0000-00005D230000}"/>
    <cellStyle name="20% - Accent6 2 4 2 2" xfId="2302" xr:uid="{00000000-0005-0000-0000-00005E230000}"/>
    <cellStyle name="20% - Accent6 2 4 2 2 2" xfId="10867" xr:uid="{00000000-0005-0000-0000-00005F230000}"/>
    <cellStyle name="20% - Accent6 2 4 2 2 2 2" xfId="24809" xr:uid="{00000000-0005-0000-0000-000060230000}"/>
    <cellStyle name="20% - Accent6 2 4 2 2 3" xfId="19627" xr:uid="{00000000-0005-0000-0000-000061230000}"/>
    <cellStyle name="20% - Accent6 2 4 2 3" xfId="2303" xr:uid="{00000000-0005-0000-0000-000062230000}"/>
    <cellStyle name="20% - Accent6 2 4 2 3 2" xfId="12570" xr:uid="{00000000-0005-0000-0000-000063230000}"/>
    <cellStyle name="20% - Accent6 2 4 2 3 2 2" xfId="26282" xr:uid="{00000000-0005-0000-0000-000064230000}"/>
    <cellStyle name="20% - Accent6 2 4 2 3 3" xfId="19628" xr:uid="{00000000-0005-0000-0000-000065230000}"/>
    <cellStyle name="20% - Accent6 2 4 2 4" xfId="2304" xr:uid="{00000000-0005-0000-0000-000066230000}"/>
    <cellStyle name="20% - Accent6 2 4 2 4 2" xfId="14980" xr:uid="{00000000-0005-0000-0000-000067230000}"/>
    <cellStyle name="20% - Accent6 2 4 2 4 2 2" xfId="28529" xr:uid="{00000000-0005-0000-0000-000068230000}"/>
    <cellStyle name="20% - Accent6 2 4 2 4 3" xfId="19629" xr:uid="{00000000-0005-0000-0000-000069230000}"/>
    <cellStyle name="20% - Accent6 2 4 2 5" xfId="2305" xr:uid="{00000000-0005-0000-0000-00006A230000}"/>
    <cellStyle name="20% - Accent6 2 4 2 5 2" xfId="16771" xr:uid="{00000000-0005-0000-0000-00006B230000}"/>
    <cellStyle name="20% - Accent6 2 4 2 5 2 2" xfId="30178" xr:uid="{00000000-0005-0000-0000-00006C230000}"/>
    <cellStyle name="20% - Accent6 2 4 2 5 3" xfId="19630" xr:uid="{00000000-0005-0000-0000-00006D230000}"/>
    <cellStyle name="20% - Accent6 2 4 2 6" xfId="9141" xr:uid="{00000000-0005-0000-0000-00006E230000}"/>
    <cellStyle name="20% - Accent6 2 4 2 6 2" xfId="23616" xr:uid="{00000000-0005-0000-0000-00006F230000}"/>
    <cellStyle name="20% - Accent6 2 4 2 7" xfId="19626" xr:uid="{00000000-0005-0000-0000-000070230000}"/>
    <cellStyle name="20% - Accent6 2 4 3" xfId="2306" xr:uid="{00000000-0005-0000-0000-000071230000}"/>
    <cellStyle name="20% - Accent6 2 4 3 2" xfId="2307" xr:uid="{00000000-0005-0000-0000-000072230000}"/>
    <cellStyle name="20% - Accent6 2 4 3 2 2" xfId="14981" xr:uid="{00000000-0005-0000-0000-000073230000}"/>
    <cellStyle name="20% - Accent6 2 4 3 2 2 2" xfId="28530" xr:uid="{00000000-0005-0000-0000-000074230000}"/>
    <cellStyle name="20% - Accent6 2 4 3 2 3" xfId="19632" xr:uid="{00000000-0005-0000-0000-000075230000}"/>
    <cellStyle name="20% - Accent6 2 4 3 3" xfId="10866" xr:uid="{00000000-0005-0000-0000-000076230000}"/>
    <cellStyle name="20% - Accent6 2 4 3 3 2" xfId="24808" xr:uid="{00000000-0005-0000-0000-000077230000}"/>
    <cellStyle name="20% - Accent6 2 4 3 4" xfId="19631" xr:uid="{00000000-0005-0000-0000-000078230000}"/>
    <cellStyle name="20% - Accent6 2 4 4" xfId="2308" xr:uid="{00000000-0005-0000-0000-000079230000}"/>
    <cellStyle name="20% - Accent6 2 4 4 2" xfId="12159" xr:uid="{00000000-0005-0000-0000-00007A230000}"/>
    <cellStyle name="20% - Accent6 2 4 4 2 2" xfId="25871" xr:uid="{00000000-0005-0000-0000-00007B230000}"/>
    <cellStyle name="20% - Accent6 2 4 4 3" xfId="19633" xr:uid="{00000000-0005-0000-0000-00007C230000}"/>
    <cellStyle name="20% - Accent6 2 4 5" xfId="2309" xr:uid="{00000000-0005-0000-0000-00007D230000}"/>
    <cellStyle name="20% - Accent6 2 4 5 2" xfId="11757" xr:uid="{00000000-0005-0000-0000-00007E230000}"/>
    <cellStyle name="20% - Accent6 2 4 5 2 2" xfId="25472" xr:uid="{00000000-0005-0000-0000-00007F230000}"/>
    <cellStyle name="20% - Accent6 2 4 5 3" xfId="19634" xr:uid="{00000000-0005-0000-0000-000080230000}"/>
    <cellStyle name="20% - Accent6 2 4 6" xfId="2310" xr:uid="{00000000-0005-0000-0000-000081230000}"/>
    <cellStyle name="20% - Accent6 2 4 6 2" xfId="13723" xr:uid="{00000000-0005-0000-0000-000082230000}"/>
    <cellStyle name="20% - Accent6 2 4 6 2 2" xfId="27272" xr:uid="{00000000-0005-0000-0000-000083230000}"/>
    <cellStyle name="20% - Accent6 2 4 6 3" xfId="19635" xr:uid="{00000000-0005-0000-0000-000084230000}"/>
    <cellStyle name="20% - Accent6 2 4 7" xfId="2311" xr:uid="{00000000-0005-0000-0000-000085230000}"/>
    <cellStyle name="20% - Accent6 2 4 7 2" xfId="14304" xr:uid="{00000000-0005-0000-0000-000086230000}"/>
    <cellStyle name="20% - Accent6 2 4 7 2 2" xfId="27853" xr:uid="{00000000-0005-0000-0000-000087230000}"/>
    <cellStyle name="20% - Accent6 2 4 7 3" xfId="19636" xr:uid="{00000000-0005-0000-0000-000088230000}"/>
    <cellStyle name="20% - Accent6 2 4 8" xfId="2312" xr:uid="{00000000-0005-0000-0000-000089230000}"/>
    <cellStyle name="20% - Accent6 2 4 8 2" xfId="14979" xr:uid="{00000000-0005-0000-0000-00008A230000}"/>
    <cellStyle name="20% - Accent6 2 4 8 2 2" xfId="28528" xr:uid="{00000000-0005-0000-0000-00008B230000}"/>
    <cellStyle name="20% - Accent6 2 4 8 3" xfId="19637" xr:uid="{00000000-0005-0000-0000-00008C230000}"/>
    <cellStyle name="20% - Accent6 2 4 9" xfId="2313" xr:uid="{00000000-0005-0000-0000-00008D230000}"/>
    <cellStyle name="20% - Accent6 2 4 9 2" xfId="16190" xr:uid="{00000000-0005-0000-0000-00008E230000}"/>
    <cellStyle name="20% - Accent6 2 4 9 2 2" xfId="29597" xr:uid="{00000000-0005-0000-0000-00008F230000}"/>
    <cellStyle name="20% - Accent6 2 4 9 3" xfId="19638" xr:uid="{00000000-0005-0000-0000-000090230000}"/>
    <cellStyle name="20% - Accent6 2 5" xfId="2314" xr:uid="{00000000-0005-0000-0000-000091230000}"/>
    <cellStyle name="20% - Accent6 2 5 2" xfId="2315" xr:uid="{00000000-0005-0000-0000-000092230000}"/>
    <cellStyle name="20% - Accent6 2 5 2 2" xfId="2316" xr:uid="{00000000-0005-0000-0000-000093230000}"/>
    <cellStyle name="20% - Accent6 2 5 2 2 2" xfId="10869" xr:uid="{00000000-0005-0000-0000-000094230000}"/>
    <cellStyle name="20% - Accent6 2 5 2 2 2 2" xfId="24811" xr:uid="{00000000-0005-0000-0000-000095230000}"/>
    <cellStyle name="20% - Accent6 2 5 2 2 3" xfId="19641" xr:uid="{00000000-0005-0000-0000-000096230000}"/>
    <cellStyle name="20% - Accent6 2 5 2 3" xfId="2317" xr:uid="{00000000-0005-0000-0000-000097230000}"/>
    <cellStyle name="20% - Accent6 2 5 2 3 2" xfId="12507" xr:uid="{00000000-0005-0000-0000-000098230000}"/>
    <cellStyle name="20% - Accent6 2 5 2 3 2 2" xfId="26219" xr:uid="{00000000-0005-0000-0000-000099230000}"/>
    <cellStyle name="20% - Accent6 2 5 2 3 3" xfId="19642" xr:uid="{00000000-0005-0000-0000-00009A230000}"/>
    <cellStyle name="20% - Accent6 2 5 2 4" xfId="2318" xr:uid="{00000000-0005-0000-0000-00009B230000}"/>
    <cellStyle name="20% - Accent6 2 5 2 4 2" xfId="14983" xr:uid="{00000000-0005-0000-0000-00009C230000}"/>
    <cellStyle name="20% - Accent6 2 5 2 4 2 2" xfId="28532" xr:uid="{00000000-0005-0000-0000-00009D230000}"/>
    <cellStyle name="20% - Accent6 2 5 2 4 3" xfId="19643" xr:uid="{00000000-0005-0000-0000-00009E230000}"/>
    <cellStyle name="20% - Accent6 2 5 2 5" xfId="9143" xr:uid="{00000000-0005-0000-0000-00009F230000}"/>
    <cellStyle name="20% - Accent6 2 5 2 5 2" xfId="23618" xr:uid="{00000000-0005-0000-0000-0000A0230000}"/>
    <cellStyle name="20% - Accent6 2 5 2 6" xfId="19640" xr:uid="{00000000-0005-0000-0000-0000A1230000}"/>
    <cellStyle name="20% - Accent6 2 5 3" xfId="2319" xr:uid="{00000000-0005-0000-0000-0000A2230000}"/>
    <cellStyle name="20% - Accent6 2 5 3 2" xfId="10868" xr:uid="{00000000-0005-0000-0000-0000A3230000}"/>
    <cellStyle name="20% - Accent6 2 5 3 2 2" xfId="24810" xr:uid="{00000000-0005-0000-0000-0000A4230000}"/>
    <cellStyle name="20% - Accent6 2 5 3 3" xfId="19644" xr:uid="{00000000-0005-0000-0000-0000A5230000}"/>
    <cellStyle name="20% - Accent6 2 5 4" xfId="2320" xr:uid="{00000000-0005-0000-0000-0000A6230000}"/>
    <cellStyle name="20% - Accent6 2 5 4 2" xfId="12565" xr:uid="{00000000-0005-0000-0000-0000A7230000}"/>
    <cellStyle name="20% - Accent6 2 5 4 2 2" xfId="26277" xr:uid="{00000000-0005-0000-0000-0000A8230000}"/>
    <cellStyle name="20% - Accent6 2 5 4 3" xfId="19645" xr:uid="{00000000-0005-0000-0000-0000A9230000}"/>
    <cellStyle name="20% - Accent6 2 5 5" xfId="2321" xr:uid="{00000000-0005-0000-0000-0000AA230000}"/>
    <cellStyle name="20% - Accent6 2 5 5 2" xfId="14982" xr:uid="{00000000-0005-0000-0000-0000AB230000}"/>
    <cellStyle name="20% - Accent6 2 5 5 2 2" xfId="28531" xr:uid="{00000000-0005-0000-0000-0000AC230000}"/>
    <cellStyle name="20% - Accent6 2 5 5 3" xfId="19646" xr:uid="{00000000-0005-0000-0000-0000AD230000}"/>
    <cellStyle name="20% - Accent6 2 5 6" xfId="2322" xr:uid="{00000000-0005-0000-0000-0000AE230000}"/>
    <cellStyle name="20% - Accent6 2 5 6 2" xfId="17001" xr:uid="{00000000-0005-0000-0000-0000AF230000}"/>
    <cellStyle name="20% - Accent6 2 5 6 2 2" xfId="30408" xr:uid="{00000000-0005-0000-0000-0000B0230000}"/>
    <cellStyle name="20% - Accent6 2 5 6 3" xfId="19647" xr:uid="{00000000-0005-0000-0000-0000B1230000}"/>
    <cellStyle name="20% - Accent6 2 5 7" xfId="9142" xr:uid="{00000000-0005-0000-0000-0000B2230000}"/>
    <cellStyle name="20% - Accent6 2 5 7 2" xfId="23617" xr:uid="{00000000-0005-0000-0000-0000B3230000}"/>
    <cellStyle name="20% - Accent6 2 5 8" xfId="19639" xr:uid="{00000000-0005-0000-0000-0000B4230000}"/>
    <cellStyle name="20% - Accent6 2 6" xfId="2323" xr:uid="{00000000-0005-0000-0000-0000B5230000}"/>
    <cellStyle name="20% - Accent6 2 6 2" xfId="2324" xr:uid="{00000000-0005-0000-0000-0000B6230000}"/>
    <cellStyle name="20% - Accent6 2 6 2 2" xfId="10870" xr:uid="{00000000-0005-0000-0000-0000B7230000}"/>
    <cellStyle name="20% - Accent6 2 6 2 2 2" xfId="24812" xr:uid="{00000000-0005-0000-0000-0000B8230000}"/>
    <cellStyle name="20% - Accent6 2 6 2 3" xfId="19649" xr:uid="{00000000-0005-0000-0000-0000B9230000}"/>
    <cellStyle name="20% - Accent6 2 6 3" xfId="2325" xr:uid="{00000000-0005-0000-0000-0000BA230000}"/>
    <cellStyle name="20% - Accent6 2 6 3 2" xfId="12599" xr:uid="{00000000-0005-0000-0000-0000BB230000}"/>
    <cellStyle name="20% - Accent6 2 6 3 2 2" xfId="26311" xr:uid="{00000000-0005-0000-0000-0000BC230000}"/>
    <cellStyle name="20% - Accent6 2 6 3 3" xfId="19650" xr:uid="{00000000-0005-0000-0000-0000BD230000}"/>
    <cellStyle name="20% - Accent6 2 6 4" xfId="2326" xr:uid="{00000000-0005-0000-0000-0000BE230000}"/>
    <cellStyle name="20% - Accent6 2 6 4 2" xfId="14984" xr:uid="{00000000-0005-0000-0000-0000BF230000}"/>
    <cellStyle name="20% - Accent6 2 6 4 2 2" xfId="28533" xr:uid="{00000000-0005-0000-0000-0000C0230000}"/>
    <cellStyle name="20% - Accent6 2 6 4 3" xfId="19651" xr:uid="{00000000-0005-0000-0000-0000C1230000}"/>
    <cellStyle name="20% - Accent6 2 6 5" xfId="2327" xr:uid="{00000000-0005-0000-0000-0000C2230000}"/>
    <cellStyle name="20% - Accent6 2 6 5 2" xfId="17118" xr:uid="{00000000-0005-0000-0000-0000C3230000}"/>
    <cellStyle name="20% - Accent6 2 6 5 2 2" xfId="30477" xr:uid="{00000000-0005-0000-0000-0000C4230000}"/>
    <cellStyle name="20% - Accent6 2 6 5 3" xfId="19652" xr:uid="{00000000-0005-0000-0000-0000C5230000}"/>
    <cellStyle name="20% - Accent6 2 6 6" xfId="9144" xr:uid="{00000000-0005-0000-0000-0000C6230000}"/>
    <cellStyle name="20% - Accent6 2 6 6 2" xfId="23619" xr:uid="{00000000-0005-0000-0000-0000C7230000}"/>
    <cellStyle name="20% - Accent6 2 6 7" xfId="19648" xr:uid="{00000000-0005-0000-0000-0000C8230000}"/>
    <cellStyle name="20% - Accent6 2 7" xfId="2328" xr:uid="{00000000-0005-0000-0000-0000C9230000}"/>
    <cellStyle name="20% - Accent6 2 7 2" xfId="2329" xr:uid="{00000000-0005-0000-0000-0000CA230000}"/>
    <cellStyle name="20% - Accent6 2 7 2 2" xfId="10871" xr:uid="{00000000-0005-0000-0000-0000CB230000}"/>
    <cellStyle name="20% - Accent6 2 7 2 2 2" xfId="24813" xr:uid="{00000000-0005-0000-0000-0000CC230000}"/>
    <cellStyle name="20% - Accent6 2 7 2 3" xfId="19654" xr:uid="{00000000-0005-0000-0000-0000CD230000}"/>
    <cellStyle name="20% - Accent6 2 7 3" xfId="2330" xr:uid="{00000000-0005-0000-0000-0000CE230000}"/>
    <cellStyle name="20% - Accent6 2 7 3 2" xfId="12640" xr:uid="{00000000-0005-0000-0000-0000CF230000}"/>
    <cellStyle name="20% - Accent6 2 7 3 2 2" xfId="26352" xr:uid="{00000000-0005-0000-0000-0000D0230000}"/>
    <cellStyle name="20% - Accent6 2 7 3 3" xfId="19655" xr:uid="{00000000-0005-0000-0000-0000D1230000}"/>
    <cellStyle name="20% - Accent6 2 7 4" xfId="2331" xr:uid="{00000000-0005-0000-0000-0000D2230000}"/>
    <cellStyle name="20% - Accent6 2 7 4 2" xfId="14985" xr:uid="{00000000-0005-0000-0000-0000D3230000}"/>
    <cellStyle name="20% - Accent6 2 7 4 2 2" xfId="28534" xr:uid="{00000000-0005-0000-0000-0000D4230000}"/>
    <cellStyle name="20% - Accent6 2 7 4 3" xfId="19656" xr:uid="{00000000-0005-0000-0000-0000D5230000}"/>
    <cellStyle name="20% - Accent6 2 7 5" xfId="2332" xr:uid="{00000000-0005-0000-0000-0000D6230000}"/>
    <cellStyle name="20% - Accent6 2 7 5 2" xfId="17207" xr:uid="{00000000-0005-0000-0000-0000D7230000}"/>
    <cellStyle name="20% - Accent6 2 7 5 2 2" xfId="30566" xr:uid="{00000000-0005-0000-0000-0000D8230000}"/>
    <cellStyle name="20% - Accent6 2 7 5 3" xfId="19657" xr:uid="{00000000-0005-0000-0000-0000D9230000}"/>
    <cellStyle name="20% - Accent6 2 7 6" xfId="9145" xr:uid="{00000000-0005-0000-0000-0000DA230000}"/>
    <cellStyle name="20% - Accent6 2 7 6 2" xfId="23620" xr:uid="{00000000-0005-0000-0000-0000DB230000}"/>
    <cellStyle name="20% - Accent6 2 7 7" xfId="19653" xr:uid="{00000000-0005-0000-0000-0000DC230000}"/>
    <cellStyle name="20% - Accent6 2 8" xfId="2333" xr:uid="{00000000-0005-0000-0000-0000DD230000}"/>
    <cellStyle name="20% - Accent6 2 8 2" xfId="2334" xr:uid="{00000000-0005-0000-0000-0000DE230000}"/>
    <cellStyle name="20% - Accent6 2 8 2 2" xfId="12427" xr:uid="{00000000-0005-0000-0000-0000DF230000}"/>
    <cellStyle name="20% - Accent6 2 8 2 2 2" xfId="26139" xr:uid="{00000000-0005-0000-0000-0000E0230000}"/>
    <cellStyle name="20% - Accent6 2 8 2 3" xfId="19659" xr:uid="{00000000-0005-0000-0000-0000E1230000}"/>
    <cellStyle name="20% - Accent6 2 8 3" xfId="2335" xr:uid="{00000000-0005-0000-0000-0000E2230000}"/>
    <cellStyle name="20% - Accent6 2 8 3 2" xfId="14986" xr:uid="{00000000-0005-0000-0000-0000E3230000}"/>
    <cellStyle name="20% - Accent6 2 8 3 2 2" xfId="28535" xr:uid="{00000000-0005-0000-0000-0000E4230000}"/>
    <cellStyle name="20% - Accent6 2 8 3 3" xfId="19660" xr:uid="{00000000-0005-0000-0000-0000E5230000}"/>
    <cellStyle name="20% - Accent6 2 8 4" xfId="2336" xr:uid="{00000000-0005-0000-0000-0000E6230000}"/>
    <cellStyle name="20% - Accent6 2 8 4 2" xfId="16482" xr:uid="{00000000-0005-0000-0000-0000E7230000}"/>
    <cellStyle name="20% - Accent6 2 8 4 2 2" xfId="29889" xr:uid="{00000000-0005-0000-0000-0000E8230000}"/>
    <cellStyle name="20% - Accent6 2 8 4 3" xfId="19661" xr:uid="{00000000-0005-0000-0000-0000E9230000}"/>
    <cellStyle name="20% - Accent6 2 8 5" xfId="10522" xr:uid="{00000000-0005-0000-0000-0000EA230000}"/>
    <cellStyle name="20% - Accent6 2 8 5 2" xfId="24464" xr:uid="{00000000-0005-0000-0000-0000EB230000}"/>
    <cellStyle name="20% - Accent6 2 8 6" xfId="19658" xr:uid="{00000000-0005-0000-0000-0000EC230000}"/>
    <cellStyle name="20% - Accent6 2 9" xfId="2337" xr:uid="{00000000-0005-0000-0000-0000ED230000}"/>
    <cellStyle name="20% - Accent6 2 9 2" xfId="2338" xr:uid="{00000000-0005-0000-0000-0000EE230000}"/>
    <cellStyle name="20% - Accent6 2 9 2 2" xfId="12647" xr:uid="{00000000-0005-0000-0000-0000EF230000}"/>
    <cellStyle name="20% - Accent6 2 9 2 2 2" xfId="26359" xr:uid="{00000000-0005-0000-0000-0000F0230000}"/>
    <cellStyle name="20% - Accent6 2 9 2 3" xfId="19663" xr:uid="{00000000-0005-0000-0000-0000F1230000}"/>
    <cellStyle name="20% - Accent6 2 9 3" xfId="2339" xr:uid="{00000000-0005-0000-0000-0000F2230000}"/>
    <cellStyle name="20% - Accent6 2 9 3 2" xfId="14987" xr:uid="{00000000-0005-0000-0000-0000F3230000}"/>
    <cellStyle name="20% - Accent6 2 9 3 2 2" xfId="28536" xr:uid="{00000000-0005-0000-0000-0000F4230000}"/>
    <cellStyle name="20% - Accent6 2 9 3 3" xfId="19664" xr:uid="{00000000-0005-0000-0000-0000F5230000}"/>
    <cellStyle name="20% - Accent6 2 9 4" xfId="10853" xr:uid="{00000000-0005-0000-0000-0000F6230000}"/>
    <cellStyle name="20% - Accent6 2 9 4 2" xfId="24795" xr:uid="{00000000-0005-0000-0000-0000F7230000}"/>
    <cellStyle name="20% - Accent6 2 9 5" xfId="19662" xr:uid="{00000000-0005-0000-0000-0000F8230000}"/>
    <cellStyle name="20% - Accent6 20" xfId="2340" xr:uid="{00000000-0005-0000-0000-0000F9230000}"/>
    <cellStyle name="20% - Accent6 20 2" xfId="2341" xr:uid="{00000000-0005-0000-0000-0000FA230000}"/>
    <cellStyle name="20% - Accent6 20 2 2" xfId="12415" xr:uid="{00000000-0005-0000-0000-0000FB230000}"/>
    <cellStyle name="20% - Accent6 20 2 2 2" xfId="26127" xr:uid="{00000000-0005-0000-0000-0000FC230000}"/>
    <cellStyle name="20% - Accent6 20 2 3" xfId="19666" xr:uid="{00000000-0005-0000-0000-0000FD230000}"/>
    <cellStyle name="20% - Accent6 20 3" xfId="2342" xr:uid="{00000000-0005-0000-0000-0000FE230000}"/>
    <cellStyle name="20% - Accent6 20 3 2" xfId="14988" xr:uid="{00000000-0005-0000-0000-0000FF230000}"/>
    <cellStyle name="20% - Accent6 20 3 2 2" xfId="28537" xr:uid="{00000000-0005-0000-0000-000000240000}"/>
    <cellStyle name="20% - Accent6 20 3 3" xfId="19667" xr:uid="{00000000-0005-0000-0000-000001240000}"/>
    <cellStyle name="20% - Accent6 20 4" xfId="10497" xr:uid="{00000000-0005-0000-0000-000002240000}"/>
    <cellStyle name="20% - Accent6 20 4 2" xfId="24445" xr:uid="{00000000-0005-0000-0000-000003240000}"/>
    <cellStyle name="20% - Accent6 20 5" xfId="19665" xr:uid="{00000000-0005-0000-0000-000004240000}"/>
    <cellStyle name="20% - Accent6 21" xfId="2343" xr:uid="{00000000-0005-0000-0000-000005240000}"/>
    <cellStyle name="20% - Accent6 21 2" xfId="2344" xr:uid="{00000000-0005-0000-0000-000006240000}"/>
    <cellStyle name="20% - Accent6 21 2 2" xfId="12734" xr:uid="{00000000-0005-0000-0000-000007240000}"/>
    <cellStyle name="20% - Accent6 21 2 2 2" xfId="26446" xr:uid="{00000000-0005-0000-0000-000008240000}"/>
    <cellStyle name="20% - Accent6 21 2 3" xfId="19669" xr:uid="{00000000-0005-0000-0000-000009240000}"/>
    <cellStyle name="20% - Accent6 21 3" xfId="2345" xr:uid="{00000000-0005-0000-0000-00000A240000}"/>
    <cellStyle name="20% - Accent6 21 3 2" xfId="14989" xr:uid="{00000000-0005-0000-0000-00000B240000}"/>
    <cellStyle name="20% - Accent6 21 3 2 2" xfId="28538" xr:uid="{00000000-0005-0000-0000-00000C240000}"/>
    <cellStyle name="20% - Accent6 21 3 3" xfId="19670" xr:uid="{00000000-0005-0000-0000-00000D240000}"/>
    <cellStyle name="20% - Accent6 21 4" xfId="10842" xr:uid="{00000000-0005-0000-0000-00000E240000}"/>
    <cellStyle name="20% - Accent6 21 4 2" xfId="24784" xr:uid="{00000000-0005-0000-0000-00000F240000}"/>
    <cellStyle name="20% - Accent6 21 5" xfId="19668" xr:uid="{00000000-0005-0000-0000-000010240000}"/>
    <cellStyle name="20% - Accent6 22" xfId="2346" xr:uid="{00000000-0005-0000-0000-000011240000}"/>
    <cellStyle name="20% - Accent6 22 2" xfId="11733" xr:uid="{00000000-0005-0000-0000-000012240000}"/>
    <cellStyle name="20% - Accent6 22 2 2" xfId="25448" xr:uid="{00000000-0005-0000-0000-000013240000}"/>
    <cellStyle name="20% - Accent6 22 3" xfId="19671" xr:uid="{00000000-0005-0000-0000-000014240000}"/>
    <cellStyle name="20% - Accent6 23" xfId="2347" xr:uid="{00000000-0005-0000-0000-000015240000}"/>
    <cellStyle name="20% - Accent6 23 2" xfId="12465" xr:uid="{00000000-0005-0000-0000-000016240000}"/>
    <cellStyle name="20% - Accent6 23 2 2" xfId="26177" xr:uid="{00000000-0005-0000-0000-000017240000}"/>
    <cellStyle name="20% - Accent6 23 3" xfId="19672" xr:uid="{00000000-0005-0000-0000-000018240000}"/>
    <cellStyle name="20% - Accent6 24" xfId="2348" xr:uid="{00000000-0005-0000-0000-000019240000}"/>
    <cellStyle name="20% - Accent6 24 2" xfId="13372" xr:uid="{00000000-0005-0000-0000-00001A240000}"/>
    <cellStyle name="20% - Accent6 24 2 2" xfId="26921" xr:uid="{00000000-0005-0000-0000-00001B240000}"/>
    <cellStyle name="20% - Accent6 24 3" xfId="19673" xr:uid="{00000000-0005-0000-0000-00001C240000}"/>
    <cellStyle name="20% - Accent6 25" xfId="2349" xr:uid="{00000000-0005-0000-0000-00001D240000}"/>
    <cellStyle name="20% - Accent6 25 2" xfId="13953" xr:uid="{00000000-0005-0000-0000-00001E240000}"/>
    <cellStyle name="20% - Accent6 25 2 2" xfId="27502" xr:uid="{00000000-0005-0000-0000-00001F240000}"/>
    <cellStyle name="20% - Accent6 25 3" xfId="19674" xr:uid="{00000000-0005-0000-0000-000020240000}"/>
    <cellStyle name="20% - Accent6 26" xfId="2350" xr:uid="{00000000-0005-0000-0000-000021240000}"/>
    <cellStyle name="20% - Accent6 26 2" xfId="14946" xr:uid="{00000000-0005-0000-0000-000022240000}"/>
    <cellStyle name="20% - Accent6 26 2 2" xfId="28495" xr:uid="{00000000-0005-0000-0000-000023240000}"/>
    <cellStyle name="20% - Accent6 26 3" xfId="19675" xr:uid="{00000000-0005-0000-0000-000024240000}"/>
    <cellStyle name="20% - Accent6 27" xfId="2351" xr:uid="{00000000-0005-0000-0000-000025240000}"/>
    <cellStyle name="20% - Accent6 27 2" xfId="15830" xr:uid="{00000000-0005-0000-0000-000026240000}"/>
    <cellStyle name="20% - Accent6 27 2 2" xfId="29237" xr:uid="{00000000-0005-0000-0000-000027240000}"/>
    <cellStyle name="20% - Accent6 27 3" xfId="19676" xr:uid="{00000000-0005-0000-0000-000028240000}"/>
    <cellStyle name="20% - Accent6 28" xfId="2352" xr:uid="{00000000-0005-0000-0000-000029240000}"/>
    <cellStyle name="20% - Accent6 28 2" xfId="15839" xr:uid="{00000000-0005-0000-0000-00002A240000}"/>
    <cellStyle name="20% - Accent6 28 2 2" xfId="29246" xr:uid="{00000000-0005-0000-0000-00002B240000}"/>
    <cellStyle name="20% - Accent6 28 3" xfId="19677" xr:uid="{00000000-0005-0000-0000-00002C240000}"/>
    <cellStyle name="20% - Accent6 29" xfId="2353" xr:uid="{00000000-0005-0000-0000-00002D240000}"/>
    <cellStyle name="20% - Accent6 29 2" xfId="9116" xr:uid="{00000000-0005-0000-0000-00002E240000}"/>
    <cellStyle name="20% - Accent6 29 2 2" xfId="23591" xr:uid="{00000000-0005-0000-0000-00002F240000}"/>
    <cellStyle name="20% - Accent6 29 3" xfId="19678" xr:uid="{00000000-0005-0000-0000-000030240000}"/>
    <cellStyle name="20% - Accent6 3" xfId="2354" xr:uid="{00000000-0005-0000-0000-000031240000}"/>
    <cellStyle name="20% - Accent6 3 10" xfId="2355" xr:uid="{00000000-0005-0000-0000-000032240000}"/>
    <cellStyle name="20% - Accent6 3 10 2" xfId="14038" xr:uid="{00000000-0005-0000-0000-000033240000}"/>
    <cellStyle name="20% - Accent6 3 10 2 2" xfId="27587" xr:uid="{00000000-0005-0000-0000-000034240000}"/>
    <cellStyle name="20% - Accent6 3 10 3" xfId="19680" xr:uid="{00000000-0005-0000-0000-000035240000}"/>
    <cellStyle name="20% - Accent6 3 11" xfId="2356" xr:uid="{00000000-0005-0000-0000-000036240000}"/>
    <cellStyle name="20% - Accent6 3 11 2" xfId="14990" xr:uid="{00000000-0005-0000-0000-000037240000}"/>
    <cellStyle name="20% - Accent6 3 11 2 2" xfId="28539" xr:uid="{00000000-0005-0000-0000-000038240000}"/>
    <cellStyle name="20% - Accent6 3 11 3" xfId="19681" xr:uid="{00000000-0005-0000-0000-000039240000}"/>
    <cellStyle name="20% - Accent6 3 12" xfId="2357" xr:uid="{00000000-0005-0000-0000-00003A240000}"/>
    <cellStyle name="20% - Accent6 3 12 2" xfId="15924" xr:uid="{00000000-0005-0000-0000-00003B240000}"/>
    <cellStyle name="20% - Accent6 3 12 2 2" xfId="29331" xr:uid="{00000000-0005-0000-0000-00003C240000}"/>
    <cellStyle name="20% - Accent6 3 12 3" xfId="19682" xr:uid="{00000000-0005-0000-0000-00003D240000}"/>
    <cellStyle name="20% - Accent6 3 13" xfId="9146" xr:uid="{00000000-0005-0000-0000-00003E240000}"/>
    <cellStyle name="20% - Accent6 3 13 2" xfId="23621" xr:uid="{00000000-0005-0000-0000-00003F240000}"/>
    <cellStyle name="20% - Accent6 3 14" xfId="19679" xr:uid="{00000000-0005-0000-0000-000040240000}"/>
    <cellStyle name="20% - Accent6 3 2" xfId="2358" xr:uid="{00000000-0005-0000-0000-000041240000}"/>
    <cellStyle name="20% - Accent6 3 2 10" xfId="2359" xr:uid="{00000000-0005-0000-0000-000042240000}"/>
    <cellStyle name="20% - Accent6 3 2 10 2" xfId="16067" xr:uid="{00000000-0005-0000-0000-000043240000}"/>
    <cellStyle name="20% - Accent6 3 2 10 2 2" xfId="29474" xr:uid="{00000000-0005-0000-0000-000044240000}"/>
    <cellStyle name="20% - Accent6 3 2 10 3" xfId="19684" xr:uid="{00000000-0005-0000-0000-000045240000}"/>
    <cellStyle name="20% - Accent6 3 2 11" xfId="9147" xr:uid="{00000000-0005-0000-0000-000046240000}"/>
    <cellStyle name="20% - Accent6 3 2 11 2" xfId="23622" xr:uid="{00000000-0005-0000-0000-000047240000}"/>
    <cellStyle name="20% - Accent6 3 2 12" xfId="19683" xr:uid="{00000000-0005-0000-0000-000048240000}"/>
    <cellStyle name="20% - Accent6 3 2 2" xfId="2360" xr:uid="{00000000-0005-0000-0000-000049240000}"/>
    <cellStyle name="20% - Accent6 3 2 2 10" xfId="9148" xr:uid="{00000000-0005-0000-0000-00004A240000}"/>
    <cellStyle name="20% - Accent6 3 2 2 10 2" xfId="23623" xr:uid="{00000000-0005-0000-0000-00004B240000}"/>
    <cellStyle name="20% - Accent6 3 2 2 11" xfId="19685" xr:uid="{00000000-0005-0000-0000-00004C240000}"/>
    <cellStyle name="20% - Accent6 3 2 2 2" xfId="2361" xr:uid="{00000000-0005-0000-0000-00004D240000}"/>
    <cellStyle name="20% - Accent6 3 2 2 2 2" xfId="2362" xr:uid="{00000000-0005-0000-0000-00004E240000}"/>
    <cellStyle name="20% - Accent6 3 2 2 2 2 2" xfId="10875" xr:uid="{00000000-0005-0000-0000-00004F240000}"/>
    <cellStyle name="20% - Accent6 3 2 2 2 2 2 2" xfId="24817" xr:uid="{00000000-0005-0000-0000-000050240000}"/>
    <cellStyle name="20% - Accent6 3 2 2 2 2 3" xfId="19687" xr:uid="{00000000-0005-0000-0000-000051240000}"/>
    <cellStyle name="20% - Accent6 3 2 2 2 3" xfId="2363" xr:uid="{00000000-0005-0000-0000-000052240000}"/>
    <cellStyle name="20% - Accent6 3 2 2 2 3 2" xfId="12497" xr:uid="{00000000-0005-0000-0000-000053240000}"/>
    <cellStyle name="20% - Accent6 3 2 2 2 3 2 2" xfId="26209" xr:uid="{00000000-0005-0000-0000-000054240000}"/>
    <cellStyle name="20% - Accent6 3 2 2 2 3 3" xfId="19688" xr:uid="{00000000-0005-0000-0000-000055240000}"/>
    <cellStyle name="20% - Accent6 3 2 2 2 4" xfId="2364" xr:uid="{00000000-0005-0000-0000-000056240000}"/>
    <cellStyle name="20% - Accent6 3 2 2 2 4 2" xfId="14993" xr:uid="{00000000-0005-0000-0000-000057240000}"/>
    <cellStyle name="20% - Accent6 3 2 2 2 4 2 2" xfId="28542" xr:uid="{00000000-0005-0000-0000-000058240000}"/>
    <cellStyle name="20% - Accent6 3 2 2 2 4 3" xfId="19689" xr:uid="{00000000-0005-0000-0000-000059240000}"/>
    <cellStyle name="20% - Accent6 3 2 2 2 5" xfId="2365" xr:uid="{00000000-0005-0000-0000-00005A240000}"/>
    <cellStyle name="20% - Accent6 3 2 2 2 5 2" xfId="16937" xr:uid="{00000000-0005-0000-0000-00005B240000}"/>
    <cellStyle name="20% - Accent6 3 2 2 2 5 2 2" xfId="30344" xr:uid="{00000000-0005-0000-0000-00005C240000}"/>
    <cellStyle name="20% - Accent6 3 2 2 2 5 3" xfId="19690" xr:uid="{00000000-0005-0000-0000-00005D240000}"/>
    <cellStyle name="20% - Accent6 3 2 2 2 6" xfId="9149" xr:uid="{00000000-0005-0000-0000-00005E240000}"/>
    <cellStyle name="20% - Accent6 3 2 2 2 6 2" xfId="23624" xr:uid="{00000000-0005-0000-0000-00005F240000}"/>
    <cellStyle name="20% - Accent6 3 2 2 2 7" xfId="19686" xr:uid="{00000000-0005-0000-0000-000060240000}"/>
    <cellStyle name="20% - Accent6 3 2 2 3" xfId="2366" xr:uid="{00000000-0005-0000-0000-000061240000}"/>
    <cellStyle name="20% - Accent6 3 2 2 3 2" xfId="2367" xr:uid="{00000000-0005-0000-0000-000062240000}"/>
    <cellStyle name="20% - Accent6 3 2 2 3 2 2" xfId="14994" xr:uid="{00000000-0005-0000-0000-000063240000}"/>
    <cellStyle name="20% - Accent6 3 2 2 3 2 2 2" xfId="28543" xr:uid="{00000000-0005-0000-0000-000064240000}"/>
    <cellStyle name="20% - Accent6 3 2 2 3 2 3" xfId="19692" xr:uid="{00000000-0005-0000-0000-000065240000}"/>
    <cellStyle name="20% - Accent6 3 2 2 3 3" xfId="10874" xr:uid="{00000000-0005-0000-0000-000066240000}"/>
    <cellStyle name="20% - Accent6 3 2 2 3 3 2" xfId="24816" xr:uid="{00000000-0005-0000-0000-000067240000}"/>
    <cellStyle name="20% - Accent6 3 2 2 3 4" xfId="19691" xr:uid="{00000000-0005-0000-0000-000068240000}"/>
    <cellStyle name="20% - Accent6 3 2 2 4" xfId="2368" xr:uid="{00000000-0005-0000-0000-000069240000}"/>
    <cellStyle name="20% - Accent6 3 2 2 4 2" xfId="12325" xr:uid="{00000000-0005-0000-0000-00006A240000}"/>
    <cellStyle name="20% - Accent6 3 2 2 4 2 2" xfId="26037" xr:uid="{00000000-0005-0000-0000-00006B240000}"/>
    <cellStyle name="20% - Accent6 3 2 2 4 3" xfId="19693" xr:uid="{00000000-0005-0000-0000-00006C240000}"/>
    <cellStyle name="20% - Accent6 3 2 2 5" xfId="2369" xr:uid="{00000000-0005-0000-0000-00006D240000}"/>
    <cellStyle name="20% - Accent6 3 2 2 5 2" xfId="11836" xr:uid="{00000000-0005-0000-0000-00006E240000}"/>
    <cellStyle name="20% - Accent6 3 2 2 5 2 2" xfId="25551" xr:uid="{00000000-0005-0000-0000-00006F240000}"/>
    <cellStyle name="20% - Accent6 3 2 2 5 3" xfId="19694" xr:uid="{00000000-0005-0000-0000-000070240000}"/>
    <cellStyle name="20% - Accent6 3 2 2 6" xfId="2370" xr:uid="{00000000-0005-0000-0000-000071240000}"/>
    <cellStyle name="20% - Accent6 3 2 2 6 2" xfId="13889" xr:uid="{00000000-0005-0000-0000-000072240000}"/>
    <cellStyle name="20% - Accent6 3 2 2 6 2 2" xfId="27438" xr:uid="{00000000-0005-0000-0000-000073240000}"/>
    <cellStyle name="20% - Accent6 3 2 2 6 3" xfId="19695" xr:uid="{00000000-0005-0000-0000-000074240000}"/>
    <cellStyle name="20% - Accent6 3 2 2 7" xfId="2371" xr:uid="{00000000-0005-0000-0000-000075240000}"/>
    <cellStyle name="20% - Accent6 3 2 2 7 2" xfId="14470" xr:uid="{00000000-0005-0000-0000-000076240000}"/>
    <cellStyle name="20% - Accent6 3 2 2 7 2 2" xfId="28019" xr:uid="{00000000-0005-0000-0000-000077240000}"/>
    <cellStyle name="20% - Accent6 3 2 2 7 3" xfId="19696" xr:uid="{00000000-0005-0000-0000-000078240000}"/>
    <cellStyle name="20% - Accent6 3 2 2 8" xfId="2372" xr:uid="{00000000-0005-0000-0000-000079240000}"/>
    <cellStyle name="20% - Accent6 3 2 2 8 2" xfId="14992" xr:uid="{00000000-0005-0000-0000-00007A240000}"/>
    <cellStyle name="20% - Accent6 3 2 2 8 2 2" xfId="28541" xr:uid="{00000000-0005-0000-0000-00007B240000}"/>
    <cellStyle name="20% - Accent6 3 2 2 8 3" xfId="19697" xr:uid="{00000000-0005-0000-0000-00007C240000}"/>
    <cellStyle name="20% - Accent6 3 2 2 9" xfId="2373" xr:uid="{00000000-0005-0000-0000-00007D240000}"/>
    <cellStyle name="20% - Accent6 3 2 2 9 2" xfId="16356" xr:uid="{00000000-0005-0000-0000-00007E240000}"/>
    <cellStyle name="20% - Accent6 3 2 2 9 2 2" xfId="29763" xr:uid="{00000000-0005-0000-0000-00007F240000}"/>
    <cellStyle name="20% - Accent6 3 2 2 9 3" xfId="19698" xr:uid="{00000000-0005-0000-0000-000080240000}"/>
    <cellStyle name="20% - Accent6 3 2 3" xfId="2374" xr:uid="{00000000-0005-0000-0000-000081240000}"/>
    <cellStyle name="20% - Accent6 3 2 3 2" xfId="2375" xr:uid="{00000000-0005-0000-0000-000082240000}"/>
    <cellStyle name="20% - Accent6 3 2 3 2 2" xfId="10876" xr:uid="{00000000-0005-0000-0000-000083240000}"/>
    <cellStyle name="20% - Accent6 3 2 3 2 2 2" xfId="24818" xr:uid="{00000000-0005-0000-0000-000084240000}"/>
    <cellStyle name="20% - Accent6 3 2 3 2 3" xfId="19700" xr:uid="{00000000-0005-0000-0000-000085240000}"/>
    <cellStyle name="20% - Accent6 3 2 3 3" xfId="2376" xr:uid="{00000000-0005-0000-0000-000086240000}"/>
    <cellStyle name="20% - Accent6 3 2 3 3 2" xfId="11774" xr:uid="{00000000-0005-0000-0000-000087240000}"/>
    <cellStyle name="20% - Accent6 3 2 3 3 2 2" xfId="25489" xr:uid="{00000000-0005-0000-0000-000088240000}"/>
    <cellStyle name="20% - Accent6 3 2 3 3 3" xfId="19701" xr:uid="{00000000-0005-0000-0000-000089240000}"/>
    <cellStyle name="20% - Accent6 3 2 3 4" xfId="2377" xr:uid="{00000000-0005-0000-0000-00008A240000}"/>
    <cellStyle name="20% - Accent6 3 2 3 4 2" xfId="14995" xr:uid="{00000000-0005-0000-0000-00008B240000}"/>
    <cellStyle name="20% - Accent6 3 2 3 4 2 2" xfId="28544" xr:uid="{00000000-0005-0000-0000-00008C240000}"/>
    <cellStyle name="20% - Accent6 3 2 3 4 3" xfId="19702" xr:uid="{00000000-0005-0000-0000-00008D240000}"/>
    <cellStyle name="20% - Accent6 3 2 3 5" xfId="2378" xr:uid="{00000000-0005-0000-0000-00008E240000}"/>
    <cellStyle name="20% - Accent6 3 2 3 5 2" xfId="16648" xr:uid="{00000000-0005-0000-0000-00008F240000}"/>
    <cellStyle name="20% - Accent6 3 2 3 5 2 2" xfId="30055" xr:uid="{00000000-0005-0000-0000-000090240000}"/>
    <cellStyle name="20% - Accent6 3 2 3 5 3" xfId="19703" xr:uid="{00000000-0005-0000-0000-000091240000}"/>
    <cellStyle name="20% - Accent6 3 2 3 6" xfId="9150" xr:uid="{00000000-0005-0000-0000-000092240000}"/>
    <cellStyle name="20% - Accent6 3 2 3 6 2" xfId="23625" xr:uid="{00000000-0005-0000-0000-000093240000}"/>
    <cellStyle name="20% - Accent6 3 2 3 7" xfId="19699" xr:uid="{00000000-0005-0000-0000-000094240000}"/>
    <cellStyle name="20% - Accent6 3 2 4" xfId="2379" xr:uid="{00000000-0005-0000-0000-000095240000}"/>
    <cellStyle name="20% - Accent6 3 2 4 2" xfId="2380" xr:uid="{00000000-0005-0000-0000-000096240000}"/>
    <cellStyle name="20% - Accent6 3 2 4 2 2" xfId="14996" xr:uid="{00000000-0005-0000-0000-000097240000}"/>
    <cellStyle name="20% - Accent6 3 2 4 2 2 2" xfId="28545" xr:uid="{00000000-0005-0000-0000-000098240000}"/>
    <cellStyle name="20% - Accent6 3 2 4 2 3" xfId="19705" xr:uid="{00000000-0005-0000-0000-000099240000}"/>
    <cellStyle name="20% - Accent6 3 2 4 3" xfId="10873" xr:uid="{00000000-0005-0000-0000-00009A240000}"/>
    <cellStyle name="20% - Accent6 3 2 4 3 2" xfId="24815" xr:uid="{00000000-0005-0000-0000-00009B240000}"/>
    <cellStyle name="20% - Accent6 3 2 4 4" xfId="19704" xr:uid="{00000000-0005-0000-0000-00009C240000}"/>
    <cellStyle name="20% - Accent6 3 2 5" xfId="2381" xr:uid="{00000000-0005-0000-0000-00009D240000}"/>
    <cellStyle name="20% - Accent6 3 2 5 2" xfId="12025" xr:uid="{00000000-0005-0000-0000-00009E240000}"/>
    <cellStyle name="20% - Accent6 3 2 5 2 2" xfId="25740" xr:uid="{00000000-0005-0000-0000-00009F240000}"/>
    <cellStyle name="20% - Accent6 3 2 5 3" xfId="19706" xr:uid="{00000000-0005-0000-0000-0000A0240000}"/>
    <cellStyle name="20% - Accent6 3 2 6" xfId="2382" xr:uid="{00000000-0005-0000-0000-0000A1240000}"/>
    <cellStyle name="20% - Accent6 3 2 6 2" xfId="11769" xr:uid="{00000000-0005-0000-0000-0000A2240000}"/>
    <cellStyle name="20% - Accent6 3 2 6 2 2" xfId="25484" xr:uid="{00000000-0005-0000-0000-0000A3240000}"/>
    <cellStyle name="20% - Accent6 3 2 6 3" xfId="19707" xr:uid="{00000000-0005-0000-0000-0000A4240000}"/>
    <cellStyle name="20% - Accent6 3 2 7" xfId="2383" xr:uid="{00000000-0005-0000-0000-0000A5240000}"/>
    <cellStyle name="20% - Accent6 3 2 7 2" xfId="13600" xr:uid="{00000000-0005-0000-0000-0000A6240000}"/>
    <cellStyle name="20% - Accent6 3 2 7 2 2" xfId="27149" xr:uid="{00000000-0005-0000-0000-0000A7240000}"/>
    <cellStyle name="20% - Accent6 3 2 7 3" xfId="19708" xr:uid="{00000000-0005-0000-0000-0000A8240000}"/>
    <cellStyle name="20% - Accent6 3 2 8" xfId="2384" xr:uid="{00000000-0005-0000-0000-0000A9240000}"/>
    <cellStyle name="20% - Accent6 3 2 8 2" xfId="14181" xr:uid="{00000000-0005-0000-0000-0000AA240000}"/>
    <cellStyle name="20% - Accent6 3 2 8 2 2" xfId="27730" xr:uid="{00000000-0005-0000-0000-0000AB240000}"/>
    <cellStyle name="20% - Accent6 3 2 8 3" xfId="19709" xr:uid="{00000000-0005-0000-0000-0000AC240000}"/>
    <cellStyle name="20% - Accent6 3 2 9" xfId="2385" xr:uid="{00000000-0005-0000-0000-0000AD240000}"/>
    <cellStyle name="20% - Accent6 3 2 9 2" xfId="14991" xr:uid="{00000000-0005-0000-0000-0000AE240000}"/>
    <cellStyle name="20% - Accent6 3 2 9 2 2" xfId="28540" xr:uid="{00000000-0005-0000-0000-0000AF240000}"/>
    <cellStyle name="20% - Accent6 3 2 9 3" xfId="19710" xr:uid="{00000000-0005-0000-0000-0000B0240000}"/>
    <cellStyle name="20% - Accent6 3 3" xfId="2386" xr:uid="{00000000-0005-0000-0000-0000B1240000}"/>
    <cellStyle name="20% - Accent6 3 3 10" xfId="9151" xr:uid="{00000000-0005-0000-0000-0000B2240000}"/>
    <cellStyle name="20% - Accent6 3 3 10 2" xfId="23626" xr:uid="{00000000-0005-0000-0000-0000B3240000}"/>
    <cellStyle name="20% - Accent6 3 3 11" xfId="19711" xr:uid="{00000000-0005-0000-0000-0000B4240000}"/>
    <cellStyle name="20% - Accent6 3 3 2" xfId="2387" xr:uid="{00000000-0005-0000-0000-0000B5240000}"/>
    <cellStyle name="20% - Accent6 3 3 2 2" xfId="2388" xr:uid="{00000000-0005-0000-0000-0000B6240000}"/>
    <cellStyle name="20% - Accent6 3 3 2 2 2" xfId="10878" xr:uid="{00000000-0005-0000-0000-0000B7240000}"/>
    <cellStyle name="20% - Accent6 3 3 2 2 2 2" xfId="24820" xr:uid="{00000000-0005-0000-0000-0000B8240000}"/>
    <cellStyle name="20% - Accent6 3 3 2 2 3" xfId="19713" xr:uid="{00000000-0005-0000-0000-0000B9240000}"/>
    <cellStyle name="20% - Accent6 3 3 2 3" xfId="2389" xr:uid="{00000000-0005-0000-0000-0000BA240000}"/>
    <cellStyle name="20% - Accent6 3 3 2 3 2" xfId="12456" xr:uid="{00000000-0005-0000-0000-0000BB240000}"/>
    <cellStyle name="20% - Accent6 3 3 2 3 2 2" xfId="26168" xr:uid="{00000000-0005-0000-0000-0000BC240000}"/>
    <cellStyle name="20% - Accent6 3 3 2 3 3" xfId="19714" xr:uid="{00000000-0005-0000-0000-0000BD240000}"/>
    <cellStyle name="20% - Accent6 3 3 2 4" xfId="2390" xr:uid="{00000000-0005-0000-0000-0000BE240000}"/>
    <cellStyle name="20% - Accent6 3 3 2 4 2" xfId="14998" xr:uid="{00000000-0005-0000-0000-0000BF240000}"/>
    <cellStyle name="20% - Accent6 3 3 2 4 2 2" xfId="28547" xr:uid="{00000000-0005-0000-0000-0000C0240000}"/>
    <cellStyle name="20% - Accent6 3 3 2 4 3" xfId="19715" xr:uid="{00000000-0005-0000-0000-0000C1240000}"/>
    <cellStyle name="20% - Accent6 3 3 2 5" xfId="2391" xr:uid="{00000000-0005-0000-0000-0000C2240000}"/>
    <cellStyle name="20% - Accent6 3 3 2 5 2" xfId="16794" xr:uid="{00000000-0005-0000-0000-0000C3240000}"/>
    <cellStyle name="20% - Accent6 3 3 2 5 2 2" xfId="30201" xr:uid="{00000000-0005-0000-0000-0000C4240000}"/>
    <cellStyle name="20% - Accent6 3 3 2 5 3" xfId="19716" xr:uid="{00000000-0005-0000-0000-0000C5240000}"/>
    <cellStyle name="20% - Accent6 3 3 2 6" xfId="9152" xr:uid="{00000000-0005-0000-0000-0000C6240000}"/>
    <cellStyle name="20% - Accent6 3 3 2 6 2" xfId="23627" xr:uid="{00000000-0005-0000-0000-0000C7240000}"/>
    <cellStyle name="20% - Accent6 3 3 2 7" xfId="19712" xr:uid="{00000000-0005-0000-0000-0000C8240000}"/>
    <cellStyle name="20% - Accent6 3 3 3" xfId="2392" xr:uid="{00000000-0005-0000-0000-0000C9240000}"/>
    <cellStyle name="20% - Accent6 3 3 3 2" xfId="2393" xr:uid="{00000000-0005-0000-0000-0000CA240000}"/>
    <cellStyle name="20% - Accent6 3 3 3 2 2" xfId="14999" xr:uid="{00000000-0005-0000-0000-0000CB240000}"/>
    <cellStyle name="20% - Accent6 3 3 3 2 2 2" xfId="28548" xr:uid="{00000000-0005-0000-0000-0000CC240000}"/>
    <cellStyle name="20% - Accent6 3 3 3 2 3" xfId="19718" xr:uid="{00000000-0005-0000-0000-0000CD240000}"/>
    <cellStyle name="20% - Accent6 3 3 3 3" xfId="10877" xr:uid="{00000000-0005-0000-0000-0000CE240000}"/>
    <cellStyle name="20% - Accent6 3 3 3 3 2" xfId="24819" xr:uid="{00000000-0005-0000-0000-0000CF240000}"/>
    <cellStyle name="20% - Accent6 3 3 3 4" xfId="19717" xr:uid="{00000000-0005-0000-0000-0000D0240000}"/>
    <cellStyle name="20% - Accent6 3 3 4" xfId="2394" xr:uid="{00000000-0005-0000-0000-0000D1240000}"/>
    <cellStyle name="20% - Accent6 3 3 4 2" xfId="12182" xr:uid="{00000000-0005-0000-0000-0000D2240000}"/>
    <cellStyle name="20% - Accent6 3 3 4 2 2" xfId="25894" xr:uid="{00000000-0005-0000-0000-0000D3240000}"/>
    <cellStyle name="20% - Accent6 3 3 4 3" xfId="19719" xr:uid="{00000000-0005-0000-0000-0000D4240000}"/>
    <cellStyle name="20% - Accent6 3 3 5" xfId="2395" xr:uid="{00000000-0005-0000-0000-0000D5240000}"/>
    <cellStyle name="20% - Accent6 3 3 5 2" xfId="12711" xr:uid="{00000000-0005-0000-0000-0000D6240000}"/>
    <cellStyle name="20% - Accent6 3 3 5 2 2" xfId="26423" xr:uid="{00000000-0005-0000-0000-0000D7240000}"/>
    <cellStyle name="20% - Accent6 3 3 5 3" xfId="19720" xr:uid="{00000000-0005-0000-0000-0000D8240000}"/>
    <cellStyle name="20% - Accent6 3 3 6" xfId="2396" xr:uid="{00000000-0005-0000-0000-0000D9240000}"/>
    <cellStyle name="20% - Accent6 3 3 6 2" xfId="13746" xr:uid="{00000000-0005-0000-0000-0000DA240000}"/>
    <cellStyle name="20% - Accent6 3 3 6 2 2" xfId="27295" xr:uid="{00000000-0005-0000-0000-0000DB240000}"/>
    <cellStyle name="20% - Accent6 3 3 6 3" xfId="19721" xr:uid="{00000000-0005-0000-0000-0000DC240000}"/>
    <cellStyle name="20% - Accent6 3 3 7" xfId="2397" xr:uid="{00000000-0005-0000-0000-0000DD240000}"/>
    <cellStyle name="20% - Accent6 3 3 7 2" xfId="14327" xr:uid="{00000000-0005-0000-0000-0000DE240000}"/>
    <cellStyle name="20% - Accent6 3 3 7 2 2" xfId="27876" xr:uid="{00000000-0005-0000-0000-0000DF240000}"/>
    <cellStyle name="20% - Accent6 3 3 7 3" xfId="19722" xr:uid="{00000000-0005-0000-0000-0000E0240000}"/>
    <cellStyle name="20% - Accent6 3 3 8" xfId="2398" xr:uid="{00000000-0005-0000-0000-0000E1240000}"/>
    <cellStyle name="20% - Accent6 3 3 8 2" xfId="14997" xr:uid="{00000000-0005-0000-0000-0000E2240000}"/>
    <cellStyle name="20% - Accent6 3 3 8 2 2" xfId="28546" xr:uid="{00000000-0005-0000-0000-0000E3240000}"/>
    <cellStyle name="20% - Accent6 3 3 8 3" xfId="19723" xr:uid="{00000000-0005-0000-0000-0000E4240000}"/>
    <cellStyle name="20% - Accent6 3 3 9" xfId="2399" xr:uid="{00000000-0005-0000-0000-0000E5240000}"/>
    <cellStyle name="20% - Accent6 3 3 9 2" xfId="16213" xr:uid="{00000000-0005-0000-0000-0000E6240000}"/>
    <cellStyle name="20% - Accent6 3 3 9 2 2" xfId="29620" xr:uid="{00000000-0005-0000-0000-0000E7240000}"/>
    <cellStyle name="20% - Accent6 3 3 9 3" xfId="19724" xr:uid="{00000000-0005-0000-0000-0000E8240000}"/>
    <cellStyle name="20% - Accent6 3 4" xfId="2400" xr:uid="{00000000-0005-0000-0000-0000E9240000}"/>
    <cellStyle name="20% - Accent6 3 4 2" xfId="2401" xr:uid="{00000000-0005-0000-0000-0000EA240000}"/>
    <cellStyle name="20% - Accent6 3 4 2 2" xfId="10879" xr:uid="{00000000-0005-0000-0000-0000EB240000}"/>
    <cellStyle name="20% - Accent6 3 4 2 2 2" xfId="24821" xr:uid="{00000000-0005-0000-0000-0000EC240000}"/>
    <cellStyle name="20% - Accent6 3 4 2 3" xfId="19726" xr:uid="{00000000-0005-0000-0000-0000ED240000}"/>
    <cellStyle name="20% - Accent6 3 4 3" xfId="2402" xr:uid="{00000000-0005-0000-0000-0000EE240000}"/>
    <cellStyle name="20% - Accent6 3 4 3 2" xfId="11826" xr:uid="{00000000-0005-0000-0000-0000EF240000}"/>
    <cellStyle name="20% - Accent6 3 4 3 2 2" xfId="25541" xr:uid="{00000000-0005-0000-0000-0000F0240000}"/>
    <cellStyle name="20% - Accent6 3 4 3 3" xfId="19727" xr:uid="{00000000-0005-0000-0000-0000F1240000}"/>
    <cellStyle name="20% - Accent6 3 4 4" xfId="2403" xr:uid="{00000000-0005-0000-0000-0000F2240000}"/>
    <cellStyle name="20% - Accent6 3 4 4 2" xfId="15000" xr:uid="{00000000-0005-0000-0000-0000F3240000}"/>
    <cellStyle name="20% - Accent6 3 4 4 2 2" xfId="28549" xr:uid="{00000000-0005-0000-0000-0000F4240000}"/>
    <cellStyle name="20% - Accent6 3 4 4 3" xfId="19728" xr:uid="{00000000-0005-0000-0000-0000F5240000}"/>
    <cellStyle name="20% - Accent6 3 4 5" xfId="2404" xr:uid="{00000000-0005-0000-0000-0000F6240000}"/>
    <cellStyle name="20% - Accent6 3 4 5 2" xfId="17141" xr:uid="{00000000-0005-0000-0000-0000F7240000}"/>
    <cellStyle name="20% - Accent6 3 4 5 2 2" xfId="30500" xr:uid="{00000000-0005-0000-0000-0000F8240000}"/>
    <cellStyle name="20% - Accent6 3 4 5 3" xfId="19729" xr:uid="{00000000-0005-0000-0000-0000F9240000}"/>
    <cellStyle name="20% - Accent6 3 4 6" xfId="9153" xr:uid="{00000000-0005-0000-0000-0000FA240000}"/>
    <cellStyle name="20% - Accent6 3 4 6 2" xfId="23628" xr:uid="{00000000-0005-0000-0000-0000FB240000}"/>
    <cellStyle name="20% - Accent6 3 4 7" xfId="19725" xr:uid="{00000000-0005-0000-0000-0000FC240000}"/>
    <cellStyle name="20% - Accent6 3 5" xfId="2405" xr:uid="{00000000-0005-0000-0000-0000FD240000}"/>
    <cellStyle name="20% - Accent6 3 5 2" xfId="2406" xr:uid="{00000000-0005-0000-0000-0000FE240000}"/>
    <cellStyle name="20% - Accent6 3 5 2 2" xfId="10880" xr:uid="{00000000-0005-0000-0000-0000FF240000}"/>
    <cellStyle name="20% - Accent6 3 5 2 2 2" xfId="24822" xr:uid="{00000000-0005-0000-0000-000000250000}"/>
    <cellStyle name="20% - Accent6 3 5 2 3" xfId="19731" xr:uid="{00000000-0005-0000-0000-000001250000}"/>
    <cellStyle name="20% - Accent6 3 5 3" xfId="2407" xr:uid="{00000000-0005-0000-0000-000002250000}"/>
    <cellStyle name="20% - Accent6 3 5 3 2" xfId="12493" xr:uid="{00000000-0005-0000-0000-000003250000}"/>
    <cellStyle name="20% - Accent6 3 5 3 2 2" xfId="26205" xr:uid="{00000000-0005-0000-0000-000004250000}"/>
    <cellStyle name="20% - Accent6 3 5 3 3" xfId="19732" xr:uid="{00000000-0005-0000-0000-000005250000}"/>
    <cellStyle name="20% - Accent6 3 5 4" xfId="2408" xr:uid="{00000000-0005-0000-0000-000006250000}"/>
    <cellStyle name="20% - Accent6 3 5 4 2" xfId="15001" xr:uid="{00000000-0005-0000-0000-000007250000}"/>
    <cellStyle name="20% - Accent6 3 5 4 2 2" xfId="28550" xr:uid="{00000000-0005-0000-0000-000008250000}"/>
    <cellStyle name="20% - Accent6 3 5 4 3" xfId="19733" xr:uid="{00000000-0005-0000-0000-000009250000}"/>
    <cellStyle name="20% - Accent6 3 5 5" xfId="2409" xr:uid="{00000000-0005-0000-0000-00000A250000}"/>
    <cellStyle name="20% - Accent6 3 5 5 2" xfId="17230" xr:uid="{00000000-0005-0000-0000-00000B250000}"/>
    <cellStyle name="20% - Accent6 3 5 5 2 2" xfId="30589" xr:uid="{00000000-0005-0000-0000-00000C250000}"/>
    <cellStyle name="20% - Accent6 3 5 5 3" xfId="19734" xr:uid="{00000000-0005-0000-0000-00000D250000}"/>
    <cellStyle name="20% - Accent6 3 5 6" xfId="9154" xr:uid="{00000000-0005-0000-0000-00000E250000}"/>
    <cellStyle name="20% - Accent6 3 5 6 2" xfId="23629" xr:uid="{00000000-0005-0000-0000-00000F250000}"/>
    <cellStyle name="20% - Accent6 3 5 7" xfId="19730" xr:uid="{00000000-0005-0000-0000-000010250000}"/>
    <cellStyle name="20% - Accent6 3 6" xfId="2410" xr:uid="{00000000-0005-0000-0000-000011250000}"/>
    <cellStyle name="20% - Accent6 3 6 2" xfId="2411" xr:uid="{00000000-0005-0000-0000-000012250000}"/>
    <cellStyle name="20% - Accent6 3 6 2 2" xfId="15002" xr:uid="{00000000-0005-0000-0000-000013250000}"/>
    <cellStyle name="20% - Accent6 3 6 2 2 2" xfId="28551" xr:uid="{00000000-0005-0000-0000-000014250000}"/>
    <cellStyle name="20% - Accent6 3 6 2 3" xfId="19736" xr:uid="{00000000-0005-0000-0000-000015250000}"/>
    <cellStyle name="20% - Accent6 3 6 3" xfId="2412" xr:uid="{00000000-0005-0000-0000-000016250000}"/>
    <cellStyle name="20% - Accent6 3 6 3 2" xfId="16505" xr:uid="{00000000-0005-0000-0000-000017250000}"/>
    <cellStyle name="20% - Accent6 3 6 3 2 2" xfId="29912" xr:uid="{00000000-0005-0000-0000-000018250000}"/>
    <cellStyle name="20% - Accent6 3 6 3 3" xfId="19737" xr:uid="{00000000-0005-0000-0000-000019250000}"/>
    <cellStyle name="20% - Accent6 3 6 4" xfId="10872" xr:uid="{00000000-0005-0000-0000-00001A250000}"/>
    <cellStyle name="20% - Accent6 3 6 4 2" xfId="24814" xr:uid="{00000000-0005-0000-0000-00001B250000}"/>
    <cellStyle name="20% - Accent6 3 6 5" xfId="19735" xr:uid="{00000000-0005-0000-0000-00001C250000}"/>
    <cellStyle name="20% - Accent6 3 7" xfId="2413" xr:uid="{00000000-0005-0000-0000-00001D250000}"/>
    <cellStyle name="20% - Accent6 3 7 2" xfId="11877" xr:uid="{00000000-0005-0000-0000-00001E250000}"/>
    <cellStyle name="20% - Accent6 3 7 2 2" xfId="25592" xr:uid="{00000000-0005-0000-0000-00001F250000}"/>
    <cellStyle name="20% - Accent6 3 7 3" xfId="19738" xr:uid="{00000000-0005-0000-0000-000020250000}"/>
    <cellStyle name="20% - Accent6 3 8" xfId="2414" xr:uid="{00000000-0005-0000-0000-000021250000}"/>
    <cellStyle name="20% - Accent6 3 8 2" xfId="12772" xr:uid="{00000000-0005-0000-0000-000022250000}"/>
    <cellStyle name="20% - Accent6 3 8 2 2" xfId="26484" xr:uid="{00000000-0005-0000-0000-000023250000}"/>
    <cellStyle name="20% - Accent6 3 8 3" xfId="19739" xr:uid="{00000000-0005-0000-0000-000024250000}"/>
    <cellStyle name="20% - Accent6 3 9" xfId="2415" xr:uid="{00000000-0005-0000-0000-000025250000}"/>
    <cellStyle name="20% - Accent6 3 9 2" xfId="13457" xr:uid="{00000000-0005-0000-0000-000026250000}"/>
    <cellStyle name="20% - Accent6 3 9 2 2" xfId="27006" xr:uid="{00000000-0005-0000-0000-000027250000}"/>
    <cellStyle name="20% - Accent6 3 9 3" xfId="19740" xr:uid="{00000000-0005-0000-0000-000028250000}"/>
    <cellStyle name="20% - Accent6 30" xfId="23252" xr:uid="{00000000-0005-0000-0000-000029250000}"/>
    <cellStyle name="20% - Accent6 4" xfId="2416" xr:uid="{00000000-0005-0000-0000-00002A250000}"/>
    <cellStyle name="20% - Accent6 4 10" xfId="2417" xr:uid="{00000000-0005-0000-0000-00002B250000}"/>
    <cellStyle name="20% - Accent6 4 10 2" xfId="15003" xr:uid="{00000000-0005-0000-0000-00002C250000}"/>
    <cellStyle name="20% - Accent6 4 10 2 2" xfId="28552" xr:uid="{00000000-0005-0000-0000-00002D250000}"/>
    <cellStyle name="20% - Accent6 4 10 3" xfId="19742" xr:uid="{00000000-0005-0000-0000-00002E250000}"/>
    <cellStyle name="20% - Accent6 4 11" xfId="2418" xr:uid="{00000000-0005-0000-0000-00002F250000}"/>
    <cellStyle name="20% - Accent6 4 11 2" xfId="15873" xr:uid="{00000000-0005-0000-0000-000030250000}"/>
    <cellStyle name="20% - Accent6 4 11 2 2" xfId="29280" xr:uid="{00000000-0005-0000-0000-000031250000}"/>
    <cellStyle name="20% - Accent6 4 11 3" xfId="19743" xr:uid="{00000000-0005-0000-0000-000032250000}"/>
    <cellStyle name="20% - Accent6 4 12" xfId="9155" xr:uid="{00000000-0005-0000-0000-000033250000}"/>
    <cellStyle name="20% - Accent6 4 12 2" xfId="23630" xr:uid="{00000000-0005-0000-0000-000034250000}"/>
    <cellStyle name="20% - Accent6 4 13" xfId="19741" xr:uid="{00000000-0005-0000-0000-000035250000}"/>
    <cellStyle name="20% - Accent6 4 2" xfId="2419" xr:uid="{00000000-0005-0000-0000-000036250000}"/>
    <cellStyle name="20% - Accent6 4 2 10" xfId="2420" xr:uid="{00000000-0005-0000-0000-000037250000}"/>
    <cellStyle name="20% - Accent6 4 2 10 2" xfId="16016" xr:uid="{00000000-0005-0000-0000-000038250000}"/>
    <cellStyle name="20% - Accent6 4 2 10 2 2" xfId="29423" xr:uid="{00000000-0005-0000-0000-000039250000}"/>
    <cellStyle name="20% - Accent6 4 2 10 3" xfId="19745" xr:uid="{00000000-0005-0000-0000-00003A250000}"/>
    <cellStyle name="20% - Accent6 4 2 11" xfId="9156" xr:uid="{00000000-0005-0000-0000-00003B250000}"/>
    <cellStyle name="20% - Accent6 4 2 11 2" xfId="23631" xr:uid="{00000000-0005-0000-0000-00003C250000}"/>
    <cellStyle name="20% - Accent6 4 2 12" xfId="19744" xr:uid="{00000000-0005-0000-0000-00003D250000}"/>
    <cellStyle name="20% - Accent6 4 2 2" xfId="2421" xr:uid="{00000000-0005-0000-0000-00003E250000}"/>
    <cellStyle name="20% - Accent6 4 2 2 10" xfId="9157" xr:uid="{00000000-0005-0000-0000-00003F250000}"/>
    <cellStyle name="20% - Accent6 4 2 2 10 2" xfId="23632" xr:uid="{00000000-0005-0000-0000-000040250000}"/>
    <cellStyle name="20% - Accent6 4 2 2 11" xfId="19746" xr:uid="{00000000-0005-0000-0000-000041250000}"/>
    <cellStyle name="20% - Accent6 4 2 2 2" xfId="2422" xr:uid="{00000000-0005-0000-0000-000042250000}"/>
    <cellStyle name="20% - Accent6 4 2 2 2 2" xfId="2423" xr:uid="{00000000-0005-0000-0000-000043250000}"/>
    <cellStyle name="20% - Accent6 4 2 2 2 2 2" xfId="10884" xr:uid="{00000000-0005-0000-0000-000044250000}"/>
    <cellStyle name="20% - Accent6 4 2 2 2 2 2 2" xfId="24826" xr:uid="{00000000-0005-0000-0000-000045250000}"/>
    <cellStyle name="20% - Accent6 4 2 2 2 2 3" xfId="19748" xr:uid="{00000000-0005-0000-0000-000046250000}"/>
    <cellStyle name="20% - Accent6 4 2 2 2 3" xfId="2424" xr:uid="{00000000-0005-0000-0000-000047250000}"/>
    <cellStyle name="20% - Accent6 4 2 2 2 3 2" xfId="12486" xr:uid="{00000000-0005-0000-0000-000048250000}"/>
    <cellStyle name="20% - Accent6 4 2 2 2 3 2 2" xfId="26198" xr:uid="{00000000-0005-0000-0000-000049250000}"/>
    <cellStyle name="20% - Accent6 4 2 2 2 3 3" xfId="19749" xr:uid="{00000000-0005-0000-0000-00004A250000}"/>
    <cellStyle name="20% - Accent6 4 2 2 2 4" xfId="2425" xr:uid="{00000000-0005-0000-0000-00004B250000}"/>
    <cellStyle name="20% - Accent6 4 2 2 2 4 2" xfId="15006" xr:uid="{00000000-0005-0000-0000-00004C250000}"/>
    <cellStyle name="20% - Accent6 4 2 2 2 4 2 2" xfId="28555" xr:uid="{00000000-0005-0000-0000-00004D250000}"/>
    <cellStyle name="20% - Accent6 4 2 2 2 4 3" xfId="19750" xr:uid="{00000000-0005-0000-0000-00004E250000}"/>
    <cellStyle name="20% - Accent6 4 2 2 2 5" xfId="2426" xr:uid="{00000000-0005-0000-0000-00004F250000}"/>
    <cellStyle name="20% - Accent6 4 2 2 2 5 2" xfId="16886" xr:uid="{00000000-0005-0000-0000-000050250000}"/>
    <cellStyle name="20% - Accent6 4 2 2 2 5 2 2" xfId="30293" xr:uid="{00000000-0005-0000-0000-000051250000}"/>
    <cellStyle name="20% - Accent6 4 2 2 2 5 3" xfId="19751" xr:uid="{00000000-0005-0000-0000-000052250000}"/>
    <cellStyle name="20% - Accent6 4 2 2 2 6" xfId="9158" xr:uid="{00000000-0005-0000-0000-000053250000}"/>
    <cellStyle name="20% - Accent6 4 2 2 2 6 2" xfId="23633" xr:uid="{00000000-0005-0000-0000-000054250000}"/>
    <cellStyle name="20% - Accent6 4 2 2 2 7" xfId="19747" xr:uid="{00000000-0005-0000-0000-000055250000}"/>
    <cellStyle name="20% - Accent6 4 2 2 3" xfId="2427" xr:uid="{00000000-0005-0000-0000-000056250000}"/>
    <cellStyle name="20% - Accent6 4 2 2 3 2" xfId="2428" xr:uid="{00000000-0005-0000-0000-000057250000}"/>
    <cellStyle name="20% - Accent6 4 2 2 3 2 2" xfId="15007" xr:uid="{00000000-0005-0000-0000-000058250000}"/>
    <cellStyle name="20% - Accent6 4 2 2 3 2 2 2" xfId="28556" xr:uid="{00000000-0005-0000-0000-000059250000}"/>
    <cellStyle name="20% - Accent6 4 2 2 3 2 3" xfId="19753" xr:uid="{00000000-0005-0000-0000-00005A250000}"/>
    <cellStyle name="20% - Accent6 4 2 2 3 3" xfId="10883" xr:uid="{00000000-0005-0000-0000-00005B250000}"/>
    <cellStyle name="20% - Accent6 4 2 2 3 3 2" xfId="24825" xr:uid="{00000000-0005-0000-0000-00005C250000}"/>
    <cellStyle name="20% - Accent6 4 2 2 3 4" xfId="19752" xr:uid="{00000000-0005-0000-0000-00005D250000}"/>
    <cellStyle name="20% - Accent6 4 2 2 4" xfId="2429" xr:uid="{00000000-0005-0000-0000-00005E250000}"/>
    <cellStyle name="20% - Accent6 4 2 2 4 2" xfId="12274" xr:uid="{00000000-0005-0000-0000-00005F250000}"/>
    <cellStyle name="20% - Accent6 4 2 2 4 2 2" xfId="25986" xr:uid="{00000000-0005-0000-0000-000060250000}"/>
    <cellStyle name="20% - Accent6 4 2 2 4 3" xfId="19754" xr:uid="{00000000-0005-0000-0000-000061250000}"/>
    <cellStyle name="20% - Accent6 4 2 2 5" xfId="2430" xr:uid="{00000000-0005-0000-0000-000062250000}"/>
    <cellStyle name="20% - Accent6 4 2 2 5 2" xfId="12463" xr:uid="{00000000-0005-0000-0000-000063250000}"/>
    <cellStyle name="20% - Accent6 4 2 2 5 2 2" xfId="26175" xr:uid="{00000000-0005-0000-0000-000064250000}"/>
    <cellStyle name="20% - Accent6 4 2 2 5 3" xfId="19755" xr:uid="{00000000-0005-0000-0000-000065250000}"/>
    <cellStyle name="20% - Accent6 4 2 2 6" xfId="2431" xr:uid="{00000000-0005-0000-0000-000066250000}"/>
    <cellStyle name="20% - Accent6 4 2 2 6 2" xfId="13838" xr:uid="{00000000-0005-0000-0000-000067250000}"/>
    <cellStyle name="20% - Accent6 4 2 2 6 2 2" xfId="27387" xr:uid="{00000000-0005-0000-0000-000068250000}"/>
    <cellStyle name="20% - Accent6 4 2 2 6 3" xfId="19756" xr:uid="{00000000-0005-0000-0000-000069250000}"/>
    <cellStyle name="20% - Accent6 4 2 2 7" xfId="2432" xr:uid="{00000000-0005-0000-0000-00006A250000}"/>
    <cellStyle name="20% - Accent6 4 2 2 7 2" xfId="14419" xr:uid="{00000000-0005-0000-0000-00006B250000}"/>
    <cellStyle name="20% - Accent6 4 2 2 7 2 2" xfId="27968" xr:uid="{00000000-0005-0000-0000-00006C250000}"/>
    <cellStyle name="20% - Accent6 4 2 2 7 3" xfId="19757" xr:uid="{00000000-0005-0000-0000-00006D250000}"/>
    <cellStyle name="20% - Accent6 4 2 2 8" xfId="2433" xr:uid="{00000000-0005-0000-0000-00006E250000}"/>
    <cellStyle name="20% - Accent6 4 2 2 8 2" xfId="15005" xr:uid="{00000000-0005-0000-0000-00006F250000}"/>
    <cellStyle name="20% - Accent6 4 2 2 8 2 2" xfId="28554" xr:uid="{00000000-0005-0000-0000-000070250000}"/>
    <cellStyle name="20% - Accent6 4 2 2 8 3" xfId="19758" xr:uid="{00000000-0005-0000-0000-000071250000}"/>
    <cellStyle name="20% - Accent6 4 2 2 9" xfId="2434" xr:uid="{00000000-0005-0000-0000-000072250000}"/>
    <cellStyle name="20% - Accent6 4 2 2 9 2" xfId="16305" xr:uid="{00000000-0005-0000-0000-000073250000}"/>
    <cellStyle name="20% - Accent6 4 2 2 9 2 2" xfId="29712" xr:uid="{00000000-0005-0000-0000-000074250000}"/>
    <cellStyle name="20% - Accent6 4 2 2 9 3" xfId="19759" xr:uid="{00000000-0005-0000-0000-000075250000}"/>
    <cellStyle name="20% - Accent6 4 2 3" xfId="2435" xr:uid="{00000000-0005-0000-0000-000076250000}"/>
    <cellStyle name="20% - Accent6 4 2 3 2" xfId="2436" xr:uid="{00000000-0005-0000-0000-000077250000}"/>
    <cellStyle name="20% - Accent6 4 2 3 2 2" xfId="10885" xr:uid="{00000000-0005-0000-0000-000078250000}"/>
    <cellStyle name="20% - Accent6 4 2 3 2 2 2" xfId="24827" xr:uid="{00000000-0005-0000-0000-000079250000}"/>
    <cellStyle name="20% - Accent6 4 2 3 2 3" xfId="19761" xr:uid="{00000000-0005-0000-0000-00007A250000}"/>
    <cellStyle name="20% - Accent6 4 2 3 3" xfId="2437" xr:uid="{00000000-0005-0000-0000-00007B250000}"/>
    <cellStyle name="20% - Accent6 4 2 3 3 2" xfId="12758" xr:uid="{00000000-0005-0000-0000-00007C250000}"/>
    <cellStyle name="20% - Accent6 4 2 3 3 2 2" xfId="26470" xr:uid="{00000000-0005-0000-0000-00007D250000}"/>
    <cellStyle name="20% - Accent6 4 2 3 3 3" xfId="19762" xr:uid="{00000000-0005-0000-0000-00007E250000}"/>
    <cellStyle name="20% - Accent6 4 2 3 4" xfId="2438" xr:uid="{00000000-0005-0000-0000-00007F250000}"/>
    <cellStyle name="20% - Accent6 4 2 3 4 2" xfId="15008" xr:uid="{00000000-0005-0000-0000-000080250000}"/>
    <cellStyle name="20% - Accent6 4 2 3 4 2 2" xfId="28557" xr:uid="{00000000-0005-0000-0000-000081250000}"/>
    <cellStyle name="20% - Accent6 4 2 3 4 3" xfId="19763" xr:uid="{00000000-0005-0000-0000-000082250000}"/>
    <cellStyle name="20% - Accent6 4 2 3 5" xfId="2439" xr:uid="{00000000-0005-0000-0000-000083250000}"/>
    <cellStyle name="20% - Accent6 4 2 3 5 2" xfId="16597" xr:uid="{00000000-0005-0000-0000-000084250000}"/>
    <cellStyle name="20% - Accent6 4 2 3 5 2 2" xfId="30004" xr:uid="{00000000-0005-0000-0000-000085250000}"/>
    <cellStyle name="20% - Accent6 4 2 3 5 3" xfId="19764" xr:uid="{00000000-0005-0000-0000-000086250000}"/>
    <cellStyle name="20% - Accent6 4 2 3 6" xfId="9159" xr:uid="{00000000-0005-0000-0000-000087250000}"/>
    <cellStyle name="20% - Accent6 4 2 3 6 2" xfId="23634" xr:uid="{00000000-0005-0000-0000-000088250000}"/>
    <cellStyle name="20% - Accent6 4 2 3 7" xfId="19760" xr:uid="{00000000-0005-0000-0000-000089250000}"/>
    <cellStyle name="20% - Accent6 4 2 4" xfId="2440" xr:uid="{00000000-0005-0000-0000-00008A250000}"/>
    <cellStyle name="20% - Accent6 4 2 4 2" xfId="2441" xr:uid="{00000000-0005-0000-0000-00008B250000}"/>
    <cellStyle name="20% - Accent6 4 2 4 2 2" xfId="15009" xr:uid="{00000000-0005-0000-0000-00008C250000}"/>
    <cellStyle name="20% - Accent6 4 2 4 2 2 2" xfId="28558" xr:uid="{00000000-0005-0000-0000-00008D250000}"/>
    <cellStyle name="20% - Accent6 4 2 4 2 3" xfId="19766" xr:uid="{00000000-0005-0000-0000-00008E250000}"/>
    <cellStyle name="20% - Accent6 4 2 4 3" xfId="10882" xr:uid="{00000000-0005-0000-0000-00008F250000}"/>
    <cellStyle name="20% - Accent6 4 2 4 3 2" xfId="24824" xr:uid="{00000000-0005-0000-0000-000090250000}"/>
    <cellStyle name="20% - Accent6 4 2 4 4" xfId="19765" xr:uid="{00000000-0005-0000-0000-000091250000}"/>
    <cellStyle name="20% - Accent6 4 2 5" xfId="2442" xr:uid="{00000000-0005-0000-0000-000092250000}"/>
    <cellStyle name="20% - Accent6 4 2 5 2" xfId="11974" xr:uid="{00000000-0005-0000-0000-000093250000}"/>
    <cellStyle name="20% - Accent6 4 2 5 2 2" xfId="25689" xr:uid="{00000000-0005-0000-0000-000094250000}"/>
    <cellStyle name="20% - Accent6 4 2 5 3" xfId="19767" xr:uid="{00000000-0005-0000-0000-000095250000}"/>
    <cellStyle name="20% - Accent6 4 2 6" xfId="2443" xr:uid="{00000000-0005-0000-0000-000096250000}"/>
    <cellStyle name="20% - Accent6 4 2 6 2" xfId="11861" xr:uid="{00000000-0005-0000-0000-000097250000}"/>
    <cellStyle name="20% - Accent6 4 2 6 2 2" xfId="25576" xr:uid="{00000000-0005-0000-0000-000098250000}"/>
    <cellStyle name="20% - Accent6 4 2 6 3" xfId="19768" xr:uid="{00000000-0005-0000-0000-000099250000}"/>
    <cellStyle name="20% - Accent6 4 2 7" xfId="2444" xr:uid="{00000000-0005-0000-0000-00009A250000}"/>
    <cellStyle name="20% - Accent6 4 2 7 2" xfId="13549" xr:uid="{00000000-0005-0000-0000-00009B250000}"/>
    <cellStyle name="20% - Accent6 4 2 7 2 2" xfId="27098" xr:uid="{00000000-0005-0000-0000-00009C250000}"/>
    <cellStyle name="20% - Accent6 4 2 7 3" xfId="19769" xr:uid="{00000000-0005-0000-0000-00009D250000}"/>
    <cellStyle name="20% - Accent6 4 2 8" xfId="2445" xr:uid="{00000000-0005-0000-0000-00009E250000}"/>
    <cellStyle name="20% - Accent6 4 2 8 2" xfId="14130" xr:uid="{00000000-0005-0000-0000-00009F250000}"/>
    <cellStyle name="20% - Accent6 4 2 8 2 2" xfId="27679" xr:uid="{00000000-0005-0000-0000-0000A0250000}"/>
    <cellStyle name="20% - Accent6 4 2 8 3" xfId="19770" xr:uid="{00000000-0005-0000-0000-0000A1250000}"/>
    <cellStyle name="20% - Accent6 4 2 9" xfId="2446" xr:uid="{00000000-0005-0000-0000-0000A2250000}"/>
    <cellStyle name="20% - Accent6 4 2 9 2" xfId="15004" xr:uid="{00000000-0005-0000-0000-0000A3250000}"/>
    <cellStyle name="20% - Accent6 4 2 9 2 2" xfId="28553" xr:uid="{00000000-0005-0000-0000-0000A4250000}"/>
    <cellStyle name="20% - Accent6 4 2 9 3" xfId="19771" xr:uid="{00000000-0005-0000-0000-0000A5250000}"/>
    <cellStyle name="20% - Accent6 4 3" xfId="2447" xr:uid="{00000000-0005-0000-0000-0000A6250000}"/>
    <cellStyle name="20% - Accent6 4 3 10" xfId="9160" xr:uid="{00000000-0005-0000-0000-0000A7250000}"/>
    <cellStyle name="20% - Accent6 4 3 10 2" xfId="23635" xr:uid="{00000000-0005-0000-0000-0000A8250000}"/>
    <cellStyle name="20% - Accent6 4 3 11" xfId="19772" xr:uid="{00000000-0005-0000-0000-0000A9250000}"/>
    <cellStyle name="20% - Accent6 4 3 2" xfId="2448" xr:uid="{00000000-0005-0000-0000-0000AA250000}"/>
    <cellStyle name="20% - Accent6 4 3 2 2" xfId="2449" xr:uid="{00000000-0005-0000-0000-0000AB250000}"/>
    <cellStyle name="20% - Accent6 4 3 2 2 2" xfId="10887" xr:uid="{00000000-0005-0000-0000-0000AC250000}"/>
    <cellStyle name="20% - Accent6 4 3 2 2 2 2" xfId="24829" xr:uid="{00000000-0005-0000-0000-0000AD250000}"/>
    <cellStyle name="20% - Accent6 4 3 2 2 3" xfId="19774" xr:uid="{00000000-0005-0000-0000-0000AE250000}"/>
    <cellStyle name="20% - Accent6 4 3 2 3" xfId="2450" xr:uid="{00000000-0005-0000-0000-0000AF250000}"/>
    <cellStyle name="20% - Accent6 4 3 2 3 2" xfId="12642" xr:uid="{00000000-0005-0000-0000-0000B0250000}"/>
    <cellStyle name="20% - Accent6 4 3 2 3 2 2" xfId="26354" xr:uid="{00000000-0005-0000-0000-0000B1250000}"/>
    <cellStyle name="20% - Accent6 4 3 2 3 3" xfId="19775" xr:uid="{00000000-0005-0000-0000-0000B2250000}"/>
    <cellStyle name="20% - Accent6 4 3 2 4" xfId="2451" xr:uid="{00000000-0005-0000-0000-0000B3250000}"/>
    <cellStyle name="20% - Accent6 4 3 2 4 2" xfId="15011" xr:uid="{00000000-0005-0000-0000-0000B4250000}"/>
    <cellStyle name="20% - Accent6 4 3 2 4 2 2" xfId="28560" xr:uid="{00000000-0005-0000-0000-0000B5250000}"/>
    <cellStyle name="20% - Accent6 4 3 2 4 3" xfId="19776" xr:uid="{00000000-0005-0000-0000-0000B6250000}"/>
    <cellStyle name="20% - Accent6 4 3 2 5" xfId="2452" xr:uid="{00000000-0005-0000-0000-0000B7250000}"/>
    <cellStyle name="20% - Accent6 4 3 2 5 2" xfId="16746" xr:uid="{00000000-0005-0000-0000-0000B8250000}"/>
    <cellStyle name="20% - Accent6 4 3 2 5 2 2" xfId="30153" xr:uid="{00000000-0005-0000-0000-0000B9250000}"/>
    <cellStyle name="20% - Accent6 4 3 2 5 3" xfId="19777" xr:uid="{00000000-0005-0000-0000-0000BA250000}"/>
    <cellStyle name="20% - Accent6 4 3 2 6" xfId="9161" xr:uid="{00000000-0005-0000-0000-0000BB250000}"/>
    <cellStyle name="20% - Accent6 4 3 2 6 2" xfId="23636" xr:uid="{00000000-0005-0000-0000-0000BC250000}"/>
    <cellStyle name="20% - Accent6 4 3 2 7" xfId="19773" xr:uid="{00000000-0005-0000-0000-0000BD250000}"/>
    <cellStyle name="20% - Accent6 4 3 3" xfId="2453" xr:uid="{00000000-0005-0000-0000-0000BE250000}"/>
    <cellStyle name="20% - Accent6 4 3 3 2" xfId="2454" xr:uid="{00000000-0005-0000-0000-0000BF250000}"/>
    <cellStyle name="20% - Accent6 4 3 3 2 2" xfId="15012" xr:uid="{00000000-0005-0000-0000-0000C0250000}"/>
    <cellStyle name="20% - Accent6 4 3 3 2 2 2" xfId="28561" xr:uid="{00000000-0005-0000-0000-0000C1250000}"/>
    <cellStyle name="20% - Accent6 4 3 3 2 3" xfId="19779" xr:uid="{00000000-0005-0000-0000-0000C2250000}"/>
    <cellStyle name="20% - Accent6 4 3 3 3" xfId="10886" xr:uid="{00000000-0005-0000-0000-0000C3250000}"/>
    <cellStyle name="20% - Accent6 4 3 3 3 2" xfId="24828" xr:uid="{00000000-0005-0000-0000-0000C4250000}"/>
    <cellStyle name="20% - Accent6 4 3 3 4" xfId="19778" xr:uid="{00000000-0005-0000-0000-0000C5250000}"/>
    <cellStyle name="20% - Accent6 4 3 4" xfId="2455" xr:uid="{00000000-0005-0000-0000-0000C6250000}"/>
    <cellStyle name="20% - Accent6 4 3 4 2" xfId="12134" xr:uid="{00000000-0005-0000-0000-0000C7250000}"/>
    <cellStyle name="20% - Accent6 4 3 4 2 2" xfId="25846" xr:uid="{00000000-0005-0000-0000-0000C8250000}"/>
    <cellStyle name="20% - Accent6 4 3 4 3" xfId="19780" xr:uid="{00000000-0005-0000-0000-0000C9250000}"/>
    <cellStyle name="20% - Accent6 4 3 5" xfId="2456" xr:uid="{00000000-0005-0000-0000-0000CA250000}"/>
    <cellStyle name="20% - Accent6 4 3 5 2" xfId="11762" xr:uid="{00000000-0005-0000-0000-0000CB250000}"/>
    <cellStyle name="20% - Accent6 4 3 5 2 2" xfId="25477" xr:uid="{00000000-0005-0000-0000-0000CC250000}"/>
    <cellStyle name="20% - Accent6 4 3 5 3" xfId="19781" xr:uid="{00000000-0005-0000-0000-0000CD250000}"/>
    <cellStyle name="20% - Accent6 4 3 6" xfId="2457" xr:uid="{00000000-0005-0000-0000-0000CE250000}"/>
    <cellStyle name="20% - Accent6 4 3 6 2" xfId="13698" xr:uid="{00000000-0005-0000-0000-0000CF250000}"/>
    <cellStyle name="20% - Accent6 4 3 6 2 2" xfId="27247" xr:uid="{00000000-0005-0000-0000-0000D0250000}"/>
    <cellStyle name="20% - Accent6 4 3 6 3" xfId="19782" xr:uid="{00000000-0005-0000-0000-0000D1250000}"/>
    <cellStyle name="20% - Accent6 4 3 7" xfId="2458" xr:uid="{00000000-0005-0000-0000-0000D2250000}"/>
    <cellStyle name="20% - Accent6 4 3 7 2" xfId="14279" xr:uid="{00000000-0005-0000-0000-0000D3250000}"/>
    <cellStyle name="20% - Accent6 4 3 7 2 2" xfId="27828" xr:uid="{00000000-0005-0000-0000-0000D4250000}"/>
    <cellStyle name="20% - Accent6 4 3 7 3" xfId="19783" xr:uid="{00000000-0005-0000-0000-0000D5250000}"/>
    <cellStyle name="20% - Accent6 4 3 8" xfId="2459" xr:uid="{00000000-0005-0000-0000-0000D6250000}"/>
    <cellStyle name="20% - Accent6 4 3 8 2" xfId="15010" xr:uid="{00000000-0005-0000-0000-0000D7250000}"/>
    <cellStyle name="20% - Accent6 4 3 8 2 2" xfId="28559" xr:uid="{00000000-0005-0000-0000-0000D8250000}"/>
    <cellStyle name="20% - Accent6 4 3 8 3" xfId="19784" xr:uid="{00000000-0005-0000-0000-0000D9250000}"/>
    <cellStyle name="20% - Accent6 4 3 9" xfId="2460" xr:uid="{00000000-0005-0000-0000-0000DA250000}"/>
    <cellStyle name="20% - Accent6 4 3 9 2" xfId="16165" xr:uid="{00000000-0005-0000-0000-0000DB250000}"/>
    <cellStyle name="20% - Accent6 4 3 9 2 2" xfId="29572" xr:uid="{00000000-0005-0000-0000-0000DC250000}"/>
    <cellStyle name="20% - Accent6 4 3 9 3" xfId="19785" xr:uid="{00000000-0005-0000-0000-0000DD250000}"/>
    <cellStyle name="20% - Accent6 4 4" xfId="2461" xr:uid="{00000000-0005-0000-0000-0000DE250000}"/>
    <cellStyle name="20% - Accent6 4 4 2" xfId="2462" xr:uid="{00000000-0005-0000-0000-0000DF250000}"/>
    <cellStyle name="20% - Accent6 4 4 2 2" xfId="10888" xr:uid="{00000000-0005-0000-0000-0000E0250000}"/>
    <cellStyle name="20% - Accent6 4 4 2 2 2" xfId="24830" xr:uid="{00000000-0005-0000-0000-0000E1250000}"/>
    <cellStyle name="20% - Accent6 4 4 2 3" xfId="19787" xr:uid="{00000000-0005-0000-0000-0000E2250000}"/>
    <cellStyle name="20% - Accent6 4 4 3" xfId="2463" xr:uid="{00000000-0005-0000-0000-0000E3250000}"/>
    <cellStyle name="20% - Accent6 4 4 3 2" xfId="12643" xr:uid="{00000000-0005-0000-0000-0000E4250000}"/>
    <cellStyle name="20% - Accent6 4 4 3 2 2" xfId="26355" xr:uid="{00000000-0005-0000-0000-0000E5250000}"/>
    <cellStyle name="20% - Accent6 4 4 3 3" xfId="19788" xr:uid="{00000000-0005-0000-0000-0000E6250000}"/>
    <cellStyle name="20% - Accent6 4 4 4" xfId="2464" xr:uid="{00000000-0005-0000-0000-0000E7250000}"/>
    <cellStyle name="20% - Accent6 4 4 4 2" xfId="15013" xr:uid="{00000000-0005-0000-0000-0000E8250000}"/>
    <cellStyle name="20% - Accent6 4 4 4 2 2" xfId="28562" xr:uid="{00000000-0005-0000-0000-0000E9250000}"/>
    <cellStyle name="20% - Accent6 4 4 4 3" xfId="19789" xr:uid="{00000000-0005-0000-0000-0000EA250000}"/>
    <cellStyle name="20% - Accent6 4 4 5" xfId="2465" xr:uid="{00000000-0005-0000-0000-0000EB250000}"/>
    <cellStyle name="20% - Accent6 4 4 5 2" xfId="16454" xr:uid="{00000000-0005-0000-0000-0000EC250000}"/>
    <cellStyle name="20% - Accent6 4 4 5 2 2" xfId="29861" xr:uid="{00000000-0005-0000-0000-0000ED250000}"/>
    <cellStyle name="20% - Accent6 4 4 5 3" xfId="19790" xr:uid="{00000000-0005-0000-0000-0000EE250000}"/>
    <cellStyle name="20% - Accent6 4 4 6" xfId="9162" xr:uid="{00000000-0005-0000-0000-0000EF250000}"/>
    <cellStyle name="20% - Accent6 4 4 6 2" xfId="23637" xr:uid="{00000000-0005-0000-0000-0000F0250000}"/>
    <cellStyle name="20% - Accent6 4 4 7" xfId="19786" xr:uid="{00000000-0005-0000-0000-0000F1250000}"/>
    <cellStyle name="20% - Accent6 4 5" xfId="2466" xr:uid="{00000000-0005-0000-0000-0000F2250000}"/>
    <cellStyle name="20% - Accent6 4 5 2" xfId="2467" xr:uid="{00000000-0005-0000-0000-0000F3250000}"/>
    <cellStyle name="20% - Accent6 4 5 2 2" xfId="15014" xr:uid="{00000000-0005-0000-0000-0000F4250000}"/>
    <cellStyle name="20% - Accent6 4 5 2 2 2" xfId="28563" xr:uid="{00000000-0005-0000-0000-0000F5250000}"/>
    <cellStyle name="20% - Accent6 4 5 2 3" xfId="19792" xr:uid="{00000000-0005-0000-0000-0000F6250000}"/>
    <cellStyle name="20% - Accent6 4 5 3" xfId="10881" xr:uid="{00000000-0005-0000-0000-0000F7250000}"/>
    <cellStyle name="20% - Accent6 4 5 3 2" xfId="24823" xr:uid="{00000000-0005-0000-0000-0000F8250000}"/>
    <cellStyle name="20% - Accent6 4 5 4" xfId="19791" xr:uid="{00000000-0005-0000-0000-0000F9250000}"/>
    <cellStyle name="20% - Accent6 4 6" xfId="2468" xr:uid="{00000000-0005-0000-0000-0000FA250000}"/>
    <cellStyle name="20% - Accent6 4 6 2" xfId="11805" xr:uid="{00000000-0005-0000-0000-0000FB250000}"/>
    <cellStyle name="20% - Accent6 4 6 2 2" xfId="25520" xr:uid="{00000000-0005-0000-0000-0000FC250000}"/>
    <cellStyle name="20% - Accent6 4 6 3" xfId="19793" xr:uid="{00000000-0005-0000-0000-0000FD250000}"/>
    <cellStyle name="20% - Accent6 4 7" xfId="2469" xr:uid="{00000000-0005-0000-0000-0000FE250000}"/>
    <cellStyle name="20% - Accent6 4 7 2" xfId="12674" xr:uid="{00000000-0005-0000-0000-0000FF250000}"/>
    <cellStyle name="20% - Accent6 4 7 2 2" xfId="26386" xr:uid="{00000000-0005-0000-0000-000000260000}"/>
    <cellStyle name="20% - Accent6 4 7 3" xfId="19794" xr:uid="{00000000-0005-0000-0000-000001260000}"/>
    <cellStyle name="20% - Accent6 4 8" xfId="2470" xr:uid="{00000000-0005-0000-0000-000002260000}"/>
    <cellStyle name="20% - Accent6 4 8 2" xfId="13406" xr:uid="{00000000-0005-0000-0000-000003260000}"/>
    <cellStyle name="20% - Accent6 4 8 2 2" xfId="26955" xr:uid="{00000000-0005-0000-0000-000004260000}"/>
    <cellStyle name="20% - Accent6 4 8 3" xfId="19795" xr:uid="{00000000-0005-0000-0000-000005260000}"/>
    <cellStyle name="20% - Accent6 4 9" xfId="2471" xr:uid="{00000000-0005-0000-0000-000006260000}"/>
    <cellStyle name="20% - Accent6 4 9 2" xfId="13987" xr:uid="{00000000-0005-0000-0000-000007260000}"/>
    <cellStyle name="20% - Accent6 4 9 2 2" xfId="27536" xr:uid="{00000000-0005-0000-0000-000008260000}"/>
    <cellStyle name="20% - Accent6 4 9 3" xfId="19796" xr:uid="{00000000-0005-0000-0000-000009260000}"/>
    <cellStyle name="20% - Accent6 5" xfId="2472" xr:uid="{00000000-0005-0000-0000-00000A260000}"/>
    <cellStyle name="20% - Accent6 5 10" xfId="2473" xr:uid="{00000000-0005-0000-0000-00000B260000}"/>
    <cellStyle name="20% - Accent6 5 10 2" xfId="15015" xr:uid="{00000000-0005-0000-0000-00000C260000}"/>
    <cellStyle name="20% - Accent6 5 10 2 2" xfId="28564" xr:uid="{00000000-0005-0000-0000-00000D260000}"/>
    <cellStyle name="20% - Accent6 5 10 3" xfId="19798" xr:uid="{00000000-0005-0000-0000-00000E260000}"/>
    <cellStyle name="20% - Accent6 5 11" xfId="2474" xr:uid="{00000000-0005-0000-0000-00000F260000}"/>
    <cellStyle name="20% - Accent6 5 11 2" xfId="15856" xr:uid="{00000000-0005-0000-0000-000010260000}"/>
    <cellStyle name="20% - Accent6 5 11 2 2" xfId="29263" xr:uid="{00000000-0005-0000-0000-000011260000}"/>
    <cellStyle name="20% - Accent6 5 11 3" xfId="19799" xr:uid="{00000000-0005-0000-0000-000012260000}"/>
    <cellStyle name="20% - Accent6 5 12" xfId="9163" xr:uid="{00000000-0005-0000-0000-000013260000}"/>
    <cellStyle name="20% - Accent6 5 12 2" xfId="23638" xr:uid="{00000000-0005-0000-0000-000014260000}"/>
    <cellStyle name="20% - Accent6 5 13" xfId="19797" xr:uid="{00000000-0005-0000-0000-000015260000}"/>
    <cellStyle name="20% - Accent6 5 2" xfId="2475" xr:uid="{00000000-0005-0000-0000-000016260000}"/>
    <cellStyle name="20% - Accent6 5 2 10" xfId="2476" xr:uid="{00000000-0005-0000-0000-000017260000}"/>
    <cellStyle name="20% - Accent6 5 2 10 2" xfId="15999" xr:uid="{00000000-0005-0000-0000-000018260000}"/>
    <cellStyle name="20% - Accent6 5 2 10 2 2" xfId="29406" xr:uid="{00000000-0005-0000-0000-000019260000}"/>
    <cellStyle name="20% - Accent6 5 2 10 3" xfId="19801" xr:uid="{00000000-0005-0000-0000-00001A260000}"/>
    <cellStyle name="20% - Accent6 5 2 11" xfId="9164" xr:uid="{00000000-0005-0000-0000-00001B260000}"/>
    <cellStyle name="20% - Accent6 5 2 11 2" xfId="23639" xr:uid="{00000000-0005-0000-0000-00001C260000}"/>
    <cellStyle name="20% - Accent6 5 2 12" xfId="19800" xr:uid="{00000000-0005-0000-0000-00001D260000}"/>
    <cellStyle name="20% - Accent6 5 2 2" xfId="2477" xr:uid="{00000000-0005-0000-0000-00001E260000}"/>
    <cellStyle name="20% - Accent6 5 2 2 10" xfId="9165" xr:uid="{00000000-0005-0000-0000-00001F260000}"/>
    <cellStyle name="20% - Accent6 5 2 2 10 2" xfId="23640" xr:uid="{00000000-0005-0000-0000-000020260000}"/>
    <cellStyle name="20% - Accent6 5 2 2 11" xfId="19802" xr:uid="{00000000-0005-0000-0000-000021260000}"/>
    <cellStyle name="20% - Accent6 5 2 2 2" xfId="2478" xr:uid="{00000000-0005-0000-0000-000022260000}"/>
    <cellStyle name="20% - Accent6 5 2 2 2 2" xfId="2479" xr:uid="{00000000-0005-0000-0000-000023260000}"/>
    <cellStyle name="20% - Accent6 5 2 2 2 2 2" xfId="10892" xr:uid="{00000000-0005-0000-0000-000024260000}"/>
    <cellStyle name="20% - Accent6 5 2 2 2 2 2 2" xfId="24834" xr:uid="{00000000-0005-0000-0000-000025260000}"/>
    <cellStyle name="20% - Accent6 5 2 2 2 2 3" xfId="19804" xr:uid="{00000000-0005-0000-0000-000026260000}"/>
    <cellStyle name="20% - Accent6 5 2 2 2 3" xfId="2480" xr:uid="{00000000-0005-0000-0000-000027260000}"/>
    <cellStyle name="20% - Accent6 5 2 2 2 3 2" xfId="12783" xr:uid="{00000000-0005-0000-0000-000028260000}"/>
    <cellStyle name="20% - Accent6 5 2 2 2 3 2 2" xfId="26495" xr:uid="{00000000-0005-0000-0000-000029260000}"/>
    <cellStyle name="20% - Accent6 5 2 2 2 3 3" xfId="19805" xr:uid="{00000000-0005-0000-0000-00002A260000}"/>
    <cellStyle name="20% - Accent6 5 2 2 2 4" xfId="2481" xr:uid="{00000000-0005-0000-0000-00002B260000}"/>
    <cellStyle name="20% - Accent6 5 2 2 2 4 2" xfId="15018" xr:uid="{00000000-0005-0000-0000-00002C260000}"/>
    <cellStyle name="20% - Accent6 5 2 2 2 4 2 2" xfId="28567" xr:uid="{00000000-0005-0000-0000-00002D260000}"/>
    <cellStyle name="20% - Accent6 5 2 2 2 4 3" xfId="19806" xr:uid="{00000000-0005-0000-0000-00002E260000}"/>
    <cellStyle name="20% - Accent6 5 2 2 2 5" xfId="2482" xr:uid="{00000000-0005-0000-0000-00002F260000}"/>
    <cellStyle name="20% - Accent6 5 2 2 2 5 2" xfId="16869" xr:uid="{00000000-0005-0000-0000-000030260000}"/>
    <cellStyle name="20% - Accent6 5 2 2 2 5 2 2" xfId="30276" xr:uid="{00000000-0005-0000-0000-000031260000}"/>
    <cellStyle name="20% - Accent6 5 2 2 2 5 3" xfId="19807" xr:uid="{00000000-0005-0000-0000-000032260000}"/>
    <cellStyle name="20% - Accent6 5 2 2 2 6" xfId="9166" xr:uid="{00000000-0005-0000-0000-000033260000}"/>
    <cellStyle name="20% - Accent6 5 2 2 2 6 2" xfId="23641" xr:uid="{00000000-0005-0000-0000-000034260000}"/>
    <cellStyle name="20% - Accent6 5 2 2 2 7" xfId="19803" xr:uid="{00000000-0005-0000-0000-000035260000}"/>
    <cellStyle name="20% - Accent6 5 2 2 3" xfId="2483" xr:uid="{00000000-0005-0000-0000-000036260000}"/>
    <cellStyle name="20% - Accent6 5 2 2 3 2" xfId="2484" xr:uid="{00000000-0005-0000-0000-000037260000}"/>
    <cellStyle name="20% - Accent6 5 2 2 3 2 2" xfId="15019" xr:uid="{00000000-0005-0000-0000-000038260000}"/>
    <cellStyle name="20% - Accent6 5 2 2 3 2 2 2" xfId="28568" xr:uid="{00000000-0005-0000-0000-000039260000}"/>
    <cellStyle name="20% - Accent6 5 2 2 3 2 3" xfId="19809" xr:uid="{00000000-0005-0000-0000-00003A260000}"/>
    <cellStyle name="20% - Accent6 5 2 2 3 3" xfId="10891" xr:uid="{00000000-0005-0000-0000-00003B260000}"/>
    <cellStyle name="20% - Accent6 5 2 2 3 3 2" xfId="24833" xr:uid="{00000000-0005-0000-0000-00003C260000}"/>
    <cellStyle name="20% - Accent6 5 2 2 3 4" xfId="19808" xr:uid="{00000000-0005-0000-0000-00003D260000}"/>
    <cellStyle name="20% - Accent6 5 2 2 4" xfId="2485" xr:uid="{00000000-0005-0000-0000-00003E260000}"/>
    <cellStyle name="20% - Accent6 5 2 2 4 2" xfId="12257" xr:uid="{00000000-0005-0000-0000-00003F260000}"/>
    <cellStyle name="20% - Accent6 5 2 2 4 2 2" xfId="25969" xr:uid="{00000000-0005-0000-0000-000040260000}"/>
    <cellStyle name="20% - Accent6 5 2 2 4 3" xfId="19810" xr:uid="{00000000-0005-0000-0000-000041260000}"/>
    <cellStyle name="20% - Accent6 5 2 2 5" xfId="2486" xr:uid="{00000000-0005-0000-0000-000042260000}"/>
    <cellStyle name="20% - Accent6 5 2 2 5 2" xfId="12787" xr:uid="{00000000-0005-0000-0000-000043260000}"/>
    <cellStyle name="20% - Accent6 5 2 2 5 2 2" xfId="26499" xr:uid="{00000000-0005-0000-0000-000044260000}"/>
    <cellStyle name="20% - Accent6 5 2 2 5 3" xfId="19811" xr:uid="{00000000-0005-0000-0000-000045260000}"/>
    <cellStyle name="20% - Accent6 5 2 2 6" xfId="2487" xr:uid="{00000000-0005-0000-0000-000046260000}"/>
    <cellStyle name="20% - Accent6 5 2 2 6 2" xfId="13821" xr:uid="{00000000-0005-0000-0000-000047260000}"/>
    <cellStyle name="20% - Accent6 5 2 2 6 2 2" xfId="27370" xr:uid="{00000000-0005-0000-0000-000048260000}"/>
    <cellStyle name="20% - Accent6 5 2 2 6 3" xfId="19812" xr:uid="{00000000-0005-0000-0000-000049260000}"/>
    <cellStyle name="20% - Accent6 5 2 2 7" xfId="2488" xr:uid="{00000000-0005-0000-0000-00004A260000}"/>
    <cellStyle name="20% - Accent6 5 2 2 7 2" xfId="14402" xr:uid="{00000000-0005-0000-0000-00004B260000}"/>
    <cellStyle name="20% - Accent6 5 2 2 7 2 2" xfId="27951" xr:uid="{00000000-0005-0000-0000-00004C260000}"/>
    <cellStyle name="20% - Accent6 5 2 2 7 3" xfId="19813" xr:uid="{00000000-0005-0000-0000-00004D260000}"/>
    <cellStyle name="20% - Accent6 5 2 2 8" xfId="2489" xr:uid="{00000000-0005-0000-0000-00004E260000}"/>
    <cellStyle name="20% - Accent6 5 2 2 8 2" xfId="15017" xr:uid="{00000000-0005-0000-0000-00004F260000}"/>
    <cellStyle name="20% - Accent6 5 2 2 8 2 2" xfId="28566" xr:uid="{00000000-0005-0000-0000-000050260000}"/>
    <cellStyle name="20% - Accent6 5 2 2 8 3" xfId="19814" xr:uid="{00000000-0005-0000-0000-000051260000}"/>
    <cellStyle name="20% - Accent6 5 2 2 9" xfId="2490" xr:uid="{00000000-0005-0000-0000-000052260000}"/>
    <cellStyle name="20% - Accent6 5 2 2 9 2" xfId="16288" xr:uid="{00000000-0005-0000-0000-000053260000}"/>
    <cellStyle name="20% - Accent6 5 2 2 9 2 2" xfId="29695" xr:uid="{00000000-0005-0000-0000-000054260000}"/>
    <cellStyle name="20% - Accent6 5 2 2 9 3" xfId="19815" xr:uid="{00000000-0005-0000-0000-000055260000}"/>
    <cellStyle name="20% - Accent6 5 2 3" xfId="2491" xr:uid="{00000000-0005-0000-0000-000056260000}"/>
    <cellStyle name="20% - Accent6 5 2 3 2" xfId="2492" xr:uid="{00000000-0005-0000-0000-000057260000}"/>
    <cellStyle name="20% - Accent6 5 2 3 2 2" xfId="10893" xr:uid="{00000000-0005-0000-0000-000058260000}"/>
    <cellStyle name="20% - Accent6 5 2 3 2 2 2" xfId="24835" xr:uid="{00000000-0005-0000-0000-000059260000}"/>
    <cellStyle name="20% - Accent6 5 2 3 2 3" xfId="19817" xr:uid="{00000000-0005-0000-0000-00005A260000}"/>
    <cellStyle name="20% - Accent6 5 2 3 3" xfId="2493" xr:uid="{00000000-0005-0000-0000-00005B260000}"/>
    <cellStyle name="20% - Accent6 5 2 3 3 2" xfId="12724" xr:uid="{00000000-0005-0000-0000-00005C260000}"/>
    <cellStyle name="20% - Accent6 5 2 3 3 2 2" xfId="26436" xr:uid="{00000000-0005-0000-0000-00005D260000}"/>
    <cellStyle name="20% - Accent6 5 2 3 3 3" xfId="19818" xr:uid="{00000000-0005-0000-0000-00005E260000}"/>
    <cellStyle name="20% - Accent6 5 2 3 4" xfId="2494" xr:uid="{00000000-0005-0000-0000-00005F260000}"/>
    <cellStyle name="20% - Accent6 5 2 3 4 2" xfId="15020" xr:uid="{00000000-0005-0000-0000-000060260000}"/>
    <cellStyle name="20% - Accent6 5 2 3 4 2 2" xfId="28569" xr:uid="{00000000-0005-0000-0000-000061260000}"/>
    <cellStyle name="20% - Accent6 5 2 3 4 3" xfId="19819" xr:uid="{00000000-0005-0000-0000-000062260000}"/>
    <cellStyle name="20% - Accent6 5 2 3 5" xfId="2495" xr:uid="{00000000-0005-0000-0000-000063260000}"/>
    <cellStyle name="20% - Accent6 5 2 3 5 2" xfId="16580" xr:uid="{00000000-0005-0000-0000-000064260000}"/>
    <cellStyle name="20% - Accent6 5 2 3 5 2 2" xfId="29987" xr:uid="{00000000-0005-0000-0000-000065260000}"/>
    <cellStyle name="20% - Accent6 5 2 3 5 3" xfId="19820" xr:uid="{00000000-0005-0000-0000-000066260000}"/>
    <cellStyle name="20% - Accent6 5 2 3 6" xfId="9167" xr:uid="{00000000-0005-0000-0000-000067260000}"/>
    <cellStyle name="20% - Accent6 5 2 3 6 2" xfId="23642" xr:uid="{00000000-0005-0000-0000-000068260000}"/>
    <cellStyle name="20% - Accent6 5 2 3 7" xfId="19816" xr:uid="{00000000-0005-0000-0000-000069260000}"/>
    <cellStyle name="20% - Accent6 5 2 4" xfId="2496" xr:uid="{00000000-0005-0000-0000-00006A260000}"/>
    <cellStyle name="20% - Accent6 5 2 4 2" xfId="2497" xr:uid="{00000000-0005-0000-0000-00006B260000}"/>
    <cellStyle name="20% - Accent6 5 2 4 2 2" xfId="15021" xr:uid="{00000000-0005-0000-0000-00006C260000}"/>
    <cellStyle name="20% - Accent6 5 2 4 2 2 2" xfId="28570" xr:uid="{00000000-0005-0000-0000-00006D260000}"/>
    <cellStyle name="20% - Accent6 5 2 4 2 3" xfId="19822" xr:uid="{00000000-0005-0000-0000-00006E260000}"/>
    <cellStyle name="20% - Accent6 5 2 4 3" xfId="10890" xr:uid="{00000000-0005-0000-0000-00006F260000}"/>
    <cellStyle name="20% - Accent6 5 2 4 3 2" xfId="24832" xr:uid="{00000000-0005-0000-0000-000070260000}"/>
    <cellStyle name="20% - Accent6 5 2 4 4" xfId="19821" xr:uid="{00000000-0005-0000-0000-000071260000}"/>
    <cellStyle name="20% - Accent6 5 2 5" xfId="2498" xr:uid="{00000000-0005-0000-0000-000072260000}"/>
    <cellStyle name="20% - Accent6 5 2 5 2" xfId="11957" xr:uid="{00000000-0005-0000-0000-000073260000}"/>
    <cellStyle name="20% - Accent6 5 2 5 2 2" xfId="25672" xr:uid="{00000000-0005-0000-0000-000074260000}"/>
    <cellStyle name="20% - Accent6 5 2 5 3" xfId="19823" xr:uid="{00000000-0005-0000-0000-000075260000}"/>
    <cellStyle name="20% - Accent6 5 2 6" xfId="2499" xr:uid="{00000000-0005-0000-0000-000076260000}"/>
    <cellStyle name="20% - Accent6 5 2 6 2" xfId="11756" xr:uid="{00000000-0005-0000-0000-000077260000}"/>
    <cellStyle name="20% - Accent6 5 2 6 2 2" xfId="25471" xr:uid="{00000000-0005-0000-0000-000078260000}"/>
    <cellStyle name="20% - Accent6 5 2 6 3" xfId="19824" xr:uid="{00000000-0005-0000-0000-000079260000}"/>
    <cellStyle name="20% - Accent6 5 2 7" xfId="2500" xr:uid="{00000000-0005-0000-0000-00007A260000}"/>
    <cellStyle name="20% - Accent6 5 2 7 2" xfId="13532" xr:uid="{00000000-0005-0000-0000-00007B260000}"/>
    <cellStyle name="20% - Accent6 5 2 7 2 2" xfId="27081" xr:uid="{00000000-0005-0000-0000-00007C260000}"/>
    <cellStyle name="20% - Accent6 5 2 7 3" xfId="19825" xr:uid="{00000000-0005-0000-0000-00007D260000}"/>
    <cellStyle name="20% - Accent6 5 2 8" xfId="2501" xr:uid="{00000000-0005-0000-0000-00007E260000}"/>
    <cellStyle name="20% - Accent6 5 2 8 2" xfId="14113" xr:uid="{00000000-0005-0000-0000-00007F260000}"/>
    <cellStyle name="20% - Accent6 5 2 8 2 2" xfId="27662" xr:uid="{00000000-0005-0000-0000-000080260000}"/>
    <cellStyle name="20% - Accent6 5 2 8 3" xfId="19826" xr:uid="{00000000-0005-0000-0000-000081260000}"/>
    <cellStyle name="20% - Accent6 5 2 9" xfId="2502" xr:uid="{00000000-0005-0000-0000-000082260000}"/>
    <cellStyle name="20% - Accent6 5 2 9 2" xfId="15016" xr:uid="{00000000-0005-0000-0000-000083260000}"/>
    <cellStyle name="20% - Accent6 5 2 9 2 2" xfId="28565" xr:uid="{00000000-0005-0000-0000-000084260000}"/>
    <cellStyle name="20% - Accent6 5 2 9 3" xfId="19827" xr:uid="{00000000-0005-0000-0000-000085260000}"/>
    <cellStyle name="20% - Accent6 5 3" xfId="2503" xr:uid="{00000000-0005-0000-0000-000086260000}"/>
    <cellStyle name="20% - Accent6 5 3 10" xfId="9168" xr:uid="{00000000-0005-0000-0000-000087260000}"/>
    <cellStyle name="20% - Accent6 5 3 10 2" xfId="23643" xr:uid="{00000000-0005-0000-0000-000088260000}"/>
    <cellStyle name="20% - Accent6 5 3 11" xfId="19828" xr:uid="{00000000-0005-0000-0000-000089260000}"/>
    <cellStyle name="20% - Accent6 5 3 2" xfId="2504" xr:uid="{00000000-0005-0000-0000-00008A260000}"/>
    <cellStyle name="20% - Accent6 5 3 2 2" xfId="2505" xr:uid="{00000000-0005-0000-0000-00008B260000}"/>
    <cellStyle name="20% - Accent6 5 3 2 2 2" xfId="10895" xr:uid="{00000000-0005-0000-0000-00008C260000}"/>
    <cellStyle name="20% - Accent6 5 3 2 2 2 2" xfId="24837" xr:uid="{00000000-0005-0000-0000-00008D260000}"/>
    <cellStyle name="20% - Accent6 5 3 2 2 3" xfId="19830" xr:uid="{00000000-0005-0000-0000-00008E260000}"/>
    <cellStyle name="20% - Accent6 5 3 2 3" xfId="2506" xr:uid="{00000000-0005-0000-0000-00008F260000}"/>
    <cellStyle name="20% - Accent6 5 3 2 3 2" xfId="12551" xr:uid="{00000000-0005-0000-0000-000090260000}"/>
    <cellStyle name="20% - Accent6 5 3 2 3 2 2" xfId="26263" xr:uid="{00000000-0005-0000-0000-000091260000}"/>
    <cellStyle name="20% - Accent6 5 3 2 3 3" xfId="19831" xr:uid="{00000000-0005-0000-0000-000092260000}"/>
    <cellStyle name="20% - Accent6 5 3 2 4" xfId="2507" xr:uid="{00000000-0005-0000-0000-000093260000}"/>
    <cellStyle name="20% - Accent6 5 3 2 4 2" xfId="15023" xr:uid="{00000000-0005-0000-0000-000094260000}"/>
    <cellStyle name="20% - Accent6 5 3 2 4 2 2" xfId="28572" xr:uid="{00000000-0005-0000-0000-000095260000}"/>
    <cellStyle name="20% - Accent6 5 3 2 4 3" xfId="19832" xr:uid="{00000000-0005-0000-0000-000096260000}"/>
    <cellStyle name="20% - Accent6 5 3 2 5" xfId="2508" xr:uid="{00000000-0005-0000-0000-000097260000}"/>
    <cellStyle name="20% - Accent6 5 3 2 5 2" xfId="16729" xr:uid="{00000000-0005-0000-0000-000098260000}"/>
    <cellStyle name="20% - Accent6 5 3 2 5 2 2" xfId="30136" xr:uid="{00000000-0005-0000-0000-000099260000}"/>
    <cellStyle name="20% - Accent6 5 3 2 5 3" xfId="19833" xr:uid="{00000000-0005-0000-0000-00009A260000}"/>
    <cellStyle name="20% - Accent6 5 3 2 6" xfId="9169" xr:uid="{00000000-0005-0000-0000-00009B260000}"/>
    <cellStyle name="20% - Accent6 5 3 2 6 2" xfId="23644" xr:uid="{00000000-0005-0000-0000-00009C260000}"/>
    <cellStyle name="20% - Accent6 5 3 2 7" xfId="19829" xr:uid="{00000000-0005-0000-0000-00009D260000}"/>
    <cellStyle name="20% - Accent6 5 3 3" xfId="2509" xr:uid="{00000000-0005-0000-0000-00009E260000}"/>
    <cellStyle name="20% - Accent6 5 3 3 2" xfId="2510" xr:uid="{00000000-0005-0000-0000-00009F260000}"/>
    <cellStyle name="20% - Accent6 5 3 3 2 2" xfId="15024" xr:uid="{00000000-0005-0000-0000-0000A0260000}"/>
    <cellStyle name="20% - Accent6 5 3 3 2 2 2" xfId="28573" xr:uid="{00000000-0005-0000-0000-0000A1260000}"/>
    <cellStyle name="20% - Accent6 5 3 3 2 3" xfId="19835" xr:uid="{00000000-0005-0000-0000-0000A2260000}"/>
    <cellStyle name="20% - Accent6 5 3 3 3" xfId="10894" xr:uid="{00000000-0005-0000-0000-0000A3260000}"/>
    <cellStyle name="20% - Accent6 5 3 3 3 2" xfId="24836" xr:uid="{00000000-0005-0000-0000-0000A4260000}"/>
    <cellStyle name="20% - Accent6 5 3 3 4" xfId="19834" xr:uid="{00000000-0005-0000-0000-0000A5260000}"/>
    <cellStyle name="20% - Accent6 5 3 4" xfId="2511" xr:uid="{00000000-0005-0000-0000-0000A6260000}"/>
    <cellStyle name="20% - Accent6 5 3 4 2" xfId="12117" xr:uid="{00000000-0005-0000-0000-0000A7260000}"/>
    <cellStyle name="20% - Accent6 5 3 4 2 2" xfId="25829" xr:uid="{00000000-0005-0000-0000-0000A8260000}"/>
    <cellStyle name="20% - Accent6 5 3 4 3" xfId="19836" xr:uid="{00000000-0005-0000-0000-0000A9260000}"/>
    <cellStyle name="20% - Accent6 5 3 5" xfId="2512" xr:uid="{00000000-0005-0000-0000-0000AA260000}"/>
    <cellStyle name="20% - Accent6 5 3 5 2" xfId="12795" xr:uid="{00000000-0005-0000-0000-0000AB260000}"/>
    <cellStyle name="20% - Accent6 5 3 5 2 2" xfId="26507" xr:uid="{00000000-0005-0000-0000-0000AC260000}"/>
    <cellStyle name="20% - Accent6 5 3 5 3" xfId="19837" xr:uid="{00000000-0005-0000-0000-0000AD260000}"/>
    <cellStyle name="20% - Accent6 5 3 6" xfId="2513" xr:uid="{00000000-0005-0000-0000-0000AE260000}"/>
    <cellStyle name="20% - Accent6 5 3 6 2" xfId="13681" xr:uid="{00000000-0005-0000-0000-0000AF260000}"/>
    <cellStyle name="20% - Accent6 5 3 6 2 2" xfId="27230" xr:uid="{00000000-0005-0000-0000-0000B0260000}"/>
    <cellStyle name="20% - Accent6 5 3 6 3" xfId="19838" xr:uid="{00000000-0005-0000-0000-0000B1260000}"/>
    <cellStyle name="20% - Accent6 5 3 7" xfId="2514" xr:uid="{00000000-0005-0000-0000-0000B2260000}"/>
    <cellStyle name="20% - Accent6 5 3 7 2" xfId="14262" xr:uid="{00000000-0005-0000-0000-0000B3260000}"/>
    <cellStyle name="20% - Accent6 5 3 7 2 2" xfId="27811" xr:uid="{00000000-0005-0000-0000-0000B4260000}"/>
    <cellStyle name="20% - Accent6 5 3 7 3" xfId="19839" xr:uid="{00000000-0005-0000-0000-0000B5260000}"/>
    <cellStyle name="20% - Accent6 5 3 8" xfId="2515" xr:uid="{00000000-0005-0000-0000-0000B6260000}"/>
    <cellStyle name="20% - Accent6 5 3 8 2" xfId="15022" xr:uid="{00000000-0005-0000-0000-0000B7260000}"/>
    <cellStyle name="20% - Accent6 5 3 8 2 2" xfId="28571" xr:uid="{00000000-0005-0000-0000-0000B8260000}"/>
    <cellStyle name="20% - Accent6 5 3 8 3" xfId="19840" xr:uid="{00000000-0005-0000-0000-0000B9260000}"/>
    <cellStyle name="20% - Accent6 5 3 9" xfId="2516" xr:uid="{00000000-0005-0000-0000-0000BA260000}"/>
    <cellStyle name="20% - Accent6 5 3 9 2" xfId="16148" xr:uid="{00000000-0005-0000-0000-0000BB260000}"/>
    <cellStyle name="20% - Accent6 5 3 9 2 2" xfId="29555" xr:uid="{00000000-0005-0000-0000-0000BC260000}"/>
    <cellStyle name="20% - Accent6 5 3 9 3" xfId="19841" xr:uid="{00000000-0005-0000-0000-0000BD260000}"/>
    <cellStyle name="20% - Accent6 5 4" xfId="2517" xr:uid="{00000000-0005-0000-0000-0000BE260000}"/>
    <cellStyle name="20% - Accent6 5 4 2" xfId="2518" xr:uid="{00000000-0005-0000-0000-0000BF260000}"/>
    <cellStyle name="20% - Accent6 5 4 2 2" xfId="10896" xr:uid="{00000000-0005-0000-0000-0000C0260000}"/>
    <cellStyle name="20% - Accent6 5 4 2 2 2" xfId="24838" xr:uid="{00000000-0005-0000-0000-0000C1260000}"/>
    <cellStyle name="20% - Accent6 5 4 2 3" xfId="19843" xr:uid="{00000000-0005-0000-0000-0000C2260000}"/>
    <cellStyle name="20% - Accent6 5 4 3" xfId="2519" xr:uid="{00000000-0005-0000-0000-0000C3260000}"/>
    <cellStyle name="20% - Accent6 5 4 3 2" xfId="12105" xr:uid="{00000000-0005-0000-0000-0000C4260000}"/>
    <cellStyle name="20% - Accent6 5 4 3 2 2" xfId="25817" xr:uid="{00000000-0005-0000-0000-0000C5260000}"/>
    <cellStyle name="20% - Accent6 5 4 3 3" xfId="19844" xr:uid="{00000000-0005-0000-0000-0000C6260000}"/>
    <cellStyle name="20% - Accent6 5 4 4" xfId="2520" xr:uid="{00000000-0005-0000-0000-0000C7260000}"/>
    <cellStyle name="20% - Accent6 5 4 4 2" xfId="15025" xr:uid="{00000000-0005-0000-0000-0000C8260000}"/>
    <cellStyle name="20% - Accent6 5 4 4 2 2" xfId="28574" xr:uid="{00000000-0005-0000-0000-0000C9260000}"/>
    <cellStyle name="20% - Accent6 5 4 4 3" xfId="19845" xr:uid="{00000000-0005-0000-0000-0000CA260000}"/>
    <cellStyle name="20% - Accent6 5 4 5" xfId="2521" xr:uid="{00000000-0005-0000-0000-0000CB260000}"/>
    <cellStyle name="20% - Accent6 5 4 5 2" xfId="16437" xr:uid="{00000000-0005-0000-0000-0000CC260000}"/>
    <cellStyle name="20% - Accent6 5 4 5 2 2" xfId="29844" xr:uid="{00000000-0005-0000-0000-0000CD260000}"/>
    <cellStyle name="20% - Accent6 5 4 5 3" xfId="19846" xr:uid="{00000000-0005-0000-0000-0000CE260000}"/>
    <cellStyle name="20% - Accent6 5 4 6" xfId="9170" xr:uid="{00000000-0005-0000-0000-0000CF260000}"/>
    <cellStyle name="20% - Accent6 5 4 6 2" xfId="23645" xr:uid="{00000000-0005-0000-0000-0000D0260000}"/>
    <cellStyle name="20% - Accent6 5 4 7" xfId="19842" xr:uid="{00000000-0005-0000-0000-0000D1260000}"/>
    <cellStyle name="20% - Accent6 5 5" xfId="2522" xr:uid="{00000000-0005-0000-0000-0000D2260000}"/>
    <cellStyle name="20% - Accent6 5 5 2" xfId="2523" xr:uid="{00000000-0005-0000-0000-0000D3260000}"/>
    <cellStyle name="20% - Accent6 5 5 2 2" xfId="15026" xr:uid="{00000000-0005-0000-0000-0000D4260000}"/>
    <cellStyle name="20% - Accent6 5 5 2 2 2" xfId="28575" xr:uid="{00000000-0005-0000-0000-0000D5260000}"/>
    <cellStyle name="20% - Accent6 5 5 2 3" xfId="19848" xr:uid="{00000000-0005-0000-0000-0000D6260000}"/>
    <cellStyle name="20% - Accent6 5 5 3" xfId="10889" xr:uid="{00000000-0005-0000-0000-0000D7260000}"/>
    <cellStyle name="20% - Accent6 5 5 3 2" xfId="24831" xr:uid="{00000000-0005-0000-0000-0000D8260000}"/>
    <cellStyle name="20% - Accent6 5 5 4" xfId="19847" xr:uid="{00000000-0005-0000-0000-0000D9260000}"/>
    <cellStyle name="20% - Accent6 5 6" xfId="2524" xr:uid="{00000000-0005-0000-0000-0000DA260000}"/>
    <cellStyle name="20% - Accent6 5 6 2" xfId="11788" xr:uid="{00000000-0005-0000-0000-0000DB260000}"/>
    <cellStyle name="20% - Accent6 5 6 2 2" xfId="25503" xr:uid="{00000000-0005-0000-0000-0000DC260000}"/>
    <cellStyle name="20% - Accent6 5 6 3" xfId="19849" xr:uid="{00000000-0005-0000-0000-0000DD260000}"/>
    <cellStyle name="20% - Accent6 5 7" xfId="2525" xr:uid="{00000000-0005-0000-0000-0000DE260000}"/>
    <cellStyle name="20% - Accent6 5 7 2" xfId="12548" xr:uid="{00000000-0005-0000-0000-0000DF260000}"/>
    <cellStyle name="20% - Accent6 5 7 2 2" xfId="26260" xr:uid="{00000000-0005-0000-0000-0000E0260000}"/>
    <cellStyle name="20% - Accent6 5 7 3" xfId="19850" xr:uid="{00000000-0005-0000-0000-0000E1260000}"/>
    <cellStyle name="20% - Accent6 5 8" xfId="2526" xr:uid="{00000000-0005-0000-0000-0000E2260000}"/>
    <cellStyle name="20% - Accent6 5 8 2" xfId="13389" xr:uid="{00000000-0005-0000-0000-0000E3260000}"/>
    <cellStyle name="20% - Accent6 5 8 2 2" xfId="26938" xr:uid="{00000000-0005-0000-0000-0000E4260000}"/>
    <cellStyle name="20% - Accent6 5 8 3" xfId="19851" xr:uid="{00000000-0005-0000-0000-0000E5260000}"/>
    <cellStyle name="20% - Accent6 5 9" xfId="2527" xr:uid="{00000000-0005-0000-0000-0000E6260000}"/>
    <cellStyle name="20% - Accent6 5 9 2" xfId="13970" xr:uid="{00000000-0005-0000-0000-0000E7260000}"/>
    <cellStyle name="20% - Accent6 5 9 2 2" xfId="27519" xr:uid="{00000000-0005-0000-0000-0000E8260000}"/>
    <cellStyle name="20% - Accent6 5 9 3" xfId="19852" xr:uid="{00000000-0005-0000-0000-0000E9260000}"/>
    <cellStyle name="20% - Accent6 6" xfId="2528" xr:uid="{00000000-0005-0000-0000-0000EA260000}"/>
    <cellStyle name="20% - Accent6 6 10" xfId="2529" xr:uid="{00000000-0005-0000-0000-0000EB260000}"/>
    <cellStyle name="20% - Accent6 6 10 2" xfId="15027" xr:uid="{00000000-0005-0000-0000-0000EC260000}"/>
    <cellStyle name="20% - Accent6 6 10 2 2" xfId="28576" xr:uid="{00000000-0005-0000-0000-0000ED260000}"/>
    <cellStyle name="20% - Accent6 6 10 3" xfId="19854" xr:uid="{00000000-0005-0000-0000-0000EE260000}"/>
    <cellStyle name="20% - Accent6 6 11" xfId="2530" xr:uid="{00000000-0005-0000-0000-0000EF260000}"/>
    <cellStyle name="20% - Accent6 6 11 2" xfId="15962" xr:uid="{00000000-0005-0000-0000-0000F0260000}"/>
    <cellStyle name="20% - Accent6 6 11 2 2" xfId="29369" xr:uid="{00000000-0005-0000-0000-0000F1260000}"/>
    <cellStyle name="20% - Accent6 6 11 3" xfId="19855" xr:uid="{00000000-0005-0000-0000-0000F2260000}"/>
    <cellStyle name="20% - Accent6 6 12" xfId="9171" xr:uid="{00000000-0005-0000-0000-0000F3260000}"/>
    <cellStyle name="20% - Accent6 6 12 2" xfId="23646" xr:uid="{00000000-0005-0000-0000-0000F4260000}"/>
    <cellStyle name="20% - Accent6 6 13" xfId="19853" xr:uid="{00000000-0005-0000-0000-0000F5260000}"/>
    <cellStyle name="20% - Accent6 6 2" xfId="2531" xr:uid="{00000000-0005-0000-0000-0000F6260000}"/>
    <cellStyle name="20% - Accent6 6 2 10" xfId="2532" xr:uid="{00000000-0005-0000-0000-0000F7260000}"/>
    <cellStyle name="20% - Accent6 6 2 10 2" xfId="16105" xr:uid="{00000000-0005-0000-0000-0000F8260000}"/>
    <cellStyle name="20% - Accent6 6 2 10 2 2" xfId="29512" xr:uid="{00000000-0005-0000-0000-0000F9260000}"/>
    <cellStyle name="20% - Accent6 6 2 10 3" xfId="19857" xr:uid="{00000000-0005-0000-0000-0000FA260000}"/>
    <cellStyle name="20% - Accent6 6 2 11" xfId="9172" xr:uid="{00000000-0005-0000-0000-0000FB260000}"/>
    <cellStyle name="20% - Accent6 6 2 11 2" xfId="23647" xr:uid="{00000000-0005-0000-0000-0000FC260000}"/>
    <cellStyle name="20% - Accent6 6 2 12" xfId="19856" xr:uid="{00000000-0005-0000-0000-0000FD260000}"/>
    <cellStyle name="20% - Accent6 6 2 2" xfId="2533" xr:uid="{00000000-0005-0000-0000-0000FE260000}"/>
    <cellStyle name="20% - Accent6 6 2 2 10" xfId="9173" xr:uid="{00000000-0005-0000-0000-0000FF260000}"/>
    <cellStyle name="20% - Accent6 6 2 2 10 2" xfId="23648" xr:uid="{00000000-0005-0000-0000-000000270000}"/>
    <cellStyle name="20% - Accent6 6 2 2 11" xfId="19858" xr:uid="{00000000-0005-0000-0000-000001270000}"/>
    <cellStyle name="20% - Accent6 6 2 2 2" xfId="2534" xr:uid="{00000000-0005-0000-0000-000002270000}"/>
    <cellStyle name="20% - Accent6 6 2 2 2 2" xfId="2535" xr:uid="{00000000-0005-0000-0000-000003270000}"/>
    <cellStyle name="20% - Accent6 6 2 2 2 2 2" xfId="10900" xr:uid="{00000000-0005-0000-0000-000004270000}"/>
    <cellStyle name="20% - Accent6 6 2 2 2 2 2 2" xfId="24842" xr:uid="{00000000-0005-0000-0000-000005270000}"/>
    <cellStyle name="20% - Accent6 6 2 2 2 2 3" xfId="19860" xr:uid="{00000000-0005-0000-0000-000006270000}"/>
    <cellStyle name="20% - Accent6 6 2 2 2 3" xfId="2536" xr:uid="{00000000-0005-0000-0000-000007270000}"/>
    <cellStyle name="20% - Accent6 6 2 2 2 3 2" xfId="12782" xr:uid="{00000000-0005-0000-0000-000008270000}"/>
    <cellStyle name="20% - Accent6 6 2 2 2 3 2 2" xfId="26494" xr:uid="{00000000-0005-0000-0000-000009270000}"/>
    <cellStyle name="20% - Accent6 6 2 2 2 3 3" xfId="19861" xr:uid="{00000000-0005-0000-0000-00000A270000}"/>
    <cellStyle name="20% - Accent6 6 2 2 2 4" xfId="2537" xr:uid="{00000000-0005-0000-0000-00000B270000}"/>
    <cellStyle name="20% - Accent6 6 2 2 2 4 2" xfId="15030" xr:uid="{00000000-0005-0000-0000-00000C270000}"/>
    <cellStyle name="20% - Accent6 6 2 2 2 4 2 2" xfId="28579" xr:uid="{00000000-0005-0000-0000-00000D270000}"/>
    <cellStyle name="20% - Accent6 6 2 2 2 4 3" xfId="19862" xr:uid="{00000000-0005-0000-0000-00000E270000}"/>
    <cellStyle name="20% - Accent6 6 2 2 2 5" xfId="2538" xr:uid="{00000000-0005-0000-0000-00000F270000}"/>
    <cellStyle name="20% - Accent6 6 2 2 2 5 2" xfId="16975" xr:uid="{00000000-0005-0000-0000-000010270000}"/>
    <cellStyle name="20% - Accent6 6 2 2 2 5 2 2" xfId="30382" xr:uid="{00000000-0005-0000-0000-000011270000}"/>
    <cellStyle name="20% - Accent6 6 2 2 2 5 3" xfId="19863" xr:uid="{00000000-0005-0000-0000-000012270000}"/>
    <cellStyle name="20% - Accent6 6 2 2 2 6" xfId="9174" xr:uid="{00000000-0005-0000-0000-000013270000}"/>
    <cellStyle name="20% - Accent6 6 2 2 2 6 2" xfId="23649" xr:uid="{00000000-0005-0000-0000-000014270000}"/>
    <cellStyle name="20% - Accent6 6 2 2 2 7" xfId="19859" xr:uid="{00000000-0005-0000-0000-000015270000}"/>
    <cellStyle name="20% - Accent6 6 2 2 3" xfId="2539" xr:uid="{00000000-0005-0000-0000-000016270000}"/>
    <cellStyle name="20% - Accent6 6 2 2 3 2" xfId="2540" xr:uid="{00000000-0005-0000-0000-000017270000}"/>
    <cellStyle name="20% - Accent6 6 2 2 3 2 2" xfId="15031" xr:uid="{00000000-0005-0000-0000-000018270000}"/>
    <cellStyle name="20% - Accent6 6 2 2 3 2 2 2" xfId="28580" xr:uid="{00000000-0005-0000-0000-000019270000}"/>
    <cellStyle name="20% - Accent6 6 2 2 3 2 3" xfId="19865" xr:uid="{00000000-0005-0000-0000-00001A270000}"/>
    <cellStyle name="20% - Accent6 6 2 2 3 3" xfId="10899" xr:uid="{00000000-0005-0000-0000-00001B270000}"/>
    <cellStyle name="20% - Accent6 6 2 2 3 3 2" xfId="24841" xr:uid="{00000000-0005-0000-0000-00001C270000}"/>
    <cellStyle name="20% - Accent6 6 2 2 3 4" xfId="19864" xr:uid="{00000000-0005-0000-0000-00001D270000}"/>
    <cellStyle name="20% - Accent6 6 2 2 4" xfId="2541" xr:uid="{00000000-0005-0000-0000-00001E270000}"/>
    <cellStyle name="20% - Accent6 6 2 2 4 2" xfId="12363" xr:uid="{00000000-0005-0000-0000-00001F270000}"/>
    <cellStyle name="20% - Accent6 6 2 2 4 2 2" xfId="26075" xr:uid="{00000000-0005-0000-0000-000020270000}"/>
    <cellStyle name="20% - Accent6 6 2 2 4 3" xfId="19866" xr:uid="{00000000-0005-0000-0000-000021270000}"/>
    <cellStyle name="20% - Accent6 6 2 2 5" xfId="2542" xr:uid="{00000000-0005-0000-0000-000022270000}"/>
    <cellStyle name="20% - Accent6 6 2 2 5 2" xfId="12690" xr:uid="{00000000-0005-0000-0000-000023270000}"/>
    <cellStyle name="20% - Accent6 6 2 2 5 2 2" xfId="26402" xr:uid="{00000000-0005-0000-0000-000024270000}"/>
    <cellStyle name="20% - Accent6 6 2 2 5 3" xfId="19867" xr:uid="{00000000-0005-0000-0000-000025270000}"/>
    <cellStyle name="20% - Accent6 6 2 2 6" xfId="2543" xr:uid="{00000000-0005-0000-0000-000026270000}"/>
    <cellStyle name="20% - Accent6 6 2 2 6 2" xfId="13927" xr:uid="{00000000-0005-0000-0000-000027270000}"/>
    <cellStyle name="20% - Accent6 6 2 2 6 2 2" xfId="27476" xr:uid="{00000000-0005-0000-0000-000028270000}"/>
    <cellStyle name="20% - Accent6 6 2 2 6 3" xfId="19868" xr:uid="{00000000-0005-0000-0000-000029270000}"/>
    <cellStyle name="20% - Accent6 6 2 2 7" xfId="2544" xr:uid="{00000000-0005-0000-0000-00002A270000}"/>
    <cellStyle name="20% - Accent6 6 2 2 7 2" xfId="14508" xr:uid="{00000000-0005-0000-0000-00002B270000}"/>
    <cellStyle name="20% - Accent6 6 2 2 7 2 2" xfId="28057" xr:uid="{00000000-0005-0000-0000-00002C270000}"/>
    <cellStyle name="20% - Accent6 6 2 2 7 3" xfId="19869" xr:uid="{00000000-0005-0000-0000-00002D270000}"/>
    <cellStyle name="20% - Accent6 6 2 2 8" xfId="2545" xr:uid="{00000000-0005-0000-0000-00002E270000}"/>
    <cellStyle name="20% - Accent6 6 2 2 8 2" xfId="15029" xr:uid="{00000000-0005-0000-0000-00002F270000}"/>
    <cellStyle name="20% - Accent6 6 2 2 8 2 2" xfId="28578" xr:uid="{00000000-0005-0000-0000-000030270000}"/>
    <cellStyle name="20% - Accent6 6 2 2 8 3" xfId="19870" xr:uid="{00000000-0005-0000-0000-000031270000}"/>
    <cellStyle name="20% - Accent6 6 2 2 9" xfId="2546" xr:uid="{00000000-0005-0000-0000-000032270000}"/>
    <cellStyle name="20% - Accent6 6 2 2 9 2" xfId="16394" xr:uid="{00000000-0005-0000-0000-000033270000}"/>
    <cellStyle name="20% - Accent6 6 2 2 9 2 2" xfId="29801" xr:uid="{00000000-0005-0000-0000-000034270000}"/>
    <cellStyle name="20% - Accent6 6 2 2 9 3" xfId="19871" xr:uid="{00000000-0005-0000-0000-000035270000}"/>
    <cellStyle name="20% - Accent6 6 2 3" xfId="2547" xr:uid="{00000000-0005-0000-0000-000036270000}"/>
    <cellStyle name="20% - Accent6 6 2 3 2" xfId="2548" xr:uid="{00000000-0005-0000-0000-000037270000}"/>
    <cellStyle name="20% - Accent6 6 2 3 2 2" xfId="10901" xr:uid="{00000000-0005-0000-0000-000038270000}"/>
    <cellStyle name="20% - Accent6 6 2 3 2 2 2" xfId="24843" xr:uid="{00000000-0005-0000-0000-000039270000}"/>
    <cellStyle name="20% - Accent6 6 2 3 2 3" xfId="19873" xr:uid="{00000000-0005-0000-0000-00003A270000}"/>
    <cellStyle name="20% - Accent6 6 2 3 3" xfId="2549" xr:uid="{00000000-0005-0000-0000-00003B270000}"/>
    <cellStyle name="20% - Accent6 6 2 3 3 2" xfId="12697" xr:uid="{00000000-0005-0000-0000-00003C270000}"/>
    <cellStyle name="20% - Accent6 6 2 3 3 2 2" xfId="26409" xr:uid="{00000000-0005-0000-0000-00003D270000}"/>
    <cellStyle name="20% - Accent6 6 2 3 3 3" xfId="19874" xr:uid="{00000000-0005-0000-0000-00003E270000}"/>
    <cellStyle name="20% - Accent6 6 2 3 4" xfId="2550" xr:uid="{00000000-0005-0000-0000-00003F270000}"/>
    <cellStyle name="20% - Accent6 6 2 3 4 2" xfId="15032" xr:uid="{00000000-0005-0000-0000-000040270000}"/>
    <cellStyle name="20% - Accent6 6 2 3 4 2 2" xfId="28581" xr:uid="{00000000-0005-0000-0000-000041270000}"/>
    <cellStyle name="20% - Accent6 6 2 3 4 3" xfId="19875" xr:uid="{00000000-0005-0000-0000-000042270000}"/>
    <cellStyle name="20% - Accent6 6 2 3 5" xfId="2551" xr:uid="{00000000-0005-0000-0000-000043270000}"/>
    <cellStyle name="20% - Accent6 6 2 3 5 2" xfId="16686" xr:uid="{00000000-0005-0000-0000-000044270000}"/>
    <cellStyle name="20% - Accent6 6 2 3 5 2 2" xfId="30093" xr:uid="{00000000-0005-0000-0000-000045270000}"/>
    <cellStyle name="20% - Accent6 6 2 3 5 3" xfId="19876" xr:uid="{00000000-0005-0000-0000-000046270000}"/>
    <cellStyle name="20% - Accent6 6 2 3 6" xfId="9175" xr:uid="{00000000-0005-0000-0000-000047270000}"/>
    <cellStyle name="20% - Accent6 6 2 3 6 2" xfId="23650" xr:uid="{00000000-0005-0000-0000-000048270000}"/>
    <cellStyle name="20% - Accent6 6 2 3 7" xfId="19872" xr:uid="{00000000-0005-0000-0000-000049270000}"/>
    <cellStyle name="20% - Accent6 6 2 4" xfId="2552" xr:uid="{00000000-0005-0000-0000-00004A270000}"/>
    <cellStyle name="20% - Accent6 6 2 4 2" xfId="2553" xr:uid="{00000000-0005-0000-0000-00004B270000}"/>
    <cellStyle name="20% - Accent6 6 2 4 2 2" xfId="15033" xr:uid="{00000000-0005-0000-0000-00004C270000}"/>
    <cellStyle name="20% - Accent6 6 2 4 2 2 2" xfId="28582" xr:uid="{00000000-0005-0000-0000-00004D270000}"/>
    <cellStyle name="20% - Accent6 6 2 4 2 3" xfId="19878" xr:uid="{00000000-0005-0000-0000-00004E270000}"/>
    <cellStyle name="20% - Accent6 6 2 4 3" xfId="10898" xr:uid="{00000000-0005-0000-0000-00004F270000}"/>
    <cellStyle name="20% - Accent6 6 2 4 3 2" xfId="24840" xr:uid="{00000000-0005-0000-0000-000050270000}"/>
    <cellStyle name="20% - Accent6 6 2 4 4" xfId="19877" xr:uid="{00000000-0005-0000-0000-000051270000}"/>
    <cellStyle name="20% - Accent6 6 2 5" xfId="2554" xr:uid="{00000000-0005-0000-0000-000052270000}"/>
    <cellStyle name="20% - Accent6 6 2 5 2" xfId="12063" xr:uid="{00000000-0005-0000-0000-000053270000}"/>
    <cellStyle name="20% - Accent6 6 2 5 2 2" xfId="25778" xr:uid="{00000000-0005-0000-0000-000054270000}"/>
    <cellStyle name="20% - Accent6 6 2 5 3" xfId="19879" xr:uid="{00000000-0005-0000-0000-000055270000}"/>
    <cellStyle name="20% - Accent6 6 2 6" xfId="2555" xr:uid="{00000000-0005-0000-0000-000056270000}"/>
    <cellStyle name="20% - Accent6 6 2 6 2" xfId="12650" xr:uid="{00000000-0005-0000-0000-000057270000}"/>
    <cellStyle name="20% - Accent6 6 2 6 2 2" xfId="26362" xr:uid="{00000000-0005-0000-0000-000058270000}"/>
    <cellStyle name="20% - Accent6 6 2 6 3" xfId="19880" xr:uid="{00000000-0005-0000-0000-000059270000}"/>
    <cellStyle name="20% - Accent6 6 2 7" xfId="2556" xr:uid="{00000000-0005-0000-0000-00005A270000}"/>
    <cellStyle name="20% - Accent6 6 2 7 2" xfId="13638" xr:uid="{00000000-0005-0000-0000-00005B270000}"/>
    <cellStyle name="20% - Accent6 6 2 7 2 2" xfId="27187" xr:uid="{00000000-0005-0000-0000-00005C270000}"/>
    <cellStyle name="20% - Accent6 6 2 7 3" xfId="19881" xr:uid="{00000000-0005-0000-0000-00005D270000}"/>
    <cellStyle name="20% - Accent6 6 2 8" xfId="2557" xr:uid="{00000000-0005-0000-0000-00005E270000}"/>
    <cellStyle name="20% - Accent6 6 2 8 2" xfId="14219" xr:uid="{00000000-0005-0000-0000-00005F270000}"/>
    <cellStyle name="20% - Accent6 6 2 8 2 2" xfId="27768" xr:uid="{00000000-0005-0000-0000-000060270000}"/>
    <cellStyle name="20% - Accent6 6 2 8 3" xfId="19882" xr:uid="{00000000-0005-0000-0000-000061270000}"/>
    <cellStyle name="20% - Accent6 6 2 9" xfId="2558" xr:uid="{00000000-0005-0000-0000-000062270000}"/>
    <cellStyle name="20% - Accent6 6 2 9 2" xfId="15028" xr:uid="{00000000-0005-0000-0000-000063270000}"/>
    <cellStyle name="20% - Accent6 6 2 9 2 2" xfId="28577" xr:uid="{00000000-0005-0000-0000-000064270000}"/>
    <cellStyle name="20% - Accent6 6 2 9 3" xfId="19883" xr:uid="{00000000-0005-0000-0000-000065270000}"/>
    <cellStyle name="20% - Accent6 6 3" xfId="2559" xr:uid="{00000000-0005-0000-0000-000066270000}"/>
    <cellStyle name="20% - Accent6 6 3 10" xfId="9176" xr:uid="{00000000-0005-0000-0000-000067270000}"/>
    <cellStyle name="20% - Accent6 6 3 10 2" xfId="23651" xr:uid="{00000000-0005-0000-0000-000068270000}"/>
    <cellStyle name="20% - Accent6 6 3 11" xfId="19884" xr:uid="{00000000-0005-0000-0000-000069270000}"/>
    <cellStyle name="20% - Accent6 6 3 2" xfId="2560" xr:uid="{00000000-0005-0000-0000-00006A270000}"/>
    <cellStyle name="20% - Accent6 6 3 2 2" xfId="2561" xr:uid="{00000000-0005-0000-0000-00006B270000}"/>
    <cellStyle name="20% - Accent6 6 3 2 2 2" xfId="10903" xr:uid="{00000000-0005-0000-0000-00006C270000}"/>
    <cellStyle name="20% - Accent6 6 3 2 2 2 2" xfId="24845" xr:uid="{00000000-0005-0000-0000-00006D270000}"/>
    <cellStyle name="20% - Accent6 6 3 2 2 3" xfId="19886" xr:uid="{00000000-0005-0000-0000-00006E270000}"/>
    <cellStyle name="20% - Accent6 6 3 2 3" xfId="2562" xr:uid="{00000000-0005-0000-0000-00006F270000}"/>
    <cellStyle name="20% - Accent6 6 3 2 3 2" xfId="12656" xr:uid="{00000000-0005-0000-0000-000070270000}"/>
    <cellStyle name="20% - Accent6 6 3 2 3 2 2" xfId="26368" xr:uid="{00000000-0005-0000-0000-000071270000}"/>
    <cellStyle name="20% - Accent6 6 3 2 3 3" xfId="19887" xr:uid="{00000000-0005-0000-0000-000072270000}"/>
    <cellStyle name="20% - Accent6 6 3 2 4" xfId="2563" xr:uid="{00000000-0005-0000-0000-000073270000}"/>
    <cellStyle name="20% - Accent6 6 3 2 4 2" xfId="15035" xr:uid="{00000000-0005-0000-0000-000074270000}"/>
    <cellStyle name="20% - Accent6 6 3 2 4 2 2" xfId="28584" xr:uid="{00000000-0005-0000-0000-000075270000}"/>
    <cellStyle name="20% - Accent6 6 3 2 4 3" xfId="19888" xr:uid="{00000000-0005-0000-0000-000076270000}"/>
    <cellStyle name="20% - Accent6 6 3 2 5" xfId="2564" xr:uid="{00000000-0005-0000-0000-000077270000}"/>
    <cellStyle name="20% - Accent6 6 3 2 5 2" xfId="16832" xr:uid="{00000000-0005-0000-0000-000078270000}"/>
    <cellStyle name="20% - Accent6 6 3 2 5 2 2" xfId="30239" xr:uid="{00000000-0005-0000-0000-000079270000}"/>
    <cellStyle name="20% - Accent6 6 3 2 5 3" xfId="19889" xr:uid="{00000000-0005-0000-0000-00007A270000}"/>
    <cellStyle name="20% - Accent6 6 3 2 6" xfId="9177" xr:uid="{00000000-0005-0000-0000-00007B270000}"/>
    <cellStyle name="20% - Accent6 6 3 2 6 2" xfId="23652" xr:uid="{00000000-0005-0000-0000-00007C270000}"/>
    <cellStyle name="20% - Accent6 6 3 2 7" xfId="19885" xr:uid="{00000000-0005-0000-0000-00007D270000}"/>
    <cellStyle name="20% - Accent6 6 3 3" xfId="2565" xr:uid="{00000000-0005-0000-0000-00007E270000}"/>
    <cellStyle name="20% - Accent6 6 3 3 2" xfId="2566" xr:uid="{00000000-0005-0000-0000-00007F270000}"/>
    <cellStyle name="20% - Accent6 6 3 3 2 2" xfId="15036" xr:uid="{00000000-0005-0000-0000-000080270000}"/>
    <cellStyle name="20% - Accent6 6 3 3 2 2 2" xfId="28585" xr:uid="{00000000-0005-0000-0000-000081270000}"/>
    <cellStyle name="20% - Accent6 6 3 3 2 3" xfId="19891" xr:uid="{00000000-0005-0000-0000-000082270000}"/>
    <cellStyle name="20% - Accent6 6 3 3 3" xfId="10902" xr:uid="{00000000-0005-0000-0000-000083270000}"/>
    <cellStyle name="20% - Accent6 6 3 3 3 2" xfId="24844" xr:uid="{00000000-0005-0000-0000-000084270000}"/>
    <cellStyle name="20% - Accent6 6 3 3 4" xfId="19890" xr:uid="{00000000-0005-0000-0000-000085270000}"/>
    <cellStyle name="20% - Accent6 6 3 4" xfId="2567" xr:uid="{00000000-0005-0000-0000-000086270000}"/>
    <cellStyle name="20% - Accent6 6 3 4 2" xfId="12220" xr:uid="{00000000-0005-0000-0000-000087270000}"/>
    <cellStyle name="20% - Accent6 6 3 4 2 2" xfId="25932" xr:uid="{00000000-0005-0000-0000-000088270000}"/>
    <cellStyle name="20% - Accent6 6 3 4 3" xfId="19892" xr:uid="{00000000-0005-0000-0000-000089270000}"/>
    <cellStyle name="20% - Accent6 6 3 5" xfId="2568" xr:uid="{00000000-0005-0000-0000-00008A270000}"/>
    <cellStyle name="20% - Accent6 6 3 5 2" xfId="12620" xr:uid="{00000000-0005-0000-0000-00008B270000}"/>
    <cellStyle name="20% - Accent6 6 3 5 2 2" xfId="26332" xr:uid="{00000000-0005-0000-0000-00008C270000}"/>
    <cellStyle name="20% - Accent6 6 3 5 3" xfId="19893" xr:uid="{00000000-0005-0000-0000-00008D270000}"/>
    <cellStyle name="20% - Accent6 6 3 6" xfId="2569" xr:uid="{00000000-0005-0000-0000-00008E270000}"/>
    <cellStyle name="20% - Accent6 6 3 6 2" xfId="13784" xr:uid="{00000000-0005-0000-0000-00008F270000}"/>
    <cellStyle name="20% - Accent6 6 3 6 2 2" xfId="27333" xr:uid="{00000000-0005-0000-0000-000090270000}"/>
    <cellStyle name="20% - Accent6 6 3 6 3" xfId="19894" xr:uid="{00000000-0005-0000-0000-000091270000}"/>
    <cellStyle name="20% - Accent6 6 3 7" xfId="2570" xr:uid="{00000000-0005-0000-0000-000092270000}"/>
    <cellStyle name="20% - Accent6 6 3 7 2" xfId="14365" xr:uid="{00000000-0005-0000-0000-000093270000}"/>
    <cellStyle name="20% - Accent6 6 3 7 2 2" xfId="27914" xr:uid="{00000000-0005-0000-0000-000094270000}"/>
    <cellStyle name="20% - Accent6 6 3 7 3" xfId="19895" xr:uid="{00000000-0005-0000-0000-000095270000}"/>
    <cellStyle name="20% - Accent6 6 3 8" xfId="2571" xr:uid="{00000000-0005-0000-0000-000096270000}"/>
    <cellStyle name="20% - Accent6 6 3 8 2" xfId="15034" xr:uid="{00000000-0005-0000-0000-000097270000}"/>
    <cellStyle name="20% - Accent6 6 3 8 2 2" xfId="28583" xr:uid="{00000000-0005-0000-0000-000098270000}"/>
    <cellStyle name="20% - Accent6 6 3 8 3" xfId="19896" xr:uid="{00000000-0005-0000-0000-000099270000}"/>
    <cellStyle name="20% - Accent6 6 3 9" xfId="2572" xr:uid="{00000000-0005-0000-0000-00009A270000}"/>
    <cellStyle name="20% - Accent6 6 3 9 2" xfId="16251" xr:uid="{00000000-0005-0000-0000-00009B270000}"/>
    <cellStyle name="20% - Accent6 6 3 9 2 2" xfId="29658" xr:uid="{00000000-0005-0000-0000-00009C270000}"/>
    <cellStyle name="20% - Accent6 6 3 9 3" xfId="19897" xr:uid="{00000000-0005-0000-0000-00009D270000}"/>
    <cellStyle name="20% - Accent6 6 4" xfId="2573" xr:uid="{00000000-0005-0000-0000-00009E270000}"/>
    <cellStyle name="20% - Accent6 6 4 2" xfId="2574" xr:uid="{00000000-0005-0000-0000-00009F270000}"/>
    <cellStyle name="20% - Accent6 6 4 2 2" xfId="10904" xr:uid="{00000000-0005-0000-0000-0000A0270000}"/>
    <cellStyle name="20% - Accent6 6 4 2 2 2" xfId="24846" xr:uid="{00000000-0005-0000-0000-0000A1270000}"/>
    <cellStyle name="20% - Accent6 6 4 2 3" xfId="19899" xr:uid="{00000000-0005-0000-0000-0000A2270000}"/>
    <cellStyle name="20% - Accent6 6 4 3" xfId="2575" xr:uid="{00000000-0005-0000-0000-0000A3270000}"/>
    <cellStyle name="20% - Accent6 6 4 3 2" xfId="12696" xr:uid="{00000000-0005-0000-0000-0000A4270000}"/>
    <cellStyle name="20% - Accent6 6 4 3 2 2" xfId="26408" xr:uid="{00000000-0005-0000-0000-0000A5270000}"/>
    <cellStyle name="20% - Accent6 6 4 3 3" xfId="19900" xr:uid="{00000000-0005-0000-0000-0000A6270000}"/>
    <cellStyle name="20% - Accent6 6 4 4" xfId="2576" xr:uid="{00000000-0005-0000-0000-0000A7270000}"/>
    <cellStyle name="20% - Accent6 6 4 4 2" xfId="15037" xr:uid="{00000000-0005-0000-0000-0000A8270000}"/>
    <cellStyle name="20% - Accent6 6 4 4 2 2" xfId="28586" xr:uid="{00000000-0005-0000-0000-0000A9270000}"/>
    <cellStyle name="20% - Accent6 6 4 4 3" xfId="19901" xr:uid="{00000000-0005-0000-0000-0000AA270000}"/>
    <cellStyle name="20% - Accent6 6 4 5" xfId="2577" xr:uid="{00000000-0005-0000-0000-0000AB270000}"/>
    <cellStyle name="20% - Accent6 6 4 5 2" xfId="16543" xr:uid="{00000000-0005-0000-0000-0000AC270000}"/>
    <cellStyle name="20% - Accent6 6 4 5 2 2" xfId="29950" xr:uid="{00000000-0005-0000-0000-0000AD270000}"/>
    <cellStyle name="20% - Accent6 6 4 5 3" xfId="19902" xr:uid="{00000000-0005-0000-0000-0000AE270000}"/>
    <cellStyle name="20% - Accent6 6 4 6" xfId="9178" xr:uid="{00000000-0005-0000-0000-0000AF270000}"/>
    <cellStyle name="20% - Accent6 6 4 6 2" xfId="23653" xr:uid="{00000000-0005-0000-0000-0000B0270000}"/>
    <cellStyle name="20% - Accent6 6 4 7" xfId="19898" xr:uid="{00000000-0005-0000-0000-0000B1270000}"/>
    <cellStyle name="20% - Accent6 6 5" xfId="2578" xr:uid="{00000000-0005-0000-0000-0000B2270000}"/>
    <cellStyle name="20% - Accent6 6 5 2" xfId="2579" xr:uid="{00000000-0005-0000-0000-0000B3270000}"/>
    <cellStyle name="20% - Accent6 6 5 2 2" xfId="15038" xr:uid="{00000000-0005-0000-0000-0000B4270000}"/>
    <cellStyle name="20% - Accent6 6 5 2 2 2" xfId="28587" xr:uid="{00000000-0005-0000-0000-0000B5270000}"/>
    <cellStyle name="20% - Accent6 6 5 2 3" xfId="19904" xr:uid="{00000000-0005-0000-0000-0000B6270000}"/>
    <cellStyle name="20% - Accent6 6 5 3" xfId="10897" xr:uid="{00000000-0005-0000-0000-0000B7270000}"/>
    <cellStyle name="20% - Accent6 6 5 3 2" xfId="24839" xr:uid="{00000000-0005-0000-0000-0000B8270000}"/>
    <cellStyle name="20% - Accent6 6 5 4" xfId="19903" xr:uid="{00000000-0005-0000-0000-0000B9270000}"/>
    <cellStyle name="20% - Accent6 6 6" xfId="2580" xr:uid="{00000000-0005-0000-0000-0000BA270000}"/>
    <cellStyle name="20% - Accent6 6 6 2" xfId="11918" xr:uid="{00000000-0005-0000-0000-0000BB270000}"/>
    <cellStyle name="20% - Accent6 6 6 2 2" xfId="25633" xr:uid="{00000000-0005-0000-0000-0000BC270000}"/>
    <cellStyle name="20% - Accent6 6 6 3" xfId="19905" xr:uid="{00000000-0005-0000-0000-0000BD270000}"/>
    <cellStyle name="20% - Accent6 6 7" xfId="2581" xr:uid="{00000000-0005-0000-0000-0000BE270000}"/>
    <cellStyle name="20% - Accent6 6 7 2" xfId="12557" xr:uid="{00000000-0005-0000-0000-0000BF270000}"/>
    <cellStyle name="20% - Accent6 6 7 2 2" xfId="26269" xr:uid="{00000000-0005-0000-0000-0000C0270000}"/>
    <cellStyle name="20% - Accent6 6 7 3" xfId="19906" xr:uid="{00000000-0005-0000-0000-0000C1270000}"/>
    <cellStyle name="20% - Accent6 6 8" xfId="2582" xr:uid="{00000000-0005-0000-0000-0000C2270000}"/>
    <cellStyle name="20% - Accent6 6 8 2" xfId="13495" xr:uid="{00000000-0005-0000-0000-0000C3270000}"/>
    <cellStyle name="20% - Accent6 6 8 2 2" xfId="27044" xr:uid="{00000000-0005-0000-0000-0000C4270000}"/>
    <cellStyle name="20% - Accent6 6 8 3" xfId="19907" xr:uid="{00000000-0005-0000-0000-0000C5270000}"/>
    <cellStyle name="20% - Accent6 6 9" xfId="2583" xr:uid="{00000000-0005-0000-0000-0000C6270000}"/>
    <cellStyle name="20% - Accent6 6 9 2" xfId="14076" xr:uid="{00000000-0005-0000-0000-0000C7270000}"/>
    <cellStyle name="20% - Accent6 6 9 2 2" xfId="27625" xr:uid="{00000000-0005-0000-0000-0000C8270000}"/>
    <cellStyle name="20% - Accent6 6 9 3" xfId="19908" xr:uid="{00000000-0005-0000-0000-0000C9270000}"/>
    <cellStyle name="20% - Accent6 7" xfId="2584" xr:uid="{00000000-0005-0000-0000-0000CA270000}"/>
    <cellStyle name="20% - Accent6 7 10" xfId="2585" xr:uid="{00000000-0005-0000-0000-0000CB270000}"/>
    <cellStyle name="20% - Accent6 7 10 2" xfId="15987" xr:uid="{00000000-0005-0000-0000-0000CC270000}"/>
    <cellStyle name="20% - Accent6 7 10 2 2" xfId="29394" xr:uid="{00000000-0005-0000-0000-0000CD270000}"/>
    <cellStyle name="20% - Accent6 7 10 3" xfId="19910" xr:uid="{00000000-0005-0000-0000-0000CE270000}"/>
    <cellStyle name="20% - Accent6 7 11" xfId="9179" xr:uid="{00000000-0005-0000-0000-0000CF270000}"/>
    <cellStyle name="20% - Accent6 7 11 2" xfId="23654" xr:uid="{00000000-0005-0000-0000-0000D0270000}"/>
    <cellStyle name="20% - Accent6 7 12" xfId="19909" xr:uid="{00000000-0005-0000-0000-0000D1270000}"/>
    <cellStyle name="20% - Accent6 7 2" xfId="2586" xr:uid="{00000000-0005-0000-0000-0000D2270000}"/>
    <cellStyle name="20% - Accent6 7 2 10" xfId="9180" xr:uid="{00000000-0005-0000-0000-0000D3270000}"/>
    <cellStyle name="20% - Accent6 7 2 10 2" xfId="23655" xr:uid="{00000000-0005-0000-0000-0000D4270000}"/>
    <cellStyle name="20% - Accent6 7 2 11" xfId="19911" xr:uid="{00000000-0005-0000-0000-0000D5270000}"/>
    <cellStyle name="20% - Accent6 7 2 2" xfId="2587" xr:uid="{00000000-0005-0000-0000-0000D6270000}"/>
    <cellStyle name="20% - Accent6 7 2 2 2" xfId="2588" xr:uid="{00000000-0005-0000-0000-0000D7270000}"/>
    <cellStyle name="20% - Accent6 7 2 2 2 2" xfId="10907" xr:uid="{00000000-0005-0000-0000-0000D8270000}"/>
    <cellStyle name="20% - Accent6 7 2 2 2 2 2" xfId="24849" xr:uid="{00000000-0005-0000-0000-0000D9270000}"/>
    <cellStyle name="20% - Accent6 7 2 2 2 3" xfId="19913" xr:uid="{00000000-0005-0000-0000-0000DA270000}"/>
    <cellStyle name="20% - Accent6 7 2 2 3" xfId="2589" xr:uid="{00000000-0005-0000-0000-0000DB270000}"/>
    <cellStyle name="20% - Accent6 7 2 2 3 2" xfId="11843" xr:uid="{00000000-0005-0000-0000-0000DC270000}"/>
    <cellStyle name="20% - Accent6 7 2 2 3 2 2" xfId="25558" xr:uid="{00000000-0005-0000-0000-0000DD270000}"/>
    <cellStyle name="20% - Accent6 7 2 2 3 3" xfId="19914" xr:uid="{00000000-0005-0000-0000-0000DE270000}"/>
    <cellStyle name="20% - Accent6 7 2 2 4" xfId="2590" xr:uid="{00000000-0005-0000-0000-0000DF270000}"/>
    <cellStyle name="20% - Accent6 7 2 2 4 2" xfId="15041" xr:uid="{00000000-0005-0000-0000-0000E0270000}"/>
    <cellStyle name="20% - Accent6 7 2 2 4 2 2" xfId="28590" xr:uid="{00000000-0005-0000-0000-0000E1270000}"/>
    <cellStyle name="20% - Accent6 7 2 2 4 3" xfId="19915" xr:uid="{00000000-0005-0000-0000-0000E2270000}"/>
    <cellStyle name="20% - Accent6 7 2 2 5" xfId="2591" xr:uid="{00000000-0005-0000-0000-0000E3270000}"/>
    <cellStyle name="20% - Accent6 7 2 2 5 2" xfId="16857" xr:uid="{00000000-0005-0000-0000-0000E4270000}"/>
    <cellStyle name="20% - Accent6 7 2 2 5 2 2" xfId="30264" xr:uid="{00000000-0005-0000-0000-0000E5270000}"/>
    <cellStyle name="20% - Accent6 7 2 2 5 3" xfId="19916" xr:uid="{00000000-0005-0000-0000-0000E6270000}"/>
    <cellStyle name="20% - Accent6 7 2 2 6" xfId="9181" xr:uid="{00000000-0005-0000-0000-0000E7270000}"/>
    <cellStyle name="20% - Accent6 7 2 2 6 2" xfId="23656" xr:uid="{00000000-0005-0000-0000-0000E8270000}"/>
    <cellStyle name="20% - Accent6 7 2 2 7" xfId="19912" xr:uid="{00000000-0005-0000-0000-0000E9270000}"/>
    <cellStyle name="20% - Accent6 7 2 3" xfId="2592" xr:uid="{00000000-0005-0000-0000-0000EA270000}"/>
    <cellStyle name="20% - Accent6 7 2 3 2" xfId="2593" xr:uid="{00000000-0005-0000-0000-0000EB270000}"/>
    <cellStyle name="20% - Accent6 7 2 3 2 2" xfId="15042" xr:uid="{00000000-0005-0000-0000-0000EC270000}"/>
    <cellStyle name="20% - Accent6 7 2 3 2 2 2" xfId="28591" xr:uid="{00000000-0005-0000-0000-0000ED270000}"/>
    <cellStyle name="20% - Accent6 7 2 3 2 3" xfId="19918" xr:uid="{00000000-0005-0000-0000-0000EE270000}"/>
    <cellStyle name="20% - Accent6 7 2 3 3" xfId="10906" xr:uid="{00000000-0005-0000-0000-0000EF270000}"/>
    <cellStyle name="20% - Accent6 7 2 3 3 2" xfId="24848" xr:uid="{00000000-0005-0000-0000-0000F0270000}"/>
    <cellStyle name="20% - Accent6 7 2 3 4" xfId="19917" xr:uid="{00000000-0005-0000-0000-0000F1270000}"/>
    <cellStyle name="20% - Accent6 7 2 4" xfId="2594" xr:uid="{00000000-0005-0000-0000-0000F2270000}"/>
    <cellStyle name="20% - Accent6 7 2 4 2" xfId="12245" xr:uid="{00000000-0005-0000-0000-0000F3270000}"/>
    <cellStyle name="20% - Accent6 7 2 4 2 2" xfId="25957" xr:uid="{00000000-0005-0000-0000-0000F4270000}"/>
    <cellStyle name="20% - Accent6 7 2 4 3" xfId="19919" xr:uid="{00000000-0005-0000-0000-0000F5270000}"/>
    <cellStyle name="20% - Accent6 7 2 5" xfId="2595" xr:uid="{00000000-0005-0000-0000-0000F6270000}"/>
    <cellStyle name="20% - Accent6 7 2 5 2" xfId="12748" xr:uid="{00000000-0005-0000-0000-0000F7270000}"/>
    <cellStyle name="20% - Accent6 7 2 5 2 2" xfId="26460" xr:uid="{00000000-0005-0000-0000-0000F8270000}"/>
    <cellStyle name="20% - Accent6 7 2 5 3" xfId="19920" xr:uid="{00000000-0005-0000-0000-0000F9270000}"/>
    <cellStyle name="20% - Accent6 7 2 6" xfId="2596" xr:uid="{00000000-0005-0000-0000-0000FA270000}"/>
    <cellStyle name="20% - Accent6 7 2 6 2" xfId="13809" xr:uid="{00000000-0005-0000-0000-0000FB270000}"/>
    <cellStyle name="20% - Accent6 7 2 6 2 2" xfId="27358" xr:uid="{00000000-0005-0000-0000-0000FC270000}"/>
    <cellStyle name="20% - Accent6 7 2 6 3" xfId="19921" xr:uid="{00000000-0005-0000-0000-0000FD270000}"/>
    <cellStyle name="20% - Accent6 7 2 7" xfId="2597" xr:uid="{00000000-0005-0000-0000-0000FE270000}"/>
    <cellStyle name="20% - Accent6 7 2 7 2" xfId="14390" xr:uid="{00000000-0005-0000-0000-0000FF270000}"/>
    <cellStyle name="20% - Accent6 7 2 7 2 2" xfId="27939" xr:uid="{00000000-0005-0000-0000-000000280000}"/>
    <cellStyle name="20% - Accent6 7 2 7 3" xfId="19922" xr:uid="{00000000-0005-0000-0000-000001280000}"/>
    <cellStyle name="20% - Accent6 7 2 8" xfId="2598" xr:uid="{00000000-0005-0000-0000-000002280000}"/>
    <cellStyle name="20% - Accent6 7 2 8 2" xfId="15040" xr:uid="{00000000-0005-0000-0000-000003280000}"/>
    <cellStyle name="20% - Accent6 7 2 8 2 2" xfId="28589" xr:uid="{00000000-0005-0000-0000-000004280000}"/>
    <cellStyle name="20% - Accent6 7 2 8 3" xfId="19923" xr:uid="{00000000-0005-0000-0000-000005280000}"/>
    <cellStyle name="20% - Accent6 7 2 9" xfId="2599" xr:uid="{00000000-0005-0000-0000-000006280000}"/>
    <cellStyle name="20% - Accent6 7 2 9 2" xfId="16276" xr:uid="{00000000-0005-0000-0000-000007280000}"/>
    <cellStyle name="20% - Accent6 7 2 9 2 2" xfId="29683" xr:uid="{00000000-0005-0000-0000-000008280000}"/>
    <cellStyle name="20% - Accent6 7 2 9 3" xfId="19924" xr:uid="{00000000-0005-0000-0000-000009280000}"/>
    <cellStyle name="20% - Accent6 7 3" xfId="2600" xr:uid="{00000000-0005-0000-0000-00000A280000}"/>
    <cellStyle name="20% - Accent6 7 3 2" xfId="2601" xr:uid="{00000000-0005-0000-0000-00000B280000}"/>
    <cellStyle name="20% - Accent6 7 3 2 2" xfId="10908" xr:uid="{00000000-0005-0000-0000-00000C280000}"/>
    <cellStyle name="20% - Accent6 7 3 2 2 2" xfId="24850" xr:uid="{00000000-0005-0000-0000-00000D280000}"/>
    <cellStyle name="20% - Accent6 7 3 2 3" xfId="19926" xr:uid="{00000000-0005-0000-0000-00000E280000}"/>
    <cellStyle name="20% - Accent6 7 3 3" xfId="2602" xr:uid="{00000000-0005-0000-0000-00000F280000}"/>
    <cellStyle name="20% - Accent6 7 3 3 2" xfId="12708" xr:uid="{00000000-0005-0000-0000-000010280000}"/>
    <cellStyle name="20% - Accent6 7 3 3 2 2" xfId="26420" xr:uid="{00000000-0005-0000-0000-000011280000}"/>
    <cellStyle name="20% - Accent6 7 3 3 3" xfId="19927" xr:uid="{00000000-0005-0000-0000-000012280000}"/>
    <cellStyle name="20% - Accent6 7 3 4" xfId="2603" xr:uid="{00000000-0005-0000-0000-000013280000}"/>
    <cellStyle name="20% - Accent6 7 3 4 2" xfId="15043" xr:uid="{00000000-0005-0000-0000-000014280000}"/>
    <cellStyle name="20% - Accent6 7 3 4 2 2" xfId="28592" xr:uid="{00000000-0005-0000-0000-000015280000}"/>
    <cellStyle name="20% - Accent6 7 3 4 3" xfId="19928" xr:uid="{00000000-0005-0000-0000-000016280000}"/>
    <cellStyle name="20% - Accent6 7 3 5" xfId="2604" xr:uid="{00000000-0005-0000-0000-000017280000}"/>
    <cellStyle name="20% - Accent6 7 3 5 2" xfId="16568" xr:uid="{00000000-0005-0000-0000-000018280000}"/>
    <cellStyle name="20% - Accent6 7 3 5 2 2" xfId="29975" xr:uid="{00000000-0005-0000-0000-000019280000}"/>
    <cellStyle name="20% - Accent6 7 3 5 3" xfId="19929" xr:uid="{00000000-0005-0000-0000-00001A280000}"/>
    <cellStyle name="20% - Accent6 7 3 6" xfId="9182" xr:uid="{00000000-0005-0000-0000-00001B280000}"/>
    <cellStyle name="20% - Accent6 7 3 6 2" xfId="23657" xr:uid="{00000000-0005-0000-0000-00001C280000}"/>
    <cellStyle name="20% - Accent6 7 3 7" xfId="19925" xr:uid="{00000000-0005-0000-0000-00001D280000}"/>
    <cellStyle name="20% - Accent6 7 4" xfId="2605" xr:uid="{00000000-0005-0000-0000-00001E280000}"/>
    <cellStyle name="20% - Accent6 7 4 2" xfId="2606" xr:uid="{00000000-0005-0000-0000-00001F280000}"/>
    <cellStyle name="20% - Accent6 7 4 2 2" xfId="15044" xr:uid="{00000000-0005-0000-0000-000020280000}"/>
    <cellStyle name="20% - Accent6 7 4 2 2 2" xfId="28593" xr:uid="{00000000-0005-0000-0000-000021280000}"/>
    <cellStyle name="20% - Accent6 7 4 2 3" xfId="19931" xr:uid="{00000000-0005-0000-0000-000022280000}"/>
    <cellStyle name="20% - Accent6 7 4 3" xfId="10905" xr:uid="{00000000-0005-0000-0000-000023280000}"/>
    <cellStyle name="20% - Accent6 7 4 3 2" xfId="24847" xr:uid="{00000000-0005-0000-0000-000024280000}"/>
    <cellStyle name="20% - Accent6 7 4 4" xfId="19930" xr:uid="{00000000-0005-0000-0000-000025280000}"/>
    <cellStyle name="20% - Accent6 7 5" xfId="2607" xr:uid="{00000000-0005-0000-0000-000026280000}"/>
    <cellStyle name="20% - Accent6 7 5 2" xfId="11943" xr:uid="{00000000-0005-0000-0000-000027280000}"/>
    <cellStyle name="20% - Accent6 7 5 2 2" xfId="25658" xr:uid="{00000000-0005-0000-0000-000028280000}"/>
    <cellStyle name="20% - Accent6 7 5 3" xfId="19932" xr:uid="{00000000-0005-0000-0000-000029280000}"/>
    <cellStyle name="20% - Accent6 7 6" xfId="2608" xr:uid="{00000000-0005-0000-0000-00002A280000}"/>
    <cellStyle name="20% - Accent6 7 6 2" xfId="12543" xr:uid="{00000000-0005-0000-0000-00002B280000}"/>
    <cellStyle name="20% - Accent6 7 6 2 2" xfId="26255" xr:uid="{00000000-0005-0000-0000-00002C280000}"/>
    <cellStyle name="20% - Accent6 7 6 3" xfId="19933" xr:uid="{00000000-0005-0000-0000-00002D280000}"/>
    <cellStyle name="20% - Accent6 7 7" xfId="2609" xr:uid="{00000000-0005-0000-0000-00002E280000}"/>
    <cellStyle name="20% - Accent6 7 7 2" xfId="13520" xr:uid="{00000000-0005-0000-0000-00002F280000}"/>
    <cellStyle name="20% - Accent6 7 7 2 2" xfId="27069" xr:uid="{00000000-0005-0000-0000-000030280000}"/>
    <cellStyle name="20% - Accent6 7 7 3" xfId="19934" xr:uid="{00000000-0005-0000-0000-000031280000}"/>
    <cellStyle name="20% - Accent6 7 8" xfId="2610" xr:uid="{00000000-0005-0000-0000-000032280000}"/>
    <cellStyle name="20% - Accent6 7 8 2" xfId="14101" xr:uid="{00000000-0005-0000-0000-000033280000}"/>
    <cellStyle name="20% - Accent6 7 8 2 2" xfId="27650" xr:uid="{00000000-0005-0000-0000-000034280000}"/>
    <cellStyle name="20% - Accent6 7 8 3" xfId="19935" xr:uid="{00000000-0005-0000-0000-000035280000}"/>
    <cellStyle name="20% - Accent6 7 9" xfId="2611" xr:uid="{00000000-0005-0000-0000-000036280000}"/>
    <cellStyle name="20% - Accent6 7 9 2" xfId="15039" xr:uid="{00000000-0005-0000-0000-000037280000}"/>
    <cellStyle name="20% - Accent6 7 9 2 2" xfId="28588" xr:uid="{00000000-0005-0000-0000-000038280000}"/>
    <cellStyle name="20% - Accent6 7 9 3" xfId="19936" xr:uid="{00000000-0005-0000-0000-000039280000}"/>
    <cellStyle name="20% - Accent6 8" xfId="2612" xr:uid="{00000000-0005-0000-0000-00003A280000}"/>
    <cellStyle name="20% - Accent6 8 10" xfId="9183" xr:uid="{00000000-0005-0000-0000-00003B280000}"/>
    <cellStyle name="20% - Accent6 8 10 2" xfId="23658" xr:uid="{00000000-0005-0000-0000-00003C280000}"/>
    <cellStyle name="20% - Accent6 8 11" xfId="19937" xr:uid="{00000000-0005-0000-0000-00003D280000}"/>
    <cellStyle name="20% - Accent6 8 2" xfId="2613" xr:uid="{00000000-0005-0000-0000-00003E280000}"/>
    <cellStyle name="20% - Accent6 8 2 2" xfId="2614" xr:uid="{00000000-0005-0000-0000-00003F280000}"/>
    <cellStyle name="20% - Accent6 8 2 2 2" xfId="10910" xr:uid="{00000000-0005-0000-0000-000040280000}"/>
    <cellStyle name="20% - Accent6 8 2 2 2 2" xfId="24852" xr:uid="{00000000-0005-0000-0000-000041280000}"/>
    <cellStyle name="20% - Accent6 8 2 2 3" xfId="19939" xr:uid="{00000000-0005-0000-0000-000042280000}"/>
    <cellStyle name="20% - Accent6 8 2 3" xfId="2615" xr:uid="{00000000-0005-0000-0000-000043280000}"/>
    <cellStyle name="20% - Accent6 8 2 3 2" xfId="11863" xr:uid="{00000000-0005-0000-0000-000044280000}"/>
    <cellStyle name="20% - Accent6 8 2 3 2 2" xfId="25578" xr:uid="{00000000-0005-0000-0000-000045280000}"/>
    <cellStyle name="20% - Accent6 8 2 3 3" xfId="19940" xr:uid="{00000000-0005-0000-0000-000046280000}"/>
    <cellStyle name="20% - Accent6 8 2 4" xfId="2616" xr:uid="{00000000-0005-0000-0000-000047280000}"/>
    <cellStyle name="20% - Accent6 8 2 4 2" xfId="15046" xr:uid="{00000000-0005-0000-0000-000048280000}"/>
    <cellStyle name="20% - Accent6 8 2 4 2 2" xfId="28595" xr:uid="{00000000-0005-0000-0000-000049280000}"/>
    <cellStyle name="20% - Accent6 8 2 4 3" xfId="19941" xr:uid="{00000000-0005-0000-0000-00004A280000}"/>
    <cellStyle name="20% - Accent6 8 2 5" xfId="2617" xr:uid="{00000000-0005-0000-0000-00004B280000}"/>
    <cellStyle name="20% - Accent6 8 2 5 2" xfId="16706" xr:uid="{00000000-0005-0000-0000-00004C280000}"/>
    <cellStyle name="20% - Accent6 8 2 5 2 2" xfId="30113" xr:uid="{00000000-0005-0000-0000-00004D280000}"/>
    <cellStyle name="20% - Accent6 8 2 5 3" xfId="19942" xr:uid="{00000000-0005-0000-0000-00004E280000}"/>
    <cellStyle name="20% - Accent6 8 2 6" xfId="9184" xr:uid="{00000000-0005-0000-0000-00004F280000}"/>
    <cellStyle name="20% - Accent6 8 2 6 2" xfId="23659" xr:uid="{00000000-0005-0000-0000-000050280000}"/>
    <cellStyle name="20% - Accent6 8 2 7" xfId="19938" xr:uid="{00000000-0005-0000-0000-000051280000}"/>
    <cellStyle name="20% - Accent6 8 3" xfId="2618" xr:uid="{00000000-0005-0000-0000-000052280000}"/>
    <cellStyle name="20% - Accent6 8 3 2" xfId="2619" xr:uid="{00000000-0005-0000-0000-000053280000}"/>
    <cellStyle name="20% - Accent6 8 3 2 2" xfId="15047" xr:uid="{00000000-0005-0000-0000-000054280000}"/>
    <cellStyle name="20% - Accent6 8 3 2 2 2" xfId="28596" xr:uid="{00000000-0005-0000-0000-000055280000}"/>
    <cellStyle name="20% - Accent6 8 3 2 3" xfId="19944" xr:uid="{00000000-0005-0000-0000-000056280000}"/>
    <cellStyle name="20% - Accent6 8 3 3" xfId="10909" xr:uid="{00000000-0005-0000-0000-000057280000}"/>
    <cellStyle name="20% - Accent6 8 3 3 2" xfId="24851" xr:uid="{00000000-0005-0000-0000-000058280000}"/>
    <cellStyle name="20% - Accent6 8 3 4" xfId="19943" xr:uid="{00000000-0005-0000-0000-000059280000}"/>
    <cellStyle name="20% - Accent6 8 4" xfId="2620" xr:uid="{00000000-0005-0000-0000-00005A280000}"/>
    <cellStyle name="20% - Accent6 8 4 2" xfId="12084" xr:uid="{00000000-0005-0000-0000-00005B280000}"/>
    <cellStyle name="20% - Accent6 8 4 2 2" xfId="25798" xr:uid="{00000000-0005-0000-0000-00005C280000}"/>
    <cellStyle name="20% - Accent6 8 4 3" xfId="19945" xr:uid="{00000000-0005-0000-0000-00005D280000}"/>
    <cellStyle name="20% - Accent6 8 5" xfId="2621" xr:uid="{00000000-0005-0000-0000-00005E280000}"/>
    <cellStyle name="20% - Accent6 8 5 2" xfId="12694" xr:uid="{00000000-0005-0000-0000-00005F280000}"/>
    <cellStyle name="20% - Accent6 8 5 2 2" xfId="26406" xr:uid="{00000000-0005-0000-0000-000060280000}"/>
    <cellStyle name="20% - Accent6 8 5 3" xfId="19946" xr:uid="{00000000-0005-0000-0000-000061280000}"/>
    <cellStyle name="20% - Accent6 8 6" xfId="2622" xr:uid="{00000000-0005-0000-0000-000062280000}"/>
    <cellStyle name="20% - Accent6 8 6 2" xfId="13658" xr:uid="{00000000-0005-0000-0000-000063280000}"/>
    <cellStyle name="20% - Accent6 8 6 2 2" xfId="27207" xr:uid="{00000000-0005-0000-0000-000064280000}"/>
    <cellStyle name="20% - Accent6 8 6 3" xfId="19947" xr:uid="{00000000-0005-0000-0000-000065280000}"/>
    <cellStyle name="20% - Accent6 8 7" xfId="2623" xr:uid="{00000000-0005-0000-0000-000066280000}"/>
    <cellStyle name="20% - Accent6 8 7 2" xfId="14239" xr:uid="{00000000-0005-0000-0000-000067280000}"/>
    <cellStyle name="20% - Accent6 8 7 2 2" xfId="27788" xr:uid="{00000000-0005-0000-0000-000068280000}"/>
    <cellStyle name="20% - Accent6 8 7 3" xfId="19948" xr:uid="{00000000-0005-0000-0000-000069280000}"/>
    <cellStyle name="20% - Accent6 8 8" xfId="2624" xr:uid="{00000000-0005-0000-0000-00006A280000}"/>
    <cellStyle name="20% - Accent6 8 8 2" xfId="15045" xr:uid="{00000000-0005-0000-0000-00006B280000}"/>
    <cellStyle name="20% - Accent6 8 8 2 2" xfId="28594" xr:uid="{00000000-0005-0000-0000-00006C280000}"/>
    <cellStyle name="20% - Accent6 8 8 3" xfId="19949" xr:uid="{00000000-0005-0000-0000-00006D280000}"/>
    <cellStyle name="20% - Accent6 8 9" xfId="2625" xr:uid="{00000000-0005-0000-0000-00006E280000}"/>
    <cellStyle name="20% - Accent6 8 9 2" xfId="16125" xr:uid="{00000000-0005-0000-0000-00006F280000}"/>
    <cellStyle name="20% - Accent6 8 9 2 2" xfId="29532" xr:uid="{00000000-0005-0000-0000-000070280000}"/>
    <cellStyle name="20% - Accent6 8 9 3" xfId="19950" xr:uid="{00000000-0005-0000-0000-000071280000}"/>
    <cellStyle name="20% - Accent6 9" xfId="2626" xr:uid="{00000000-0005-0000-0000-000072280000}"/>
    <cellStyle name="20% - Accent6 9 2" xfId="2627" xr:uid="{00000000-0005-0000-0000-000073280000}"/>
    <cellStyle name="20% - Accent6 9 2 2" xfId="10911" xr:uid="{00000000-0005-0000-0000-000074280000}"/>
    <cellStyle name="20% - Accent6 9 2 2 2" xfId="24853" xr:uid="{00000000-0005-0000-0000-000075280000}"/>
    <cellStyle name="20% - Accent6 9 2 3" xfId="19952" xr:uid="{00000000-0005-0000-0000-000076280000}"/>
    <cellStyle name="20% - Accent6 9 3" xfId="2628" xr:uid="{00000000-0005-0000-0000-000077280000}"/>
    <cellStyle name="20% - Accent6 9 3 2" xfId="12567" xr:uid="{00000000-0005-0000-0000-000078280000}"/>
    <cellStyle name="20% - Accent6 9 3 2 2" xfId="26279" xr:uid="{00000000-0005-0000-0000-000079280000}"/>
    <cellStyle name="20% - Accent6 9 3 3" xfId="19953" xr:uid="{00000000-0005-0000-0000-00007A280000}"/>
    <cellStyle name="20% - Accent6 9 4" xfId="2629" xr:uid="{00000000-0005-0000-0000-00007B280000}"/>
    <cellStyle name="20% - Accent6 9 4 2" xfId="15048" xr:uid="{00000000-0005-0000-0000-00007C280000}"/>
    <cellStyle name="20% - Accent6 9 4 2 2" xfId="28597" xr:uid="{00000000-0005-0000-0000-00007D280000}"/>
    <cellStyle name="20% - Accent6 9 4 3" xfId="19954" xr:uid="{00000000-0005-0000-0000-00007E280000}"/>
    <cellStyle name="20% - Accent6 9 5" xfId="2630" xr:uid="{00000000-0005-0000-0000-00007F280000}"/>
    <cellStyle name="20% - Accent6 9 5 2" xfId="17090" xr:uid="{00000000-0005-0000-0000-000080280000}"/>
    <cellStyle name="20% - Accent6 9 5 2 2" xfId="30449" xr:uid="{00000000-0005-0000-0000-000081280000}"/>
    <cellStyle name="20% - Accent6 9 5 3" xfId="19955" xr:uid="{00000000-0005-0000-0000-000082280000}"/>
    <cellStyle name="20% - Accent6 9 6" xfId="9185" xr:uid="{00000000-0005-0000-0000-000083280000}"/>
    <cellStyle name="20% - Accent6 9 6 2" xfId="23660" xr:uid="{00000000-0005-0000-0000-000084280000}"/>
    <cellStyle name="20% - Accent6 9 7" xfId="19951" xr:uid="{00000000-0005-0000-0000-000085280000}"/>
    <cellStyle name="40% - Accent1" xfId="19" builtinId="31" customBuiltin="1"/>
    <cellStyle name="40% - Accent1 10" xfId="2631" xr:uid="{00000000-0005-0000-0000-000087280000}"/>
    <cellStyle name="40% - Accent1 10 2" xfId="2632" xr:uid="{00000000-0005-0000-0000-000088280000}"/>
    <cellStyle name="40% - Accent1 10 2 2" xfId="2633" xr:uid="{00000000-0005-0000-0000-000089280000}"/>
    <cellStyle name="40% - Accent1 10 2 2 2" xfId="11845" xr:uid="{00000000-0005-0000-0000-00008A280000}"/>
    <cellStyle name="40% - Accent1 10 2 2 2 2" xfId="25560" xr:uid="{00000000-0005-0000-0000-00008B280000}"/>
    <cellStyle name="40% - Accent1 10 2 2 3" xfId="19958" xr:uid="{00000000-0005-0000-0000-00008C280000}"/>
    <cellStyle name="40% - Accent1 10 2 3" xfId="2634" xr:uid="{00000000-0005-0000-0000-00008D280000}"/>
    <cellStyle name="40% - Accent1 10 2 3 2" xfId="15051" xr:uid="{00000000-0005-0000-0000-00008E280000}"/>
    <cellStyle name="40% - Accent1 10 2 3 2 2" xfId="28600" xr:uid="{00000000-0005-0000-0000-00008F280000}"/>
    <cellStyle name="40% - Accent1 10 2 3 3" xfId="19959" xr:uid="{00000000-0005-0000-0000-000090280000}"/>
    <cellStyle name="40% - Accent1 10 2 4" xfId="10913" xr:uid="{00000000-0005-0000-0000-000091280000}"/>
    <cellStyle name="40% - Accent1 10 2 4 2" xfId="24855" xr:uid="{00000000-0005-0000-0000-000092280000}"/>
    <cellStyle name="40% - Accent1 10 2 5" xfId="19957" xr:uid="{00000000-0005-0000-0000-000093280000}"/>
    <cellStyle name="40% - Accent1 10 3" xfId="2635" xr:uid="{00000000-0005-0000-0000-000094280000}"/>
    <cellStyle name="40% - Accent1 10 3 2" xfId="12646" xr:uid="{00000000-0005-0000-0000-000095280000}"/>
    <cellStyle name="40% - Accent1 10 3 2 2" xfId="26358" xr:uid="{00000000-0005-0000-0000-000096280000}"/>
    <cellStyle name="40% - Accent1 10 3 3" xfId="19960" xr:uid="{00000000-0005-0000-0000-000097280000}"/>
    <cellStyle name="40% - Accent1 10 4" xfId="2636" xr:uid="{00000000-0005-0000-0000-000098280000}"/>
    <cellStyle name="40% - Accent1 10 4 2" xfId="15050" xr:uid="{00000000-0005-0000-0000-000099280000}"/>
    <cellStyle name="40% - Accent1 10 4 2 2" xfId="28599" xr:uid="{00000000-0005-0000-0000-00009A280000}"/>
    <cellStyle name="40% - Accent1 10 4 3" xfId="19961" xr:uid="{00000000-0005-0000-0000-00009B280000}"/>
    <cellStyle name="40% - Accent1 10 5" xfId="2637" xr:uid="{00000000-0005-0000-0000-00009C280000}"/>
    <cellStyle name="40% - Accent1 10 5 2" xfId="17180" xr:uid="{00000000-0005-0000-0000-00009D280000}"/>
    <cellStyle name="40% - Accent1 10 5 2 2" xfId="30539" xr:uid="{00000000-0005-0000-0000-00009E280000}"/>
    <cellStyle name="40% - Accent1 10 5 3" xfId="19962" xr:uid="{00000000-0005-0000-0000-00009F280000}"/>
    <cellStyle name="40% - Accent1 10 6" xfId="9187" xr:uid="{00000000-0005-0000-0000-0000A0280000}"/>
    <cellStyle name="40% - Accent1 10 6 2" xfId="23662" xr:uid="{00000000-0005-0000-0000-0000A1280000}"/>
    <cellStyle name="40% - Accent1 10 7" xfId="19956" xr:uid="{00000000-0005-0000-0000-0000A2280000}"/>
    <cellStyle name="40% - Accent1 11" xfId="2638" xr:uid="{00000000-0005-0000-0000-0000A3280000}"/>
    <cellStyle name="40% - Accent1 11 2" xfId="2639" xr:uid="{00000000-0005-0000-0000-0000A4280000}"/>
    <cellStyle name="40% - Accent1 11 2 2" xfId="10914" xr:uid="{00000000-0005-0000-0000-0000A5280000}"/>
    <cellStyle name="40% - Accent1 11 2 2 2" xfId="24856" xr:uid="{00000000-0005-0000-0000-0000A6280000}"/>
    <cellStyle name="40% - Accent1 11 2 3" xfId="19964" xr:uid="{00000000-0005-0000-0000-0000A7280000}"/>
    <cellStyle name="40% - Accent1 11 3" xfId="2640" xr:uid="{00000000-0005-0000-0000-0000A8280000}"/>
    <cellStyle name="40% - Accent1 11 3 2" xfId="12385" xr:uid="{00000000-0005-0000-0000-0000A9280000}"/>
    <cellStyle name="40% - Accent1 11 3 2 2" xfId="26097" xr:uid="{00000000-0005-0000-0000-0000AA280000}"/>
    <cellStyle name="40% - Accent1 11 3 3" xfId="19965" xr:uid="{00000000-0005-0000-0000-0000AB280000}"/>
    <cellStyle name="40% - Accent1 11 4" xfId="2641" xr:uid="{00000000-0005-0000-0000-0000AC280000}"/>
    <cellStyle name="40% - Accent1 11 4 2" xfId="15052" xr:uid="{00000000-0005-0000-0000-0000AD280000}"/>
    <cellStyle name="40% - Accent1 11 4 2 2" xfId="28601" xr:uid="{00000000-0005-0000-0000-0000AE280000}"/>
    <cellStyle name="40% - Accent1 11 4 3" xfId="19966" xr:uid="{00000000-0005-0000-0000-0000AF280000}"/>
    <cellStyle name="40% - Accent1 11 5" xfId="2642" xr:uid="{00000000-0005-0000-0000-0000B0280000}"/>
    <cellStyle name="40% - Accent1 11 5 2" xfId="17269" xr:uid="{00000000-0005-0000-0000-0000B1280000}"/>
    <cellStyle name="40% - Accent1 11 5 2 2" xfId="30628" xr:uid="{00000000-0005-0000-0000-0000B2280000}"/>
    <cellStyle name="40% - Accent1 11 5 3" xfId="19967" xr:uid="{00000000-0005-0000-0000-0000B3280000}"/>
    <cellStyle name="40% - Accent1 11 6" xfId="9188" xr:uid="{00000000-0005-0000-0000-0000B4280000}"/>
    <cellStyle name="40% - Accent1 11 6 2" xfId="23663" xr:uid="{00000000-0005-0000-0000-0000B5280000}"/>
    <cellStyle name="40% - Accent1 11 7" xfId="19963" xr:uid="{00000000-0005-0000-0000-0000B6280000}"/>
    <cellStyle name="40% - Accent1 12" xfId="2643" xr:uid="{00000000-0005-0000-0000-0000B7280000}"/>
    <cellStyle name="40% - Accent1 12 2" xfId="2644" xr:uid="{00000000-0005-0000-0000-0000B8280000}"/>
    <cellStyle name="40% - Accent1 12 2 2" xfId="2645" xr:uid="{00000000-0005-0000-0000-0000B9280000}"/>
    <cellStyle name="40% - Accent1 12 2 2 2" xfId="10916" xr:uid="{00000000-0005-0000-0000-0000BA280000}"/>
    <cellStyle name="40% - Accent1 12 2 2 2 2" xfId="24858" xr:uid="{00000000-0005-0000-0000-0000BB280000}"/>
    <cellStyle name="40% - Accent1 12 2 2 3" xfId="19970" xr:uid="{00000000-0005-0000-0000-0000BC280000}"/>
    <cellStyle name="40% - Accent1 12 2 3" xfId="2646" xr:uid="{00000000-0005-0000-0000-0000BD280000}"/>
    <cellStyle name="40% - Accent1 12 2 3 2" xfId="12764" xr:uid="{00000000-0005-0000-0000-0000BE280000}"/>
    <cellStyle name="40% - Accent1 12 2 3 2 2" xfId="26476" xr:uid="{00000000-0005-0000-0000-0000BF280000}"/>
    <cellStyle name="40% - Accent1 12 2 3 3" xfId="19971" xr:uid="{00000000-0005-0000-0000-0000C0280000}"/>
    <cellStyle name="40% - Accent1 12 2 4" xfId="2647" xr:uid="{00000000-0005-0000-0000-0000C1280000}"/>
    <cellStyle name="40% - Accent1 12 2 4 2" xfId="15054" xr:uid="{00000000-0005-0000-0000-0000C2280000}"/>
    <cellStyle name="40% - Accent1 12 2 4 2 2" xfId="28603" xr:uid="{00000000-0005-0000-0000-0000C3280000}"/>
    <cellStyle name="40% - Accent1 12 2 4 3" xfId="19972" xr:uid="{00000000-0005-0000-0000-0000C4280000}"/>
    <cellStyle name="40% - Accent1 12 2 5" xfId="9190" xr:uid="{00000000-0005-0000-0000-0000C5280000}"/>
    <cellStyle name="40% - Accent1 12 2 5 2" xfId="23665" xr:uid="{00000000-0005-0000-0000-0000C6280000}"/>
    <cellStyle name="40% - Accent1 12 2 6" xfId="19969" xr:uid="{00000000-0005-0000-0000-0000C7280000}"/>
    <cellStyle name="40% - Accent1 12 3" xfId="2648" xr:uid="{00000000-0005-0000-0000-0000C8280000}"/>
    <cellStyle name="40% - Accent1 12 3 2" xfId="10915" xr:uid="{00000000-0005-0000-0000-0000C9280000}"/>
    <cellStyle name="40% - Accent1 12 3 2 2" xfId="24857" xr:uid="{00000000-0005-0000-0000-0000CA280000}"/>
    <cellStyle name="40% - Accent1 12 3 3" xfId="19973" xr:uid="{00000000-0005-0000-0000-0000CB280000}"/>
    <cellStyle name="40% - Accent1 12 4" xfId="2649" xr:uid="{00000000-0005-0000-0000-0000CC280000}"/>
    <cellStyle name="40% - Accent1 12 4 2" xfId="11742" xr:uid="{00000000-0005-0000-0000-0000CD280000}"/>
    <cellStyle name="40% - Accent1 12 4 2 2" xfId="25457" xr:uid="{00000000-0005-0000-0000-0000CE280000}"/>
    <cellStyle name="40% - Accent1 12 4 3" xfId="19974" xr:uid="{00000000-0005-0000-0000-0000CF280000}"/>
    <cellStyle name="40% - Accent1 12 5" xfId="2650" xr:uid="{00000000-0005-0000-0000-0000D0280000}"/>
    <cellStyle name="40% - Accent1 12 5 2" xfId="15053" xr:uid="{00000000-0005-0000-0000-0000D1280000}"/>
    <cellStyle name="40% - Accent1 12 5 2 2" xfId="28602" xr:uid="{00000000-0005-0000-0000-0000D2280000}"/>
    <cellStyle name="40% - Accent1 12 5 3" xfId="19975" xr:uid="{00000000-0005-0000-0000-0000D3280000}"/>
    <cellStyle name="40% - Accent1 12 6" xfId="2651" xr:uid="{00000000-0005-0000-0000-0000D4280000}"/>
    <cellStyle name="40% - Accent1 12 6 2" xfId="16421" xr:uid="{00000000-0005-0000-0000-0000D5280000}"/>
    <cellStyle name="40% - Accent1 12 6 2 2" xfId="29828" xr:uid="{00000000-0005-0000-0000-0000D6280000}"/>
    <cellStyle name="40% - Accent1 12 6 3" xfId="19976" xr:uid="{00000000-0005-0000-0000-0000D7280000}"/>
    <cellStyle name="40% - Accent1 12 7" xfId="9189" xr:uid="{00000000-0005-0000-0000-0000D8280000}"/>
    <cellStyle name="40% - Accent1 12 7 2" xfId="23664" xr:uid="{00000000-0005-0000-0000-0000D9280000}"/>
    <cellStyle name="40% - Accent1 12 8" xfId="19968" xr:uid="{00000000-0005-0000-0000-0000DA280000}"/>
    <cellStyle name="40% - Accent1 13" xfId="2652" xr:uid="{00000000-0005-0000-0000-0000DB280000}"/>
    <cellStyle name="40% - Accent1 13 2" xfId="2653" xr:uid="{00000000-0005-0000-0000-0000DC280000}"/>
    <cellStyle name="40% - Accent1 13 2 2" xfId="10917" xr:uid="{00000000-0005-0000-0000-0000DD280000}"/>
    <cellStyle name="40% - Accent1 13 2 2 2" xfId="24859" xr:uid="{00000000-0005-0000-0000-0000DE280000}"/>
    <cellStyle name="40% - Accent1 13 2 3" xfId="19978" xr:uid="{00000000-0005-0000-0000-0000DF280000}"/>
    <cellStyle name="40% - Accent1 13 3" xfId="2654" xr:uid="{00000000-0005-0000-0000-0000E0280000}"/>
    <cellStyle name="40% - Accent1 13 3 2" xfId="11755" xr:uid="{00000000-0005-0000-0000-0000E1280000}"/>
    <cellStyle name="40% - Accent1 13 3 2 2" xfId="25470" xr:uid="{00000000-0005-0000-0000-0000E2280000}"/>
    <cellStyle name="40% - Accent1 13 3 3" xfId="19979" xr:uid="{00000000-0005-0000-0000-0000E3280000}"/>
    <cellStyle name="40% - Accent1 13 4" xfId="2655" xr:uid="{00000000-0005-0000-0000-0000E4280000}"/>
    <cellStyle name="40% - Accent1 13 4 2" xfId="15055" xr:uid="{00000000-0005-0000-0000-0000E5280000}"/>
    <cellStyle name="40% - Accent1 13 4 2 2" xfId="28604" xr:uid="{00000000-0005-0000-0000-0000E6280000}"/>
    <cellStyle name="40% - Accent1 13 4 3" xfId="19980" xr:uid="{00000000-0005-0000-0000-0000E7280000}"/>
    <cellStyle name="40% - Accent1 13 5" xfId="9191" xr:uid="{00000000-0005-0000-0000-0000E8280000}"/>
    <cellStyle name="40% - Accent1 13 5 2" xfId="23666" xr:uid="{00000000-0005-0000-0000-0000E9280000}"/>
    <cellStyle name="40% - Accent1 13 6" xfId="19977" xr:uid="{00000000-0005-0000-0000-0000EA280000}"/>
    <cellStyle name="40% - Accent1 14" xfId="2656" xr:uid="{00000000-0005-0000-0000-0000EB280000}"/>
    <cellStyle name="40% - Accent1 14 2" xfId="2657" xr:uid="{00000000-0005-0000-0000-0000EC280000}"/>
    <cellStyle name="40% - Accent1 14 2 2" xfId="10918" xr:uid="{00000000-0005-0000-0000-0000ED280000}"/>
    <cellStyle name="40% - Accent1 14 2 2 2" xfId="24860" xr:uid="{00000000-0005-0000-0000-0000EE280000}"/>
    <cellStyle name="40% - Accent1 14 2 3" xfId="19982" xr:uid="{00000000-0005-0000-0000-0000EF280000}"/>
    <cellStyle name="40% - Accent1 14 3" xfId="2658" xr:uid="{00000000-0005-0000-0000-0000F0280000}"/>
    <cellStyle name="40% - Accent1 14 3 2" xfId="12678" xr:uid="{00000000-0005-0000-0000-0000F1280000}"/>
    <cellStyle name="40% - Accent1 14 3 2 2" xfId="26390" xr:uid="{00000000-0005-0000-0000-0000F2280000}"/>
    <cellStyle name="40% - Accent1 14 3 3" xfId="19983" xr:uid="{00000000-0005-0000-0000-0000F3280000}"/>
    <cellStyle name="40% - Accent1 14 4" xfId="2659" xr:uid="{00000000-0005-0000-0000-0000F4280000}"/>
    <cellStyle name="40% - Accent1 14 4 2" xfId="15056" xr:uid="{00000000-0005-0000-0000-0000F5280000}"/>
    <cellStyle name="40% - Accent1 14 4 2 2" xfId="28605" xr:uid="{00000000-0005-0000-0000-0000F6280000}"/>
    <cellStyle name="40% - Accent1 14 4 3" xfId="19984" xr:uid="{00000000-0005-0000-0000-0000F7280000}"/>
    <cellStyle name="40% - Accent1 14 5" xfId="9192" xr:uid="{00000000-0005-0000-0000-0000F8280000}"/>
    <cellStyle name="40% - Accent1 14 5 2" xfId="23667" xr:uid="{00000000-0005-0000-0000-0000F9280000}"/>
    <cellStyle name="40% - Accent1 14 6" xfId="19981" xr:uid="{00000000-0005-0000-0000-0000FA280000}"/>
    <cellStyle name="40% - Accent1 15" xfId="2660" xr:uid="{00000000-0005-0000-0000-0000FB280000}"/>
    <cellStyle name="40% - Accent1 15 2" xfId="2661" xr:uid="{00000000-0005-0000-0000-0000FC280000}"/>
    <cellStyle name="40% - Accent1 15 2 2" xfId="10919" xr:uid="{00000000-0005-0000-0000-0000FD280000}"/>
    <cellStyle name="40% - Accent1 15 2 2 2" xfId="24861" xr:uid="{00000000-0005-0000-0000-0000FE280000}"/>
    <cellStyle name="40% - Accent1 15 2 3" xfId="19986" xr:uid="{00000000-0005-0000-0000-0000FF280000}"/>
    <cellStyle name="40% - Accent1 15 3" xfId="2662" xr:uid="{00000000-0005-0000-0000-000000290000}"/>
    <cellStyle name="40% - Accent1 15 3 2" xfId="12673" xr:uid="{00000000-0005-0000-0000-000001290000}"/>
    <cellStyle name="40% - Accent1 15 3 2 2" xfId="26385" xr:uid="{00000000-0005-0000-0000-000002290000}"/>
    <cellStyle name="40% - Accent1 15 3 3" xfId="19987" xr:uid="{00000000-0005-0000-0000-000003290000}"/>
    <cellStyle name="40% - Accent1 15 4" xfId="2663" xr:uid="{00000000-0005-0000-0000-000004290000}"/>
    <cellStyle name="40% - Accent1 15 4 2" xfId="15057" xr:uid="{00000000-0005-0000-0000-000005290000}"/>
    <cellStyle name="40% - Accent1 15 4 2 2" xfId="28606" xr:uid="{00000000-0005-0000-0000-000006290000}"/>
    <cellStyle name="40% - Accent1 15 4 3" xfId="19988" xr:uid="{00000000-0005-0000-0000-000007290000}"/>
    <cellStyle name="40% - Accent1 15 5" xfId="9193" xr:uid="{00000000-0005-0000-0000-000008290000}"/>
    <cellStyle name="40% - Accent1 15 5 2" xfId="23668" xr:uid="{00000000-0005-0000-0000-000009290000}"/>
    <cellStyle name="40% - Accent1 15 6" xfId="19985" xr:uid="{00000000-0005-0000-0000-00000A290000}"/>
    <cellStyle name="40% - Accent1 16" xfId="2664" xr:uid="{00000000-0005-0000-0000-00000B290000}"/>
    <cellStyle name="40% - Accent1 16 2" xfId="2665" xr:uid="{00000000-0005-0000-0000-00000C290000}"/>
    <cellStyle name="40% - Accent1 16 2 2" xfId="10920" xr:uid="{00000000-0005-0000-0000-00000D290000}"/>
    <cellStyle name="40% - Accent1 16 2 2 2" xfId="24862" xr:uid="{00000000-0005-0000-0000-00000E290000}"/>
    <cellStyle name="40% - Accent1 16 2 3" xfId="19990" xr:uid="{00000000-0005-0000-0000-00000F290000}"/>
    <cellStyle name="40% - Accent1 16 3" xfId="2666" xr:uid="{00000000-0005-0000-0000-000010290000}"/>
    <cellStyle name="40% - Accent1 16 3 2" xfId="12615" xr:uid="{00000000-0005-0000-0000-000011290000}"/>
    <cellStyle name="40% - Accent1 16 3 2 2" xfId="26327" xr:uid="{00000000-0005-0000-0000-000012290000}"/>
    <cellStyle name="40% - Accent1 16 3 3" xfId="19991" xr:uid="{00000000-0005-0000-0000-000013290000}"/>
    <cellStyle name="40% - Accent1 16 4" xfId="2667" xr:uid="{00000000-0005-0000-0000-000014290000}"/>
    <cellStyle name="40% - Accent1 16 4 2" xfId="15058" xr:uid="{00000000-0005-0000-0000-000015290000}"/>
    <cellStyle name="40% - Accent1 16 4 2 2" xfId="28607" xr:uid="{00000000-0005-0000-0000-000016290000}"/>
    <cellStyle name="40% - Accent1 16 4 3" xfId="19992" xr:uid="{00000000-0005-0000-0000-000017290000}"/>
    <cellStyle name="40% - Accent1 16 5" xfId="9194" xr:uid="{00000000-0005-0000-0000-000018290000}"/>
    <cellStyle name="40% - Accent1 16 5 2" xfId="23669" xr:uid="{00000000-0005-0000-0000-000019290000}"/>
    <cellStyle name="40% - Accent1 16 6" xfId="19989" xr:uid="{00000000-0005-0000-0000-00001A290000}"/>
    <cellStyle name="40% - Accent1 17" xfId="2668" xr:uid="{00000000-0005-0000-0000-00001B290000}"/>
    <cellStyle name="40% - Accent1 17 2" xfId="2669" xr:uid="{00000000-0005-0000-0000-00001C290000}"/>
    <cellStyle name="40% - Accent1 17 2 2" xfId="10921" xr:uid="{00000000-0005-0000-0000-00001D290000}"/>
    <cellStyle name="40% - Accent1 17 2 2 2" xfId="24863" xr:uid="{00000000-0005-0000-0000-00001E290000}"/>
    <cellStyle name="40% - Accent1 17 2 3" xfId="19994" xr:uid="{00000000-0005-0000-0000-00001F290000}"/>
    <cellStyle name="40% - Accent1 17 3" xfId="2670" xr:uid="{00000000-0005-0000-0000-000020290000}"/>
    <cellStyle name="40% - Accent1 17 3 2" xfId="11948" xr:uid="{00000000-0005-0000-0000-000021290000}"/>
    <cellStyle name="40% - Accent1 17 3 2 2" xfId="25663" xr:uid="{00000000-0005-0000-0000-000022290000}"/>
    <cellStyle name="40% - Accent1 17 3 3" xfId="19995" xr:uid="{00000000-0005-0000-0000-000023290000}"/>
    <cellStyle name="40% - Accent1 17 4" xfId="2671" xr:uid="{00000000-0005-0000-0000-000024290000}"/>
    <cellStyle name="40% - Accent1 17 4 2" xfId="15059" xr:uid="{00000000-0005-0000-0000-000025290000}"/>
    <cellStyle name="40% - Accent1 17 4 2 2" xfId="28608" xr:uid="{00000000-0005-0000-0000-000026290000}"/>
    <cellStyle name="40% - Accent1 17 4 3" xfId="19996" xr:uid="{00000000-0005-0000-0000-000027290000}"/>
    <cellStyle name="40% - Accent1 17 5" xfId="9195" xr:uid="{00000000-0005-0000-0000-000028290000}"/>
    <cellStyle name="40% - Accent1 17 5 2" xfId="23670" xr:uid="{00000000-0005-0000-0000-000029290000}"/>
    <cellStyle name="40% - Accent1 17 6" xfId="19993" xr:uid="{00000000-0005-0000-0000-00002A290000}"/>
    <cellStyle name="40% - Accent1 18" xfId="2672" xr:uid="{00000000-0005-0000-0000-00002B290000}"/>
    <cellStyle name="40% - Accent1 18 2" xfId="2673" xr:uid="{00000000-0005-0000-0000-00002C290000}"/>
    <cellStyle name="40% - Accent1 18 2 2" xfId="10922" xr:uid="{00000000-0005-0000-0000-00002D290000}"/>
    <cellStyle name="40% - Accent1 18 2 2 2" xfId="24864" xr:uid="{00000000-0005-0000-0000-00002E290000}"/>
    <cellStyle name="40% - Accent1 18 2 3" xfId="19998" xr:uid="{00000000-0005-0000-0000-00002F290000}"/>
    <cellStyle name="40% - Accent1 18 3" xfId="2674" xr:uid="{00000000-0005-0000-0000-000030290000}"/>
    <cellStyle name="40% - Accent1 18 3 2" xfId="12657" xr:uid="{00000000-0005-0000-0000-000031290000}"/>
    <cellStyle name="40% - Accent1 18 3 2 2" xfId="26369" xr:uid="{00000000-0005-0000-0000-000032290000}"/>
    <cellStyle name="40% - Accent1 18 3 3" xfId="19999" xr:uid="{00000000-0005-0000-0000-000033290000}"/>
    <cellStyle name="40% - Accent1 18 4" xfId="2675" xr:uid="{00000000-0005-0000-0000-000034290000}"/>
    <cellStyle name="40% - Accent1 18 4 2" xfId="15060" xr:uid="{00000000-0005-0000-0000-000035290000}"/>
    <cellStyle name="40% - Accent1 18 4 2 2" xfId="28609" xr:uid="{00000000-0005-0000-0000-000036290000}"/>
    <cellStyle name="40% - Accent1 18 4 3" xfId="20000" xr:uid="{00000000-0005-0000-0000-000037290000}"/>
    <cellStyle name="40% - Accent1 18 5" xfId="9196" xr:uid="{00000000-0005-0000-0000-000038290000}"/>
    <cellStyle name="40% - Accent1 18 5 2" xfId="23671" xr:uid="{00000000-0005-0000-0000-000039290000}"/>
    <cellStyle name="40% - Accent1 18 6" xfId="19997" xr:uid="{00000000-0005-0000-0000-00003A290000}"/>
    <cellStyle name="40% - Accent1 19" xfId="2676" xr:uid="{00000000-0005-0000-0000-00003B290000}"/>
    <cellStyle name="40% - Accent1 19 2" xfId="2677" xr:uid="{00000000-0005-0000-0000-00003C290000}"/>
    <cellStyle name="40% - Accent1 19 2 2" xfId="11705" xr:uid="{00000000-0005-0000-0000-00003D290000}"/>
    <cellStyle name="40% - Accent1 19 2 2 2" xfId="25425" xr:uid="{00000000-0005-0000-0000-00003E290000}"/>
    <cellStyle name="40% - Accent1 19 2 3" xfId="20002" xr:uid="{00000000-0005-0000-0000-00003F290000}"/>
    <cellStyle name="40% - Accent1 19 3" xfId="2678" xr:uid="{00000000-0005-0000-0000-000040290000}"/>
    <cellStyle name="40% - Accent1 19 3 2" xfId="12448" xr:uid="{00000000-0005-0000-0000-000041290000}"/>
    <cellStyle name="40% - Accent1 19 3 2 2" xfId="26160" xr:uid="{00000000-0005-0000-0000-000042290000}"/>
    <cellStyle name="40% - Accent1 19 3 3" xfId="20003" xr:uid="{00000000-0005-0000-0000-000043290000}"/>
    <cellStyle name="40% - Accent1 19 4" xfId="2679" xr:uid="{00000000-0005-0000-0000-000044290000}"/>
    <cellStyle name="40% - Accent1 19 4 2" xfId="15061" xr:uid="{00000000-0005-0000-0000-000045290000}"/>
    <cellStyle name="40% - Accent1 19 4 2 2" xfId="28610" xr:uid="{00000000-0005-0000-0000-000046290000}"/>
    <cellStyle name="40% - Accent1 19 4 3" xfId="20004" xr:uid="{00000000-0005-0000-0000-000047290000}"/>
    <cellStyle name="40% - Accent1 19 5" xfId="10457" xr:uid="{00000000-0005-0000-0000-000048290000}"/>
    <cellStyle name="40% - Accent1 19 5 2" xfId="24416" xr:uid="{00000000-0005-0000-0000-000049290000}"/>
    <cellStyle name="40% - Accent1 19 6" xfId="20001" xr:uid="{00000000-0005-0000-0000-00004A290000}"/>
    <cellStyle name="40% - Accent1 2" xfId="2680" xr:uid="{00000000-0005-0000-0000-00004B290000}"/>
    <cellStyle name="40% - Accent1 2 10" xfId="2681" xr:uid="{00000000-0005-0000-0000-00004C290000}"/>
    <cellStyle name="40% - Accent1 2 10 2" xfId="2682" xr:uid="{00000000-0005-0000-0000-00004D290000}"/>
    <cellStyle name="40% - Accent1 2 10 2 2" xfId="15063" xr:uid="{00000000-0005-0000-0000-00004E290000}"/>
    <cellStyle name="40% - Accent1 2 10 2 2 2" xfId="28612" xr:uid="{00000000-0005-0000-0000-00004F290000}"/>
    <cellStyle name="40% - Accent1 2 10 2 3" xfId="20007" xr:uid="{00000000-0005-0000-0000-000050290000}"/>
    <cellStyle name="40% - Accent1 2 10 3" xfId="11825" xr:uid="{00000000-0005-0000-0000-000051290000}"/>
    <cellStyle name="40% - Accent1 2 10 3 2" xfId="25540" xr:uid="{00000000-0005-0000-0000-000052290000}"/>
    <cellStyle name="40% - Accent1 2 10 4" xfId="20006" xr:uid="{00000000-0005-0000-0000-000053290000}"/>
    <cellStyle name="40% - Accent1 2 11" xfId="2683" xr:uid="{00000000-0005-0000-0000-000054290000}"/>
    <cellStyle name="40% - Accent1 2 11 2" xfId="12665" xr:uid="{00000000-0005-0000-0000-000055290000}"/>
    <cellStyle name="40% - Accent1 2 11 2 2" xfId="26377" xr:uid="{00000000-0005-0000-0000-000056290000}"/>
    <cellStyle name="40% - Accent1 2 11 3" xfId="20008" xr:uid="{00000000-0005-0000-0000-000057290000}"/>
    <cellStyle name="40% - Accent1 2 12" xfId="2684" xr:uid="{00000000-0005-0000-0000-000058290000}"/>
    <cellStyle name="40% - Accent1 2 12 2" xfId="13425" xr:uid="{00000000-0005-0000-0000-000059290000}"/>
    <cellStyle name="40% - Accent1 2 12 2 2" xfId="26974" xr:uid="{00000000-0005-0000-0000-00005A290000}"/>
    <cellStyle name="40% - Accent1 2 12 3" xfId="20009" xr:uid="{00000000-0005-0000-0000-00005B290000}"/>
    <cellStyle name="40% - Accent1 2 13" xfId="2685" xr:uid="{00000000-0005-0000-0000-00005C290000}"/>
    <cellStyle name="40% - Accent1 2 13 2" xfId="14006" xr:uid="{00000000-0005-0000-0000-00005D290000}"/>
    <cellStyle name="40% - Accent1 2 13 2 2" xfId="27555" xr:uid="{00000000-0005-0000-0000-00005E290000}"/>
    <cellStyle name="40% - Accent1 2 13 3" xfId="20010" xr:uid="{00000000-0005-0000-0000-00005F290000}"/>
    <cellStyle name="40% - Accent1 2 14" xfId="2686" xr:uid="{00000000-0005-0000-0000-000060290000}"/>
    <cellStyle name="40% - Accent1 2 14 2" xfId="15062" xr:uid="{00000000-0005-0000-0000-000061290000}"/>
    <cellStyle name="40% - Accent1 2 14 2 2" xfId="28611" xr:uid="{00000000-0005-0000-0000-000062290000}"/>
    <cellStyle name="40% - Accent1 2 14 3" xfId="20011" xr:uid="{00000000-0005-0000-0000-000063290000}"/>
    <cellStyle name="40% - Accent1 2 15" xfId="2687" xr:uid="{00000000-0005-0000-0000-000064290000}"/>
    <cellStyle name="40% - Accent1 2 15 2" xfId="15892" xr:uid="{00000000-0005-0000-0000-000065290000}"/>
    <cellStyle name="40% - Accent1 2 15 2 2" xfId="29299" xr:uid="{00000000-0005-0000-0000-000066290000}"/>
    <cellStyle name="40% - Accent1 2 15 3" xfId="20012" xr:uid="{00000000-0005-0000-0000-000067290000}"/>
    <cellStyle name="40% - Accent1 2 16" xfId="9197" xr:uid="{00000000-0005-0000-0000-000068290000}"/>
    <cellStyle name="40% - Accent1 2 16 2" xfId="23672" xr:uid="{00000000-0005-0000-0000-000069290000}"/>
    <cellStyle name="40% - Accent1 2 17" xfId="20005" xr:uid="{00000000-0005-0000-0000-00006A290000}"/>
    <cellStyle name="40% - Accent1 2 2" xfId="2688" xr:uid="{00000000-0005-0000-0000-00006B290000}"/>
    <cellStyle name="40% - Accent1 2 2 10" xfId="2689" xr:uid="{00000000-0005-0000-0000-00006C290000}"/>
    <cellStyle name="40% - Accent1 2 2 10 2" xfId="15064" xr:uid="{00000000-0005-0000-0000-00006D290000}"/>
    <cellStyle name="40% - Accent1 2 2 10 2 2" xfId="28613" xr:uid="{00000000-0005-0000-0000-00006E290000}"/>
    <cellStyle name="40% - Accent1 2 2 10 3" xfId="20014" xr:uid="{00000000-0005-0000-0000-00006F290000}"/>
    <cellStyle name="40% - Accent1 2 2 11" xfId="2690" xr:uid="{00000000-0005-0000-0000-000070290000}"/>
    <cellStyle name="40% - Accent1 2 2 11 2" xfId="15938" xr:uid="{00000000-0005-0000-0000-000071290000}"/>
    <cellStyle name="40% - Accent1 2 2 11 2 2" xfId="29345" xr:uid="{00000000-0005-0000-0000-000072290000}"/>
    <cellStyle name="40% - Accent1 2 2 11 3" xfId="20015" xr:uid="{00000000-0005-0000-0000-000073290000}"/>
    <cellStyle name="40% - Accent1 2 2 12" xfId="9198" xr:uid="{00000000-0005-0000-0000-000074290000}"/>
    <cellStyle name="40% - Accent1 2 2 12 2" xfId="23673" xr:uid="{00000000-0005-0000-0000-000075290000}"/>
    <cellStyle name="40% - Accent1 2 2 13" xfId="20013" xr:uid="{00000000-0005-0000-0000-000076290000}"/>
    <cellStyle name="40% - Accent1 2 2 2" xfId="2691" xr:uid="{00000000-0005-0000-0000-000077290000}"/>
    <cellStyle name="40% - Accent1 2 2 2 10" xfId="2692" xr:uid="{00000000-0005-0000-0000-000078290000}"/>
    <cellStyle name="40% - Accent1 2 2 2 10 2" xfId="16081" xr:uid="{00000000-0005-0000-0000-000079290000}"/>
    <cellStyle name="40% - Accent1 2 2 2 10 2 2" xfId="29488" xr:uid="{00000000-0005-0000-0000-00007A290000}"/>
    <cellStyle name="40% - Accent1 2 2 2 10 3" xfId="20017" xr:uid="{00000000-0005-0000-0000-00007B290000}"/>
    <cellStyle name="40% - Accent1 2 2 2 11" xfId="9199" xr:uid="{00000000-0005-0000-0000-00007C290000}"/>
    <cellStyle name="40% - Accent1 2 2 2 11 2" xfId="23674" xr:uid="{00000000-0005-0000-0000-00007D290000}"/>
    <cellStyle name="40% - Accent1 2 2 2 12" xfId="20016" xr:uid="{00000000-0005-0000-0000-00007E290000}"/>
    <cellStyle name="40% - Accent1 2 2 2 2" xfId="2693" xr:uid="{00000000-0005-0000-0000-00007F290000}"/>
    <cellStyle name="40% - Accent1 2 2 2 2 10" xfId="9200" xr:uid="{00000000-0005-0000-0000-000080290000}"/>
    <cellStyle name="40% - Accent1 2 2 2 2 10 2" xfId="23675" xr:uid="{00000000-0005-0000-0000-000081290000}"/>
    <cellStyle name="40% - Accent1 2 2 2 2 11" xfId="20018" xr:uid="{00000000-0005-0000-0000-000082290000}"/>
    <cellStyle name="40% - Accent1 2 2 2 2 2" xfId="2694" xr:uid="{00000000-0005-0000-0000-000083290000}"/>
    <cellStyle name="40% - Accent1 2 2 2 2 2 2" xfId="2695" xr:uid="{00000000-0005-0000-0000-000084290000}"/>
    <cellStyle name="40% - Accent1 2 2 2 2 2 2 2" xfId="10927" xr:uid="{00000000-0005-0000-0000-000085290000}"/>
    <cellStyle name="40% - Accent1 2 2 2 2 2 2 2 2" xfId="24869" xr:uid="{00000000-0005-0000-0000-000086290000}"/>
    <cellStyle name="40% - Accent1 2 2 2 2 2 2 3" xfId="20020" xr:uid="{00000000-0005-0000-0000-000087290000}"/>
    <cellStyle name="40% - Accent1 2 2 2 2 2 3" xfId="2696" xr:uid="{00000000-0005-0000-0000-000088290000}"/>
    <cellStyle name="40% - Accent1 2 2 2 2 2 3 2" xfId="12536" xr:uid="{00000000-0005-0000-0000-000089290000}"/>
    <cellStyle name="40% - Accent1 2 2 2 2 2 3 2 2" xfId="26248" xr:uid="{00000000-0005-0000-0000-00008A290000}"/>
    <cellStyle name="40% - Accent1 2 2 2 2 2 3 3" xfId="20021" xr:uid="{00000000-0005-0000-0000-00008B290000}"/>
    <cellStyle name="40% - Accent1 2 2 2 2 2 4" xfId="2697" xr:uid="{00000000-0005-0000-0000-00008C290000}"/>
    <cellStyle name="40% - Accent1 2 2 2 2 2 4 2" xfId="15067" xr:uid="{00000000-0005-0000-0000-00008D290000}"/>
    <cellStyle name="40% - Accent1 2 2 2 2 2 4 2 2" xfId="28616" xr:uid="{00000000-0005-0000-0000-00008E290000}"/>
    <cellStyle name="40% - Accent1 2 2 2 2 2 4 3" xfId="20022" xr:uid="{00000000-0005-0000-0000-00008F290000}"/>
    <cellStyle name="40% - Accent1 2 2 2 2 2 5" xfId="2698" xr:uid="{00000000-0005-0000-0000-000090290000}"/>
    <cellStyle name="40% - Accent1 2 2 2 2 2 5 2" xfId="16951" xr:uid="{00000000-0005-0000-0000-000091290000}"/>
    <cellStyle name="40% - Accent1 2 2 2 2 2 5 2 2" xfId="30358" xr:uid="{00000000-0005-0000-0000-000092290000}"/>
    <cellStyle name="40% - Accent1 2 2 2 2 2 5 3" xfId="20023" xr:uid="{00000000-0005-0000-0000-000093290000}"/>
    <cellStyle name="40% - Accent1 2 2 2 2 2 6" xfId="9201" xr:uid="{00000000-0005-0000-0000-000094290000}"/>
    <cellStyle name="40% - Accent1 2 2 2 2 2 6 2" xfId="23676" xr:uid="{00000000-0005-0000-0000-000095290000}"/>
    <cellStyle name="40% - Accent1 2 2 2 2 2 7" xfId="20019" xr:uid="{00000000-0005-0000-0000-000096290000}"/>
    <cellStyle name="40% - Accent1 2 2 2 2 3" xfId="2699" xr:uid="{00000000-0005-0000-0000-000097290000}"/>
    <cellStyle name="40% - Accent1 2 2 2 2 3 2" xfId="2700" xr:uid="{00000000-0005-0000-0000-000098290000}"/>
    <cellStyle name="40% - Accent1 2 2 2 2 3 2 2" xfId="15068" xr:uid="{00000000-0005-0000-0000-000099290000}"/>
    <cellStyle name="40% - Accent1 2 2 2 2 3 2 2 2" xfId="28617" xr:uid="{00000000-0005-0000-0000-00009A290000}"/>
    <cellStyle name="40% - Accent1 2 2 2 2 3 2 3" xfId="20025" xr:uid="{00000000-0005-0000-0000-00009B290000}"/>
    <cellStyle name="40% - Accent1 2 2 2 2 3 3" xfId="10926" xr:uid="{00000000-0005-0000-0000-00009C290000}"/>
    <cellStyle name="40% - Accent1 2 2 2 2 3 3 2" xfId="24868" xr:uid="{00000000-0005-0000-0000-00009D290000}"/>
    <cellStyle name="40% - Accent1 2 2 2 2 3 4" xfId="20024" xr:uid="{00000000-0005-0000-0000-00009E290000}"/>
    <cellStyle name="40% - Accent1 2 2 2 2 4" xfId="2701" xr:uid="{00000000-0005-0000-0000-00009F290000}"/>
    <cellStyle name="40% - Accent1 2 2 2 2 4 2" xfId="12339" xr:uid="{00000000-0005-0000-0000-0000A0290000}"/>
    <cellStyle name="40% - Accent1 2 2 2 2 4 2 2" xfId="26051" xr:uid="{00000000-0005-0000-0000-0000A1290000}"/>
    <cellStyle name="40% - Accent1 2 2 2 2 4 3" xfId="20026" xr:uid="{00000000-0005-0000-0000-0000A2290000}"/>
    <cellStyle name="40% - Accent1 2 2 2 2 5" xfId="2702" xr:uid="{00000000-0005-0000-0000-0000A3290000}"/>
    <cellStyle name="40% - Accent1 2 2 2 2 5 2" xfId="12587" xr:uid="{00000000-0005-0000-0000-0000A4290000}"/>
    <cellStyle name="40% - Accent1 2 2 2 2 5 2 2" xfId="26299" xr:uid="{00000000-0005-0000-0000-0000A5290000}"/>
    <cellStyle name="40% - Accent1 2 2 2 2 5 3" xfId="20027" xr:uid="{00000000-0005-0000-0000-0000A6290000}"/>
    <cellStyle name="40% - Accent1 2 2 2 2 6" xfId="2703" xr:uid="{00000000-0005-0000-0000-0000A7290000}"/>
    <cellStyle name="40% - Accent1 2 2 2 2 6 2" xfId="13903" xr:uid="{00000000-0005-0000-0000-0000A8290000}"/>
    <cellStyle name="40% - Accent1 2 2 2 2 6 2 2" xfId="27452" xr:uid="{00000000-0005-0000-0000-0000A9290000}"/>
    <cellStyle name="40% - Accent1 2 2 2 2 6 3" xfId="20028" xr:uid="{00000000-0005-0000-0000-0000AA290000}"/>
    <cellStyle name="40% - Accent1 2 2 2 2 7" xfId="2704" xr:uid="{00000000-0005-0000-0000-0000AB290000}"/>
    <cellStyle name="40% - Accent1 2 2 2 2 7 2" xfId="14484" xr:uid="{00000000-0005-0000-0000-0000AC290000}"/>
    <cellStyle name="40% - Accent1 2 2 2 2 7 2 2" xfId="28033" xr:uid="{00000000-0005-0000-0000-0000AD290000}"/>
    <cellStyle name="40% - Accent1 2 2 2 2 7 3" xfId="20029" xr:uid="{00000000-0005-0000-0000-0000AE290000}"/>
    <cellStyle name="40% - Accent1 2 2 2 2 8" xfId="2705" xr:uid="{00000000-0005-0000-0000-0000AF290000}"/>
    <cellStyle name="40% - Accent1 2 2 2 2 8 2" xfId="15066" xr:uid="{00000000-0005-0000-0000-0000B0290000}"/>
    <cellStyle name="40% - Accent1 2 2 2 2 8 2 2" xfId="28615" xr:uid="{00000000-0005-0000-0000-0000B1290000}"/>
    <cellStyle name="40% - Accent1 2 2 2 2 8 3" xfId="20030" xr:uid="{00000000-0005-0000-0000-0000B2290000}"/>
    <cellStyle name="40% - Accent1 2 2 2 2 9" xfId="2706" xr:uid="{00000000-0005-0000-0000-0000B3290000}"/>
    <cellStyle name="40% - Accent1 2 2 2 2 9 2" xfId="16370" xr:uid="{00000000-0005-0000-0000-0000B4290000}"/>
    <cellStyle name="40% - Accent1 2 2 2 2 9 2 2" xfId="29777" xr:uid="{00000000-0005-0000-0000-0000B5290000}"/>
    <cellStyle name="40% - Accent1 2 2 2 2 9 3" xfId="20031" xr:uid="{00000000-0005-0000-0000-0000B6290000}"/>
    <cellStyle name="40% - Accent1 2 2 2 3" xfId="2707" xr:uid="{00000000-0005-0000-0000-0000B7290000}"/>
    <cellStyle name="40% - Accent1 2 2 2 3 2" xfId="2708" xr:uid="{00000000-0005-0000-0000-0000B8290000}"/>
    <cellStyle name="40% - Accent1 2 2 2 3 2 2" xfId="10928" xr:uid="{00000000-0005-0000-0000-0000B9290000}"/>
    <cellStyle name="40% - Accent1 2 2 2 3 2 2 2" xfId="24870" xr:uid="{00000000-0005-0000-0000-0000BA290000}"/>
    <cellStyle name="40% - Accent1 2 2 2 3 2 3" xfId="20033" xr:uid="{00000000-0005-0000-0000-0000BB290000}"/>
    <cellStyle name="40% - Accent1 2 2 2 3 3" xfId="2709" xr:uid="{00000000-0005-0000-0000-0000BC290000}"/>
    <cellStyle name="40% - Accent1 2 2 2 3 3 2" xfId="12731" xr:uid="{00000000-0005-0000-0000-0000BD290000}"/>
    <cellStyle name="40% - Accent1 2 2 2 3 3 2 2" xfId="26443" xr:uid="{00000000-0005-0000-0000-0000BE290000}"/>
    <cellStyle name="40% - Accent1 2 2 2 3 3 3" xfId="20034" xr:uid="{00000000-0005-0000-0000-0000BF290000}"/>
    <cellStyle name="40% - Accent1 2 2 2 3 4" xfId="2710" xr:uid="{00000000-0005-0000-0000-0000C0290000}"/>
    <cellStyle name="40% - Accent1 2 2 2 3 4 2" xfId="15069" xr:uid="{00000000-0005-0000-0000-0000C1290000}"/>
    <cellStyle name="40% - Accent1 2 2 2 3 4 2 2" xfId="28618" xr:uid="{00000000-0005-0000-0000-0000C2290000}"/>
    <cellStyle name="40% - Accent1 2 2 2 3 4 3" xfId="20035" xr:uid="{00000000-0005-0000-0000-0000C3290000}"/>
    <cellStyle name="40% - Accent1 2 2 2 3 5" xfId="2711" xr:uid="{00000000-0005-0000-0000-0000C4290000}"/>
    <cellStyle name="40% - Accent1 2 2 2 3 5 2" xfId="16662" xr:uid="{00000000-0005-0000-0000-0000C5290000}"/>
    <cellStyle name="40% - Accent1 2 2 2 3 5 2 2" xfId="30069" xr:uid="{00000000-0005-0000-0000-0000C6290000}"/>
    <cellStyle name="40% - Accent1 2 2 2 3 5 3" xfId="20036" xr:uid="{00000000-0005-0000-0000-0000C7290000}"/>
    <cellStyle name="40% - Accent1 2 2 2 3 6" xfId="9202" xr:uid="{00000000-0005-0000-0000-0000C8290000}"/>
    <cellStyle name="40% - Accent1 2 2 2 3 6 2" xfId="23677" xr:uid="{00000000-0005-0000-0000-0000C9290000}"/>
    <cellStyle name="40% - Accent1 2 2 2 3 7" xfId="20032" xr:uid="{00000000-0005-0000-0000-0000CA290000}"/>
    <cellStyle name="40% - Accent1 2 2 2 4" xfId="2712" xr:uid="{00000000-0005-0000-0000-0000CB290000}"/>
    <cellStyle name="40% - Accent1 2 2 2 4 2" xfId="2713" xr:uid="{00000000-0005-0000-0000-0000CC290000}"/>
    <cellStyle name="40% - Accent1 2 2 2 4 2 2" xfId="15070" xr:uid="{00000000-0005-0000-0000-0000CD290000}"/>
    <cellStyle name="40% - Accent1 2 2 2 4 2 2 2" xfId="28619" xr:uid="{00000000-0005-0000-0000-0000CE290000}"/>
    <cellStyle name="40% - Accent1 2 2 2 4 2 3" xfId="20038" xr:uid="{00000000-0005-0000-0000-0000CF290000}"/>
    <cellStyle name="40% - Accent1 2 2 2 4 3" xfId="10925" xr:uid="{00000000-0005-0000-0000-0000D0290000}"/>
    <cellStyle name="40% - Accent1 2 2 2 4 3 2" xfId="24867" xr:uid="{00000000-0005-0000-0000-0000D1290000}"/>
    <cellStyle name="40% - Accent1 2 2 2 4 4" xfId="20037" xr:uid="{00000000-0005-0000-0000-0000D2290000}"/>
    <cellStyle name="40% - Accent1 2 2 2 5" xfId="2714" xr:uid="{00000000-0005-0000-0000-0000D3290000}"/>
    <cellStyle name="40% - Accent1 2 2 2 5 2" xfId="12039" xr:uid="{00000000-0005-0000-0000-0000D4290000}"/>
    <cellStyle name="40% - Accent1 2 2 2 5 2 2" xfId="25754" xr:uid="{00000000-0005-0000-0000-0000D5290000}"/>
    <cellStyle name="40% - Accent1 2 2 2 5 3" xfId="20039" xr:uid="{00000000-0005-0000-0000-0000D6290000}"/>
    <cellStyle name="40% - Accent1 2 2 2 6" xfId="2715" xr:uid="{00000000-0005-0000-0000-0000D7290000}"/>
    <cellStyle name="40% - Accent1 2 2 2 6 2" xfId="12474" xr:uid="{00000000-0005-0000-0000-0000D8290000}"/>
    <cellStyle name="40% - Accent1 2 2 2 6 2 2" xfId="26186" xr:uid="{00000000-0005-0000-0000-0000D9290000}"/>
    <cellStyle name="40% - Accent1 2 2 2 6 3" xfId="20040" xr:uid="{00000000-0005-0000-0000-0000DA290000}"/>
    <cellStyle name="40% - Accent1 2 2 2 7" xfId="2716" xr:uid="{00000000-0005-0000-0000-0000DB290000}"/>
    <cellStyle name="40% - Accent1 2 2 2 7 2" xfId="13614" xr:uid="{00000000-0005-0000-0000-0000DC290000}"/>
    <cellStyle name="40% - Accent1 2 2 2 7 2 2" xfId="27163" xr:uid="{00000000-0005-0000-0000-0000DD290000}"/>
    <cellStyle name="40% - Accent1 2 2 2 7 3" xfId="20041" xr:uid="{00000000-0005-0000-0000-0000DE290000}"/>
    <cellStyle name="40% - Accent1 2 2 2 8" xfId="2717" xr:uid="{00000000-0005-0000-0000-0000DF290000}"/>
    <cellStyle name="40% - Accent1 2 2 2 8 2" xfId="14195" xr:uid="{00000000-0005-0000-0000-0000E0290000}"/>
    <cellStyle name="40% - Accent1 2 2 2 8 2 2" xfId="27744" xr:uid="{00000000-0005-0000-0000-0000E1290000}"/>
    <cellStyle name="40% - Accent1 2 2 2 8 3" xfId="20042" xr:uid="{00000000-0005-0000-0000-0000E2290000}"/>
    <cellStyle name="40% - Accent1 2 2 2 9" xfId="2718" xr:uid="{00000000-0005-0000-0000-0000E3290000}"/>
    <cellStyle name="40% - Accent1 2 2 2 9 2" xfId="15065" xr:uid="{00000000-0005-0000-0000-0000E4290000}"/>
    <cellStyle name="40% - Accent1 2 2 2 9 2 2" xfId="28614" xr:uid="{00000000-0005-0000-0000-0000E5290000}"/>
    <cellStyle name="40% - Accent1 2 2 2 9 3" xfId="20043" xr:uid="{00000000-0005-0000-0000-0000E6290000}"/>
    <cellStyle name="40% - Accent1 2 2 3" xfId="2719" xr:uid="{00000000-0005-0000-0000-0000E7290000}"/>
    <cellStyle name="40% - Accent1 2 2 3 10" xfId="9203" xr:uid="{00000000-0005-0000-0000-0000E8290000}"/>
    <cellStyle name="40% - Accent1 2 2 3 10 2" xfId="23678" xr:uid="{00000000-0005-0000-0000-0000E9290000}"/>
    <cellStyle name="40% - Accent1 2 2 3 11" xfId="20044" xr:uid="{00000000-0005-0000-0000-0000EA290000}"/>
    <cellStyle name="40% - Accent1 2 2 3 2" xfId="2720" xr:uid="{00000000-0005-0000-0000-0000EB290000}"/>
    <cellStyle name="40% - Accent1 2 2 3 2 2" xfId="2721" xr:uid="{00000000-0005-0000-0000-0000EC290000}"/>
    <cellStyle name="40% - Accent1 2 2 3 2 2 2" xfId="10930" xr:uid="{00000000-0005-0000-0000-0000ED290000}"/>
    <cellStyle name="40% - Accent1 2 2 3 2 2 2 2" xfId="24872" xr:uid="{00000000-0005-0000-0000-0000EE290000}"/>
    <cellStyle name="40% - Accent1 2 2 3 2 2 3" xfId="20046" xr:uid="{00000000-0005-0000-0000-0000EF290000}"/>
    <cellStyle name="40% - Accent1 2 2 3 2 3" xfId="2722" xr:uid="{00000000-0005-0000-0000-0000F0290000}"/>
    <cellStyle name="40% - Accent1 2 2 3 2 3 2" xfId="12648" xr:uid="{00000000-0005-0000-0000-0000F1290000}"/>
    <cellStyle name="40% - Accent1 2 2 3 2 3 2 2" xfId="26360" xr:uid="{00000000-0005-0000-0000-0000F2290000}"/>
    <cellStyle name="40% - Accent1 2 2 3 2 3 3" xfId="20047" xr:uid="{00000000-0005-0000-0000-0000F3290000}"/>
    <cellStyle name="40% - Accent1 2 2 3 2 4" xfId="2723" xr:uid="{00000000-0005-0000-0000-0000F4290000}"/>
    <cellStyle name="40% - Accent1 2 2 3 2 4 2" xfId="15072" xr:uid="{00000000-0005-0000-0000-0000F5290000}"/>
    <cellStyle name="40% - Accent1 2 2 3 2 4 2 2" xfId="28621" xr:uid="{00000000-0005-0000-0000-0000F6290000}"/>
    <cellStyle name="40% - Accent1 2 2 3 2 4 3" xfId="20048" xr:uid="{00000000-0005-0000-0000-0000F7290000}"/>
    <cellStyle name="40% - Accent1 2 2 3 2 5" xfId="2724" xr:uid="{00000000-0005-0000-0000-0000F8290000}"/>
    <cellStyle name="40% - Accent1 2 2 3 2 5 2" xfId="16808" xr:uid="{00000000-0005-0000-0000-0000F9290000}"/>
    <cellStyle name="40% - Accent1 2 2 3 2 5 2 2" xfId="30215" xr:uid="{00000000-0005-0000-0000-0000FA290000}"/>
    <cellStyle name="40% - Accent1 2 2 3 2 5 3" xfId="20049" xr:uid="{00000000-0005-0000-0000-0000FB290000}"/>
    <cellStyle name="40% - Accent1 2 2 3 2 6" xfId="9204" xr:uid="{00000000-0005-0000-0000-0000FC290000}"/>
    <cellStyle name="40% - Accent1 2 2 3 2 6 2" xfId="23679" xr:uid="{00000000-0005-0000-0000-0000FD290000}"/>
    <cellStyle name="40% - Accent1 2 2 3 2 7" xfId="20045" xr:uid="{00000000-0005-0000-0000-0000FE290000}"/>
    <cellStyle name="40% - Accent1 2 2 3 3" xfId="2725" xr:uid="{00000000-0005-0000-0000-0000FF290000}"/>
    <cellStyle name="40% - Accent1 2 2 3 3 2" xfId="2726" xr:uid="{00000000-0005-0000-0000-0000002A0000}"/>
    <cellStyle name="40% - Accent1 2 2 3 3 2 2" xfId="15073" xr:uid="{00000000-0005-0000-0000-0000012A0000}"/>
    <cellStyle name="40% - Accent1 2 2 3 3 2 2 2" xfId="28622" xr:uid="{00000000-0005-0000-0000-0000022A0000}"/>
    <cellStyle name="40% - Accent1 2 2 3 3 2 3" xfId="20051" xr:uid="{00000000-0005-0000-0000-0000032A0000}"/>
    <cellStyle name="40% - Accent1 2 2 3 3 3" xfId="10929" xr:uid="{00000000-0005-0000-0000-0000042A0000}"/>
    <cellStyle name="40% - Accent1 2 2 3 3 3 2" xfId="24871" xr:uid="{00000000-0005-0000-0000-0000052A0000}"/>
    <cellStyle name="40% - Accent1 2 2 3 3 4" xfId="20050" xr:uid="{00000000-0005-0000-0000-0000062A0000}"/>
    <cellStyle name="40% - Accent1 2 2 3 4" xfId="2727" xr:uid="{00000000-0005-0000-0000-0000072A0000}"/>
    <cellStyle name="40% - Accent1 2 2 3 4 2" xfId="12196" xr:uid="{00000000-0005-0000-0000-0000082A0000}"/>
    <cellStyle name="40% - Accent1 2 2 3 4 2 2" xfId="25908" xr:uid="{00000000-0005-0000-0000-0000092A0000}"/>
    <cellStyle name="40% - Accent1 2 2 3 4 3" xfId="20052" xr:uid="{00000000-0005-0000-0000-00000A2A0000}"/>
    <cellStyle name="40% - Accent1 2 2 3 5" xfId="2728" xr:uid="{00000000-0005-0000-0000-00000B2A0000}"/>
    <cellStyle name="40% - Accent1 2 2 3 5 2" xfId="11779" xr:uid="{00000000-0005-0000-0000-00000C2A0000}"/>
    <cellStyle name="40% - Accent1 2 2 3 5 2 2" xfId="25494" xr:uid="{00000000-0005-0000-0000-00000D2A0000}"/>
    <cellStyle name="40% - Accent1 2 2 3 5 3" xfId="20053" xr:uid="{00000000-0005-0000-0000-00000E2A0000}"/>
    <cellStyle name="40% - Accent1 2 2 3 6" xfId="2729" xr:uid="{00000000-0005-0000-0000-00000F2A0000}"/>
    <cellStyle name="40% - Accent1 2 2 3 6 2" xfId="13760" xr:uid="{00000000-0005-0000-0000-0000102A0000}"/>
    <cellStyle name="40% - Accent1 2 2 3 6 2 2" xfId="27309" xr:uid="{00000000-0005-0000-0000-0000112A0000}"/>
    <cellStyle name="40% - Accent1 2 2 3 6 3" xfId="20054" xr:uid="{00000000-0005-0000-0000-0000122A0000}"/>
    <cellStyle name="40% - Accent1 2 2 3 7" xfId="2730" xr:uid="{00000000-0005-0000-0000-0000132A0000}"/>
    <cellStyle name="40% - Accent1 2 2 3 7 2" xfId="14341" xr:uid="{00000000-0005-0000-0000-0000142A0000}"/>
    <cellStyle name="40% - Accent1 2 2 3 7 2 2" xfId="27890" xr:uid="{00000000-0005-0000-0000-0000152A0000}"/>
    <cellStyle name="40% - Accent1 2 2 3 7 3" xfId="20055" xr:uid="{00000000-0005-0000-0000-0000162A0000}"/>
    <cellStyle name="40% - Accent1 2 2 3 8" xfId="2731" xr:uid="{00000000-0005-0000-0000-0000172A0000}"/>
    <cellStyle name="40% - Accent1 2 2 3 8 2" xfId="15071" xr:uid="{00000000-0005-0000-0000-0000182A0000}"/>
    <cellStyle name="40% - Accent1 2 2 3 8 2 2" xfId="28620" xr:uid="{00000000-0005-0000-0000-0000192A0000}"/>
    <cellStyle name="40% - Accent1 2 2 3 8 3" xfId="20056" xr:uid="{00000000-0005-0000-0000-00001A2A0000}"/>
    <cellStyle name="40% - Accent1 2 2 3 9" xfId="2732" xr:uid="{00000000-0005-0000-0000-00001B2A0000}"/>
    <cellStyle name="40% - Accent1 2 2 3 9 2" xfId="16227" xr:uid="{00000000-0005-0000-0000-00001C2A0000}"/>
    <cellStyle name="40% - Accent1 2 2 3 9 2 2" xfId="29634" xr:uid="{00000000-0005-0000-0000-00001D2A0000}"/>
    <cellStyle name="40% - Accent1 2 2 3 9 3" xfId="20057" xr:uid="{00000000-0005-0000-0000-00001E2A0000}"/>
    <cellStyle name="40% - Accent1 2 2 4" xfId="2733" xr:uid="{00000000-0005-0000-0000-00001F2A0000}"/>
    <cellStyle name="40% - Accent1 2 2 4 2" xfId="2734" xr:uid="{00000000-0005-0000-0000-0000202A0000}"/>
    <cellStyle name="40% - Accent1 2 2 4 2 2" xfId="10931" xr:uid="{00000000-0005-0000-0000-0000212A0000}"/>
    <cellStyle name="40% - Accent1 2 2 4 2 2 2" xfId="24873" xr:uid="{00000000-0005-0000-0000-0000222A0000}"/>
    <cellStyle name="40% - Accent1 2 2 4 2 3" xfId="20059" xr:uid="{00000000-0005-0000-0000-0000232A0000}"/>
    <cellStyle name="40% - Accent1 2 2 4 3" xfId="2735" xr:uid="{00000000-0005-0000-0000-0000242A0000}"/>
    <cellStyle name="40% - Accent1 2 2 4 3 2" xfId="11858" xr:uid="{00000000-0005-0000-0000-0000252A0000}"/>
    <cellStyle name="40% - Accent1 2 2 4 3 2 2" xfId="25573" xr:uid="{00000000-0005-0000-0000-0000262A0000}"/>
    <cellStyle name="40% - Accent1 2 2 4 3 3" xfId="20060" xr:uid="{00000000-0005-0000-0000-0000272A0000}"/>
    <cellStyle name="40% - Accent1 2 2 4 4" xfId="2736" xr:uid="{00000000-0005-0000-0000-0000282A0000}"/>
    <cellStyle name="40% - Accent1 2 2 4 4 2" xfId="15074" xr:uid="{00000000-0005-0000-0000-0000292A0000}"/>
    <cellStyle name="40% - Accent1 2 2 4 4 2 2" xfId="28623" xr:uid="{00000000-0005-0000-0000-00002A2A0000}"/>
    <cellStyle name="40% - Accent1 2 2 4 4 3" xfId="20061" xr:uid="{00000000-0005-0000-0000-00002B2A0000}"/>
    <cellStyle name="40% - Accent1 2 2 4 5" xfId="2737" xr:uid="{00000000-0005-0000-0000-00002C2A0000}"/>
    <cellStyle name="40% - Accent1 2 2 4 5 2" xfId="17155" xr:uid="{00000000-0005-0000-0000-00002D2A0000}"/>
    <cellStyle name="40% - Accent1 2 2 4 5 2 2" xfId="30514" xr:uid="{00000000-0005-0000-0000-00002E2A0000}"/>
    <cellStyle name="40% - Accent1 2 2 4 5 3" xfId="20062" xr:uid="{00000000-0005-0000-0000-00002F2A0000}"/>
    <cellStyle name="40% - Accent1 2 2 4 6" xfId="9205" xr:uid="{00000000-0005-0000-0000-0000302A0000}"/>
    <cellStyle name="40% - Accent1 2 2 4 6 2" xfId="23680" xr:uid="{00000000-0005-0000-0000-0000312A0000}"/>
    <cellStyle name="40% - Accent1 2 2 4 7" xfId="20058" xr:uid="{00000000-0005-0000-0000-0000322A0000}"/>
    <cellStyle name="40% - Accent1 2 2 5" xfId="2738" xr:uid="{00000000-0005-0000-0000-0000332A0000}"/>
    <cellStyle name="40% - Accent1 2 2 5 2" xfId="2739" xr:uid="{00000000-0005-0000-0000-0000342A0000}"/>
    <cellStyle name="40% - Accent1 2 2 5 2 2" xfId="15075" xr:uid="{00000000-0005-0000-0000-0000352A0000}"/>
    <cellStyle name="40% - Accent1 2 2 5 2 2 2" xfId="28624" xr:uid="{00000000-0005-0000-0000-0000362A0000}"/>
    <cellStyle name="40% - Accent1 2 2 5 2 3" xfId="20064" xr:uid="{00000000-0005-0000-0000-0000372A0000}"/>
    <cellStyle name="40% - Accent1 2 2 5 3" xfId="2740" xr:uid="{00000000-0005-0000-0000-0000382A0000}"/>
    <cellStyle name="40% - Accent1 2 2 5 3 2" xfId="17244" xr:uid="{00000000-0005-0000-0000-0000392A0000}"/>
    <cellStyle name="40% - Accent1 2 2 5 3 2 2" xfId="30603" xr:uid="{00000000-0005-0000-0000-00003A2A0000}"/>
    <cellStyle name="40% - Accent1 2 2 5 3 3" xfId="20065" xr:uid="{00000000-0005-0000-0000-00003B2A0000}"/>
    <cellStyle name="40% - Accent1 2 2 5 4" xfId="10924" xr:uid="{00000000-0005-0000-0000-00003C2A0000}"/>
    <cellStyle name="40% - Accent1 2 2 5 4 2" xfId="24866" xr:uid="{00000000-0005-0000-0000-00003D2A0000}"/>
    <cellStyle name="40% - Accent1 2 2 5 5" xfId="20063" xr:uid="{00000000-0005-0000-0000-00003E2A0000}"/>
    <cellStyle name="40% - Accent1 2 2 6" xfId="2741" xr:uid="{00000000-0005-0000-0000-00003F2A0000}"/>
    <cellStyle name="40% - Accent1 2 2 6 2" xfId="2742" xr:uid="{00000000-0005-0000-0000-0000402A0000}"/>
    <cellStyle name="40% - Accent1 2 2 6 2 2" xfId="16519" xr:uid="{00000000-0005-0000-0000-0000412A0000}"/>
    <cellStyle name="40% - Accent1 2 2 6 2 2 2" xfId="29926" xr:uid="{00000000-0005-0000-0000-0000422A0000}"/>
    <cellStyle name="40% - Accent1 2 2 6 2 3" xfId="20067" xr:uid="{00000000-0005-0000-0000-0000432A0000}"/>
    <cellStyle name="40% - Accent1 2 2 6 3" xfId="11894" xr:uid="{00000000-0005-0000-0000-0000442A0000}"/>
    <cellStyle name="40% - Accent1 2 2 6 3 2" xfId="25609" xr:uid="{00000000-0005-0000-0000-0000452A0000}"/>
    <cellStyle name="40% - Accent1 2 2 6 4" xfId="20066" xr:uid="{00000000-0005-0000-0000-0000462A0000}"/>
    <cellStyle name="40% - Accent1 2 2 7" xfId="2743" xr:uid="{00000000-0005-0000-0000-0000472A0000}"/>
    <cellStyle name="40% - Accent1 2 2 7 2" xfId="11859" xr:uid="{00000000-0005-0000-0000-0000482A0000}"/>
    <cellStyle name="40% - Accent1 2 2 7 2 2" xfId="25574" xr:uid="{00000000-0005-0000-0000-0000492A0000}"/>
    <cellStyle name="40% - Accent1 2 2 7 3" xfId="20068" xr:uid="{00000000-0005-0000-0000-00004A2A0000}"/>
    <cellStyle name="40% - Accent1 2 2 8" xfId="2744" xr:uid="{00000000-0005-0000-0000-00004B2A0000}"/>
    <cellStyle name="40% - Accent1 2 2 8 2" xfId="13471" xr:uid="{00000000-0005-0000-0000-00004C2A0000}"/>
    <cellStyle name="40% - Accent1 2 2 8 2 2" xfId="27020" xr:uid="{00000000-0005-0000-0000-00004D2A0000}"/>
    <cellStyle name="40% - Accent1 2 2 8 3" xfId="20069" xr:uid="{00000000-0005-0000-0000-00004E2A0000}"/>
    <cellStyle name="40% - Accent1 2 2 9" xfId="2745" xr:uid="{00000000-0005-0000-0000-00004F2A0000}"/>
    <cellStyle name="40% - Accent1 2 2 9 2" xfId="14052" xr:uid="{00000000-0005-0000-0000-0000502A0000}"/>
    <cellStyle name="40% - Accent1 2 2 9 2 2" xfId="27601" xr:uid="{00000000-0005-0000-0000-0000512A0000}"/>
    <cellStyle name="40% - Accent1 2 2 9 3" xfId="20070" xr:uid="{00000000-0005-0000-0000-0000522A0000}"/>
    <cellStyle name="40% - Accent1 2 3" xfId="2746" xr:uid="{00000000-0005-0000-0000-0000532A0000}"/>
    <cellStyle name="40% - Accent1 2 3 10" xfId="2747" xr:uid="{00000000-0005-0000-0000-0000542A0000}"/>
    <cellStyle name="40% - Accent1 2 3 10 2" xfId="16035" xr:uid="{00000000-0005-0000-0000-0000552A0000}"/>
    <cellStyle name="40% - Accent1 2 3 10 2 2" xfId="29442" xr:uid="{00000000-0005-0000-0000-0000562A0000}"/>
    <cellStyle name="40% - Accent1 2 3 10 3" xfId="20072" xr:uid="{00000000-0005-0000-0000-0000572A0000}"/>
    <cellStyle name="40% - Accent1 2 3 11" xfId="9206" xr:uid="{00000000-0005-0000-0000-0000582A0000}"/>
    <cellStyle name="40% - Accent1 2 3 11 2" xfId="23681" xr:uid="{00000000-0005-0000-0000-0000592A0000}"/>
    <cellStyle name="40% - Accent1 2 3 12" xfId="20071" xr:uid="{00000000-0005-0000-0000-00005A2A0000}"/>
    <cellStyle name="40% - Accent1 2 3 2" xfId="2748" xr:uid="{00000000-0005-0000-0000-00005B2A0000}"/>
    <cellStyle name="40% - Accent1 2 3 2 10" xfId="9207" xr:uid="{00000000-0005-0000-0000-00005C2A0000}"/>
    <cellStyle name="40% - Accent1 2 3 2 10 2" xfId="23682" xr:uid="{00000000-0005-0000-0000-00005D2A0000}"/>
    <cellStyle name="40% - Accent1 2 3 2 11" xfId="20073" xr:uid="{00000000-0005-0000-0000-00005E2A0000}"/>
    <cellStyle name="40% - Accent1 2 3 2 2" xfId="2749" xr:uid="{00000000-0005-0000-0000-00005F2A0000}"/>
    <cellStyle name="40% - Accent1 2 3 2 2 2" xfId="2750" xr:uid="{00000000-0005-0000-0000-0000602A0000}"/>
    <cellStyle name="40% - Accent1 2 3 2 2 2 2" xfId="10934" xr:uid="{00000000-0005-0000-0000-0000612A0000}"/>
    <cellStyle name="40% - Accent1 2 3 2 2 2 2 2" xfId="24876" xr:uid="{00000000-0005-0000-0000-0000622A0000}"/>
    <cellStyle name="40% - Accent1 2 3 2 2 2 3" xfId="20075" xr:uid="{00000000-0005-0000-0000-0000632A0000}"/>
    <cellStyle name="40% - Accent1 2 3 2 2 3" xfId="2751" xr:uid="{00000000-0005-0000-0000-0000642A0000}"/>
    <cellStyle name="40% - Accent1 2 3 2 2 3 2" xfId="11781" xr:uid="{00000000-0005-0000-0000-0000652A0000}"/>
    <cellStyle name="40% - Accent1 2 3 2 2 3 2 2" xfId="25496" xr:uid="{00000000-0005-0000-0000-0000662A0000}"/>
    <cellStyle name="40% - Accent1 2 3 2 2 3 3" xfId="20076" xr:uid="{00000000-0005-0000-0000-0000672A0000}"/>
    <cellStyle name="40% - Accent1 2 3 2 2 4" xfId="2752" xr:uid="{00000000-0005-0000-0000-0000682A0000}"/>
    <cellStyle name="40% - Accent1 2 3 2 2 4 2" xfId="15078" xr:uid="{00000000-0005-0000-0000-0000692A0000}"/>
    <cellStyle name="40% - Accent1 2 3 2 2 4 2 2" xfId="28627" xr:uid="{00000000-0005-0000-0000-00006A2A0000}"/>
    <cellStyle name="40% - Accent1 2 3 2 2 4 3" xfId="20077" xr:uid="{00000000-0005-0000-0000-00006B2A0000}"/>
    <cellStyle name="40% - Accent1 2 3 2 2 5" xfId="2753" xr:uid="{00000000-0005-0000-0000-00006C2A0000}"/>
    <cellStyle name="40% - Accent1 2 3 2 2 5 2" xfId="16905" xr:uid="{00000000-0005-0000-0000-00006D2A0000}"/>
    <cellStyle name="40% - Accent1 2 3 2 2 5 2 2" xfId="30312" xr:uid="{00000000-0005-0000-0000-00006E2A0000}"/>
    <cellStyle name="40% - Accent1 2 3 2 2 5 3" xfId="20078" xr:uid="{00000000-0005-0000-0000-00006F2A0000}"/>
    <cellStyle name="40% - Accent1 2 3 2 2 6" xfId="9208" xr:uid="{00000000-0005-0000-0000-0000702A0000}"/>
    <cellStyle name="40% - Accent1 2 3 2 2 6 2" xfId="23683" xr:uid="{00000000-0005-0000-0000-0000712A0000}"/>
    <cellStyle name="40% - Accent1 2 3 2 2 7" xfId="20074" xr:uid="{00000000-0005-0000-0000-0000722A0000}"/>
    <cellStyle name="40% - Accent1 2 3 2 3" xfId="2754" xr:uid="{00000000-0005-0000-0000-0000732A0000}"/>
    <cellStyle name="40% - Accent1 2 3 2 3 2" xfId="2755" xr:uid="{00000000-0005-0000-0000-0000742A0000}"/>
    <cellStyle name="40% - Accent1 2 3 2 3 2 2" xfId="15079" xr:uid="{00000000-0005-0000-0000-0000752A0000}"/>
    <cellStyle name="40% - Accent1 2 3 2 3 2 2 2" xfId="28628" xr:uid="{00000000-0005-0000-0000-0000762A0000}"/>
    <cellStyle name="40% - Accent1 2 3 2 3 2 3" xfId="20080" xr:uid="{00000000-0005-0000-0000-0000772A0000}"/>
    <cellStyle name="40% - Accent1 2 3 2 3 3" xfId="10933" xr:uid="{00000000-0005-0000-0000-0000782A0000}"/>
    <cellStyle name="40% - Accent1 2 3 2 3 3 2" xfId="24875" xr:uid="{00000000-0005-0000-0000-0000792A0000}"/>
    <cellStyle name="40% - Accent1 2 3 2 3 4" xfId="20079" xr:uid="{00000000-0005-0000-0000-00007A2A0000}"/>
    <cellStyle name="40% - Accent1 2 3 2 4" xfId="2756" xr:uid="{00000000-0005-0000-0000-00007B2A0000}"/>
    <cellStyle name="40% - Accent1 2 3 2 4 2" xfId="12293" xr:uid="{00000000-0005-0000-0000-00007C2A0000}"/>
    <cellStyle name="40% - Accent1 2 3 2 4 2 2" xfId="26005" xr:uid="{00000000-0005-0000-0000-00007D2A0000}"/>
    <cellStyle name="40% - Accent1 2 3 2 4 3" xfId="20081" xr:uid="{00000000-0005-0000-0000-00007E2A0000}"/>
    <cellStyle name="40% - Accent1 2 3 2 5" xfId="2757" xr:uid="{00000000-0005-0000-0000-00007F2A0000}"/>
    <cellStyle name="40% - Accent1 2 3 2 5 2" xfId="12605" xr:uid="{00000000-0005-0000-0000-0000802A0000}"/>
    <cellStyle name="40% - Accent1 2 3 2 5 2 2" xfId="26317" xr:uid="{00000000-0005-0000-0000-0000812A0000}"/>
    <cellStyle name="40% - Accent1 2 3 2 5 3" xfId="20082" xr:uid="{00000000-0005-0000-0000-0000822A0000}"/>
    <cellStyle name="40% - Accent1 2 3 2 6" xfId="2758" xr:uid="{00000000-0005-0000-0000-0000832A0000}"/>
    <cellStyle name="40% - Accent1 2 3 2 6 2" xfId="13857" xr:uid="{00000000-0005-0000-0000-0000842A0000}"/>
    <cellStyle name="40% - Accent1 2 3 2 6 2 2" xfId="27406" xr:uid="{00000000-0005-0000-0000-0000852A0000}"/>
    <cellStyle name="40% - Accent1 2 3 2 6 3" xfId="20083" xr:uid="{00000000-0005-0000-0000-0000862A0000}"/>
    <cellStyle name="40% - Accent1 2 3 2 7" xfId="2759" xr:uid="{00000000-0005-0000-0000-0000872A0000}"/>
    <cellStyle name="40% - Accent1 2 3 2 7 2" xfId="14438" xr:uid="{00000000-0005-0000-0000-0000882A0000}"/>
    <cellStyle name="40% - Accent1 2 3 2 7 2 2" xfId="27987" xr:uid="{00000000-0005-0000-0000-0000892A0000}"/>
    <cellStyle name="40% - Accent1 2 3 2 7 3" xfId="20084" xr:uid="{00000000-0005-0000-0000-00008A2A0000}"/>
    <cellStyle name="40% - Accent1 2 3 2 8" xfId="2760" xr:uid="{00000000-0005-0000-0000-00008B2A0000}"/>
    <cellStyle name="40% - Accent1 2 3 2 8 2" xfId="15077" xr:uid="{00000000-0005-0000-0000-00008C2A0000}"/>
    <cellStyle name="40% - Accent1 2 3 2 8 2 2" xfId="28626" xr:uid="{00000000-0005-0000-0000-00008D2A0000}"/>
    <cellStyle name="40% - Accent1 2 3 2 8 3" xfId="20085" xr:uid="{00000000-0005-0000-0000-00008E2A0000}"/>
    <cellStyle name="40% - Accent1 2 3 2 9" xfId="2761" xr:uid="{00000000-0005-0000-0000-00008F2A0000}"/>
    <cellStyle name="40% - Accent1 2 3 2 9 2" xfId="16324" xr:uid="{00000000-0005-0000-0000-0000902A0000}"/>
    <cellStyle name="40% - Accent1 2 3 2 9 2 2" xfId="29731" xr:uid="{00000000-0005-0000-0000-0000912A0000}"/>
    <cellStyle name="40% - Accent1 2 3 2 9 3" xfId="20086" xr:uid="{00000000-0005-0000-0000-0000922A0000}"/>
    <cellStyle name="40% - Accent1 2 3 3" xfId="2762" xr:uid="{00000000-0005-0000-0000-0000932A0000}"/>
    <cellStyle name="40% - Accent1 2 3 3 2" xfId="2763" xr:uid="{00000000-0005-0000-0000-0000942A0000}"/>
    <cellStyle name="40% - Accent1 2 3 3 2 2" xfId="10935" xr:uid="{00000000-0005-0000-0000-0000952A0000}"/>
    <cellStyle name="40% - Accent1 2 3 3 2 2 2" xfId="24877" xr:uid="{00000000-0005-0000-0000-0000962A0000}"/>
    <cellStyle name="40% - Accent1 2 3 3 2 3" xfId="20088" xr:uid="{00000000-0005-0000-0000-0000972A0000}"/>
    <cellStyle name="40% - Accent1 2 3 3 3" xfId="2764" xr:uid="{00000000-0005-0000-0000-0000982A0000}"/>
    <cellStyle name="40% - Accent1 2 3 3 3 2" xfId="12576" xr:uid="{00000000-0005-0000-0000-0000992A0000}"/>
    <cellStyle name="40% - Accent1 2 3 3 3 2 2" xfId="26288" xr:uid="{00000000-0005-0000-0000-00009A2A0000}"/>
    <cellStyle name="40% - Accent1 2 3 3 3 3" xfId="20089" xr:uid="{00000000-0005-0000-0000-00009B2A0000}"/>
    <cellStyle name="40% - Accent1 2 3 3 4" xfId="2765" xr:uid="{00000000-0005-0000-0000-00009C2A0000}"/>
    <cellStyle name="40% - Accent1 2 3 3 4 2" xfId="15080" xr:uid="{00000000-0005-0000-0000-00009D2A0000}"/>
    <cellStyle name="40% - Accent1 2 3 3 4 2 2" xfId="28629" xr:uid="{00000000-0005-0000-0000-00009E2A0000}"/>
    <cellStyle name="40% - Accent1 2 3 3 4 3" xfId="20090" xr:uid="{00000000-0005-0000-0000-00009F2A0000}"/>
    <cellStyle name="40% - Accent1 2 3 3 5" xfId="2766" xr:uid="{00000000-0005-0000-0000-0000A02A0000}"/>
    <cellStyle name="40% - Accent1 2 3 3 5 2" xfId="16616" xr:uid="{00000000-0005-0000-0000-0000A12A0000}"/>
    <cellStyle name="40% - Accent1 2 3 3 5 2 2" xfId="30023" xr:uid="{00000000-0005-0000-0000-0000A22A0000}"/>
    <cellStyle name="40% - Accent1 2 3 3 5 3" xfId="20091" xr:uid="{00000000-0005-0000-0000-0000A32A0000}"/>
    <cellStyle name="40% - Accent1 2 3 3 6" xfId="9209" xr:uid="{00000000-0005-0000-0000-0000A42A0000}"/>
    <cellStyle name="40% - Accent1 2 3 3 6 2" xfId="23684" xr:uid="{00000000-0005-0000-0000-0000A52A0000}"/>
    <cellStyle name="40% - Accent1 2 3 3 7" xfId="20087" xr:uid="{00000000-0005-0000-0000-0000A62A0000}"/>
    <cellStyle name="40% - Accent1 2 3 4" xfId="2767" xr:uid="{00000000-0005-0000-0000-0000A72A0000}"/>
    <cellStyle name="40% - Accent1 2 3 4 2" xfId="2768" xr:uid="{00000000-0005-0000-0000-0000A82A0000}"/>
    <cellStyle name="40% - Accent1 2 3 4 2 2" xfId="15081" xr:uid="{00000000-0005-0000-0000-0000A92A0000}"/>
    <cellStyle name="40% - Accent1 2 3 4 2 2 2" xfId="28630" xr:uid="{00000000-0005-0000-0000-0000AA2A0000}"/>
    <cellStyle name="40% - Accent1 2 3 4 2 3" xfId="20093" xr:uid="{00000000-0005-0000-0000-0000AB2A0000}"/>
    <cellStyle name="40% - Accent1 2 3 4 3" xfId="10932" xr:uid="{00000000-0005-0000-0000-0000AC2A0000}"/>
    <cellStyle name="40% - Accent1 2 3 4 3 2" xfId="24874" xr:uid="{00000000-0005-0000-0000-0000AD2A0000}"/>
    <cellStyle name="40% - Accent1 2 3 4 4" xfId="20092" xr:uid="{00000000-0005-0000-0000-0000AE2A0000}"/>
    <cellStyle name="40% - Accent1 2 3 5" xfId="2769" xr:uid="{00000000-0005-0000-0000-0000AF2A0000}"/>
    <cellStyle name="40% - Accent1 2 3 5 2" xfId="11993" xr:uid="{00000000-0005-0000-0000-0000B02A0000}"/>
    <cellStyle name="40% - Accent1 2 3 5 2 2" xfId="25708" xr:uid="{00000000-0005-0000-0000-0000B12A0000}"/>
    <cellStyle name="40% - Accent1 2 3 5 3" xfId="20094" xr:uid="{00000000-0005-0000-0000-0000B22A0000}"/>
    <cellStyle name="40% - Accent1 2 3 6" xfId="2770" xr:uid="{00000000-0005-0000-0000-0000B32A0000}"/>
    <cellStyle name="40% - Accent1 2 3 6 2" xfId="12098" xr:uid="{00000000-0005-0000-0000-0000B42A0000}"/>
    <cellStyle name="40% - Accent1 2 3 6 2 2" xfId="25810" xr:uid="{00000000-0005-0000-0000-0000B52A0000}"/>
    <cellStyle name="40% - Accent1 2 3 6 3" xfId="20095" xr:uid="{00000000-0005-0000-0000-0000B62A0000}"/>
    <cellStyle name="40% - Accent1 2 3 7" xfId="2771" xr:uid="{00000000-0005-0000-0000-0000B72A0000}"/>
    <cellStyle name="40% - Accent1 2 3 7 2" xfId="13568" xr:uid="{00000000-0005-0000-0000-0000B82A0000}"/>
    <cellStyle name="40% - Accent1 2 3 7 2 2" xfId="27117" xr:uid="{00000000-0005-0000-0000-0000B92A0000}"/>
    <cellStyle name="40% - Accent1 2 3 7 3" xfId="20096" xr:uid="{00000000-0005-0000-0000-0000BA2A0000}"/>
    <cellStyle name="40% - Accent1 2 3 8" xfId="2772" xr:uid="{00000000-0005-0000-0000-0000BB2A0000}"/>
    <cellStyle name="40% - Accent1 2 3 8 2" xfId="14149" xr:uid="{00000000-0005-0000-0000-0000BC2A0000}"/>
    <cellStyle name="40% - Accent1 2 3 8 2 2" xfId="27698" xr:uid="{00000000-0005-0000-0000-0000BD2A0000}"/>
    <cellStyle name="40% - Accent1 2 3 8 3" xfId="20097" xr:uid="{00000000-0005-0000-0000-0000BE2A0000}"/>
    <cellStyle name="40% - Accent1 2 3 9" xfId="2773" xr:uid="{00000000-0005-0000-0000-0000BF2A0000}"/>
    <cellStyle name="40% - Accent1 2 3 9 2" xfId="15076" xr:uid="{00000000-0005-0000-0000-0000C02A0000}"/>
    <cellStyle name="40% - Accent1 2 3 9 2 2" xfId="28625" xr:uid="{00000000-0005-0000-0000-0000C12A0000}"/>
    <cellStyle name="40% - Accent1 2 3 9 3" xfId="20098" xr:uid="{00000000-0005-0000-0000-0000C22A0000}"/>
    <cellStyle name="40% - Accent1 2 4" xfId="2774" xr:uid="{00000000-0005-0000-0000-0000C32A0000}"/>
    <cellStyle name="40% - Accent1 2 4 10" xfId="9210" xr:uid="{00000000-0005-0000-0000-0000C42A0000}"/>
    <cellStyle name="40% - Accent1 2 4 10 2" xfId="23685" xr:uid="{00000000-0005-0000-0000-0000C52A0000}"/>
    <cellStyle name="40% - Accent1 2 4 11" xfId="20099" xr:uid="{00000000-0005-0000-0000-0000C62A0000}"/>
    <cellStyle name="40% - Accent1 2 4 2" xfId="2775" xr:uid="{00000000-0005-0000-0000-0000C72A0000}"/>
    <cellStyle name="40% - Accent1 2 4 2 2" xfId="2776" xr:uid="{00000000-0005-0000-0000-0000C82A0000}"/>
    <cellStyle name="40% - Accent1 2 4 2 2 2" xfId="10937" xr:uid="{00000000-0005-0000-0000-0000C92A0000}"/>
    <cellStyle name="40% - Accent1 2 4 2 2 2 2" xfId="24879" xr:uid="{00000000-0005-0000-0000-0000CA2A0000}"/>
    <cellStyle name="40% - Accent1 2 4 2 2 3" xfId="20101" xr:uid="{00000000-0005-0000-0000-0000CB2A0000}"/>
    <cellStyle name="40% - Accent1 2 4 2 3" xfId="2777" xr:uid="{00000000-0005-0000-0000-0000CC2A0000}"/>
    <cellStyle name="40% - Accent1 2 4 2 3 2" xfId="12588" xr:uid="{00000000-0005-0000-0000-0000CD2A0000}"/>
    <cellStyle name="40% - Accent1 2 4 2 3 2 2" xfId="26300" xr:uid="{00000000-0005-0000-0000-0000CE2A0000}"/>
    <cellStyle name="40% - Accent1 2 4 2 3 3" xfId="20102" xr:uid="{00000000-0005-0000-0000-0000CF2A0000}"/>
    <cellStyle name="40% - Accent1 2 4 2 4" xfId="2778" xr:uid="{00000000-0005-0000-0000-0000D02A0000}"/>
    <cellStyle name="40% - Accent1 2 4 2 4 2" xfId="15083" xr:uid="{00000000-0005-0000-0000-0000D12A0000}"/>
    <cellStyle name="40% - Accent1 2 4 2 4 2 2" xfId="28632" xr:uid="{00000000-0005-0000-0000-0000D22A0000}"/>
    <cellStyle name="40% - Accent1 2 4 2 4 3" xfId="20103" xr:uid="{00000000-0005-0000-0000-0000D32A0000}"/>
    <cellStyle name="40% - Accent1 2 4 2 5" xfId="2779" xr:uid="{00000000-0005-0000-0000-0000D42A0000}"/>
    <cellStyle name="40% - Accent1 2 4 2 5 2" xfId="16762" xr:uid="{00000000-0005-0000-0000-0000D52A0000}"/>
    <cellStyle name="40% - Accent1 2 4 2 5 2 2" xfId="30169" xr:uid="{00000000-0005-0000-0000-0000D62A0000}"/>
    <cellStyle name="40% - Accent1 2 4 2 5 3" xfId="20104" xr:uid="{00000000-0005-0000-0000-0000D72A0000}"/>
    <cellStyle name="40% - Accent1 2 4 2 6" xfId="9211" xr:uid="{00000000-0005-0000-0000-0000D82A0000}"/>
    <cellStyle name="40% - Accent1 2 4 2 6 2" xfId="23686" xr:uid="{00000000-0005-0000-0000-0000D92A0000}"/>
    <cellStyle name="40% - Accent1 2 4 2 7" xfId="20100" xr:uid="{00000000-0005-0000-0000-0000DA2A0000}"/>
    <cellStyle name="40% - Accent1 2 4 3" xfId="2780" xr:uid="{00000000-0005-0000-0000-0000DB2A0000}"/>
    <cellStyle name="40% - Accent1 2 4 3 2" xfId="2781" xr:uid="{00000000-0005-0000-0000-0000DC2A0000}"/>
    <cellStyle name="40% - Accent1 2 4 3 2 2" xfId="15084" xr:uid="{00000000-0005-0000-0000-0000DD2A0000}"/>
    <cellStyle name="40% - Accent1 2 4 3 2 2 2" xfId="28633" xr:uid="{00000000-0005-0000-0000-0000DE2A0000}"/>
    <cellStyle name="40% - Accent1 2 4 3 2 3" xfId="20106" xr:uid="{00000000-0005-0000-0000-0000DF2A0000}"/>
    <cellStyle name="40% - Accent1 2 4 3 3" xfId="10936" xr:uid="{00000000-0005-0000-0000-0000E02A0000}"/>
    <cellStyle name="40% - Accent1 2 4 3 3 2" xfId="24878" xr:uid="{00000000-0005-0000-0000-0000E12A0000}"/>
    <cellStyle name="40% - Accent1 2 4 3 4" xfId="20105" xr:uid="{00000000-0005-0000-0000-0000E22A0000}"/>
    <cellStyle name="40% - Accent1 2 4 4" xfId="2782" xr:uid="{00000000-0005-0000-0000-0000E32A0000}"/>
    <cellStyle name="40% - Accent1 2 4 4 2" xfId="12150" xr:uid="{00000000-0005-0000-0000-0000E42A0000}"/>
    <cellStyle name="40% - Accent1 2 4 4 2 2" xfId="25862" xr:uid="{00000000-0005-0000-0000-0000E52A0000}"/>
    <cellStyle name="40% - Accent1 2 4 4 3" xfId="20107" xr:uid="{00000000-0005-0000-0000-0000E62A0000}"/>
    <cellStyle name="40% - Accent1 2 4 5" xfId="2783" xr:uid="{00000000-0005-0000-0000-0000E72A0000}"/>
    <cellStyle name="40% - Accent1 2 4 5 2" xfId="12785" xr:uid="{00000000-0005-0000-0000-0000E82A0000}"/>
    <cellStyle name="40% - Accent1 2 4 5 2 2" xfId="26497" xr:uid="{00000000-0005-0000-0000-0000E92A0000}"/>
    <cellStyle name="40% - Accent1 2 4 5 3" xfId="20108" xr:uid="{00000000-0005-0000-0000-0000EA2A0000}"/>
    <cellStyle name="40% - Accent1 2 4 6" xfId="2784" xr:uid="{00000000-0005-0000-0000-0000EB2A0000}"/>
    <cellStyle name="40% - Accent1 2 4 6 2" xfId="13714" xr:uid="{00000000-0005-0000-0000-0000EC2A0000}"/>
    <cellStyle name="40% - Accent1 2 4 6 2 2" xfId="27263" xr:uid="{00000000-0005-0000-0000-0000ED2A0000}"/>
    <cellStyle name="40% - Accent1 2 4 6 3" xfId="20109" xr:uid="{00000000-0005-0000-0000-0000EE2A0000}"/>
    <cellStyle name="40% - Accent1 2 4 7" xfId="2785" xr:uid="{00000000-0005-0000-0000-0000EF2A0000}"/>
    <cellStyle name="40% - Accent1 2 4 7 2" xfId="14295" xr:uid="{00000000-0005-0000-0000-0000F02A0000}"/>
    <cellStyle name="40% - Accent1 2 4 7 2 2" xfId="27844" xr:uid="{00000000-0005-0000-0000-0000F12A0000}"/>
    <cellStyle name="40% - Accent1 2 4 7 3" xfId="20110" xr:uid="{00000000-0005-0000-0000-0000F22A0000}"/>
    <cellStyle name="40% - Accent1 2 4 8" xfId="2786" xr:uid="{00000000-0005-0000-0000-0000F32A0000}"/>
    <cellStyle name="40% - Accent1 2 4 8 2" xfId="15082" xr:uid="{00000000-0005-0000-0000-0000F42A0000}"/>
    <cellStyle name="40% - Accent1 2 4 8 2 2" xfId="28631" xr:uid="{00000000-0005-0000-0000-0000F52A0000}"/>
    <cellStyle name="40% - Accent1 2 4 8 3" xfId="20111" xr:uid="{00000000-0005-0000-0000-0000F62A0000}"/>
    <cellStyle name="40% - Accent1 2 4 9" xfId="2787" xr:uid="{00000000-0005-0000-0000-0000F72A0000}"/>
    <cellStyle name="40% - Accent1 2 4 9 2" xfId="16181" xr:uid="{00000000-0005-0000-0000-0000F82A0000}"/>
    <cellStyle name="40% - Accent1 2 4 9 2 2" xfId="29588" xr:uid="{00000000-0005-0000-0000-0000F92A0000}"/>
    <cellStyle name="40% - Accent1 2 4 9 3" xfId="20112" xr:uid="{00000000-0005-0000-0000-0000FA2A0000}"/>
    <cellStyle name="40% - Accent1 2 5" xfId="2788" xr:uid="{00000000-0005-0000-0000-0000FB2A0000}"/>
    <cellStyle name="40% - Accent1 2 5 2" xfId="2789" xr:uid="{00000000-0005-0000-0000-0000FC2A0000}"/>
    <cellStyle name="40% - Accent1 2 5 2 2" xfId="2790" xr:uid="{00000000-0005-0000-0000-0000FD2A0000}"/>
    <cellStyle name="40% - Accent1 2 5 2 2 2" xfId="10939" xr:uid="{00000000-0005-0000-0000-0000FE2A0000}"/>
    <cellStyle name="40% - Accent1 2 5 2 2 2 2" xfId="24881" xr:uid="{00000000-0005-0000-0000-0000FF2A0000}"/>
    <cellStyle name="40% - Accent1 2 5 2 2 3" xfId="20115" xr:uid="{00000000-0005-0000-0000-0000002B0000}"/>
    <cellStyle name="40% - Accent1 2 5 2 3" xfId="2791" xr:uid="{00000000-0005-0000-0000-0000012B0000}"/>
    <cellStyle name="40% - Accent1 2 5 2 3 2" xfId="11761" xr:uid="{00000000-0005-0000-0000-0000022B0000}"/>
    <cellStyle name="40% - Accent1 2 5 2 3 2 2" xfId="25476" xr:uid="{00000000-0005-0000-0000-0000032B0000}"/>
    <cellStyle name="40% - Accent1 2 5 2 3 3" xfId="20116" xr:uid="{00000000-0005-0000-0000-0000042B0000}"/>
    <cellStyle name="40% - Accent1 2 5 2 4" xfId="2792" xr:uid="{00000000-0005-0000-0000-0000052B0000}"/>
    <cellStyle name="40% - Accent1 2 5 2 4 2" xfId="15086" xr:uid="{00000000-0005-0000-0000-0000062B0000}"/>
    <cellStyle name="40% - Accent1 2 5 2 4 2 2" xfId="28635" xr:uid="{00000000-0005-0000-0000-0000072B0000}"/>
    <cellStyle name="40% - Accent1 2 5 2 4 3" xfId="20117" xr:uid="{00000000-0005-0000-0000-0000082B0000}"/>
    <cellStyle name="40% - Accent1 2 5 2 5" xfId="9213" xr:uid="{00000000-0005-0000-0000-0000092B0000}"/>
    <cellStyle name="40% - Accent1 2 5 2 5 2" xfId="23688" xr:uid="{00000000-0005-0000-0000-00000A2B0000}"/>
    <cellStyle name="40% - Accent1 2 5 2 6" xfId="20114" xr:uid="{00000000-0005-0000-0000-00000B2B0000}"/>
    <cellStyle name="40% - Accent1 2 5 3" xfId="2793" xr:uid="{00000000-0005-0000-0000-00000C2B0000}"/>
    <cellStyle name="40% - Accent1 2 5 3 2" xfId="10938" xr:uid="{00000000-0005-0000-0000-00000D2B0000}"/>
    <cellStyle name="40% - Accent1 2 5 3 2 2" xfId="24880" xr:uid="{00000000-0005-0000-0000-00000E2B0000}"/>
    <cellStyle name="40% - Accent1 2 5 3 3" xfId="20118" xr:uid="{00000000-0005-0000-0000-00000F2B0000}"/>
    <cellStyle name="40% - Accent1 2 5 4" xfId="2794" xr:uid="{00000000-0005-0000-0000-0000102B0000}"/>
    <cellStyle name="40% - Accent1 2 5 4 2" xfId="12387" xr:uid="{00000000-0005-0000-0000-0000112B0000}"/>
    <cellStyle name="40% - Accent1 2 5 4 2 2" xfId="26099" xr:uid="{00000000-0005-0000-0000-0000122B0000}"/>
    <cellStyle name="40% - Accent1 2 5 4 3" xfId="20119" xr:uid="{00000000-0005-0000-0000-0000132B0000}"/>
    <cellStyle name="40% - Accent1 2 5 5" xfId="2795" xr:uid="{00000000-0005-0000-0000-0000142B0000}"/>
    <cellStyle name="40% - Accent1 2 5 5 2" xfId="15085" xr:uid="{00000000-0005-0000-0000-0000152B0000}"/>
    <cellStyle name="40% - Accent1 2 5 5 2 2" xfId="28634" xr:uid="{00000000-0005-0000-0000-0000162B0000}"/>
    <cellStyle name="40% - Accent1 2 5 5 3" xfId="20120" xr:uid="{00000000-0005-0000-0000-0000172B0000}"/>
    <cellStyle name="40% - Accent1 2 5 6" xfId="2796" xr:uid="{00000000-0005-0000-0000-0000182B0000}"/>
    <cellStyle name="40% - Accent1 2 5 6 2" xfId="17002" xr:uid="{00000000-0005-0000-0000-0000192B0000}"/>
    <cellStyle name="40% - Accent1 2 5 6 2 2" xfId="30409" xr:uid="{00000000-0005-0000-0000-00001A2B0000}"/>
    <cellStyle name="40% - Accent1 2 5 6 3" xfId="20121" xr:uid="{00000000-0005-0000-0000-00001B2B0000}"/>
    <cellStyle name="40% - Accent1 2 5 7" xfId="9212" xr:uid="{00000000-0005-0000-0000-00001C2B0000}"/>
    <cellStyle name="40% - Accent1 2 5 7 2" xfId="23687" xr:uid="{00000000-0005-0000-0000-00001D2B0000}"/>
    <cellStyle name="40% - Accent1 2 5 8" xfId="20113" xr:uid="{00000000-0005-0000-0000-00001E2B0000}"/>
    <cellStyle name="40% - Accent1 2 6" xfId="2797" xr:uid="{00000000-0005-0000-0000-00001F2B0000}"/>
    <cellStyle name="40% - Accent1 2 6 2" xfId="2798" xr:uid="{00000000-0005-0000-0000-0000202B0000}"/>
    <cellStyle name="40% - Accent1 2 6 2 2" xfId="10940" xr:uid="{00000000-0005-0000-0000-0000212B0000}"/>
    <cellStyle name="40% - Accent1 2 6 2 2 2" xfId="24882" xr:uid="{00000000-0005-0000-0000-0000222B0000}"/>
    <cellStyle name="40% - Accent1 2 6 2 3" xfId="20123" xr:uid="{00000000-0005-0000-0000-0000232B0000}"/>
    <cellStyle name="40% - Accent1 2 6 3" xfId="2799" xr:uid="{00000000-0005-0000-0000-0000242B0000}"/>
    <cellStyle name="40% - Accent1 2 6 3 2" xfId="12504" xr:uid="{00000000-0005-0000-0000-0000252B0000}"/>
    <cellStyle name="40% - Accent1 2 6 3 2 2" xfId="26216" xr:uid="{00000000-0005-0000-0000-0000262B0000}"/>
    <cellStyle name="40% - Accent1 2 6 3 3" xfId="20124" xr:uid="{00000000-0005-0000-0000-0000272B0000}"/>
    <cellStyle name="40% - Accent1 2 6 4" xfId="2800" xr:uid="{00000000-0005-0000-0000-0000282B0000}"/>
    <cellStyle name="40% - Accent1 2 6 4 2" xfId="15087" xr:uid="{00000000-0005-0000-0000-0000292B0000}"/>
    <cellStyle name="40% - Accent1 2 6 4 2 2" xfId="28636" xr:uid="{00000000-0005-0000-0000-00002A2B0000}"/>
    <cellStyle name="40% - Accent1 2 6 4 3" xfId="20125" xr:uid="{00000000-0005-0000-0000-00002B2B0000}"/>
    <cellStyle name="40% - Accent1 2 6 5" xfId="2801" xr:uid="{00000000-0005-0000-0000-00002C2B0000}"/>
    <cellStyle name="40% - Accent1 2 6 5 2" xfId="17109" xr:uid="{00000000-0005-0000-0000-00002D2B0000}"/>
    <cellStyle name="40% - Accent1 2 6 5 2 2" xfId="30468" xr:uid="{00000000-0005-0000-0000-00002E2B0000}"/>
    <cellStyle name="40% - Accent1 2 6 5 3" xfId="20126" xr:uid="{00000000-0005-0000-0000-00002F2B0000}"/>
    <cellStyle name="40% - Accent1 2 6 6" xfId="9214" xr:uid="{00000000-0005-0000-0000-0000302B0000}"/>
    <cellStyle name="40% - Accent1 2 6 6 2" xfId="23689" xr:uid="{00000000-0005-0000-0000-0000312B0000}"/>
    <cellStyle name="40% - Accent1 2 6 7" xfId="20122" xr:uid="{00000000-0005-0000-0000-0000322B0000}"/>
    <cellStyle name="40% - Accent1 2 7" xfId="2802" xr:uid="{00000000-0005-0000-0000-0000332B0000}"/>
    <cellStyle name="40% - Accent1 2 7 2" xfId="2803" xr:uid="{00000000-0005-0000-0000-0000342B0000}"/>
    <cellStyle name="40% - Accent1 2 7 2 2" xfId="10941" xr:uid="{00000000-0005-0000-0000-0000352B0000}"/>
    <cellStyle name="40% - Accent1 2 7 2 2 2" xfId="24883" xr:uid="{00000000-0005-0000-0000-0000362B0000}"/>
    <cellStyle name="40% - Accent1 2 7 2 3" xfId="20128" xr:uid="{00000000-0005-0000-0000-0000372B0000}"/>
    <cellStyle name="40% - Accent1 2 7 3" xfId="2804" xr:uid="{00000000-0005-0000-0000-0000382B0000}"/>
    <cellStyle name="40% - Accent1 2 7 3 2" xfId="12500" xr:uid="{00000000-0005-0000-0000-0000392B0000}"/>
    <cellStyle name="40% - Accent1 2 7 3 2 2" xfId="26212" xr:uid="{00000000-0005-0000-0000-00003A2B0000}"/>
    <cellStyle name="40% - Accent1 2 7 3 3" xfId="20129" xr:uid="{00000000-0005-0000-0000-00003B2B0000}"/>
    <cellStyle name="40% - Accent1 2 7 4" xfId="2805" xr:uid="{00000000-0005-0000-0000-00003C2B0000}"/>
    <cellStyle name="40% - Accent1 2 7 4 2" xfId="15088" xr:uid="{00000000-0005-0000-0000-00003D2B0000}"/>
    <cellStyle name="40% - Accent1 2 7 4 2 2" xfId="28637" xr:uid="{00000000-0005-0000-0000-00003E2B0000}"/>
    <cellStyle name="40% - Accent1 2 7 4 3" xfId="20130" xr:uid="{00000000-0005-0000-0000-00003F2B0000}"/>
    <cellStyle name="40% - Accent1 2 7 5" xfId="2806" xr:uid="{00000000-0005-0000-0000-0000402B0000}"/>
    <cellStyle name="40% - Accent1 2 7 5 2" xfId="17198" xr:uid="{00000000-0005-0000-0000-0000412B0000}"/>
    <cellStyle name="40% - Accent1 2 7 5 2 2" xfId="30557" xr:uid="{00000000-0005-0000-0000-0000422B0000}"/>
    <cellStyle name="40% - Accent1 2 7 5 3" xfId="20131" xr:uid="{00000000-0005-0000-0000-0000432B0000}"/>
    <cellStyle name="40% - Accent1 2 7 6" xfId="9215" xr:uid="{00000000-0005-0000-0000-0000442B0000}"/>
    <cellStyle name="40% - Accent1 2 7 6 2" xfId="23690" xr:uid="{00000000-0005-0000-0000-0000452B0000}"/>
    <cellStyle name="40% - Accent1 2 7 7" xfId="20127" xr:uid="{00000000-0005-0000-0000-0000462B0000}"/>
    <cellStyle name="40% - Accent1 2 8" xfId="2807" xr:uid="{00000000-0005-0000-0000-0000472B0000}"/>
    <cellStyle name="40% - Accent1 2 8 2" xfId="2808" xr:uid="{00000000-0005-0000-0000-0000482B0000}"/>
    <cellStyle name="40% - Accent1 2 8 2 2" xfId="12653" xr:uid="{00000000-0005-0000-0000-0000492B0000}"/>
    <cellStyle name="40% - Accent1 2 8 2 2 2" xfId="26365" xr:uid="{00000000-0005-0000-0000-00004A2B0000}"/>
    <cellStyle name="40% - Accent1 2 8 2 3" xfId="20133" xr:uid="{00000000-0005-0000-0000-00004B2B0000}"/>
    <cellStyle name="40% - Accent1 2 8 3" xfId="2809" xr:uid="{00000000-0005-0000-0000-00004C2B0000}"/>
    <cellStyle name="40% - Accent1 2 8 3 2" xfId="15089" xr:uid="{00000000-0005-0000-0000-00004D2B0000}"/>
    <cellStyle name="40% - Accent1 2 8 3 2 2" xfId="28638" xr:uid="{00000000-0005-0000-0000-00004E2B0000}"/>
    <cellStyle name="40% - Accent1 2 8 3 3" xfId="20134" xr:uid="{00000000-0005-0000-0000-00004F2B0000}"/>
    <cellStyle name="40% - Accent1 2 8 4" xfId="2810" xr:uid="{00000000-0005-0000-0000-0000502B0000}"/>
    <cellStyle name="40% - Accent1 2 8 4 2" xfId="16473" xr:uid="{00000000-0005-0000-0000-0000512B0000}"/>
    <cellStyle name="40% - Accent1 2 8 4 2 2" xfId="29880" xr:uid="{00000000-0005-0000-0000-0000522B0000}"/>
    <cellStyle name="40% - Accent1 2 8 4 3" xfId="20135" xr:uid="{00000000-0005-0000-0000-0000532B0000}"/>
    <cellStyle name="40% - Accent1 2 8 5" xfId="10523" xr:uid="{00000000-0005-0000-0000-0000542B0000}"/>
    <cellStyle name="40% - Accent1 2 8 5 2" xfId="24465" xr:uid="{00000000-0005-0000-0000-0000552B0000}"/>
    <cellStyle name="40% - Accent1 2 8 6" xfId="20132" xr:uid="{00000000-0005-0000-0000-0000562B0000}"/>
    <cellStyle name="40% - Accent1 2 9" xfId="2811" xr:uid="{00000000-0005-0000-0000-0000572B0000}"/>
    <cellStyle name="40% - Accent1 2 9 2" xfId="2812" xr:uid="{00000000-0005-0000-0000-0000582B0000}"/>
    <cellStyle name="40% - Accent1 2 9 2 2" xfId="11754" xr:uid="{00000000-0005-0000-0000-0000592B0000}"/>
    <cellStyle name="40% - Accent1 2 9 2 2 2" xfId="25469" xr:uid="{00000000-0005-0000-0000-00005A2B0000}"/>
    <cellStyle name="40% - Accent1 2 9 2 3" xfId="20137" xr:uid="{00000000-0005-0000-0000-00005B2B0000}"/>
    <cellStyle name="40% - Accent1 2 9 3" xfId="2813" xr:uid="{00000000-0005-0000-0000-00005C2B0000}"/>
    <cellStyle name="40% - Accent1 2 9 3 2" xfId="15090" xr:uid="{00000000-0005-0000-0000-00005D2B0000}"/>
    <cellStyle name="40% - Accent1 2 9 3 2 2" xfId="28639" xr:uid="{00000000-0005-0000-0000-00005E2B0000}"/>
    <cellStyle name="40% - Accent1 2 9 3 3" xfId="20138" xr:uid="{00000000-0005-0000-0000-00005F2B0000}"/>
    <cellStyle name="40% - Accent1 2 9 4" xfId="10923" xr:uid="{00000000-0005-0000-0000-0000602B0000}"/>
    <cellStyle name="40% - Accent1 2 9 4 2" xfId="24865" xr:uid="{00000000-0005-0000-0000-0000612B0000}"/>
    <cellStyle name="40% - Accent1 2 9 5" xfId="20136" xr:uid="{00000000-0005-0000-0000-0000622B0000}"/>
    <cellStyle name="40% - Accent1 20" xfId="2814" xr:uid="{00000000-0005-0000-0000-0000632B0000}"/>
    <cellStyle name="40% - Accent1 20 2" xfId="2815" xr:uid="{00000000-0005-0000-0000-0000642B0000}"/>
    <cellStyle name="40% - Accent1 20 2 2" xfId="12475" xr:uid="{00000000-0005-0000-0000-0000652B0000}"/>
    <cellStyle name="40% - Accent1 20 2 2 2" xfId="26187" xr:uid="{00000000-0005-0000-0000-0000662B0000}"/>
    <cellStyle name="40% - Accent1 20 2 3" xfId="20140" xr:uid="{00000000-0005-0000-0000-0000672B0000}"/>
    <cellStyle name="40% - Accent1 20 3" xfId="2816" xr:uid="{00000000-0005-0000-0000-0000682B0000}"/>
    <cellStyle name="40% - Accent1 20 3 2" xfId="15091" xr:uid="{00000000-0005-0000-0000-0000692B0000}"/>
    <cellStyle name="40% - Accent1 20 3 2 2" xfId="28640" xr:uid="{00000000-0005-0000-0000-00006A2B0000}"/>
    <cellStyle name="40% - Accent1 20 3 3" xfId="20141" xr:uid="{00000000-0005-0000-0000-00006B2B0000}"/>
    <cellStyle name="40% - Accent1 20 4" xfId="10498" xr:uid="{00000000-0005-0000-0000-00006C2B0000}"/>
    <cellStyle name="40% - Accent1 20 4 2" xfId="24446" xr:uid="{00000000-0005-0000-0000-00006D2B0000}"/>
    <cellStyle name="40% - Accent1 20 5" xfId="20139" xr:uid="{00000000-0005-0000-0000-00006E2B0000}"/>
    <cellStyle name="40% - Accent1 21" xfId="2817" xr:uid="{00000000-0005-0000-0000-00006F2B0000}"/>
    <cellStyle name="40% - Accent1 21 2" xfId="2818" xr:uid="{00000000-0005-0000-0000-0000702B0000}"/>
    <cellStyle name="40% - Accent1 21 2 2" xfId="12476" xr:uid="{00000000-0005-0000-0000-0000712B0000}"/>
    <cellStyle name="40% - Accent1 21 2 2 2" xfId="26188" xr:uid="{00000000-0005-0000-0000-0000722B0000}"/>
    <cellStyle name="40% - Accent1 21 2 3" xfId="20143" xr:uid="{00000000-0005-0000-0000-0000732B0000}"/>
    <cellStyle name="40% - Accent1 21 3" xfId="2819" xr:uid="{00000000-0005-0000-0000-0000742B0000}"/>
    <cellStyle name="40% - Accent1 21 3 2" xfId="15092" xr:uid="{00000000-0005-0000-0000-0000752B0000}"/>
    <cellStyle name="40% - Accent1 21 3 2 2" xfId="28641" xr:uid="{00000000-0005-0000-0000-0000762B0000}"/>
    <cellStyle name="40% - Accent1 21 3 3" xfId="20144" xr:uid="{00000000-0005-0000-0000-0000772B0000}"/>
    <cellStyle name="40% - Accent1 21 4" xfId="10912" xr:uid="{00000000-0005-0000-0000-0000782B0000}"/>
    <cellStyle name="40% - Accent1 21 4 2" xfId="24854" xr:uid="{00000000-0005-0000-0000-0000792B0000}"/>
    <cellStyle name="40% - Accent1 21 5" xfId="20142" xr:uid="{00000000-0005-0000-0000-00007A2B0000}"/>
    <cellStyle name="40% - Accent1 22" xfId="2820" xr:uid="{00000000-0005-0000-0000-00007B2B0000}"/>
    <cellStyle name="40% - Accent1 22 2" xfId="11734" xr:uid="{00000000-0005-0000-0000-00007C2B0000}"/>
    <cellStyle name="40% - Accent1 22 2 2" xfId="25449" xr:uid="{00000000-0005-0000-0000-00007D2B0000}"/>
    <cellStyle name="40% - Accent1 22 3" xfId="20145" xr:uid="{00000000-0005-0000-0000-00007E2B0000}"/>
    <cellStyle name="40% - Accent1 23" xfId="2821" xr:uid="{00000000-0005-0000-0000-00007F2B0000}"/>
    <cellStyle name="40% - Accent1 23 2" xfId="12701" xr:uid="{00000000-0005-0000-0000-0000802B0000}"/>
    <cellStyle name="40% - Accent1 23 2 2" xfId="26413" xr:uid="{00000000-0005-0000-0000-0000812B0000}"/>
    <cellStyle name="40% - Accent1 23 3" xfId="20146" xr:uid="{00000000-0005-0000-0000-0000822B0000}"/>
    <cellStyle name="40% - Accent1 24" xfId="2822" xr:uid="{00000000-0005-0000-0000-0000832B0000}"/>
    <cellStyle name="40% - Accent1 24 2" xfId="13373" xr:uid="{00000000-0005-0000-0000-0000842B0000}"/>
    <cellStyle name="40% - Accent1 24 2 2" xfId="26922" xr:uid="{00000000-0005-0000-0000-0000852B0000}"/>
    <cellStyle name="40% - Accent1 24 3" xfId="20147" xr:uid="{00000000-0005-0000-0000-0000862B0000}"/>
    <cellStyle name="40% - Accent1 25" xfId="2823" xr:uid="{00000000-0005-0000-0000-0000872B0000}"/>
    <cellStyle name="40% - Accent1 25 2" xfId="13954" xr:uid="{00000000-0005-0000-0000-0000882B0000}"/>
    <cellStyle name="40% - Accent1 25 2 2" xfId="27503" xr:uid="{00000000-0005-0000-0000-0000892B0000}"/>
    <cellStyle name="40% - Accent1 25 3" xfId="20148" xr:uid="{00000000-0005-0000-0000-00008A2B0000}"/>
    <cellStyle name="40% - Accent1 26" xfId="2824" xr:uid="{00000000-0005-0000-0000-00008B2B0000}"/>
    <cellStyle name="40% - Accent1 26 2" xfId="15049" xr:uid="{00000000-0005-0000-0000-00008C2B0000}"/>
    <cellStyle name="40% - Accent1 26 2 2" xfId="28598" xr:uid="{00000000-0005-0000-0000-00008D2B0000}"/>
    <cellStyle name="40% - Accent1 26 3" xfId="20149" xr:uid="{00000000-0005-0000-0000-00008E2B0000}"/>
    <cellStyle name="40% - Accent1 27" xfId="2825" xr:uid="{00000000-0005-0000-0000-00008F2B0000}"/>
    <cellStyle name="40% - Accent1 27 2" xfId="15824" xr:uid="{00000000-0005-0000-0000-0000902B0000}"/>
    <cellStyle name="40% - Accent1 27 2 2" xfId="29231" xr:uid="{00000000-0005-0000-0000-0000912B0000}"/>
    <cellStyle name="40% - Accent1 27 3" xfId="20150" xr:uid="{00000000-0005-0000-0000-0000922B0000}"/>
    <cellStyle name="40% - Accent1 28" xfId="2826" xr:uid="{00000000-0005-0000-0000-0000932B0000}"/>
    <cellStyle name="40% - Accent1 28 2" xfId="15840" xr:uid="{00000000-0005-0000-0000-0000942B0000}"/>
    <cellStyle name="40% - Accent1 28 2 2" xfId="29247" xr:uid="{00000000-0005-0000-0000-0000952B0000}"/>
    <cellStyle name="40% - Accent1 28 3" xfId="20151" xr:uid="{00000000-0005-0000-0000-0000962B0000}"/>
    <cellStyle name="40% - Accent1 29" xfId="2827" xr:uid="{00000000-0005-0000-0000-0000972B0000}"/>
    <cellStyle name="40% - Accent1 29 2" xfId="9186" xr:uid="{00000000-0005-0000-0000-0000982B0000}"/>
    <cellStyle name="40% - Accent1 29 2 2" xfId="23661" xr:uid="{00000000-0005-0000-0000-0000992B0000}"/>
    <cellStyle name="40% - Accent1 29 3" xfId="20152" xr:uid="{00000000-0005-0000-0000-00009A2B0000}"/>
    <cellStyle name="40% - Accent1 3" xfId="2828" xr:uid="{00000000-0005-0000-0000-00009B2B0000}"/>
    <cellStyle name="40% - Accent1 3 10" xfId="2829" xr:uid="{00000000-0005-0000-0000-00009C2B0000}"/>
    <cellStyle name="40% - Accent1 3 10 2" xfId="14029" xr:uid="{00000000-0005-0000-0000-00009D2B0000}"/>
    <cellStyle name="40% - Accent1 3 10 2 2" xfId="27578" xr:uid="{00000000-0005-0000-0000-00009E2B0000}"/>
    <cellStyle name="40% - Accent1 3 10 3" xfId="20154" xr:uid="{00000000-0005-0000-0000-00009F2B0000}"/>
    <cellStyle name="40% - Accent1 3 11" xfId="2830" xr:uid="{00000000-0005-0000-0000-0000A02B0000}"/>
    <cellStyle name="40% - Accent1 3 11 2" xfId="15093" xr:uid="{00000000-0005-0000-0000-0000A12B0000}"/>
    <cellStyle name="40% - Accent1 3 11 2 2" xfId="28642" xr:uid="{00000000-0005-0000-0000-0000A22B0000}"/>
    <cellStyle name="40% - Accent1 3 11 3" xfId="20155" xr:uid="{00000000-0005-0000-0000-0000A32B0000}"/>
    <cellStyle name="40% - Accent1 3 12" xfId="2831" xr:uid="{00000000-0005-0000-0000-0000A42B0000}"/>
    <cellStyle name="40% - Accent1 3 12 2" xfId="15915" xr:uid="{00000000-0005-0000-0000-0000A52B0000}"/>
    <cellStyle name="40% - Accent1 3 12 2 2" xfId="29322" xr:uid="{00000000-0005-0000-0000-0000A62B0000}"/>
    <cellStyle name="40% - Accent1 3 12 3" xfId="20156" xr:uid="{00000000-0005-0000-0000-0000A72B0000}"/>
    <cellStyle name="40% - Accent1 3 13" xfId="9216" xr:uid="{00000000-0005-0000-0000-0000A82B0000}"/>
    <cellStyle name="40% - Accent1 3 13 2" xfId="23691" xr:uid="{00000000-0005-0000-0000-0000A92B0000}"/>
    <cellStyle name="40% - Accent1 3 14" xfId="20153" xr:uid="{00000000-0005-0000-0000-0000AA2B0000}"/>
    <cellStyle name="40% - Accent1 3 2" xfId="2832" xr:uid="{00000000-0005-0000-0000-0000AB2B0000}"/>
    <cellStyle name="40% - Accent1 3 2 10" xfId="2833" xr:uid="{00000000-0005-0000-0000-0000AC2B0000}"/>
    <cellStyle name="40% - Accent1 3 2 10 2" xfId="16058" xr:uid="{00000000-0005-0000-0000-0000AD2B0000}"/>
    <cellStyle name="40% - Accent1 3 2 10 2 2" xfId="29465" xr:uid="{00000000-0005-0000-0000-0000AE2B0000}"/>
    <cellStyle name="40% - Accent1 3 2 10 3" xfId="20158" xr:uid="{00000000-0005-0000-0000-0000AF2B0000}"/>
    <cellStyle name="40% - Accent1 3 2 11" xfId="9217" xr:uid="{00000000-0005-0000-0000-0000B02B0000}"/>
    <cellStyle name="40% - Accent1 3 2 11 2" xfId="23692" xr:uid="{00000000-0005-0000-0000-0000B12B0000}"/>
    <cellStyle name="40% - Accent1 3 2 12" xfId="20157" xr:uid="{00000000-0005-0000-0000-0000B22B0000}"/>
    <cellStyle name="40% - Accent1 3 2 2" xfId="2834" xr:uid="{00000000-0005-0000-0000-0000B32B0000}"/>
    <cellStyle name="40% - Accent1 3 2 2 10" xfId="9218" xr:uid="{00000000-0005-0000-0000-0000B42B0000}"/>
    <cellStyle name="40% - Accent1 3 2 2 10 2" xfId="23693" xr:uid="{00000000-0005-0000-0000-0000B52B0000}"/>
    <cellStyle name="40% - Accent1 3 2 2 11" xfId="20159" xr:uid="{00000000-0005-0000-0000-0000B62B0000}"/>
    <cellStyle name="40% - Accent1 3 2 2 2" xfId="2835" xr:uid="{00000000-0005-0000-0000-0000B72B0000}"/>
    <cellStyle name="40% - Accent1 3 2 2 2 2" xfId="2836" xr:uid="{00000000-0005-0000-0000-0000B82B0000}"/>
    <cellStyle name="40% - Accent1 3 2 2 2 2 2" xfId="10945" xr:uid="{00000000-0005-0000-0000-0000B92B0000}"/>
    <cellStyle name="40% - Accent1 3 2 2 2 2 2 2" xfId="24887" xr:uid="{00000000-0005-0000-0000-0000BA2B0000}"/>
    <cellStyle name="40% - Accent1 3 2 2 2 2 3" xfId="20161" xr:uid="{00000000-0005-0000-0000-0000BB2B0000}"/>
    <cellStyle name="40% - Accent1 3 2 2 2 3" xfId="2837" xr:uid="{00000000-0005-0000-0000-0000BC2B0000}"/>
    <cellStyle name="40% - Accent1 3 2 2 2 3 2" xfId="12770" xr:uid="{00000000-0005-0000-0000-0000BD2B0000}"/>
    <cellStyle name="40% - Accent1 3 2 2 2 3 2 2" xfId="26482" xr:uid="{00000000-0005-0000-0000-0000BE2B0000}"/>
    <cellStyle name="40% - Accent1 3 2 2 2 3 3" xfId="20162" xr:uid="{00000000-0005-0000-0000-0000BF2B0000}"/>
    <cellStyle name="40% - Accent1 3 2 2 2 4" xfId="2838" xr:uid="{00000000-0005-0000-0000-0000C02B0000}"/>
    <cellStyle name="40% - Accent1 3 2 2 2 4 2" xfId="15096" xr:uid="{00000000-0005-0000-0000-0000C12B0000}"/>
    <cellStyle name="40% - Accent1 3 2 2 2 4 2 2" xfId="28645" xr:uid="{00000000-0005-0000-0000-0000C22B0000}"/>
    <cellStyle name="40% - Accent1 3 2 2 2 4 3" xfId="20163" xr:uid="{00000000-0005-0000-0000-0000C32B0000}"/>
    <cellStyle name="40% - Accent1 3 2 2 2 5" xfId="2839" xr:uid="{00000000-0005-0000-0000-0000C42B0000}"/>
    <cellStyle name="40% - Accent1 3 2 2 2 5 2" xfId="16928" xr:uid="{00000000-0005-0000-0000-0000C52B0000}"/>
    <cellStyle name="40% - Accent1 3 2 2 2 5 2 2" xfId="30335" xr:uid="{00000000-0005-0000-0000-0000C62B0000}"/>
    <cellStyle name="40% - Accent1 3 2 2 2 5 3" xfId="20164" xr:uid="{00000000-0005-0000-0000-0000C72B0000}"/>
    <cellStyle name="40% - Accent1 3 2 2 2 6" xfId="9219" xr:uid="{00000000-0005-0000-0000-0000C82B0000}"/>
    <cellStyle name="40% - Accent1 3 2 2 2 6 2" xfId="23694" xr:uid="{00000000-0005-0000-0000-0000C92B0000}"/>
    <cellStyle name="40% - Accent1 3 2 2 2 7" xfId="20160" xr:uid="{00000000-0005-0000-0000-0000CA2B0000}"/>
    <cellStyle name="40% - Accent1 3 2 2 3" xfId="2840" xr:uid="{00000000-0005-0000-0000-0000CB2B0000}"/>
    <cellStyle name="40% - Accent1 3 2 2 3 2" xfId="2841" xr:uid="{00000000-0005-0000-0000-0000CC2B0000}"/>
    <cellStyle name="40% - Accent1 3 2 2 3 2 2" xfId="15097" xr:uid="{00000000-0005-0000-0000-0000CD2B0000}"/>
    <cellStyle name="40% - Accent1 3 2 2 3 2 2 2" xfId="28646" xr:uid="{00000000-0005-0000-0000-0000CE2B0000}"/>
    <cellStyle name="40% - Accent1 3 2 2 3 2 3" xfId="20166" xr:uid="{00000000-0005-0000-0000-0000CF2B0000}"/>
    <cellStyle name="40% - Accent1 3 2 2 3 3" xfId="10944" xr:uid="{00000000-0005-0000-0000-0000D02B0000}"/>
    <cellStyle name="40% - Accent1 3 2 2 3 3 2" xfId="24886" xr:uid="{00000000-0005-0000-0000-0000D12B0000}"/>
    <cellStyle name="40% - Accent1 3 2 2 3 4" xfId="20165" xr:uid="{00000000-0005-0000-0000-0000D22B0000}"/>
    <cellStyle name="40% - Accent1 3 2 2 4" xfId="2842" xr:uid="{00000000-0005-0000-0000-0000D32B0000}"/>
    <cellStyle name="40% - Accent1 3 2 2 4 2" xfId="12316" xr:uid="{00000000-0005-0000-0000-0000D42B0000}"/>
    <cellStyle name="40% - Accent1 3 2 2 4 2 2" xfId="26028" xr:uid="{00000000-0005-0000-0000-0000D52B0000}"/>
    <cellStyle name="40% - Accent1 3 2 2 4 3" xfId="20167" xr:uid="{00000000-0005-0000-0000-0000D62B0000}"/>
    <cellStyle name="40% - Accent1 3 2 2 5" xfId="2843" xr:uid="{00000000-0005-0000-0000-0000D72B0000}"/>
    <cellStyle name="40% - Accent1 3 2 2 5 2" xfId="12732" xr:uid="{00000000-0005-0000-0000-0000D82B0000}"/>
    <cellStyle name="40% - Accent1 3 2 2 5 2 2" xfId="26444" xr:uid="{00000000-0005-0000-0000-0000D92B0000}"/>
    <cellStyle name="40% - Accent1 3 2 2 5 3" xfId="20168" xr:uid="{00000000-0005-0000-0000-0000DA2B0000}"/>
    <cellStyle name="40% - Accent1 3 2 2 6" xfId="2844" xr:uid="{00000000-0005-0000-0000-0000DB2B0000}"/>
    <cellStyle name="40% - Accent1 3 2 2 6 2" xfId="13880" xr:uid="{00000000-0005-0000-0000-0000DC2B0000}"/>
    <cellStyle name="40% - Accent1 3 2 2 6 2 2" xfId="27429" xr:uid="{00000000-0005-0000-0000-0000DD2B0000}"/>
    <cellStyle name="40% - Accent1 3 2 2 6 3" xfId="20169" xr:uid="{00000000-0005-0000-0000-0000DE2B0000}"/>
    <cellStyle name="40% - Accent1 3 2 2 7" xfId="2845" xr:uid="{00000000-0005-0000-0000-0000DF2B0000}"/>
    <cellStyle name="40% - Accent1 3 2 2 7 2" xfId="14461" xr:uid="{00000000-0005-0000-0000-0000E02B0000}"/>
    <cellStyle name="40% - Accent1 3 2 2 7 2 2" xfId="28010" xr:uid="{00000000-0005-0000-0000-0000E12B0000}"/>
    <cellStyle name="40% - Accent1 3 2 2 7 3" xfId="20170" xr:uid="{00000000-0005-0000-0000-0000E22B0000}"/>
    <cellStyle name="40% - Accent1 3 2 2 8" xfId="2846" xr:uid="{00000000-0005-0000-0000-0000E32B0000}"/>
    <cellStyle name="40% - Accent1 3 2 2 8 2" xfId="15095" xr:uid="{00000000-0005-0000-0000-0000E42B0000}"/>
    <cellStyle name="40% - Accent1 3 2 2 8 2 2" xfId="28644" xr:uid="{00000000-0005-0000-0000-0000E52B0000}"/>
    <cellStyle name="40% - Accent1 3 2 2 8 3" xfId="20171" xr:uid="{00000000-0005-0000-0000-0000E62B0000}"/>
    <cellStyle name="40% - Accent1 3 2 2 9" xfId="2847" xr:uid="{00000000-0005-0000-0000-0000E72B0000}"/>
    <cellStyle name="40% - Accent1 3 2 2 9 2" xfId="16347" xr:uid="{00000000-0005-0000-0000-0000E82B0000}"/>
    <cellStyle name="40% - Accent1 3 2 2 9 2 2" xfId="29754" xr:uid="{00000000-0005-0000-0000-0000E92B0000}"/>
    <cellStyle name="40% - Accent1 3 2 2 9 3" xfId="20172" xr:uid="{00000000-0005-0000-0000-0000EA2B0000}"/>
    <cellStyle name="40% - Accent1 3 2 3" xfId="2848" xr:uid="{00000000-0005-0000-0000-0000EB2B0000}"/>
    <cellStyle name="40% - Accent1 3 2 3 2" xfId="2849" xr:uid="{00000000-0005-0000-0000-0000EC2B0000}"/>
    <cellStyle name="40% - Accent1 3 2 3 2 2" xfId="10946" xr:uid="{00000000-0005-0000-0000-0000ED2B0000}"/>
    <cellStyle name="40% - Accent1 3 2 3 2 2 2" xfId="24888" xr:uid="{00000000-0005-0000-0000-0000EE2B0000}"/>
    <cellStyle name="40% - Accent1 3 2 3 2 3" xfId="20174" xr:uid="{00000000-0005-0000-0000-0000EF2B0000}"/>
    <cellStyle name="40% - Accent1 3 2 3 3" xfId="2850" xr:uid="{00000000-0005-0000-0000-0000F02B0000}"/>
    <cellStyle name="40% - Accent1 3 2 3 3 2" xfId="12741" xr:uid="{00000000-0005-0000-0000-0000F12B0000}"/>
    <cellStyle name="40% - Accent1 3 2 3 3 2 2" xfId="26453" xr:uid="{00000000-0005-0000-0000-0000F22B0000}"/>
    <cellStyle name="40% - Accent1 3 2 3 3 3" xfId="20175" xr:uid="{00000000-0005-0000-0000-0000F32B0000}"/>
    <cellStyle name="40% - Accent1 3 2 3 4" xfId="2851" xr:uid="{00000000-0005-0000-0000-0000F42B0000}"/>
    <cellStyle name="40% - Accent1 3 2 3 4 2" xfId="15098" xr:uid="{00000000-0005-0000-0000-0000F52B0000}"/>
    <cellStyle name="40% - Accent1 3 2 3 4 2 2" xfId="28647" xr:uid="{00000000-0005-0000-0000-0000F62B0000}"/>
    <cellStyle name="40% - Accent1 3 2 3 4 3" xfId="20176" xr:uid="{00000000-0005-0000-0000-0000F72B0000}"/>
    <cellStyle name="40% - Accent1 3 2 3 5" xfId="2852" xr:uid="{00000000-0005-0000-0000-0000F82B0000}"/>
    <cellStyle name="40% - Accent1 3 2 3 5 2" xfId="16639" xr:uid="{00000000-0005-0000-0000-0000F92B0000}"/>
    <cellStyle name="40% - Accent1 3 2 3 5 2 2" xfId="30046" xr:uid="{00000000-0005-0000-0000-0000FA2B0000}"/>
    <cellStyle name="40% - Accent1 3 2 3 5 3" xfId="20177" xr:uid="{00000000-0005-0000-0000-0000FB2B0000}"/>
    <cellStyle name="40% - Accent1 3 2 3 6" xfId="9220" xr:uid="{00000000-0005-0000-0000-0000FC2B0000}"/>
    <cellStyle name="40% - Accent1 3 2 3 6 2" xfId="23695" xr:uid="{00000000-0005-0000-0000-0000FD2B0000}"/>
    <cellStyle name="40% - Accent1 3 2 3 7" xfId="20173" xr:uid="{00000000-0005-0000-0000-0000FE2B0000}"/>
    <cellStyle name="40% - Accent1 3 2 4" xfId="2853" xr:uid="{00000000-0005-0000-0000-0000FF2B0000}"/>
    <cellStyle name="40% - Accent1 3 2 4 2" xfId="2854" xr:uid="{00000000-0005-0000-0000-0000002C0000}"/>
    <cellStyle name="40% - Accent1 3 2 4 2 2" xfId="15099" xr:uid="{00000000-0005-0000-0000-0000012C0000}"/>
    <cellStyle name="40% - Accent1 3 2 4 2 2 2" xfId="28648" xr:uid="{00000000-0005-0000-0000-0000022C0000}"/>
    <cellStyle name="40% - Accent1 3 2 4 2 3" xfId="20179" xr:uid="{00000000-0005-0000-0000-0000032C0000}"/>
    <cellStyle name="40% - Accent1 3 2 4 3" xfId="10943" xr:uid="{00000000-0005-0000-0000-0000042C0000}"/>
    <cellStyle name="40% - Accent1 3 2 4 3 2" xfId="24885" xr:uid="{00000000-0005-0000-0000-0000052C0000}"/>
    <cellStyle name="40% - Accent1 3 2 4 4" xfId="20178" xr:uid="{00000000-0005-0000-0000-0000062C0000}"/>
    <cellStyle name="40% - Accent1 3 2 5" xfId="2855" xr:uid="{00000000-0005-0000-0000-0000072C0000}"/>
    <cellStyle name="40% - Accent1 3 2 5 2" xfId="12016" xr:uid="{00000000-0005-0000-0000-0000082C0000}"/>
    <cellStyle name="40% - Accent1 3 2 5 2 2" xfId="25731" xr:uid="{00000000-0005-0000-0000-0000092C0000}"/>
    <cellStyle name="40% - Accent1 3 2 5 3" xfId="20180" xr:uid="{00000000-0005-0000-0000-00000A2C0000}"/>
    <cellStyle name="40% - Accent1 3 2 6" xfId="2856" xr:uid="{00000000-0005-0000-0000-00000B2C0000}"/>
    <cellStyle name="40% - Accent1 3 2 6 2" xfId="11882" xr:uid="{00000000-0005-0000-0000-00000C2C0000}"/>
    <cellStyle name="40% - Accent1 3 2 6 2 2" xfId="25597" xr:uid="{00000000-0005-0000-0000-00000D2C0000}"/>
    <cellStyle name="40% - Accent1 3 2 6 3" xfId="20181" xr:uid="{00000000-0005-0000-0000-00000E2C0000}"/>
    <cellStyle name="40% - Accent1 3 2 7" xfId="2857" xr:uid="{00000000-0005-0000-0000-00000F2C0000}"/>
    <cellStyle name="40% - Accent1 3 2 7 2" xfId="13591" xr:uid="{00000000-0005-0000-0000-0000102C0000}"/>
    <cellStyle name="40% - Accent1 3 2 7 2 2" xfId="27140" xr:uid="{00000000-0005-0000-0000-0000112C0000}"/>
    <cellStyle name="40% - Accent1 3 2 7 3" xfId="20182" xr:uid="{00000000-0005-0000-0000-0000122C0000}"/>
    <cellStyle name="40% - Accent1 3 2 8" xfId="2858" xr:uid="{00000000-0005-0000-0000-0000132C0000}"/>
    <cellStyle name="40% - Accent1 3 2 8 2" xfId="14172" xr:uid="{00000000-0005-0000-0000-0000142C0000}"/>
    <cellStyle name="40% - Accent1 3 2 8 2 2" xfId="27721" xr:uid="{00000000-0005-0000-0000-0000152C0000}"/>
    <cellStyle name="40% - Accent1 3 2 8 3" xfId="20183" xr:uid="{00000000-0005-0000-0000-0000162C0000}"/>
    <cellStyle name="40% - Accent1 3 2 9" xfId="2859" xr:uid="{00000000-0005-0000-0000-0000172C0000}"/>
    <cellStyle name="40% - Accent1 3 2 9 2" xfId="15094" xr:uid="{00000000-0005-0000-0000-0000182C0000}"/>
    <cellStyle name="40% - Accent1 3 2 9 2 2" xfId="28643" xr:uid="{00000000-0005-0000-0000-0000192C0000}"/>
    <cellStyle name="40% - Accent1 3 2 9 3" xfId="20184" xr:uid="{00000000-0005-0000-0000-00001A2C0000}"/>
    <cellStyle name="40% - Accent1 3 3" xfId="2860" xr:uid="{00000000-0005-0000-0000-00001B2C0000}"/>
    <cellStyle name="40% - Accent1 3 3 10" xfId="9221" xr:uid="{00000000-0005-0000-0000-00001C2C0000}"/>
    <cellStyle name="40% - Accent1 3 3 10 2" xfId="23696" xr:uid="{00000000-0005-0000-0000-00001D2C0000}"/>
    <cellStyle name="40% - Accent1 3 3 11" xfId="20185" xr:uid="{00000000-0005-0000-0000-00001E2C0000}"/>
    <cellStyle name="40% - Accent1 3 3 2" xfId="2861" xr:uid="{00000000-0005-0000-0000-00001F2C0000}"/>
    <cellStyle name="40% - Accent1 3 3 2 2" xfId="2862" xr:uid="{00000000-0005-0000-0000-0000202C0000}"/>
    <cellStyle name="40% - Accent1 3 3 2 2 2" xfId="10948" xr:uid="{00000000-0005-0000-0000-0000212C0000}"/>
    <cellStyle name="40% - Accent1 3 3 2 2 2 2" xfId="24890" xr:uid="{00000000-0005-0000-0000-0000222C0000}"/>
    <cellStyle name="40% - Accent1 3 3 2 2 3" xfId="20187" xr:uid="{00000000-0005-0000-0000-0000232C0000}"/>
    <cellStyle name="40% - Accent1 3 3 2 3" xfId="2863" xr:uid="{00000000-0005-0000-0000-0000242C0000}"/>
    <cellStyle name="40% - Accent1 3 3 2 3 2" xfId="12449" xr:uid="{00000000-0005-0000-0000-0000252C0000}"/>
    <cellStyle name="40% - Accent1 3 3 2 3 2 2" xfId="26161" xr:uid="{00000000-0005-0000-0000-0000262C0000}"/>
    <cellStyle name="40% - Accent1 3 3 2 3 3" xfId="20188" xr:uid="{00000000-0005-0000-0000-0000272C0000}"/>
    <cellStyle name="40% - Accent1 3 3 2 4" xfId="2864" xr:uid="{00000000-0005-0000-0000-0000282C0000}"/>
    <cellStyle name="40% - Accent1 3 3 2 4 2" xfId="15101" xr:uid="{00000000-0005-0000-0000-0000292C0000}"/>
    <cellStyle name="40% - Accent1 3 3 2 4 2 2" xfId="28650" xr:uid="{00000000-0005-0000-0000-00002A2C0000}"/>
    <cellStyle name="40% - Accent1 3 3 2 4 3" xfId="20189" xr:uid="{00000000-0005-0000-0000-00002B2C0000}"/>
    <cellStyle name="40% - Accent1 3 3 2 5" xfId="2865" xr:uid="{00000000-0005-0000-0000-00002C2C0000}"/>
    <cellStyle name="40% - Accent1 3 3 2 5 2" xfId="16785" xr:uid="{00000000-0005-0000-0000-00002D2C0000}"/>
    <cellStyle name="40% - Accent1 3 3 2 5 2 2" xfId="30192" xr:uid="{00000000-0005-0000-0000-00002E2C0000}"/>
    <cellStyle name="40% - Accent1 3 3 2 5 3" xfId="20190" xr:uid="{00000000-0005-0000-0000-00002F2C0000}"/>
    <cellStyle name="40% - Accent1 3 3 2 6" xfId="9222" xr:uid="{00000000-0005-0000-0000-0000302C0000}"/>
    <cellStyle name="40% - Accent1 3 3 2 6 2" xfId="23697" xr:uid="{00000000-0005-0000-0000-0000312C0000}"/>
    <cellStyle name="40% - Accent1 3 3 2 7" xfId="20186" xr:uid="{00000000-0005-0000-0000-0000322C0000}"/>
    <cellStyle name="40% - Accent1 3 3 3" xfId="2866" xr:uid="{00000000-0005-0000-0000-0000332C0000}"/>
    <cellStyle name="40% - Accent1 3 3 3 2" xfId="2867" xr:uid="{00000000-0005-0000-0000-0000342C0000}"/>
    <cellStyle name="40% - Accent1 3 3 3 2 2" xfId="15102" xr:uid="{00000000-0005-0000-0000-0000352C0000}"/>
    <cellStyle name="40% - Accent1 3 3 3 2 2 2" xfId="28651" xr:uid="{00000000-0005-0000-0000-0000362C0000}"/>
    <cellStyle name="40% - Accent1 3 3 3 2 3" xfId="20192" xr:uid="{00000000-0005-0000-0000-0000372C0000}"/>
    <cellStyle name="40% - Accent1 3 3 3 3" xfId="10947" xr:uid="{00000000-0005-0000-0000-0000382C0000}"/>
    <cellStyle name="40% - Accent1 3 3 3 3 2" xfId="24889" xr:uid="{00000000-0005-0000-0000-0000392C0000}"/>
    <cellStyle name="40% - Accent1 3 3 3 4" xfId="20191" xr:uid="{00000000-0005-0000-0000-00003A2C0000}"/>
    <cellStyle name="40% - Accent1 3 3 4" xfId="2868" xr:uid="{00000000-0005-0000-0000-00003B2C0000}"/>
    <cellStyle name="40% - Accent1 3 3 4 2" xfId="12173" xr:uid="{00000000-0005-0000-0000-00003C2C0000}"/>
    <cellStyle name="40% - Accent1 3 3 4 2 2" xfId="25885" xr:uid="{00000000-0005-0000-0000-00003D2C0000}"/>
    <cellStyle name="40% - Accent1 3 3 4 3" xfId="20193" xr:uid="{00000000-0005-0000-0000-00003E2C0000}"/>
    <cellStyle name="40% - Accent1 3 3 5" xfId="2869" xr:uid="{00000000-0005-0000-0000-00003F2C0000}"/>
    <cellStyle name="40% - Accent1 3 3 5 2" xfId="12685" xr:uid="{00000000-0005-0000-0000-0000402C0000}"/>
    <cellStyle name="40% - Accent1 3 3 5 2 2" xfId="26397" xr:uid="{00000000-0005-0000-0000-0000412C0000}"/>
    <cellStyle name="40% - Accent1 3 3 5 3" xfId="20194" xr:uid="{00000000-0005-0000-0000-0000422C0000}"/>
    <cellStyle name="40% - Accent1 3 3 6" xfId="2870" xr:uid="{00000000-0005-0000-0000-0000432C0000}"/>
    <cellStyle name="40% - Accent1 3 3 6 2" xfId="13737" xr:uid="{00000000-0005-0000-0000-0000442C0000}"/>
    <cellStyle name="40% - Accent1 3 3 6 2 2" xfId="27286" xr:uid="{00000000-0005-0000-0000-0000452C0000}"/>
    <cellStyle name="40% - Accent1 3 3 6 3" xfId="20195" xr:uid="{00000000-0005-0000-0000-0000462C0000}"/>
    <cellStyle name="40% - Accent1 3 3 7" xfId="2871" xr:uid="{00000000-0005-0000-0000-0000472C0000}"/>
    <cellStyle name="40% - Accent1 3 3 7 2" xfId="14318" xr:uid="{00000000-0005-0000-0000-0000482C0000}"/>
    <cellStyle name="40% - Accent1 3 3 7 2 2" xfId="27867" xr:uid="{00000000-0005-0000-0000-0000492C0000}"/>
    <cellStyle name="40% - Accent1 3 3 7 3" xfId="20196" xr:uid="{00000000-0005-0000-0000-00004A2C0000}"/>
    <cellStyle name="40% - Accent1 3 3 8" xfId="2872" xr:uid="{00000000-0005-0000-0000-00004B2C0000}"/>
    <cellStyle name="40% - Accent1 3 3 8 2" xfId="15100" xr:uid="{00000000-0005-0000-0000-00004C2C0000}"/>
    <cellStyle name="40% - Accent1 3 3 8 2 2" xfId="28649" xr:uid="{00000000-0005-0000-0000-00004D2C0000}"/>
    <cellStyle name="40% - Accent1 3 3 8 3" xfId="20197" xr:uid="{00000000-0005-0000-0000-00004E2C0000}"/>
    <cellStyle name="40% - Accent1 3 3 9" xfId="2873" xr:uid="{00000000-0005-0000-0000-00004F2C0000}"/>
    <cellStyle name="40% - Accent1 3 3 9 2" xfId="16204" xr:uid="{00000000-0005-0000-0000-0000502C0000}"/>
    <cellStyle name="40% - Accent1 3 3 9 2 2" xfId="29611" xr:uid="{00000000-0005-0000-0000-0000512C0000}"/>
    <cellStyle name="40% - Accent1 3 3 9 3" xfId="20198" xr:uid="{00000000-0005-0000-0000-0000522C0000}"/>
    <cellStyle name="40% - Accent1 3 4" xfId="2874" xr:uid="{00000000-0005-0000-0000-0000532C0000}"/>
    <cellStyle name="40% - Accent1 3 4 2" xfId="2875" xr:uid="{00000000-0005-0000-0000-0000542C0000}"/>
    <cellStyle name="40% - Accent1 3 4 2 2" xfId="10949" xr:uid="{00000000-0005-0000-0000-0000552C0000}"/>
    <cellStyle name="40% - Accent1 3 4 2 2 2" xfId="24891" xr:uid="{00000000-0005-0000-0000-0000562C0000}"/>
    <cellStyle name="40% - Accent1 3 4 2 3" xfId="20200" xr:uid="{00000000-0005-0000-0000-0000572C0000}"/>
    <cellStyle name="40% - Accent1 3 4 3" xfId="2876" xr:uid="{00000000-0005-0000-0000-0000582C0000}"/>
    <cellStyle name="40% - Accent1 3 4 3 2" xfId="12578" xr:uid="{00000000-0005-0000-0000-0000592C0000}"/>
    <cellStyle name="40% - Accent1 3 4 3 2 2" xfId="26290" xr:uid="{00000000-0005-0000-0000-00005A2C0000}"/>
    <cellStyle name="40% - Accent1 3 4 3 3" xfId="20201" xr:uid="{00000000-0005-0000-0000-00005B2C0000}"/>
    <cellStyle name="40% - Accent1 3 4 4" xfId="2877" xr:uid="{00000000-0005-0000-0000-00005C2C0000}"/>
    <cellStyle name="40% - Accent1 3 4 4 2" xfId="15103" xr:uid="{00000000-0005-0000-0000-00005D2C0000}"/>
    <cellStyle name="40% - Accent1 3 4 4 2 2" xfId="28652" xr:uid="{00000000-0005-0000-0000-00005E2C0000}"/>
    <cellStyle name="40% - Accent1 3 4 4 3" xfId="20202" xr:uid="{00000000-0005-0000-0000-00005F2C0000}"/>
    <cellStyle name="40% - Accent1 3 4 5" xfId="2878" xr:uid="{00000000-0005-0000-0000-0000602C0000}"/>
    <cellStyle name="40% - Accent1 3 4 5 2" xfId="17132" xr:uid="{00000000-0005-0000-0000-0000612C0000}"/>
    <cellStyle name="40% - Accent1 3 4 5 2 2" xfId="30491" xr:uid="{00000000-0005-0000-0000-0000622C0000}"/>
    <cellStyle name="40% - Accent1 3 4 5 3" xfId="20203" xr:uid="{00000000-0005-0000-0000-0000632C0000}"/>
    <cellStyle name="40% - Accent1 3 4 6" xfId="9223" xr:uid="{00000000-0005-0000-0000-0000642C0000}"/>
    <cellStyle name="40% - Accent1 3 4 6 2" xfId="23698" xr:uid="{00000000-0005-0000-0000-0000652C0000}"/>
    <cellStyle name="40% - Accent1 3 4 7" xfId="20199" xr:uid="{00000000-0005-0000-0000-0000662C0000}"/>
    <cellStyle name="40% - Accent1 3 5" xfId="2879" xr:uid="{00000000-0005-0000-0000-0000672C0000}"/>
    <cellStyle name="40% - Accent1 3 5 2" xfId="2880" xr:uid="{00000000-0005-0000-0000-0000682C0000}"/>
    <cellStyle name="40% - Accent1 3 5 2 2" xfId="10950" xr:uid="{00000000-0005-0000-0000-0000692C0000}"/>
    <cellStyle name="40% - Accent1 3 5 2 2 2" xfId="24892" xr:uid="{00000000-0005-0000-0000-00006A2C0000}"/>
    <cellStyle name="40% - Accent1 3 5 2 3" xfId="20205" xr:uid="{00000000-0005-0000-0000-00006B2C0000}"/>
    <cellStyle name="40% - Accent1 3 5 3" xfId="2881" xr:uid="{00000000-0005-0000-0000-00006C2C0000}"/>
    <cellStyle name="40% - Accent1 3 5 3 2" xfId="12399" xr:uid="{00000000-0005-0000-0000-00006D2C0000}"/>
    <cellStyle name="40% - Accent1 3 5 3 2 2" xfId="26111" xr:uid="{00000000-0005-0000-0000-00006E2C0000}"/>
    <cellStyle name="40% - Accent1 3 5 3 3" xfId="20206" xr:uid="{00000000-0005-0000-0000-00006F2C0000}"/>
    <cellStyle name="40% - Accent1 3 5 4" xfId="2882" xr:uid="{00000000-0005-0000-0000-0000702C0000}"/>
    <cellStyle name="40% - Accent1 3 5 4 2" xfId="15104" xr:uid="{00000000-0005-0000-0000-0000712C0000}"/>
    <cellStyle name="40% - Accent1 3 5 4 2 2" xfId="28653" xr:uid="{00000000-0005-0000-0000-0000722C0000}"/>
    <cellStyle name="40% - Accent1 3 5 4 3" xfId="20207" xr:uid="{00000000-0005-0000-0000-0000732C0000}"/>
    <cellStyle name="40% - Accent1 3 5 5" xfId="2883" xr:uid="{00000000-0005-0000-0000-0000742C0000}"/>
    <cellStyle name="40% - Accent1 3 5 5 2" xfId="17221" xr:uid="{00000000-0005-0000-0000-0000752C0000}"/>
    <cellStyle name="40% - Accent1 3 5 5 2 2" xfId="30580" xr:uid="{00000000-0005-0000-0000-0000762C0000}"/>
    <cellStyle name="40% - Accent1 3 5 5 3" xfId="20208" xr:uid="{00000000-0005-0000-0000-0000772C0000}"/>
    <cellStyle name="40% - Accent1 3 5 6" xfId="9224" xr:uid="{00000000-0005-0000-0000-0000782C0000}"/>
    <cellStyle name="40% - Accent1 3 5 6 2" xfId="23699" xr:uid="{00000000-0005-0000-0000-0000792C0000}"/>
    <cellStyle name="40% - Accent1 3 5 7" xfId="20204" xr:uid="{00000000-0005-0000-0000-00007A2C0000}"/>
    <cellStyle name="40% - Accent1 3 6" xfId="2884" xr:uid="{00000000-0005-0000-0000-00007B2C0000}"/>
    <cellStyle name="40% - Accent1 3 6 2" xfId="2885" xr:uid="{00000000-0005-0000-0000-00007C2C0000}"/>
    <cellStyle name="40% - Accent1 3 6 2 2" xfId="15105" xr:uid="{00000000-0005-0000-0000-00007D2C0000}"/>
    <cellStyle name="40% - Accent1 3 6 2 2 2" xfId="28654" xr:uid="{00000000-0005-0000-0000-00007E2C0000}"/>
    <cellStyle name="40% - Accent1 3 6 2 3" xfId="20210" xr:uid="{00000000-0005-0000-0000-00007F2C0000}"/>
    <cellStyle name="40% - Accent1 3 6 3" xfId="2886" xr:uid="{00000000-0005-0000-0000-0000802C0000}"/>
    <cellStyle name="40% - Accent1 3 6 3 2" xfId="16496" xr:uid="{00000000-0005-0000-0000-0000812C0000}"/>
    <cellStyle name="40% - Accent1 3 6 3 2 2" xfId="29903" xr:uid="{00000000-0005-0000-0000-0000822C0000}"/>
    <cellStyle name="40% - Accent1 3 6 3 3" xfId="20211" xr:uid="{00000000-0005-0000-0000-0000832C0000}"/>
    <cellStyle name="40% - Accent1 3 6 4" xfId="10942" xr:uid="{00000000-0005-0000-0000-0000842C0000}"/>
    <cellStyle name="40% - Accent1 3 6 4 2" xfId="24884" xr:uid="{00000000-0005-0000-0000-0000852C0000}"/>
    <cellStyle name="40% - Accent1 3 6 5" xfId="20209" xr:uid="{00000000-0005-0000-0000-0000862C0000}"/>
    <cellStyle name="40% - Accent1 3 7" xfId="2887" xr:uid="{00000000-0005-0000-0000-0000872C0000}"/>
    <cellStyle name="40% - Accent1 3 7 2" xfId="11868" xr:uid="{00000000-0005-0000-0000-0000882C0000}"/>
    <cellStyle name="40% - Accent1 3 7 2 2" xfId="25583" xr:uid="{00000000-0005-0000-0000-0000892C0000}"/>
    <cellStyle name="40% - Accent1 3 7 3" xfId="20212" xr:uid="{00000000-0005-0000-0000-00008A2C0000}"/>
    <cellStyle name="40% - Accent1 3 8" xfId="2888" xr:uid="{00000000-0005-0000-0000-00008B2C0000}"/>
    <cellStyle name="40% - Accent1 3 8 2" xfId="11745" xr:uid="{00000000-0005-0000-0000-00008C2C0000}"/>
    <cellStyle name="40% - Accent1 3 8 2 2" xfId="25460" xr:uid="{00000000-0005-0000-0000-00008D2C0000}"/>
    <cellStyle name="40% - Accent1 3 8 3" xfId="20213" xr:uid="{00000000-0005-0000-0000-00008E2C0000}"/>
    <cellStyle name="40% - Accent1 3 9" xfId="2889" xr:uid="{00000000-0005-0000-0000-00008F2C0000}"/>
    <cellStyle name="40% - Accent1 3 9 2" xfId="13448" xr:uid="{00000000-0005-0000-0000-0000902C0000}"/>
    <cellStyle name="40% - Accent1 3 9 2 2" xfId="26997" xr:uid="{00000000-0005-0000-0000-0000912C0000}"/>
    <cellStyle name="40% - Accent1 3 9 3" xfId="20214" xr:uid="{00000000-0005-0000-0000-0000922C0000}"/>
    <cellStyle name="40% - Accent1 30" xfId="23236" xr:uid="{00000000-0005-0000-0000-0000932C0000}"/>
    <cellStyle name="40% - Accent1 4" xfId="2890" xr:uid="{00000000-0005-0000-0000-0000942C0000}"/>
    <cellStyle name="40% - Accent1 4 10" xfId="2891" xr:uid="{00000000-0005-0000-0000-0000952C0000}"/>
    <cellStyle name="40% - Accent1 4 10 2" xfId="15106" xr:uid="{00000000-0005-0000-0000-0000962C0000}"/>
    <cellStyle name="40% - Accent1 4 10 2 2" xfId="28655" xr:uid="{00000000-0005-0000-0000-0000972C0000}"/>
    <cellStyle name="40% - Accent1 4 10 3" xfId="20216" xr:uid="{00000000-0005-0000-0000-0000982C0000}"/>
    <cellStyle name="40% - Accent1 4 11" xfId="2892" xr:uid="{00000000-0005-0000-0000-0000992C0000}"/>
    <cellStyle name="40% - Accent1 4 11 2" xfId="15874" xr:uid="{00000000-0005-0000-0000-00009A2C0000}"/>
    <cellStyle name="40% - Accent1 4 11 2 2" xfId="29281" xr:uid="{00000000-0005-0000-0000-00009B2C0000}"/>
    <cellStyle name="40% - Accent1 4 11 3" xfId="20217" xr:uid="{00000000-0005-0000-0000-00009C2C0000}"/>
    <cellStyle name="40% - Accent1 4 12" xfId="9225" xr:uid="{00000000-0005-0000-0000-00009D2C0000}"/>
    <cellStyle name="40% - Accent1 4 12 2" xfId="23700" xr:uid="{00000000-0005-0000-0000-00009E2C0000}"/>
    <cellStyle name="40% - Accent1 4 13" xfId="20215" xr:uid="{00000000-0005-0000-0000-00009F2C0000}"/>
    <cellStyle name="40% - Accent1 4 2" xfId="2893" xr:uid="{00000000-0005-0000-0000-0000A02C0000}"/>
    <cellStyle name="40% - Accent1 4 2 10" xfId="2894" xr:uid="{00000000-0005-0000-0000-0000A12C0000}"/>
    <cellStyle name="40% - Accent1 4 2 10 2" xfId="16017" xr:uid="{00000000-0005-0000-0000-0000A22C0000}"/>
    <cellStyle name="40% - Accent1 4 2 10 2 2" xfId="29424" xr:uid="{00000000-0005-0000-0000-0000A32C0000}"/>
    <cellStyle name="40% - Accent1 4 2 10 3" xfId="20219" xr:uid="{00000000-0005-0000-0000-0000A42C0000}"/>
    <cellStyle name="40% - Accent1 4 2 11" xfId="9226" xr:uid="{00000000-0005-0000-0000-0000A52C0000}"/>
    <cellStyle name="40% - Accent1 4 2 11 2" xfId="23701" xr:uid="{00000000-0005-0000-0000-0000A62C0000}"/>
    <cellStyle name="40% - Accent1 4 2 12" xfId="20218" xr:uid="{00000000-0005-0000-0000-0000A72C0000}"/>
    <cellStyle name="40% - Accent1 4 2 2" xfId="2895" xr:uid="{00000000-0005-0000-0000-0000A82C0000}"/>
    <cellStyle name="40% - Accent1 4 2 2 10" xfId="9227" xr:uid="{00000000-0005-0000-0000-0000A92C0000}"/>
    <cellStyle name="40% - Accent1 4 2 2 10 2" xfId="23702" xr:uid="{00000000-0005-0000-0000-0000AA2C0000}"/>
    <cellStyle name="40% - Accent1 4 2 2 11" xfId="20220" xr:uid="{00000000-0005-0000-0000-0000AB2C0000}"/>
    <cellStyle name="40% - Accent1 4 2 2 2" xfId="2896" xr:uid="{00000000-0005-0000-0000-0000AC2C0000}"/>
    <cellStyle name="40% - Accent1 4 2 2 2 2" xfId="2897" xr:uid="{00000000-0005-0000-0000-0000AD2C0000}"/>
    <cellStyle name="40% - Accent1 4 2 2 2 2 2" xfId="10954" xr:uid="{00000000-0005-0000-0000-0000AE2C0000}"/>
    <cellStyle name="40% - Accent1 4 2 2 2 2 2 2" xfId="24896" xr:uid="{00000000-0005-0000-0000-0000AF2C0000}"/>
    <cellStyle name="40% - Accent1 4 2 2 2 2 3" xfId="20222" xr:uid="{00000000-0005-0000-0000-0000B02C0000}"/>
    <cellStyle name="40% - Accent1 4 2 2 2 3" xfId="2898" xr:uid="{00000000-0005-0000-0000-0000B12C0000}"/>
    <cellStyle name="40% - Accent1 4 2 2 2 3 2" xfId="12508" xr:uid="{00000000-0005-0000-0000-0000B22C0000}"/>
    <cellStyle name="40% - Accent1 4 2 2 2 3 2 2" xfId="26220" xr:uid="{00000000-0005-0000-0000-0000B32C0000}"/>
    <cellStyle name="40% - Accent1 4 2 2 2 3 3" xfId="20223" xr:uid="{00000000-0005-0000-0000-0000B42C0000}"/>
    <cellStyle name="40% - Accent1 4 2 2 2 4" xfId="2899" xr:uid="{00000000-0005-0000-0000-0000B52C0000}"/>
    <cellStyle name="40% - Accent1 4 2 2 2 4 2" xfId="15109" xr:uid="{00000000-0005-0000-0000-0000B62C0000}"/>
    <cellStyle name="40% - Accent1 4 2 2 2 4 2 2" xfId="28658" xr:uid="{00000000-0005-0000-0000-0000B72C0000}"/>
    <cellStyle name="40% - Accent1 4 2 2 2 4 3" xfId="20224" xr:uid="{00000000-0005-0000-0000-0000B82C0000}"/>
    <cellStyle name="40% - Accent1 4 2 2 2 5" xfId="2900" xr:uid="{00000000-0005-0000-0000-0000B92C0000}"/>
    <cellStyle name="40% - Accent1 4 2 2 2 5 2" xfId="16887" xr:uid="{00000000-0005-0000-0000-0000BA2C0000}"/>
    <cellStyle name="40% - Accent1 4 2 2 2 5 2 2" xfId="30294" xr:uid="{00000000-0005-0000-0000-0000BB2C0000}"/>
    <cellStyle name="40% - Accent1 4 2 2 2 5 3" xfId="20225" xr:uid="{00000000-0005-0000-0000-0000BC2C0000}"/>
    <cellStyle name="40% - Accent1 4 2 2 2 6" xfId="9228" xr:uid="{00000000-0005-0000-0000-0000BD2C0000}"/>
    <cellStyle name="40% - Accent1 4 2 2 2 6 2" xfId="23703" xr:uid="{00000000-0005-0000-0000-0000BE2C0000}"/>
    <cellStyle name="40% - Accent1 4 2 2 2 7" xfId="20221" xr:uid="{00000000-0005-0000-0000-0000BF2C0000}"/>
    <cellStyle name="40% - Accent1 4 2 2 3" xfId="2901" xr:uid="{00000000-0005-0000-0000-0000C02C0000}"/>
    <cellStyle name="40% - Accent1 4 2 2 3 2" xfId="2902" xr:uid="{00000000-0005-0000-0000-0000C12C0000}"/>
    <cellStyle name="40% - Accent1 4 2 2 3 2 2" xfId="15110" xr:uid="{00000000-0005-0000-0000-0000C22C0000}"/>
    <cellStyle name="40% - Accent1 4 2 2 3 2 2 2" xfId="28659" xr:uid="{00000000-0005-0000-0000-0000C32C0000}"/>
    <cellStyle name="40% - Accent1 4 2 2 3 2 3" xfId="20227" xr:uid="{00000000-0005-0000-0000-0000C42C0000}"/>
    <cellStyle name="40% - Accent1 4 2 2 3 3" xfId="10953" xr:uid="{00000000-0005-0000-0000-0000C52C0000}"/>
    <cellStyle name="40% - Accent1 4 2 2 3 3 2" xfId="24895" xr:uid="{00000000-0005-0000-0000-0000C62C0000}"/>
    <cellStyle name="40% - Accent1 4 2 2 3 4" xfId="20226" xr:uid="{00000000-0005-0000-0000-0000C72C0000}"/>
    <cellStyle name="40% - Accent1 4 2 2 4" xfId="2903" xr:uid="{00000000-0005-0000-0000-0000C82C0000}"/>
    <cellStyle name="40% - Accent1 4 2 2 4 2" xfId="12275" xr:uid="{00000000-0005-0000-0000-0000C92C0000}"/>
    <cellStyle name="40% - Accent1 4 2 2 4 2 2" xfId="25987" xr:uid="{00000000-0005-0000-0000-0000CA2C0000}"/>
    <cellStyle name="40% - Accent1 4 2 2 4 3" xfId="20228" xr:uid="{00000000-0005-0000-0000-0000CB2C0000}"/>
    <cellStyle name="40% - Accent1 4 2 2 5" xfId="2904" xr:uid="{00000000-0005-0000-0000-0000CC2C0000}"/>
    <cellStyle name="40% - Accent1 4 2 2 5 2" xfId="11776" xr:uid="{00000000-0005-0000-0000-0000CD2C0000}"/>
    <cellStyle name="40% - Accent1 4 2 2 5 2 2" xfId="25491" xr:uid="{00000000-0005-0000-0000-0000CE2C0000}"/>
    <cellStyle name="40% - Accent1 4 2 2 5 3" xfId="20229" xr:uid="{00000000-0005-0000-0000-0000CF2C0000}"/>
    <cellStyle name="40% - Accent1 4 2 2 6" xfId="2905" xr:uid="{00000000-0005-0000-0000-0000D02C0000}"/>
    <cellStyle name="40% - Accent1 4 2 2 6 2" xfId="13839" xr:uid="{00000000-0005-0000-0000-0000D12C0000}"/>
    <cellStyle name="40% - Accent1 4 2 2 6 2 2" xfId="27388" xr:uid="{00000000-0005-0000-0000-0000D22C0000}"/>
    <cellStyle name="40% - Accent1 4 2 2 6 3" xfId="20230" xr:uid="{00000000-0005-0000-0000-0000D32C0000}"/>
    <cellStyle name="40% - Accent1 4 2 2 7" xfId="2906" xr:uid="{00000000-0005-0000-0000-0000D42C0000}"/>
    <cellStyle name="40% - Accent1 4 2 2 7 2" xfId="14420" xr:uid="{00000000-0005-0000-0000-0000D52C0000}"/>
    <cellStyle name="40% - Accent1 4 2 2 7 2 2" xfId="27969" xr:uid="{00000000-0005-0000-0000-0000D62C0000}"/>
    <cellStyle name="40% - Accent1 4 2 2 7 3" xfId="20231" xr:uid="{00000000-0005-0000-0000-0000D72C0000}"/>
    <cellStyle name="40% - Accent1 4 2 2 8" xfId="2907" xr:uid="{00000000-0005-0000-0000-0000D82C0000}"/>
    <cellStyle name="40% - Accent1 4 2 2 8 2" xfId="15108" xr:uid="{00000000-0005-0000-0000-0000D92C0000}"/>
    <cellStyle name="40% - Accent1 4 2 2 8 2 2" xfId="28657" xr:uid="{00000000-0005-0000-0000-0000DA2C0000}"/>
    <cellStyle name="40% - Accent1 4 2 2 8 3" xfId="20232" xr:uid="{00000000-0005-0000-0000-0000DB2C0000}"/>
    <cellStyle name="40% - Accent1 4 2 2 9" xfId="2908" xr:uid="{00000000-0005-0000-0000-0000DC2C0000}"/>
    <cellStyle name="40% - Accent1 4 2 2 9 2" xfId="16306" xr:uid="{00000000-0005-0000-0000-0000DD2C0000}"/>
    <cellStyle name="40% - Accent1 4 2 2 9 2 2" xfId="29713" xr:uid="{00000000-0005-0000-0000-0000DE2C0000}"/>
    <cellStyle name="40% - Accent1 4 2 2 9 3" xfId="20233" xr:uid="{00000000-0005-0000-0000-0000DF2C0000}"/>
    <cellStyle name="40% - Accent1 4 2 3" xfId="2909" xr:uid="{00000000-0005-0000-0000-0000E02C0000}"/>
    <cellStyle name="40% - Accent1 4 2 3 2" xfId="2910" xr:uid="{00000000-0005-0000-0000-0000E12C0000}"/>
    <cellStyle name="40% - Accent1 4 2 3 2 2" xfId="10955" xr:uid="{00000000-0005-0000-0000-0000E22C0000}"/>
    <cellStyle name="40% - Accent1 4 2 3 2 2 2" xfId="24897" xr:uid="{00000000-0005-0000-0000-0000E32C0000}"/>
    <cellStyle name="40% - Accent1 4 2 3 2 3" xfId="20235" xr:uid="{00000000-0005-0000-0000-0000E42C0000}"/>
    <cellStyle name="40% - Accent1 4 2 3 3" xfId="2911" xr:uid="{00000000-0005-0000-0000-0000E52C0000}"/>
    <cellStyle name="40% - Accent1 4 2 3 3 2" xfId="12432" xr:uid="{00000000-0005-0000-0000-0000E62C0000}"/>
    <cellStyle name="40% - Accent1 4 2 3 3 2 2" xfId="26144" xr:uid="{00000000-0005-0000-0000-0000E72C0000}"/>
    <cellStyle name="40% - Accent1 4 2 3 3 3" xfId="20236" xr:uid="{00000000-0005-0000-0000-0000E82C0000}"/>
    <cellStyle name="40% - Accent1 4 2 3 4" xfId="2912" xr:uid="{00000000-0005-0000-0000-0000E92C0000}"/>
    <cellStyle name="40% - Accent1 4 2 3 4 2" xfId="15111" xr:uid="{00000000-0005-0000-0000-0000EA2C0000}"/>
    <cellStyle name="40% - Accent1 4 2 3 4 2 2" xfId="28660" xr:uid="{00000000-0005-0000-0000-0000EB2C0000}"/>
    <cellStyle name="40% - Accent1 4 2 3 4 3" xfId="20237" xr:uid="{00000000-0005-0000-0000-0000EC2C0000}"/>
    <cellStyle name="40% - Accent1 4 2 3 5" xfId="2913" xr:uid="{00000000-0005-0000-0000-0000ED2C0000}"/>
    <cellStyle name="40% - Accent1 4 2 3 5 2" xfId="16598" xr:uid="{00000000-0005-0000-0000-0000EE2C0000}"/>
    <cellStyle name="40% - Accent1 4 2 3 5 2 2" xfId="30005" xr:uid="{00000000-0005-0000-0000-0000EF2C0000}"/>
    <cellStyle name="40% - Accent1 4 2 3 5 3" xfId="20238" xr:uid="{00000000-0005-0000-0000-0000F02C0000}"/>
    <cellStyle name="40% - Accent1 4 2 3 6" xfId="9229" xr:uid="{00000000-0005-0000-0000-0000F12C0000}"/>
    <cellStyle name="40% - Accent1 4 2 3 6 2" xfId="23704" xr:uid="{00000000-0005-0000-0000-0000F22C0000}"/>
    <cellStyle name="40% - Accent1 4 2 3 7" xfId="20234" xr:uid="{00000000-0005-0000-0000-0000F32C0000}"/>
    <cellStyle name="40% - Accent1 4 2 4" xfId="2914" xr:uid="{00000000-0005-0000-0000-0000F42C0000}"/>
    <cellStyle name="40% - Accent1 4 2 4 2" xfId="2915" xr:uid="{00000000-0005-0000-0000-0000F52C0000}"/>
    <cellStyle name="40% - Accent1 4 2 4 2 2" xfId="15112" xr:uid="{00000000-0005-0000-0000-0000F62C0000}"/>
    <cellStyle name="40% - Accent1 4 2 4 2 2 2" xfId="28661" xr:uid="{00000000-0005-0000-0000-0000F72C0000}"/>
    <cellStyle name="40% - Accent1 4 2 4 2 3" xfId="20240" xr:uid="{00000000-0005-0000-0000-0000F82C0000}"/>
    <cellStyle name="40% - Accent1 4 2 4 3" xfId="10952" xr:uid="{00000000-0005-0000-0000-0000F92C0000}"/>
    <cellStyle name="40% - Accent1 4 2 4 3 2" xfId="24894" xr:uid="{00000000-0005-0000-0000-0000FA2C0000}"/>
    <cellStyle name="40% - Accent1 4 2 4 4" xfId="20239" xr:uid="{00000000-0005-0000-0000-0000FB2C0000}"/>
    <cellStyle name="40% - Accent1 4 2 5" xfId="2916" xr:uid="{00000000-0005-0000-0000-0000FC2C0000}"/>
    <cellStyle name="40% - Accent1 4 2 5 2" xfId="11975" xr:uid="{00000000-0005-0000-0000-0000FD2C0000}"/>
    <cellStyle name="40% - Accent1 4 2 5 2 2" xfId="25690" xr:uid="{00000000-0005-0000-0000-0000FE2C0000}"/>
    <cellStyle name="40% - Accent1 4 2 5 3" xfId="20241" xr:uid="{00000000-0005-0000-0000-0000FF2C0000}"/>
    <cellStyle name="40% - Accent1 4 2 6" xfId="2917" xr:uid="{00000000-0005-0000-0000-0000002D0000}"/>
    <cellStyle name="40% - Accent1 4 2 6 2" xfId="12425" xr:uid="{00000000-0005-0000-0000-0000012D0000}"/>
    <cellStyle name="40% - Accent1 4 2 6 2 2" xfId="26137" xr:uid="{00000000-0005-0000-0000-0000022D0000}"/>
    <cellStyle name="40% - Accent1 4 2 6 3" xfId="20242" xr:uid="{00000000-0005-0000-0000-0000032D0000}"/>
    <cellStyle name="40% - Accent1 4 2 7" xfId="2918" xr:uid="{00000000-0005-0000-0000-0000042D0000}"/>
    <cellStyle name="40% - Accent1 4 2 7 2" xfId="13550" xr:uid="{00000000-0005-0000-0000-0000052D0000}"/>
    <cellStyle name="40% - Accent1 4 2 7 2 2" xfId="27099" xr:uid="{00000000-0005-0000-0000-0000062D0000}"/>
    <cellStyle name="40% - Accent1 4 2 7 3" xfId="20243" xr:uid="{00000000-0005-0000-0000-0000072D0000}"/>
    <cellStyle name="40% - Accent1 4 2 8" xfId="2919" xr:uid="{00000000-0005-0000-0000-0000082D0000}"/>
    <cellStyle name="40% - Accent1 4 2 8 2" xfId="14131" xr:uid="{00000000-0005-0000-0000-0000092D0000}"/>
    <cellStyle name="40% - Accent1 4 2 8 2 2" xfId="27680" xr:uid="{00000000-0005-0000-0000-00000A2D0000}"/>
    <cellStyle name="40% - Accent1 4 2 8 3" xfId="20244" xr:uid="{00000000-0005-0000-0000-00000B2D0000}"/>
    <cellStyle name="40% - Accent1 4 2 9" xfId="2920" xr:uid="{00000000-0005-0000-0000-00000C2D0000}"/>
    <cellStyle name="40% - Accent1 4 2 9 2" xfId="15107" xr:uid="{00000000-0005-0000-0000-00000D2D0000}"/>
    <cellStyle name="40% - Accent1 4 2 9 2 2" xfId="28656" xr:uid="{00000000-0005-0000-0000-00000E2D0000}"/>
    <cellStyle name="40% - Accent1 4 2 9 3" xfId="20245" xr:uid="{00000000-0005-0000-0000-00000F2D0000}"/>
    <cellStyle name="40% - Accent1 4 3" xfId="2921" xr:uid="{00000000-0005-0000-0000-0000102D0000}"/>
    <cellStyle name="40% - Accent1 4 3 10" xfId="9230" xr:uid="{00000000-0005-0000-0000-0000112D0000}"/>
    <cellStyle name="40% - Accent1 4 3 10 2" xfId="23705" xr:uid="{00000000-0005-0000-0000-0000122D0000}"/>
    <cellStyle name="40% - Accent1 4 3 11" xfId="20246" xr:uid="{00000000-0005-0000-0000-0000132D0000}"/>
    <cellStyle name="40% - Accent1 4 3 2" xfId="2922" xr:uid="{00000000-0005-0000-0000-0000142D0000}"/>
    <cellStyle name="40% - Accent1 4 3 2 2" xfId="2923" xr:uid="{00000000-0005-0000-0000-0000152D0000}"/>
    <cellStyle name="40% - Accent1 4 3 2 2 2" xfId="10957" xr:uid="{00000000-0005-0000-0000-0000162D0000}"/>
    <cellStyle name="40% - Accent1 4 3 2 2 2 2" xfId="24899" xr:uid="{00000000-0005-0000-0000-0000172D0000}"/>
    <cellStyle name="40% - Accent1 4 3 2 2 3" xfId="20248" xr:uid="{00000000-0005-0000-0000-0000182D0000}"/>
    <cellStyle name="40% - Accent1 4 3 2 3" xfId="2924" xr:uid="{00000000-0005-0000-0000-0000192D0000}"/>
    <cellStyle name="40% - Accent1 4 3 2 3 2" xfId="12467" xr:uid="{00000000-0005-0000-0000-00001A2D0000}"/>
    <cellStyle name="40% - Accent1 4 3 2 3 2 2" xfId="26179" xr:uid="{00000000-0005-0000-0000-00001B2D0000}"/>
    <cellStyle name="40% - Accent1 4 3 2 3 3" xfId="20249" xr:uid="{00000000-0005-0000-0000-00001C2D0000}"/>
    <cellStyle name="40% - Accent1 4 3 2 4" xfId="2925" xr:uid="{00000000-0005-0000-0000-00001D2D0000}"/>
    <cellStyle name="40% - Accent1 4 3 2 4 2" xfId="15114" xr:uid="{00000000-0005-0000-0000-00001E2D0000}"/>
    <cellStyle name="40% - Accent1 4 3 2 4 2 2" xfId="28663" xr:uid="{00000000-0005-0000-0000-00001F2D0000}"/>
    <cellStyle name="40% - Accent1 4 3 2 4 3" xfId="20250" xr:uid="{00000000-0005-0000-0000-0000202D0000}"/>
    <cellStyle name="40% - Accent1 4 3 2 5" xfId="2926" xr:uid="{00000000-0005-0000-0000-0000212D0000}"/>
    <cellStyle name="40% - Accent1 4 3 2 5 2" xfId="16747" xr:uid="{00000000-0005-0000-0000-0000222D0000}"/>
    <cellStyle name="40% - Accent1 4 3 2 5 2 2" xfId="30154" xr:uid="{00000000-0005-0000-0000-0000232D0000}"/>
    <cellStyle name="40% - Accent1 4 3 2 5 3" xfId="20251" xr:uid="{00000000-0005-0000-0000-0000242D0000}"/>
    <cellStyle name="40% - Accent1 4 3 2 6" xfId="9231" xr:uid="{00000000-0005-0000-0000-0000252D0000}"/>
    <cellStyle name="40% - Accent1 4 3 2 6 2" xfId="23706" xr:uid="{00000000-0005-0000-0000-0000262D0000}"/>
    <cellStyle name="40% - Accent1 4 3 2 7" xfId="20247" xr:uid="{00000000-0005-0000-0000-0000272D0000}"/>
    <cellStyle name="40% - Accent1 4 3 3" xfId="2927" xr:uid="{00000000-0005-0000-0000-0000282D0000}"/>
    <cellStyle name="40% - Accent1 4 3 3 2" xfId="2928" xr:uid="{00000000-0005-0000-0000-0000292D0000}"/>
    <cellStyle name="40% - Accent1 4 3 3 2 2" xfId="15115" xr:uid="{00000000-0005-0000-0000-00002A2D0000}"/>
    <cellStyle name="40% - Accent1 4 3 3 2 2 2" xfId="28664" xr:uid="{00000000-0005-0000-0000-00002B2D0000}"/>
    <cellStyle name="40% - Accent1 4 3 3 2 3" xfId="20253" xr:uid="{00000000-0005-0000-0000-00002C2D0000}"/>
    <cellStyle name="40% - Accent1 4 3 3 3" xfId="10956" xr:uid="{00000000-0005-0000-0000-00002D2D0000}"/>
    <cellStyle name="40% - Accent1 4 3 3 3 2" xfId="24898" xr:uid="{00000000-0005-0000-0000-00002E2D0000}"/>
    <cellStyle name="40% - Accent1 4 3 3 4" xfId="20252" xr:uid="{00000000-0005-0000-0000-00002F2D0000}"/>
    <cellStyle name="40% - Accent1 4 3 4" xfId="2929" xr:uid="{00000000-0005-0000-0000-0000302D0000}"/>
    <cellStyle name="40% - Accent1 4 3 4 2" xfId="12135" xr:uid="{00000000-0005-0000-0000-0000312D0000}"/>
    <cellStyle name="40% - Accent1 4 3 4 2 2" xfId="25847" xr:uid="{00000000-0005-0000-0000-0000322D0000}"/>
    <cellStyle name="40% - Accent1 4 3 4 3" xfId="20254" xr:uid="{00000000-0005-0000-0000-0000332D0000}"/>
    <cellStyle name="40% - Accent1 4 3 5" xfId="2930" xr:uid="{00000000-0005-0000-0000-0000342D0000}"/>
    <cellStyle name="40% - Accent1 4 3 5 2" xfId="12585" xr:uid="{00000000-0005-0000-0000-0000352D0000}"/>
    <cellStyle name="40% - Accent1 4 3 5 2 2" xfId="26297" xr:uid="{00000000-0005-0000-0000-0000362D0000}"/>
    <cellStyle name="40% - Accent1 4 3 5 3" xfId="20255" xr:uid="{00000000-0005-0000-0000-0000372D0000}"/>
    <cellStyle name="40% - Accent1 4 3 6" xfId="2931" xr:uid="{00000000-0005-0000-0000-0000382D0000}"/>
    <cellStyle name="40% - Accent1 4 3 6 2" xfId="13699" xr:uid="{00000000-0005-0000-0000-0000392D0000}"/>
    <cellStyle name="40% - Accent1 4 3 6 2 2" xfId="27248" xr:uid="{00000000-0005-0000-0000-00003A2D0000}"/>
    <cellStyle name="40% - Accent1 4 3 6 3" xfId="20256" xr:uid="{00000000-0005-0000-0000-00003B2D0000}"/>
    <cellStyle name="40% - Accent1 4 3 7" xfId="2932" xr:uid="{00000000-0005-0000-0000-00003C2D0000}"/>
    <cellStyle name="40% - Accent1 4 3 7 2" xfId="14280" xr:uid="{00000000-0005-0000-0000-00003D2D0000}"/>
    <cellStyle name="40% - Accent1 4 3 7 2 2" xfId="27829" xr:uid="{00000000-0005-0000-0000-00003E2D0000}"/>
    <cellStyle name="40% - Accent1 4 3 7 3" xfId="20257" xr:uid="{00000000-0005-0000-0000-00003F2D0000}"/>
    <cellStyle name="40% - Accent1 4 3 8" xfId="2933" xr:uid="{00000000-0005-0000-0000-0000402D0000}"/>
    <cellStyle name="40% - Accent1 4 3 8 2" xfId="15113" xr:uid="{00000000-0005-0000-0000-0000412D0000}"/>
    <cellStyle name="40% - Accent1 4 3 8 2 2" xfId="28662" xr:uid="{00000000-0005-0000-0000-0000422D0000}"/>
    <cellStyle name="40% - Accent1 4 3 8 3" xfId="20258" xr:uid="{00000000-0005-0000-0000-0000432D0000}"/>
    <cellStyle name="40% - Accent1 4 3 9" xfId="2934" xr:uid="{00000000-0005-0000-0000-0000442D0000}"/>
    <cellStyle name="40% - Accent1 4 3 9 2" xfId="16166" xr:uid="{00000000-0005-0000-0000-0000452D0000}"/>
    <cellStyle name="40% - Accent1 4 3 9 2 2" xfId="29573" xr:uid="{00000000-0005-0000-0000-0000462D0000}"/>
    <cellStyle name="40% - Accent1 4 3 9 3" xfId="20259" xr:uid="{00000000-0005-0000-0000-0000472D0000}"/>
    <cellStyle name="40% - Accent1 4 4" xfId="2935" xr:uid="{00000000-0005-0000-0000-0000482D0000}"/>
    <cellStyle name="40% - Accent1 4 4 2" xfId="2936" xr:uid="{00000000-0005-0000-0000-0000492D0000}"/>
    <cellStyle name="40% - Accent1 4 4 2 2" xfId="10958" xr:uid="{00000000-0005-0000-0000-00004A2D0000}"/>
    <cellStyle name="40% - Accent1 4 4 2 2 2" xfId="24900" xr:uid="{00000000-0005-0000-0000-00004B2D0000}"/>
    <cellStyle name="40% - Accent1 4 4 2 3" xfId="20261" xr:uid="{00000000-0005-0000-0000-00004C2D0000}"/>
    <cellStyle name="40% - Accent1 4 4 3" xfId="2937" xr:uid="{00000000-0005-0000-0000-00004D2D0000}"/>
    <cellStyle name="40% - Accent1 4 4 3 2" xfId="12452" xr:uid="{00000000-0005-0000-0000-00004E2D0000}"/>
    <cellStyle name="40% - Accent1 4 4 3 2 2" xfId="26164" xr:uid="{00000000-0005-0000-0000-00004F2D0000}"/>
    <cellStyle name="40% - Accent1 4 4 3 3" xfId="20262" xr:uid="{00000000-0005-0000-0000-0000502D0000}"/>
    <cellStyle name="40% - Accent1 4 4 4" xfId="2938" xr:uid="{00000000-0005-0000-0000-0000512D0000}"/>
    <cellStyle name="40% - Accent1 4 4 4 2" xfId="15116" xr:uid="{00000000-0005-0000-0000-0000522D0000}"/>
    <cellStyle name="40% - Accent1 4 4 4 2 2" xfId="28665" xr:uid="{00000000-0005-0000-0000-0000532D0000}"/>
    <cellStyle name="40% - Accent1 4 4 4 3" xfId="20263" xr:uid="{00000000-0005-0000-0000-0000542D0000}"/>
    <cellStyle name="40% - Accent1 4 4 5" xfId="2939" xr:uid="{00000000-0005-0000-0000-0000552D0000}"/>
    <cellStyle name="40% - Accent1 4 4 5 2" xfId="16455" xr:uid="{00000000-0005-0000-0000-0000562D0000}"/>
    <cellStyle name="40% - Accent1 4 4 5 2 2" xfId="29862" xr:uid="{00000000-0005-0000-0000-0000572D0000}"/>
    <cellStyle name="40% - Accent1 4 4 5 3" xfId="20264" xr:uid="{00000000-0005-0000-0000-0000582D0000}"/>
    <cellStyle name="40% - Accent1 4 4 6" xfId="9232" xr:uid="{00000000-0005-0000-0000-0000592D0000}"/>
    <cellStyle name="40% - Accent1 4 4 6 2" xfId="23707" xr:uid="{00000000-0005-0000-0000-00005A2D0000}"/>
    <cellStyle name="40% - Accent1 4 4 7" xfId="20260" xr:uid="{00000000-0005-0000-0000-00005B2D0000}"/>
    <cellStyle name="40% - Accent1 4 5" xfId="2940" xr:uid="{00000000-0005-0000-0000-00005C2D0000}"/>
    <cellStyle name="40% - Accent1 4 5 2" xfId="2941" xr:uid="{00000000-0005-0000-0000-00005D2D0000}"/>
    <cellStyle name="40% - Accent1 4 5 2 2" xfId="15117" xr:uid="{00000000-0005-0000-0000-00005E2D0000}"/>
    <cellStyle name="40% - Accent1 4 5 2 2 2" xfId="28666" xr:uid="{00000000-0005-0000-0000-00005F2D0000}"/>
    <cellStyle name="40% - Accent1 4 5 2 3" xfId="20266" xr:uid="{00000000-0005-0000-0000-0000602D0000}"/>
    <cellStyle name="40% - Accent1 4 5 3" xfId="10951" xr:uid="{00000000-0005-0000-0000-0000612D0000}"/>
    <cellStyle name="40% - Accent1 4 5 3 2" xfId="24893" xr:uid="{00000000-0005-0000-0000-0000622D0000}"/>
    <cellStyle name="40% - Accent1 4 5 4" xfId="20265" xr:uid="{00000000-0005-0000-0000-0000632D0000}"/>
    <cellStyle name="40% - Accent1 4 6" xfId="2942" xr:uid="{00000000-0005-0000-0000-0000642D0000}"/>
    <cellStyle name="40% - Accent1 4 6 2" xfId="11806" xr:uid="{00000000-0005-0000-0000-0000652D0000}"/>
    <cellStyle name="40% - Accent1 4 6 2 2" xfId="25521" xr:uid="{00000000-0005-0000-0000-0000662D0000}"/>
    <cellStyle name="40% - Accent1 4 6 3" xfId="20267" xr:uid="{00000000-0005-0000-0000-0000672D0000}"/>
    <cellStyle name="40% - Accent1 4 7" xfId="2943" xr:uid="{00000000-0005-0000-0000-0000682D0000}"/>
    <cellStyle name="40% - Accent1 4 7 2" xfId="12638" xr:uid="{00000000-0005-0000-0000-0000692D0000}"/>
    <cellStyle name="40% - Accent1 4 7 2 2" xfId="26350" xr:uid="{00000000-0005-0000-0000-00006A2D0000}"/>
    <cellStyle name="40% - Accent1 4 7 3" xfId="20268" xr:uid="{00000000-0005-0000-0000-00006B2D0000}"/>
    <cellStyle name="40% - Accent1 4 8" xfId="2944" xr:uid="{00000000-0005-0000-0000-00006C2D0000}"/>
    <cellStyle name="40% - Accent1 4 8 2" xfId="13407" xr:uid="{00000000-0005-0000-0000-00006D2D0000}"/>
    <cellStyle name="40% - Accent1 4 8 2 2" xfId="26956" xr:uid="{00000000-0005-0000-0000-00006E2D0000}"/>
    <cellStyle name="40% - Accent1 4 8 3" xfId="20269" xr:uid="{00000000-0005-0000-0000-00006F2D0000}"/>
    <cellStyle name="40% - Accent1 4 9" xfId="2945" xr:uid="{00000000-0005-0000-0000-0000702D0000}"/>
    <cellStyle name="40% - Accent1 4 9 2" xfId="13988" xr:uid="{00000000-0005-0000-0000-0000712D0000}"/>
    <cellStyle name="40% - Accent1 4 9 2 2" xfId="27537" xr:uid="{00000000-0005-0000-0000-0000722D0000}"/>
    <cellStyle name="40% - Accent1 4 9 3" xfId="20270" xr:uid="{00000000-0005-0000-0000-0000732D0000}"/>
    <cellStyle name="40% - Accent1 5" xfId="2946" xr:uid="{00000000-0005-0000-0000-0000742D0000}"/>
    <cellStyle name="40% - Accent1 5 10" xfId="2947" xr:uid="{00000000-0005-0000-0000-0000752D0000}"/>
    <cellStyle name="40% - Accent1 5 10 2" xfId="15118" xr:uid="{00000000-0005-0000-0000-0000762D0000}"/>
    <cellStyle name="40% - Accent1 5 10 2 2" xfId="28667" xr:uid="{00000000-0005-0000-0000-0000772D0000}"/>
    <cellStyle name="40% - Accent1 5 10 3" xfId="20272" xr:uid="{00000000-0005-0000-0000-0000782D0000}"/>
    <cellStyle name="40% - Accent1 5 11" xfId="2948" xr:uid="{00000000-0005-0000-0000-0000792D0000}"/>
    <cellStyle name="40% - Accent1 5 11 2" xfId="15857" xr:uid="{00000000-0005-0000-0000-00007A2D0000}"/>
    <cellStyle name="40% - Accent1 5 11 2 2" xfId="29264" xr:uid="{00000000-0005-0000-0000-00007B2D0000}"/>
    <cellStyle name="40% - Accent1 5 11 3" xfId="20273" xr:uid="{00000000-0005-0000-0000-00007C2D0000}"/>
    <cellStyle name="40% - Accent1 5 12" xfId="9233" xr:uid="{00000000-0005-0000-0000-00007D2D0000}"/>
    <cellStyle name="40% - Accent1 5 12 2" xfId="23708" xr:uid="{00000000-0005-0000-0000-00007E2D0000}"/>
    <cellStyle name="40% - Accent1 5 13" xfId="20271" xr:uid="{00000000-0005-0000-0000-00007F2D0000}"/>
    <cellStyle name="40% - Accent1 5 2" xfId="2949" xr:uid="{00000000-0005-0000-0000-0000802D0000}"/>
    <cellStyle name="40% - Accent1 5 2 10" xfId="2950" xr:uid="{00000000-0005-0000-0000-0000812D0000}"/>
    <cellStyle name="40% - Accent1 5 2 10 2" xfId="16000" xr:uid="{00000000-0005-0000-0000-0000822D0000}"/>
    <cellStyle name="40% - Accent1 5 2 10 2 2" xfId="29407" xr:uid="{00000000-0005-0000-0000-0000832D0000}"/>
    <cellStyle name="40% - Accent1 5 2 10 3" xfId="20275" xr:uid="{00000000-0005-0000-0000-0000842D0000}"/>
    <cellStyle name="40% - Accent1 5 2 11" xfId="9234" xr:uid="{00000000-0005-0000-0000-0000852D0000}"/>
    <cellStyle name="40% - Accent1 5 2 11 2" xfId="23709" xr:uid="{00000000-0005-0000-0000-0000862D0000}"/>
    <cellStyle name="40% - Accent1 5 2 12" xfId="20274" xr:uid="{00000000-0005-0000-0000-0000872D0000}"/>
    <cellStyle name="40% - Accent1 5 2 2" xfId="2951" xr:uid="{00000000-0005-0000-0000-0000882D0000}"/>
    <cellStyle name="40% - Accent1 5 2 2 10" xfId="9235" xr:uid="{00000000-0005-0000-0000-0000892D0000}"/>
    <cellStyle name="40% - Accent1 5 2 2 10 2" xfId="23710" xr:uid="{00000000-0005-0000-0000-00008A2D0000}"/>
    <cellStyle name="40% - Accent1 5 2 2 11" xfId="20276" xr:uid="{00000000-0005-0000-0000-00008B2D0000}"/>
    <cellStyle name="40% - Accent1 5 2 2 2" xfId="2952" xr:uid="{00000000-0005-0000-0000-00008C2D0000}"/>
    <cellStyle name="40% - Accent1 5 2 2 2 2" xfId="2953" xr:uid="{00000000-0005-0000-0000-00008D2D0000}"/>
    <cellStyle name="40% - Accent1 5 2 2 2 2 2" xfId="10962" xr:uid="{00000000-0005-0000-0000-00008E2D0000}"/>
    <cellStyle name="40% - Accent1 5 2 2 2 2 2 2" xfId="24904" xr:uid="{00000000-0005-0000-0000-00008F2D0000}"/>
    <cellStyle name="40% - Accent1 5 2 2 2 2 3" xfId="20278" xr:uid="{00000000-0005-0000-0000-0000902D0000}"/>
    <cellStyle name="40% - Accent1 5 2 2 2 3" xfId="2954" xr:uid="{00000000-0005-0000-0000-0000912D0000}"/>
    <cellStyle name="40% - Accent1 5 2 2 2 3 2" xfId="12506" xr:uid="{00000000-0005-0000-0000-0000922D0000}"/>
    <cellStyle name="40% - Accent1 5 2 2 2 3 2 2" xfId="26218" xr:uid="{00000000-0005-0000-0000-0000932D0000}"/>
    <cellStyle name="40% - Accent1 5 2 2 2 3 3" xfId="20279" xr:uid="{00000000-0005-0000-0000-0000942D0000}"/>
    <cellStyle name="40% - Accent1 5 2 2 2 4" xfId="2955" xr:uid="{00000000-0005-0000-0000-0000952D0000}"/>
    <cellStyle name="40% - Accent1 5 2 2 2 4 2" xfId="15121" xr:uid="{00000000-0005-0000-0000-0000962D0000}"/>
    <cellStyle name="40% - Accent1 5 2 2 2 4 2 2" xfId="28670" xr:uid="{00000000-0005-0000-0000-0000972D0000}"/>
    <cellStyle name="40% - Accent1 5 2 2 2 4 3" xfId="20280" xr:uid="{00000000-0005-0000-0000-0000982D0000}"/>
    <cellStyle name="40% - Accent1 5 2 2 2 5" xfId="2956" xr:uid="{00000000-0005-0000-0000-0000992D0000}"/>
    <cellStyle name="40% - Accent1 5 2 2 2 5 2" xfId="16870" xr:uid="{00000000-0005-0000-0000-00009A2D0000}"/>
    <cellStyle name="40% - Accent1 5 2 2 2 5 2 2" xfId="30277" xr:uid="{00000000-0005-0000-0000-00009B2D0000}"/>
    <cellStyle name="40% - Accent1 5 2 2 2 5 3" xfId="20281" xr:uid="{00000000-0005-0000-0000-00009C2D0000}"/>
    <cellStyle name="40% - Accent1 5 2 2 2 6" xfId="9236" xr:uid="{00000000-0005-0000-0000-00009D2D0000}"/>
    <cellStyle name="40% - Accent1 5 2 2 2 6 2" xfId="23711" xr:uid="{00000000-0005-0000-0000-00009E2D0000}"/>
    <cellStyle name="40% - Accent1 5 2 2 2 7" xfId="20277" xr:uid="{00000000-0005-0000-0000-00009F2D0000}"/>
    <cellStyle name="40% - Accent1 5 2 2 3" xfId="2957" xr:uid="{00000000-0005-0000-0000-0000A02D0000}"/>
    <cellStyle name="40% - Accent1 5 2 2 3 2" xfId="2958" xr:uid="{00000000-0005-0000-0000-0000A12D0000}"/>
    <cellStyle name="40% - Accent1 5 2 2 3 2 2" xfId="15122" xr:uid="{00000000-0005-0000-0000-0000A22D0000}"/>
    <cellStyle name="40% - Accent1 5 2 2 3 2 2 2" xfId="28671" xr:uid="{00000000-0005-0000-0000-0000A32D0000}"/>
    <cellStyle name="40% - Accent1 5 2 2 3 2 3" xfId="20283" xr:uid="{00000000-0005-0000-0000-0000A42D0000}"/>
    <cellStyle name="40% - Accent1 5 2 2 3 3" xfId="10961" xr:uid="{00000000-0005-0000-0000-0000A52D0000}"/>
    <cellStyle name="40% - Accent1 5 2 2 3 3 2" xfId="24903" xr:uid="{00000000-0005-0000-0000-0000A62D0000}"/>
    <cellStyle name="40% - Accent1 5 2 2 3 4" xfId="20282" xr:uid="{00000000-0005-0000-0000-0000A72D0000}"/>
    <cellStyle name="40% - Accent1 5 2 2 4" xfId="2959" xr:uid="{00000000-0005-0000-0000-0000A82D0000}"/>
    <cellStyle name="40% - Accent1 5 2 2 4 2" xfId="12258" xr:uid="{00000000-0005-0000-0000-0000A92D0000}"/>
    <cellStyle name="40% - Accent1 5 2 2 4 2 2" xfId="25970" xr:uid="{00000000-0005-0000-0000-0000AA2D0000}"/>
    <cellStyle name="40% - Accent1 5 2 2 4 3" xfId="20284" xr:uid="{00000000-0005-0000-0000-0000AB2D0000}"/>
    <cellStyle name="40% - Accent1 5 2 2 5" xfId="2960" xr:uid="{00000000-0005-0000-0000-0000AC2D0000}"/>
    <cellStyle name="40% - Accent1 5 2 2 5 2" xfId="12458" xr:uid="{00000000-0005-0000-0000-0000AD2D0000}"/>
    <cellStyle name="40% - Accent1 5 2 2 5 2 2" xfId="26170" xr:uid="{00000000-0005-0000-0000-0000AE2D0000}"/>
    <cellStyle name="40% - Accent1 5 2 2 5 3" xfId="20285" xr:uid="{00000000-0005-0000-0000-0000AF2D0000}"/>
    <cellStyle name="40% - Accent1 5 2 2 6" xfId="2961" xr:uid="{00000000-0005-0000-0000-0000B02D0000}"/>
    <cellStyle name="40% - Accent1 5 2 2 6 2" xfId="13822" xr:uid="{00000000-0005-0000-0000-0000B12D0000}"/>
    <cellStyle name="40% - Accent1 5 2 2 6 2 2" xfId="27371" xr:uid="{00000000-0005-0000-0000-0000B22D0000}"/>
    <cellStyle name="40% - Accent1 5 2 2 6 3" xfId="20286" xr:uid="{00000000-0005-0000-0000-0000B32D0000}"/>
    <cellStyle name="40% - Accent1 5 2 2 7" xfId="2962" xr:uid="{00000000-0005-0000-0000-0000B42D0000}"/>
    <cellStyle name="40% - Accent1 5 2 2 7 2" xfId="14403" xr:uid="{00000000-0005-0000-0000-0000B52D0000}"/>
    <cellStyle name="40% - Accent1 5 2 2 7 2 2" xfId="27952" xr:uid="{00000000-0005-0000-0000-0000B62D0000}"/>
    <cellStyle name="40% - Accent1 5 2 2 7 3" xfId="20287" xr:uid="{00000000-0005-0000-0000-0000B72D0000}"/>
    <cellStyle name="40% - Accent1 5 2 2 8" xfId="2963" xr:uid="{00000000-0005-0000-0000-0000B82D0000}"/>
    <cellStyle name="40% - Accent1 5 2 2 8 2" xfId="15120" xr:uid="{00000000-0005-0000-0000-0000B92D0000}"/>
    <cellStyle name="40% - Accent1 5 2 2 8 2 2" xfId="28669" xr:uid="{00000000-0005-0000-0000-0000BA2D0000}"/>
    <cellStyle name="40% - Accent1 5 2 2 8 3" xfId="20288" xr:uid="{00000000-0005-0000-0000-0000BB2D0000}"/>
    <cellStyle name="40% - Accent1 5 2 2 9" xfId="2964" xr:uid="{00000000-0005-0000-0000-0000BC2D0000}"/>
    <cellStyle name="40% - Accent1 5 2 2 9 2" xfId="16289" xr:uid="{00000000-0005-0000-0000-0000BD2D0000}"/>
    <cellStyle name="40% - Accent1 5 2 2 9 2 2" xfId="29696" xr:uid="{00000000-0005-0000-0000-0000BE2D0000}"/>
    <cellStyle name="40% - Accent1 5 2 2 9 3" xfId="20289" xr:uid="{00000000-0005-0000-0000-0000BF2D0000}"/>
    <cellStyle name="40% - Accent1 5 2 3" xfId="2965" xr:uid="{00000000-0005-0000-0000-0000C02D0000}"/>
    <cellStyle name="40% - Accent1 5 2 3 2" xfId="2966" xr:uid="{00000000-0005-0000-0000-0000C12D0000}"/>
    <cellStyle name="40% - Accent1 5 2 3 2 2" xfId="10963" xr:uid="{00000000-0005-0000-0000-0000C22D0000}"/>
    <cellStyle name="40% - Accent1 5 2 3 2 2 2" xfId="24905" xr:uid="{00000000-0005-0000-0000-0000C32D0000}"/>
    <cellStyle name="40% - Accent1 5 2 3 2 3" xfId="20291" xr:uid="{00000000-0005-0000-0000-0000C42D0000}"/>
    <cellStyle name="40% - Accent1 5 2 3 3" xfId="2967" xr:uid="{00000000-0005-0000-0000-0000C52D0000}"/>
    <cellStyle name="40% - Accent1 5 2 3 3 2" xfId="11760" xr:uid="{00000000-0005-0000-0000-0000C62D0000}"/>
    <cellStyle name="40% - Accent1 5 2 3 3 2 2" xfId="25475" xr:uid="{00000000-0005-0000-0000-0000C72D0000}"/>
    <cellStyle name="40% - Accent1 5 2 3 3 3" xfId="20292" xr:uid="{00000000-0005-0000-0000-0000C82D0000}"/>
    <cellStyle name="40% - Accent1 5 2 3 4" xfId="2968" xr:uid="{00000000-0005-0000-0000-0000C92D0000}"/>
    <cellStyle name="40% - Accent1 5 2 3 4 2" xfId="15123" xr:uid="{00000000-0005-0000-0000-0000CA2D0000}"/>
    <cellStyle name="40% - Accent1 5 2 3 4 2 2" xfId="28672" xr:uid="{00000000-0005-0000-0000-0000CB2D0000}"/>
    <cellStyle name="40% - Accent1 5 2 3 4 3" xfId="20293" xr:uid="{00000000-0005-0000-0000-0000CC2D0000}"/>
    <cellStyle name="40% - Accent1 5 2 3 5" xfId="2969" xr:uid="{00000000-0005-0000-0000-0000CD2D0000}"/>
    <cellStyle name="40% - Accent1 5 2 3 5 2" xfId="16581" xr:uid="{00000000-0005-0000-0000-0000CE2D0000}"/>
    <cellStyle name="40% - Accent1 5 2 3 5 2 2" xfId="29988" xr:uid="{00000000-0005-0000-0000-0000CF2D0000}"/>
    <cellStyle name="40% - Accent1 5 2 3 5 3" xfId="20294" xr:uid="{00000000-0005-0000-0000-0000D02D0000}"/>
    <cellStyle name="40% - Accent1 5 2 3 6" xfId="9237" xr:uid="{00000000-0005-0000-0000-0000D12D0000}"/>
    <cellStyle name="40% - Accent1 5 2 3 6 2" xfId="23712" xr:uid="{00000000-0005-0000-0000-0000D22D0000}"/>
    <cellStyle name="40% - Accent1 5 2 3 7" xfId="20290" xr:uid="{00000000-0005-0000-0000-0000D32D0000}"/>
    <cellStyle name="40% - Accent1 5 2 4" xfId="2970" xr:uid="{00000000-0005-0000-0000-0000D42D0000}"/>
    <cellStyle name="40% - Accent1 5 2 4 2" xfId="2971" xr:uid="{00000000-0005-0000-0000-0000D52D0000}"/>
    <cellStyle name="40% - Accent1 5 2 4 2 2" xfId="15124" xr:uid="{00000000-0005-0000-0000-0000D62D0000}"/>
    <cellStyle name="40% - Accent1 5 2 4 2 2 2" xfId="28673" xr:uid="{00000000-0005-0000-0000-0000D72D0000}"/>
    <cellStyle name="40% - Accent1 5 2 4 2 3" xfId="20296" xr:uid="{00000000-0005-0000-0000-0000D82D0000}"/>
    <cellStyle name="40% - Accent1 5 2 4 3" xfId="10960" xr:uid="{00000000-0005-0000-0000-0000D92D0000}"/>
    <cellStyle name="40% - Accent1 5 2 4 3 2" xfId="24902" xr:uid="{00000000-0005-0000-0000-0000DA2D0000}"/>
    <cellStyle name="40% - Accent1 5 2 4 4" xfId="20295" xr:uid="{00000000-0005-0000-0000-0000DB2D0000}"/>
    <cellStyle name="40% - Accent1 5 2 5" xfId="2972" xr:uid="{00000000-0005-0000-0000-0000DC2D0000}"/>
    <cellStyle name="40% - Accent1 5 2 5 2" xfId="11958" xr:uid="{00000000-0005-0000-0000-0000DD2D0000}"/>
    <cellStyle name="40% - Accent1 5 2 5 2 2" xfId="25673" xr:uid="{00000000-0005-0000-0000-0000DE2D0000}"/>
    <cellStyle name="40% - Accent1 5 2 5 3" xfId="20297" xr:uid="{00000000-0005-0000-0000-0000DF2D0000}"/>
    <cellStyle name="40% - Accent1 5 2 6" xfId="2973" xr:uid="{00000000-0005-0000-0000-0000E02D0000}"/>
    <cellStyle name="40% - Accent1 5 2 6 2" xfId="12675" xr:uid="{00000000-0005-0000-0000-0000E12D0000}"/>
    <cellStyle name="40% - Accent1 5 2 6 2 2" xfId="26387" xr:uid="{00000000-0005-0000-0000-0000E22D0000}"/>
    <cellStyle name="40% - Accent1 5 2 6 3" xfId="20298" xr:uid="{00000000-0005-0000-0000-0000E32D0000}"/>
    <cellStyle name="40% - Accent1 5 2 7" xfId="2974" xr:uid="{00000000-0005-0000-0000-0000E42D0000}"/>
    <cellStyle name="40% - Accent1 5 2 7 2" xfId="13533" xr:uid="{00000000-0005-0000-0000-0000E52D0000}"/>
    <cellStyle name="40% - Accent1 5 2 7 2 2" xfId="27082" xr:uid="{00000000-0005-0000-0000-0000E62D0000}"/>
    <cellStyle name="40% - Accent1 5 2 7 3" xfId="20299" xr:uid="{00000000-0005-0000-0000-0000E72D0000}"/>
    <cellStyle name="40% - Accent1 5 2 8" xfId="2975" xr:uid="{00000000-0005-0000-0000-0000E82D0000}"/>
    <cellStyle name="40% - Accent1 5 2 8 2" xfId="14114" xr:uid="{00000000-0005-0000-0000-0000E92D0000}"/>
    <cellStyle name="40% - Accent1 5 2 8 2 2" xfId="27663" xr:uid="{00000000-0005-0000-0000-0000EA2D0000}"/>
    <cellStyle name="40% - Accent1 5 2 8 3" xfId="20300" xr:uid="{00000000-0005-0000-0000-0000EB2D0000}"/>
    <cellStyle name="40% - Accent1 5 2 9" xfId="2976" xr:uid="{00000000-0005-0000-0000-0000EC2D0000}"/>
    <cellStyle name="40% - Accent1 5 2 9 2" xfId="15119" xr:uid="{00000000-0005-0000-0000-0000ED2D0000}"/>
    <cellStyle name="40% - Accent1 5 2 9 2 2" xfId="28668" xr:uid="{00000000-0005-0000-0000-0000EE2D0000}"/>
    <cellStyle name="40% - Accent1 5 2 9 3" xfId="20301" xr:uid="{00000000-0005-0000-0000-0000EF2D0000}"/>
    <cellStyle name="40% - Accent1 5 3" xfId="2977" xr:uid="{00000000-0005-0000-0000-0000F02D0000}"/>
    <cellStyle name="40% - Accent1 5 3 10" xfId="9238" xr:uid="{00000000-0005-0000-0000-0000F12D0000}"/>
    <cellStyle name="40% - Accent1 5 3 10 2" xfId="23713" xr:uid="{00000000-0005-0000-0000-0000F22D0000}"/>
    <cellStyle name="40% - Accent1 5 3 11" xfId="20302" xr:uid="{00000000-0005-0000-0000-0000F32D0000}"/>
    <cellStyle name="40% - Accent1 5 3 2" xfId="2978" xr:uid="{00000000-0005-0000-0000-0000F42D0000}"/>
    <cellStyle name="40% - Accent1 5 3 2 2" xfId="2979" xr:uid="{00000000-0005-0000-0000-0000F52D0000}"/>
    <cellStyle name="40% - Accent1 5 3 2 2 2" xfId="10965" xr:uid="{00000000-0005-0000-0000-0000F62D0000}"/>
    <cellStyle name="40% - Accent1 5 3 2 2 2 2" xfId="24907" xr:uid="{00000000-0005-0000-0000-0000F72D0000}"/>
    <cellStyle name="40% - Accent1 5 3 2 2 3" xfId="20304" xr:uid="{00000000-0005-0000-0000-0000F82D0000}"/>
    <cellStyle name="40% - Accent1 5 3 2 3" xfId="2980" xr:uid="{00000000-0005-0000-0000-0000F92D0000}"/>
    <cellStyle name="40% - Accent1 5 3 2 3 2" xfId="12716" xr:uid="{00000000-0005-0000-0000-0000FA2D0000}"/>
    <cellStyle name="40% - Accent1 5 3 2 3 2 2" xfId="26428" xr:uid="{00000000-0005-0000-0000-0000FB2D0000}"/>
    <cellStyle name="40% - Accent1 5 3 2 3 3" xfId="20305" xr:uid="{00000000-0005-0000-0000-0000FC2D0000}"/>
    <cellStyle name="40% - Accent1 5 3 2 4" xfId="2981" xr:uid="{00000000-0005-0000-0000-0000FD2D0000}"/>
    <cellStyle name="40% - Accent1 5 3 2 4 2" xfId="15126" xr:uid="{00000000-0005-0000-0000-0000FE2D0000}"/>
    <cellStyle name="40% - Accent1 5 3 2 4 2 2" xfId="28675" xr:uid="{00000000-0005-0000-0000-0000FF2D0000}"/>
    <cellStyle name="40% - Accent1 5 3 2 4 3" xfId="20306" xr:uid="{00000000-0005-0000-0000-0000002E0000}"/>
    <cellStyle name="40% - Accent1 5 3 2 5" xfId="2982" xr:uid="{00000000-0005-0000-0000-0000012E0000}"/>
    <cellStyle name="40% - Accent1 5 3 2 5 2" xfId="16730" xr:uid="{00000000-0005-0000-0000-0000022E0000}"/>
    <cellStyle name="40% - Accent1 5 3 2 5 2 2" xfId="30137" xr:uid="{00000000-0005-0000-0000-0000032E0000}"/>
    <cellStyle name="40% - Accent1 5 3 2 5 3" xfId="20307" xr:uid="{00000000-0005-0000-0000-0000042E0000}"/>
    <cellStyle name="40% - Accent1 5 3 2 6" xfId="9239" xr:uid="{00000000-0005-0000-0000-0000052E0000}"/>
    <cellStyle name="40% - Accent1 5 3 2 6 2" xfId="23714" xr:uid="{00000000-0005-0000-0000-0000062E0000}"/>
    <cellStyle name="40% - Accent1 5 3 2 7" xfId="20303" xr:uid="{00000000-0005-0000-0000-0000072E0000}"/>
    <cellStyle name="40% - Accent1 5 3 3" xfId="2983" xr:uid="{00000000-0005-0000-0000-0000082E0000}"/>
    <cellStyle name="40% - Accent1 5 3 3 2" xfId="2984" xr:uid="{00000000-0005-0000-0000-0000092E0000}"/>
    <cellStyle name="40% - Accent1 5 3 3 2 2" xfId="15127" xr:uid="{00000000-0005-0000-0000-00000A2E0000}"/>
    <cellStyle name="40% - Accent1 5 3 3 2 2 2" xfId="28676" xr:uid="{00000000-0005-0000-0000-00000B2E0000}"/>
    <cellStyle name="40% - Accent1 5 3 3 2 3" xfId="20309" xr:uid="{00000000-0005-0000-0000-00000C2E0000}"/>
    <cellStyle name="40% - Accent1 5 3 3 3" xfId="10964" xr:uid="{00000000-0005-0000-0000-00000D2E0000}"/>
    <cellStyle name="40% - Accent1 5 3 3 3 2" xfId="24906" xr:uid="{00000000-0005-0000-0000-00000E2E0000}"/>
    <cellStyle name="40% - Accent1 5 3 3 4" xfId="20308" xr:uid="{00000000-0005-0000-0000-00000F2E0000}"/>
    <cellStyle name="40% - Accent1 5 3 4" xfId="2985" xr:uid="{00000000-0005-0000-0000-0000102E0000}"/>
    <cellStyle name="40% - Accent1 5 3 4 2" xfId="12118" xr:uid="{00000000-0005-0000-0000-0000112E0000}"/>
    <cellStyle name="40% - Accent1 5 3 4 2 2" xfId="25830" xr:uid="{00000000-0005-0000-0000-0000122E0000}"/>
    <cellStyle name="40% - Accent1 5 3 4 3" xfId="20310" xr:uid="{00000000-0005-0000-0000-0000132E0000}"/>
    <cellStyle name="40% - Accent1 5 3 5" xfId="2986" xr:uid="{00000000-0005-0000-0000-0000142E0000}"/>
    <cellStyle name="40% - Accent1 5 3 5 2" xfId="12721" xr:uid="{00000000-0005-0000-0000-0000152E0000}"/>
    <cellStyle name="40% - Accent1 5 3 5 2 2" xfId="26433" xr:uid="{00000000-0005-0000-0000-0000162E0000}"/>
    <cellStyle name="40% - Accent1 5 3 5 3" xfId="20311" xr:uid="{00000000-0005-0000-0000-0000172E0000}"/>
    <cellStyle name="40% - Accent1 5 3 6" xfId="2987" xr:uid="{00000000-0005-0000-0000-0000182E0000}"/>
    <cellStyle name="40% - Accent1 5 3 6 2" xfId="13682" xr:uid="{00000000-0005-0000-0000-0000192E0000}"/>
    <cellStyle name="40% - Accent1 5 3 6 2 2" xfId="27231" xr:uid="{00000000-0005-0000-0000-00001A2E0000}"/>
    <cellStyle name="40% - Accent1 5 3 6 3" xfId="20312" xr:uid="{00000000-0005-0000-0000-00001B2E0000}"/>
    <cellStyle name="40% - Accent1 5 3 7" xfId="2988" xr:uid="{00000000-0005-0000-0000-00001C2E0000}"/>
    <cellStyle name="40% - Accent1 5 3 7 2" xfId="14263" xr:uid="{00000000-0005-0000-0000-00001D2E0000}"/>
    <cellStyle name="40% - Accent1 5 3 7 2 2" xfId="27812" xr:uid="{00000000-0005-0000-0000-00001E2E0000}"/>
    <cellStyle name="40% - Accent1 5 3 7 3" xfId="20313" xr:uid="{00000000-0005-0000-0000-00001F2E0000}"/>
    <cellStyle name="40% - Accent1 5 3 8" xfId="2989" xr:uid="{00000000-0005-0000-0000-0000202E0000}"/>
    <cellStyle name="40% - Accent1 5 3 8 2" xfId="15125" xr:uid="{00000000-0005-0000-0000-0000212E0000}"/>
    <cellStyle name="40% - Accent1 5 3 8 2 2" xfId="28674" xr:uid="{00000000-0005-0000-0000-0000222E0000}"/>
    <cellStyle name="40% - Accent1 5 3 8 3" xfId="20314" xr:uid="{00000000-0005-0000-0000-0000232E0000}"/>
    <cellStyle name="40% - Accent1 5 3 9" xfId="2990" xr:uid="{00000000-0005-0000-0000-0000242E0000}"/>
    <cellStyle name="40% - Accent1 5 3 9 2" xfId="16149" xr:uid="{00000000-0005-0000-0000-0000252E0000}"/>
    <cellStyle name="40% - Accent1 5 3 9 2 2" xfId="29556" xr:uid="{00000000-0005-0000-0000-0000262E0000}"/>
    <cellStyle name="40% - Accent1 5 3 9 3" xfId="20315" xr:uid="{00000000-0005-0000-0000-0000272E0000}"/>
    <cellStyle name="40% - Accent1 5 4" xfId="2991" xr:uid="{00000000-0005-0000-0000-0000282E0000}"/>
    <cellStyle name="40% - Accent1 5 4 2" xfId="2992" xr:uid="{00000000-0005-0000-0000-0000292E0000}"/>
    <cellStyle name="40% - Accent1 5 4 2 2" xfId="10966" xr:uid="{00000000-0005-0000-0000-00002A2E0000}"/>
    <cellStyle name="40% - Accent1 5 4 2 2 2" xfId="24908" xr:uid="{00000000-0005-0000-0000-00002B2E0000}"/>
    <cellStyle name="40% - Accent1 5 4 2 3" xfId="20317" xr:uid="{00000000-0005-0000-0000-00002C2E0000}"/>
    <cellStyle name="40% - Accent1 5 4 3" xfId="2993" xr:uid="{00000000-0005-0000-0000-00002D2E0000}"/>
    <cellStyle name="40% - Accent1 5 4 3 2" xfId="12513" xr:uid="{00000000-0005-0000-0000-00002E2E0000}"/>
    <cellStyle name="40% - Accent1 5 4 3 2 2" xfId="26225" xr:uid="{00000000-0005-0000-0000-00002F2E0000}"/>
    <cellStyle name="40% - Accent1 5 4 3 3" xfId="20318" xr:uid="{00000000-0005-0000-0000-0000302E0000}"/>
    <cellStyle name="40% - Accent1 5 4 4" xfId="2994" xr:uid="{00000000-0005-0000-0000-0000312E0000}"/>
    <cellStyle name="40% - Accent1 5 4 4 2" xfId="15128" xr:uid="{00000000-0005-0000-0000-0000322E0000}"/>
    <cellStyle name="40% - Accent1 5 4 4 2 2" xfId="28677" xr:uid="{00000000-0005-0000-0000-0000332E0000}"/>
    <cellStyle name="40% - Accent1 5 4 4 3" xfId="20319" xr:uid="{00000000-0005-0000-0000-0000342E0000}"/>
    <cellStyle name="40% - Accent1 5 4 5" xfId="2995" xr:uid="{00000000-0005-0000-0000-0000352E0000}"/>
    <cellStyle name="40% - Accent1 5 4 5 2" xfId="16438" xr:uid="{00000000-0005-0000-0000-0000362E0000}"/>
    <cellStyle name="40% - Accent1 5 4 5 2 2" xfId="29845" xr:uid="{00000000-0005-0000-0000-0000372E0000}"/>
    <cellStyle name="40% - Accent1 5 4 5 3" xfId="20320" xr:uid="{00000000-0005-0000-0000-0000382E0000}"/>
    <cellStyle name="40% - Accent1 5 4 6" xfId="9240" xr:uid="{00000000-0005-0000-0000-0000392E0000}"/>
    <cellStyle name="40% - Accent1 5 4 6 2" xfId="23715" xr:uid="{00000000-0005-0000-0000-00003A2E0000}"/>
    <cellStyle name="40% - Accent1 5 4 7" xfId="20316" xr:uid="{00000000-0005-0000-0000-00003B2E0000}"/>
    <cellStyle name="40% - Accent1 5 5" xfId="2996" xr:uid="{00000000-0005-0000-0000-00003C2E0000}"/>
    <cellStyle name="40% - Accent1 5 5 2" xfId="2997" xr:uid="{00000000-0005-0000-0000-00003D2E0000}"/>
    <cellStyle name="40% - Accent1 5 5 2 2" xfId="15129" xr:uid="{00000000-0005-0000-0000-00003E2E0000}"/>
    <cellStyle name="40% - Accent1 5 5 2 2 2" xfId="28678" xr:uid="{00000000-0005-0000-0000-00003F2E0000}"/>
    <cellStyle name="40% - Accent1 5 5 2 3" xfId="20322" xr:uid="{00000000-0005-0000-0000-0000402E0000}"/>
    <cellStyle name="40% - Accent1 5 5 3" xfId="10959" xr:uid="{00000000-0005-0000-0000-0000412E0000}"/>
    <cellStyle name="40% - Accent1 5 5 3 2" xfId="24901" xr:uid="{00000000-0005-0000-0000-0000422E0000}"/>
    <cellStyle name="40% - Accent1 5 5 4" xfId="20321" xr:uid="{00000000-0005-0000-0000-0000432E0000}"/>
    <cellStyle name="40% - Accent1 5 6" xfId="2998" xr:uid="{00000000-0005-0000-0000-0000442E0000}"/>
    <cellStyle name="40% - Accent1 5 6 2" xfId="11789" xr:uid="{00000000-0005-0000-0000-0000452E0000}"/>
    <cellStyle name="40% - Accent1 5 6 2 2" xfId="25504" xr:uid="{00000000-0005-0000-0000-0000462E0000}"/>
    <cellStyle name="40% - Accent1 5 6 3" xfId="20323" xr:uid="{00000000-0005-0000-0000-0000472E0000}"/>
    <cellStyle name="40% - Accent1 5 7" xfId="2999" xr:uid="{00000000-0005-0000-0000-0000482E0000}"/>
    <cellStyle name="40% - Accent1 5 7 2" xfId="12407" xr:uid="{00000000-0005-0000-0000-0000492E0000}"/>
    <cellStyle name="40% - Accent1 5 7 2 2" xfId="26119" xr:uid="{00000000-0005-0000-0000-00004A2E0000}"/>
    <cellStyle name="40% - Accent1 5 7 3" xfId="20324" xr:uid="{00000000-0005-0000-0000-00004B2E0000}"/>
    <cellStyle name="40% - Accent1 5 8" xfId="3000" xr:uid="{00000000-0005-0000-0000-00004C2E0000}"/>
    <cellStyle name="40% - Accent1 5 8 2" xfId="13390" xr:uid="{00000000-0005-0000-0000-00004D2E0000}"/>
    <cellStyle name="40% - Accent1 5 8 2 2" xfId="26939" xr:uid="{00000000-0005-0000-0000-00004E2E0000}"/>
    <cellStyle name="40% - Accent1 5 8 3" xfId="20325" xr:uid="{00000000-0005-0000-0000-00004F2E0000}"/>
    <cellStyle name="40% - Accent1 5 9" xfId="3001" xr:uid="{00000000-0005-0000-0000-0000502E0000}"/>
    <cellStyle name="40% - Accent1 5 9 2" xfId="13971" xr:uid="{00000000-0005-0000-0000-0000512E0000}"/>
    <cellStyle name="40% - Accent1 5 9 2 2" xfId="27520" xr:uid="{00000000-0005-0000-0000-0000522E0000}"/>
    <cellStyle name="40% - Accent1 5 9 3" xfId="20326" xr:uid="{00000000-0005-0000-0000-0000532E0000}"/>
    <cellStyle name="40% - Accent1 6" xfId="3002" xr:uid="{00000000-0005-0000-0000-0000542E0000}"/>
    <cellStyle name="40% - Accent1 6 10" xfId="3003" xr:uid="{00000000-0005-0000-0000-0000552E0000}"/>
    <cellStyle name="40% - Accent1 6 10 2" xfId="15130" xr:uid="{00000000-0005-0000-0000-0000562E0000}"/>
    <cellStyle name="40% - Accent1 6 10 2 2" xfId="28679" xr:uid="{00000000-0005-0000-0000-0000572E0000}"/>
    <cellStyle name="40% - Accent1 6 10 3" xfId="20328" xr:uid="{00000000-0005-0000-0000-0000582E0000}"/>
    <cellStyle name="40% - Accent1 6 11" xfId="3004" xr:uid="{00000000-0005-0000-0000-0000592E0000}"/>
    <cellStyle name="40% - Accent1 6 11 2" xfId="15963" xr:uid="{00000000-0005-0000-0000-00005A2E0000}"/>
    <cellStyle name="40% - Accent1 6 11 2 2" xfId="29370" xr:uid="{00000000-0005-0000-0000-00005B2E0000}"/>
    <cellStyle name="40% - Accent1 6 11 3" xfId="20329" xr:uid="{00000000-0005-0000-0000-00005C2E0000}"/>
    <cellStyle name="40% - Accent1 6 12" xfId="9241" xr:uid="{00000000-0005-0000-0000-00005D2E0000}"/>
    <cellStyle name="40% - Accent1 6 12 2" xfId="23716" xr:uid="{00000000-0005-0000-0000-00005E2E0000}"/>
    <cellStyle name="40% - Accent1 6 13" xfId="20327" xr:uid="{00000000-0005-0000-0000-00005F2E0000}"/>
    <cellStyle name="40% - Accent1 6 2" xfId="3005" xr:uid="{00000000-0005-0000-0000-0000602E0000}"/>
    <cellStyle name="40% - Accent1 6 2 10" xfId="3006" xr:uid="{00000000-0005-0000-0000-0000612E0000}"/>
    <cellStyle name="40% - Accent1 6 2 10 2" xfId="16106" xr:uid="{00000000-0005-0000-0000-0000622E0000}"/>
    <cellStyle name="40% - Accent1 6 2 10 2 2" xfId="29513" xr:uid="{00000000-0005-0000-0000-0000632E0000}"/>
    <cellStyle name="40% - Accent1 6 2 10 3" xfId="20331" xr:uid="{00000000-0005-0000-0000-0000642E0000}"/>
    <cellStyle name="40% - Accent1 6 2 11" xfId="9242" xr:uid="{00000000-0005-0000-0000-0000652E0000}"/>
    <cellStyle name="40% - Accent1 6 2 11 2" xfId="23717" xr:uid="{00000000-0005-0000-0000-0000662E0000}"/>
    <cellStyle name="40% - Accent1 6 2 12" xfId="20330" xr:uid="{00000000-0005-0000-0000-0000672E0000}"/>
    <cellStyle name="40% - Accent1 6 2 2" xfId="3007" xr:uid="{00000000-0005-0000-0000-0000682E0000}"/>
    <cellStyle name="40% - Accent1 6 2 2 10" xfId="9243" xr:uid="{00000000-0005-0000-0000-0000692E0000}"/>
    <cellStyle name="40% - Accent1 6 2 2 10 2" xfId="23718" xr:uid="{00000000-0005-0000-0000-00006A2E0000}"/>
    <cellStyle name="40% - Accent1 6 2 2 11" xfId="20332" xr:uid="{00000000-0005-0000-0000-00006B2E0000}"/>
    <cellStyle name="40% - Accent1 6 2 2 2" xfId="3008" xr:uid="{00000000-0005-0000-0000-00006C2E0000}"/>
    <cellStyle name="40% - Accent1 6 2 2 2 2" xfId="3009" xr:uid="{00000000-0005-0000-0000-00006D2E0000}"/>
    <cellStyle name="40% - Accent1 6 2 2 2 2 2" xfId="10970" xr:uid="{00000000-0005-0000-0000-00006E2E0000}"/>
    <cellStyle name="40% - Accent1 6 2 2 2 2 2 2" xfId="24912" xr:uid="{00000000-0005-0000-0000-00006F2E0000}"/>
    <cellStyle name="40% - Accent1 6 2 2 2 2 3" xfId="20334" xr:uid="{00000000-0005-0000-0000-0000702E0000}"/>
    <cellStyle name="40% - Accent1 6 2 2 2 3" xfId="3010" xr:uid="{00000000-0005-0000-0000-0000712E0000}"/>
    <cellStyle name="40% - Accent1 6 2 2 2 3 2" xfId="12494" xr:uid="{00000000-0005-0000-0000-0000722E0000}"/>
    <cellStyle name="40% - Accent1 6 2 2 2 3 2 2" xfId="26206" xr:uid="{00000000-0005-0000-0000-0000732E0000}"/>
    <cellStyle name="40% - Accent1 6 2 2 2 3 3" xfId="20335" xr:uid="{00000000-0005-0000-0000-0000742E0000}"/>
    <cellStyle name="40% - Accent1 6 2 2 2 4" xfId="3011" xr:uid="{00000000-0005-0000-0000-0000752E0000}"/>
    <cellStyle name="40% - Accent1 6 2 2 2 4 2" xfId="15133" xr:uid="{00000000-0005-0000-0000-0000762E0000}"/>
    <cellStyle name="40% - Accent1 6 2 2 2 4 2 2" xfId="28682" xr:uid="{00000000-0005-0000-0000-0000772E0000}"/>
    <cellStyle name="40% - Accent1 6 2 2 2 4 3" xfId="20336" xr:uid="{00000000-0005-0000-0000-0000782E0000}"/>
    <cellStyle name="40% - Accent1 6 2 2 2 5" xfId="3012" xr:uid="{00000000-0005-0000-0000-0000792E0000}"/>
    <cellStyle name="40% - Accent1 6 2 2 2 5 2" xfId="16976" xr:uid="{00000000-0005-0000-0000-00007A2E0000}"/>
    <cellStyle name="40% - Accent1 6 2 2 2 5 2 2" xfId="30383" xr:uid="{00000000-0005-0000-0000-00007B2E0000}"/>
    <cellStyle name="40% - Accent1 6 2 2 2 5 3" xfId="20337" xr:uid="{00000000-0005-0000-0000-00007C2E0000}"/>
    <cellStyle name="40% - Accent1 6 2 2 2 6" xfId="9244" xr:uid="{00000000-0005-0000-0000-00007D2E0000}"/>
    <cellStyle name="40% - Accent1 6 2 2 2 6 2" xfId="23719" xr:uid="{00000000-0005-0000-0000-00007E2E0000}"/>
    <cellStyle name="40% - Accent1 6 2 2 2 7" xfId="20333" xr:uid="{00000000-0005-0000-0000-00007F2E0000}"/>
    <cellStyle name="40% - Accent1 6 2 2 3" xfId="3013" xr:uid="{00000000-0005-0000-0000-0000802E0000}"/>
    <cellStyle name="40% - Accent1 6 2 2 3 2" xfId="3014" xr:uid="{00000000-0005-0000-0000-0000812E0000}"/>
    <cellStyle name="40% - Accent1 6 2 2 3 2 2" xfId="15134" xr:uid="{00000000-0005-0000-0000-0000822E0000}"/>
    <cellStyle name="40% - Accent1 6 2 2 3 2 2 2" xfId="28683" xr:uid="{00000000-0005-0000-0000-0000832E0000}"/>
    <cellStyle name="40% - Accent1 6 2 2 3 2 3" xfId="20339" xr:uid="{00000000-0005-0000-0000-0000842E0000}"/>
    <cellStyle name="40% - Accent1 6 2 2 3 3" xfId="10969" xr:uid="{00000000-0005-0000-0000-0000852E0000}"/>
    <cellStyle name="40% - Accent1 6 2 2 3 3 2" xfId="24911" xr:uid="{00000000-0005-0000-0000-0000862E0000}"/>
    <cellStyle name="40% - Accent1 6 2 2 3 4" xfId="20338" xr:uid="{00000000-0005-0000-0000-0000872E0000}"/>
    <cellStyle name="40% - Accent1 6 2 2 4" xfId="3015" xr:uid="{00000000-0005-0000-0000-0000882E0000}"/>
    <cellStyle name="40% - Accent1 6 2 2 4 2" xfId="12364" xr:uid="{00000000-0005-0000-0000-0000892E0000}"/>
    <cellStyle name="40% - Accent1 6 2 2 4 2 2" xfId="26076" xr:uid="{00000000-0005-0000-0000-00008A2E0000}"/>
    <cellStyle name="40% - Accent1 6 2 2 4 3" xfId="20340" xr:uid="{00000000-0005-0000-0000-00008B2E0000}"/>
    <cellStyle name="40% - Accent1 6 2 2 5" xfId="3016" xr:uid="{00000000-0005-0000-0000-00008C2E0000}"/>
    <cellStyle name="40% - Accent1 6 2 2 5 2" xfId="12693" xr:uid="{00000000-0005-0000-0000-00008D2E0000}"/>
    <cellStyle name="40% - Accent1 6 2 2 5 2 2" xfId="26405" xr:uid="{00000000-0005-0000-0000-00008E2E0000}"/>
    <cellStyle name="40% - Accent1 6 2 2 5 3" xfId="20341" xr:uid="{00000000-0005-0000-0000-00008F2E0000}"/>
    <cellStyle name="40% - Accent1 6 2 2 6" xfId="3017" xr:uid="{00000000-0005-0000-0000-0000902E0000}"/>
    <cellStyle name="40% - Accent1 6 2 2 6 2" xfId="13928" xr:uid="{00000000-0005-0000-0000-0000912E0000}"/>
    <cellStyle name="40% - Accent1 6 2 2 6 2 2" xfId="27477" xr:uid="{00000000-0005-0000-0000-0000922E0000}"/>
    <cellStyle name="40% - Accent1 6 2 2 6 3" xfId="20342" xr:uid="{00000000-0005-0000-0000-0000932E0000}"/>
    <cellStyle name="40% - Accent1 6 2 2 7" xfId="3018" xr:uid="{00000000-0005-0000-0000-0000942E0000}"/>
    <cellStyle name="40% - Accent1 6 2 2 7 2" xfId="14509" xr:uid="{00000000-0005-0000-0000-0000952E0000}"/>
    <cellStyle name="40% - Accent1 6 2 2 7 2 2" xfId="28058" xr:uid="{00000000-0005-0000-0000-0000962E0000}"/>
    <cellStyle name="40% - Accent1 6 2 2 7 3" xfId="20343" xr:uid="{00000000-0005-0000-0000-0000972E0000}"/>
    <cellStyle name="40% - Accent1 6 2 2 8" xfId="3019" xr:uid="{00000000-0005-0000-0000-0000982E0000}"/>
    <cellStyle name="40% - Accent1 6 2 2 8 2" xfId="15132" xr:uid="{00000000-0005-0000-0000-0000992E0000}"/>
    <cellStyle name="40% - Accent1 6 2 2 8 2 2" xfId="28681" xr:uid="{00000000-0005-0000-0000-00009A2E0000}"/>
    <cellStyle name="40% - Accent1 6 2 2 8 3" xfId="20344" xr:uid="{00000000-0005-0000-0000-00009B2E0000}"/>
    <cellStyle name="40% - Accent1 6 2 2 9" xfId="3020" xr:uid="{00000000-0005-0000-0000-00009C2E0000}"/>
    <cellStyle name="40% - Accent1 6 2 2 9 2" xfId="16395" xr:uid="{00000000-0005-0000-0000-00009D2E0000}"/>
    <cellStyle name="40% - Accent1 6 2 2 9 2 2" xfId="29802" xr:uid="{00000000-0005-0000-0000-00009E2E0000}"/>
    <cellStyle name="40% - Accent1 6 2 2 9 3" xfId="20345" xr:uid="{00000000-0005-0000-0000-00009F2E0000}"/>
    <cellStyle name="40% - Accent1 6 2 3" xfId="3021" xr:uid="{00000000-0005-0000-0000-0000A02E0000}"/>
    <cellStyle name="40% - Accent1 6 2 3 2" xfId="3022" xr:uid="{00000000-0005-0000-0000-0000A12E0000}"/>
    <cellStyle name="40% - Accent1 6 2 3 2 2" xfId="10971" xr:uid="{00000000-0005-0000-0000-0000A22E0000}"/>
    <cellStyle name="40% - Accent1 6 2 3 2 2 2" xfId="24913" xr:uid="{00000000-0005-0000-0000-0000A32E0000}"/>
    <cellStyle name="40% - Accent1 6 2 3 2 3" xfId="20347" xr:uid="{00000000-0005-0000-0000-0000A42E0000}"/>
    <cellStyle name="40% - Accent1 6 2 3 3" xfId="3023" xr:uid="{00000000-0005-0000-0000-0000A52E0000}"/>
    <cellStyle name="40% - Accent1 6 2 3 3 2" xfId="11822" xr:uid="{00000000-0005-0000-0000-0000A62E0000}"/>
    <cellStyle name="40% - Accent1 6 2 3 3 2 2" xfId="25537" xr:uid="{00000000-0005-0000-0000-0000A72E0000}"/>
    <cellStyle name="40% - Accent1 6 2 3 3 3" xfId="20348" xr:uid="{00000000-0005-0000-0000-0000A82E0000}"/>
    <cellStyle name="40% - Accent1 6 2 3 4" xfId="3024" xr:uid="{00000000-0005-0000-0000-0000A92E0000}"/>
    <cellStyle name="40% - Accent1 6 2 3 4 2" xfId="15135" xr:uid="{00000000-0005-0000-0000-0000AA2E0000}"/>
    <cellStyle name="40% - Accent1 6 2 3 4 2 2" xfId="28684" xr:uid="{00000000-0005-0000-0000-0000AB2E0000}"/>
    <cellStyle name="40% - Accent1 6 2 3 4 3" xfId="20349" xr:uid="{00000000-0005-0000-0000-0000AC2E0000}"/>
    <cellStyle name="40% - Accent1 6 2 3 5" xfId="3025" xr:uid="{00000000-0005-0000-0000-0000AD2E0000}"/>
    <cellStyle name="40% - Accent1 6 2 3 5 2" xfId="16687" xr:uid="{00000000-0005-0000-0000-0000AE2E0000}"/>
    <cellStyle name="40% - Accent1 6 2 3 5 2 2" xfId="30094" xr:uid="{00000000-0005-0000-0000-0000AF2E0000}"/>
    <cellStyle name="40% - Accent1 6 2 3 5 3" xfId="20350" xr:uid="{00000000-0005-0000-0000-0000B02E0000}"/>
    <cellStyle name="40% - Accent1 6 2 3 6" xfId="9245" xr:uid="{00000000-0005-0000-0000-0000B12E0000}"/>
    <cellStyle name="40% - Accent1 6 2 3 6 2" xfId="23720" xr:uid="{00000000-0005-0000-0000-0000B22E0000}"/>
    <cellStyle name="40% - Accent1 6 2 3 7" xfId="20346" xr:uid="{00000000-0005-0000-0000-0000B32E0000}"/>
    <cellStyle name="40% - Accent1 6 2 4" xfId="3026" xr:uid="{00000000-0005-0000-0000-0000B42E0000}"/>
    <cellStyle name="40% - Accent1 6 2 4 2" xfId="3027" xr:uid="{00000000-0005-0000-0000-0000B52E0000}"/>
    <cellStyle name="40% - Accent1 6 2 4 2 2" xfId="15136" xr:uid="{00000000-0005-0000-0000-0000B62E0000}"/>
    <cellStyle name="40% - Accent1 6 2 4 2 2 2" xfId="28685" xr:uid="{00000000-0005-0000-0000-0000B72E0000}"/>
    <cellStyle name="40% - Accent1 6 2 4 2 3" xfId="20352" xr:uid="{00000000-0005-0000-0000-0000B82E0000}"/>
    <cellStyle name="40% - Accent1 6 2 4 3" xfId="10968" xr:uid="{00000000-0005-0000-0000-0000B92E0000}"/>
    <cellStyle name="40% - Accent1 6 2 4 3 2" xfId="24910" xr:uid="{00000000-0005-0000-0000-0000BA2E0000}"/>
    <cellStyle name="40% - Accent1 6 2 4 4" xfId="20351" xr:uid="{00000000-0005-0000-0000-0000BB2E0000}"/>
    <cellStyle name="40% - Accent1 6 2 5" xfId="3028" xr:uid="{00000000-0005-0000-0000-0000BC2E0000}"/>
    <cellStyle name="40% - Accent1 6 2 5 2" xfId="12064" xr:uid="{00000000-0005-0000-0000-0000BD2E0000}"/>
    <cellStyle name="40% - Accent1 6 2 5 2 2" xfId="25779" xr:uid="{00000000-0005-0000-0000-0000BE2E0000}"/>
    <cellStyle name="40% - Accent1 6 2 5 3" xfId="20353" xr:uid="{00000000-0005-0000-0000-0000BF2E0000}"/>
    <cellStyle name="40% - Accent1 6 2 6" xfId="3029" xr:uid="{00000000-0005-0000-0000-0000C02E0000}"/>
    <cellStyle name="40% - Accent1 6 2 6 2" xfId="12692" xr:uid="{00000000-0005-0000-0000-0000C12E0000}"/>
    <cellStyle name="40% - Accent1 6 2 6 2 2" xfId="26404" xr:uid="{00000000-0005-0000-0000-0000C22E0000}"/>
    <cellStyle name="40% - Accent1 6 2 6 3" xfId="20354" xr:uid="{00000000-0005-0000-0000-0000C32E0000}"/>
    <cellStyle name="40% - Accent1 6 2 7" xfId="3030" xr:uid="{00000000-0005-0000-0000-0000C42E0000}"/>
    <cellStyle name="40% - Accent1 6 2 7 2" xfId="13639" xr:uid="{00000000-0005-0000-0000-0000C52E0000}"/>
    <cellStyle name="40% - Accent1 6 2 7 2 2" xfId="27188" xr:uid="{00000000-0005-0000-0000-0000C62E0000}"/>
    <cellStyle name="40% - Accent1 6 2 7 3" xfId="20355" xr:uid="{00000000-0005-0000-0000-0000C72E0000}"/>
    <cellStyle name="40% - Accent1 6 2 8" xfId="3031" xr:uid="{00000000-0005-0000-0000-0000C82E0000}"/>
    <cellStyle name="40% - Accent1 6 2 8 2" xfId="14220" xr:uid="{00000000-0005-0000-0000-0000C92E0000}"/>
    <cellStyle name="40% - Accent1 6 2 8 2 2" xfId="27769" xr:uid="{00000000-0005-0000-0000-0000CA2E0000}"/>
    <cellStyle name="40% - Accent1 6 2 8 3" xfId="20356" xr:uid="{00000000-0005-0000-0000-0000CB2E0000}"/>
    <cellStyle name="40% - Accent1 6 2 9" xfId="3032" xr:uid="{00000000-0005-0000-0000-0000CC2E0000}"/>
    <cellStyle name="40% - Accent1 6 2 9 2" xfId="15131" xr:uid="{00000000-0005-0000-0000-0000CD2E0000}"/>
    <cellStyle name="40% - Accent1 6 2 9 2 2" xfId="28680" xr:uid="{00000000-0005-0000-0000-0000CE2E0000}"/>
    <cellStyle name="40% - Accent1 6 2 9 3" xfId="20357" xr:uid="{00000000-0005-0000-0000-0000CF2E0000}"/>
    <cellStyle name="40% - Accent1 6 3" xfId="3033" xr:uid="{00000000-0005-0000-0000-0000D02E0000}"/>
    <cellStyle name="40% - Accent1 6 3 10" xfId="9246" xr:uid="{00000000-0005-0000-0000-0000D12E0000}"/>
    <cellStyle name="40% - Accent1 6 3 10 2" xfId="23721" xr:uid="{00000000-0005-0000-0000-0000D22E0000}"/>
    <cellStyle name="40% - Accent1 6 3 11" xfId="20358" xr:uid="{00000000-0005-0000-0000-0000D32E0000}"/>
    <cellStyle name="40% - Accent1 6 3 2" xfId="3034" xr:uid="{00000000-0005-0000-0000-0000D42E0000}"/>
    <cellStyle name="40% - Accent1 6 3 2 2" xfId="3035" xr:uid="{00000000-0005-0000-0000-0000D52E0000}"/>
    <cellStyle name="40% - Accent1 6 3 2 2 2" xfId="10973" xr:uid="{00000000-0005-0000-0000-0000D62E0000}"/>
    <cellStyle name="40% - Accent1 6 3 2 2 2 2" xfId="24915" xr:uid="{00000000-0005-0000-0000-0000D72E0000}"/>
    <cellStyle name="40% - Accent1 6 3 2 2 3" xfId="20360" xr:uid="{00000000-0005-0000-0000-0000D82E0000}"/>
    <cellStyle name="40% - Accent1 6 3 2 3" xfId="3036" xr:uid="{00000000-0005-0000-0000-0000D92E0000}"/>
    <cellStyle name="40% - Accent1 6 3 2 3 2" xfId="12519" xr:uid="{00000000-0005-0000-0000-0000DA2E0000}"/>
    <cellStyle name="40% - Accent1 6 3 2 3 2 2" xfId="26231" xr:uid="{00000000-0005-0000-0000-0000DB2E0000}"/>
    <cellStyle name="40% - Accent1 6 3 2 3 3" xfId="20361" xr:uid="{00000000-0005-0000-0000-0000DC2E0000}"/>
    <cellStyle name="40% - Accent1 6 3 2 4" xfId="3037" xr:uid="{00000000-0005-0000-0000-0000DD2E0000}"/>
    <cellStyle name="40% - Accent1 6 3 2 4 2" xfId="15138" xr:uid="{00000000-0005-0000-0000-0000DE2E0000}"/>
    <cellStyle name="40% - Accent1 6 3 2 4 2 2" xfId="28687" xr:uid="{00000000-0005-0000-0000-0000DF2E0000}"/>
    <cellStyle name="40% - Accent1 6 3 2 4 3" xfId="20362" xr:uid="{00000000-0005-0000-0000-0000E02E0000}"/>
    <cellStyle name="40% - Accent1 6 3 2 5" xfId="3038" xr:uid="{00000000-0005-0000-0000-0000E12E0000}"/>
    <cellStyle name="40% - Accent1 6 3 2 5 2" xfId="16833" xr:uid="{00000000-0005-0000-0000-0000E22E0000}"/>
    <cellStyle name="40% - Accent1 6 3 2 5 2 2" xfId="30240" xr:uid="{00000000-0005-0000-0000-0000E32E0000}"/>
    <cellStyle name="40% - Accent1 6 3 2 5 3" xfId="20363" xr:uid="{00000000-0005-0000-0000-0000E42E0000}"/>
    <cellStyle name="40% - Accent1 6 3 2 6" xfId="9247" xr:uid="{00000000-0005-0000-0000-0000E52E0000}"/>
    <cellStyle name="40% - Accent1 6 3 2 6 2" xfId="23722" xr:uid="{00000000-0005-0000-0000-0000E62E0000}"/>
    <cellStyle name="40% - Accent1 6 3 2 7" xfId="20359" xr:uid="{00000000-0005-0000-0000-0000E72E0000}"/>
    <cellStyle name="40% - Accent1 6 3 3" xfId="3039" xr:uid="{00000000-0005-0000-0000-0000E82E0000}"/>
    <cellStyle name="40% - Accent1 6 3 3 2" xfId="3040" xr:uid="{00000000-0005-0000-0000-0000E92E0000}"/>
    <cellStyle name="40% - Accent1 6 3 3 2 2" xfId="15139" xr:uid="{00000000-0005-0000-0000-0000EA2E0000}"/>
    <cellStyle name="40% - Accent1 6 3 3 2 2 2" xfId="28688" xr:uid="{00000000-0005-0000-0000-0000EB2E0000}"/>
    <cellStyle name="40% - Accent1 6 3 3 2 3" xfId="20365" xr:uid="{00000000-0005-0000-0000-0000EC2E0000}"/>
    <cellStyle name="40% - Accent1 6 3 3 3" xfId="10972" xr:uid="{00000000-0005-0000-0000-0000ED2E0000}"/>
    <cellStyle name="40% - Accent1 6 3 3 3 2" xfId="24914" xr:uid="{00000000-0005-0000-0000-0000EE2E0000}"/>
    <cellStyle name="40% - Accent1 6 3 3 4" xfId="20364" xr:uid="{00000000-0005-0000-0000-0000EF2E0000}"/>
    <cellStyle name="40% - Accent1 6 3 4" xfId="3041" xr:uid="{00000000-0005-0000-0000-0000F02E0000}"/>
    <cellStyle name="40% - Accent1 6 3 4 2" xfId="12221" xr:uid="{00000000-0005-0000-0000-0000F12E0000}"/>
    <cellStyle name="40% - Accent1 6 3 4 2 2" xfId="25933" xr:uid="{00000000-0005-0000-0000-0000F22E0000}"/>
    <cellStyle name="40% - Accent1 6 3 4 3" xfId="20366" xr:uid="{00000000-0005-0000-0000-0000F32E0000}"/>
    <cellStyle name="40% - Accent1 6 3 5" xfId="3042" xr:uid="{00000000-0005-0000-0000-0000F42E0000}"/>
    <cellStyle name="40% - Accent1 6 3 5 2" xfId="12426" xr:uid="{00000000-0005-0000-0000-0000F52E0000}"/>
    <cellStyle name="40% - Accent1 6 3 5 2 2" xfId="26138" xr:uid="{00000000-0005-0000-0000-0000F62E0000}"/>
    <cellStyle name="40% - Accent1 6 3 5 3" xfId="20367" xr:uid="{00000000-0005-0000-0000-0000F72E0000}"/>
    <cellStyle name="40% - Accent1 6 3 6" xfId="3043" xr:uid="{00000000-0005-0000-0000-0000F82E0000}"/>
    <cellStyle name="40% - Accent1 6 3 6 2" xfId="13785" xr:uid="{00000000-0005-0000-0000-0000F92E0000}"/>
    <cellStyle name="40% - Accent1 6 3 6 2 2" xfId="27334" xr:uid="{00000000-0005-0000-0000-0000FA2E0000}"/>
    <cellStyle name="40% - Accent1 6 3 6 3" xfId="20368" xr:uid="{00000000-0005-0000-0000-0000FB2E0000}"/>
    <cellStyle name="40% - Accent1 6 3 7" xfId="3044" xr:uid="{00000000-0005-0000-0000-0000FC2E0000}"/>
    <cellStyle name="40% - Accent1 6 3 7 2" xfId="14366" xr:uid="{00000000-0005-0000-0000-0000FD2E0000}"/>
    <cellStyle name="40% - Accent1 6 3 7 2 2" xfId="27915" xr:uid="{00000000-0005-0000-0000-0000FE2E0000}"/>
    <cellStyle name="40% - Accent1 6 3 7 3" xfId="20369" xr:uid="{00000000-0005-0000-0000-0000FF2E0000}"/>
    <cellStyle name="40% - Accent1 6 3 8" xfId="3045" xr:uid="{00000000-0005-0000-0000-0000002F0000}"/>
    <cellStyle name="40% - Accent1 6 3 8 2" xfId="15137" xr:uid="{00000000-0005-0000-0000-0000012F0000}"/>
    <cellStyle name="40% - Accent1 6 3 8 2 2" xfId="28686" xr:uid="{00000000-0005-0000-0000-0000022F0000}"/>
    <cellStyle name="40% - Accent1 6 3 8 3" xfId="20370" xr:uid="{00000000-0005-0000-0000-0000032F0000}"/>
    <cellStyle name="40% - Accent1 6 3 9" xfId="3046" xr:uid="{00000000-0005-0000-0000-0000042F0000}"/>
    <cellStyle name="40% - Accent1 6 3 9 2" xfId="16252" xr:uid="{00000000-0005-0000-0000-0000052F0000}"/>
    <cellStyle name="40% - Accent1 6 3 9 2 2" xfId="29659" xr:uid="{00000000-0005-0000-0000-0000062F0000}"/>
    <cellStyle name="40% - Accent1 6 3 9 3" xfId="20371" xr:uid="{00000000-0005-0000-0000-0000072F0000}"/>
    <cellStyle name="40% - Accent1 6 4" xfId="3047" xr:uid="{00000000-0005-0000-0000-0000082F0000}"/>
    <cellStyle name="40% - Accent1 6 4 2" xfId="3048" xr:uid="{00000000-0005-0000-0000-0000092F0000}"/>
    <cellStyle name="40% - Accent1 6 4 2 2" xfId="10974" xr:uid="{00000000-0005-0000-0000-00000A2F0000}"/>
    <cellStyle name="40% - Accent1 6 4 2 2 2" xfId="24916" xr:uid="{00000000-0005-0000-0000-00000B2F0000}"/>
    <cellStyle name="40% - Accent1 6 4 2 3" xfId="20373" xr:uid="{00000000-0005-0000-0000-00000C2F0000}"/>
    <cellStyle name="40% - Accent1 6 4 3" xfId="3049" xr:uid="{00000000-0005-0000-0000-00000D2F0000}"/>
    <cellStyle name="40% - Accent1 6 4 3 2" xfId="12434" xr:uid="{00000000-0005-0000-0000-00000E2F0000}"/>
    <cellStyle name="40% - Accent1 6 4 3 2 2" xfId="26146" xr:uid="{00000000-0005-0000-0000-00000F2F0000}"/>
    <cellStyle name="40% - Accent1 6 4 3 3" xfId="20374" xr:uid="{00000000-0005-0000-0000-0000102F0000}"/>
    <cellStyle name="40% - Accent1 6 4 4" xfId="3050" xr:uid="{00000000-0005-0000-0000-0000112F0000}"/>
    <cellStyle name="40% - Accent1 6 4 4 2" xfId="15140" xr:uid="{00000000-0005-0000-0000-0000122F0000}"/>
    <cellStyle name="40% - Accent1 6 4 4 2 2" xfId="28689" xr:uid="{00000000-0005-0000-0000-0000132F0000}"/>
    <cellStyle name="40% - Accent1 6 4 4 3" xfId="20375" xr:uid="{00000000-0005-0000-0000-0000142F0000}"/>
    <cellStyle name="40% - Accent1 6 4 5" xfId="3051" xr:uid="{00000000-0005-0000-0000-0000152F0000}"/>
    <cellStyle name="40% - Accent1 6 4 5 2" xfId="16544" xr:uid="{00000000-0005-0000-0000-0000162F0000}"/>
    <cellStyle name="40% - Accent1 6 4 5 2 2" xfId="29951" xr:uid="{00000000-0005-0000-0000-0000172F0000}"/>
    <cellStyle name="40% - Accent1 6 4 5 3" xfId="20376" xr:uid="{00000000-0005-0000-0000-0000182F0000}"/>
    <cellStyle name="40% - Accent1 6 4 6" xfId="9248" xr:uid="{00000000-0005-0000-0000-0000192F0000}"/>
    <cellStyle name="40% - Accent1 6 4 6 2" xfId="23723" xr:uid="{00000000-0005-0000-0000-00001A2F0000}"/>
    <cellStyle name="40% - Accent1 6 4 7" xfId="20372" xr:uid="{00000000-0005-0000-0000-00001B2F0000}"/>
    <cellStyle name="40% - Accent1 6 5" xfId="3052" xr:uid="{00000000-0005-0000-0000-00001C2F0000}"/>
    <cellStyle name="40% - Accent1 6 5 2" xfId="3053" xr:uid="{00000000-0005-0000-0000-00001D2F0000}"/>
    <cellStyle name="40% - Accent1 6 5 2 2" xfId="15141" xr:uid="{00000000-0005-0000-0000-00001E2F0000}"/>
    <cellStyle name="40% - Accent1 6 5 2 2 2" xfId="28690" xr:uid="{00000000-0005-0000-0000-00001F2F0000}"/>
    <cellStyle name="40% - Accent1 6 5 2 3" xfId="20378" xr:uid="{00000000-0005-0000-0000-0000202F0000}"/>
    <cellStyle name="40% - Accent1 6 5 3" xfId="10967" xr:uid="{00000000-0005-0000-0000-0000212F0000}"/>
    <cellStyle name="40% - Accent1 6 5 3 2" xfId="24909" xr:uid="{00000000-0005-0000-0000-0000222F0000}"/>
    <cellStyle name="40% - Accent1 6 5 4" xfId="20377" xr:uid="{00000000-0005-0000-0000-0000232F0000}"/>
    <cellStyle name="40% - Accent1 6 6" xfId="3054" xr:uid="{00000000-0005-0000-0000-0000242F0000}"/>
    <cellStyle name="40% - Accent1 6 6 2" xfId="11919" xr:uid="{00000000-0005-0000-0000-0000252F0000}"/>
    <cellStyle name="40% - Accent1 6 6 2 2" xfId="25634" xr:uid="{00000000-0005-0000-0000-0000262F0000}"/>
    <cellStyle name="40% - Accent1 6 6 3" xfId="20379" xr:uid="{00000000-0005-0000-0000-0000272F0000}"/>
    <cellStyle name="40% - Accent1 6 7" xfId="3055" xr:uid="{00000000-0005-0000-0000-0000282F0000}"/>
    <cellStyle name="40% - Accent1 6 7 2" xfId="12410" xr:uid="{00000000-0005-0000-0000-0000292F0000}"/>
    <cellStyle name="40% - Accent1 6 7 2 2" xfId="26122" xr:uid="{00000000-0005-0000-0000-00002A2F0000}"/>
    <cellStyle name="40% - Accent1 6 7 3" xfId="20380" xr:uid="{00000000-0005-0000-0000-00002B2F0000}"/>
    <cellStyle name="40% - Accent1 6 8" xfId="3056" xr:uid="{00000000-0005-0000-0000-00002C2F0000}"/>
    <cellStyle name="40% - Accent1 6 8 2" xfId="13496" xr:uid="{00000000-0005-0000-0000-00002D2F0000}"/>
    <cellStyle name="40% - Accent1 6 8 2 2" xfId="27045" xr:uid="{00000000-0005-0000-0000-00002E2F0000}"/>
    <cellStyle name="40% - Accent1 6 8 3" xfId="20381" xr:uid="{00000000-0005-0000-0000-00002F2F0000}"/>
    <cellStyle name="40% - Accent1 6 9" xfId="3057" xr:uid="{00000000-0005-0000-0000-0000302F0000}"/>
    <cellStyle name="40% - Accent1 6 9 2" xfId="14077" xr:uid="{00000000-0005-0000-0000-0000312F0000}"/>
    <cellStyle name="40% - Accent1 6 9 2 2" xfId="27626" xr:uid="{00000000-0005-0000-0000-0000322F0000}"/>
    <cellStyle name="40% - Accent1 6 9 3" xfId="20382" xr:uid="{00000000-0005-0000-0000-0000332F0000}"/>
    <cellStyle name="40% - Accent1 7" xfId="3058" xr:uid="{00000000-0005-0000-0000-0000342F0000}"/>
    <cellStyle name="40% - Accent1 7 10" xfId="3059" xr:uid="{00000000-0005-0000-0000-0000352F0000}"/>
    <cellStyle name="40% - Accent1 7 10 2" xfId="15978" xr:uid="{00000000-0005-0000-0000-0000362F0000}"/>
    <cellStyle name="40% - Accent1 7 10 2 2" xfId="29385" xr:uid="{00000000-0005-0000-0000-0000372F0000}"/>
    <cellStyle name="40% - Accent1 7 10 3" xfId="20384" xr:uid="{00000000-0005-0000-0000-0000382F0000}"/>
    <cellStyle name="40% - Accent1 7 11" xfId="9249" xr:uid="{00000000-0005-0000-0000-0000392F0000}"/>
    <cellStyle name="40% - Accent1 7 11 2" xfId="23724" xr:uid="{00000000-0005-0000-0000-00003A2F0000}"/>
    <cellStyle name="40% - Accent1 7 12" xfId="20383" xr:uid="{00000000-0005-0000-0000-00003B2F0000}"/>
    <cellStyle name="40% - Accent1 7 2" xfId="3060" xr:uid="{00000000-0005-0000-0000-00003C2F0000}"/>
    <cellStyle name="40% - Accent1 7 2 10" xfId="9250" xr:uid="{00000000-0005-0000-0000-00003D2F0000}"/>
    <cellStyle name="40% - Accent1 7 2 10 2" xfId="23725" xr:uid="{00000000-0005-0000-0000-00003E2F0000}"/>
    <cellStyle name="40% - Accent1 7 2 11" xfId="20385" xr:uid="{00000000-0005-0000-0000-00003F2F0000}"/>
    <cellStyle name="40% - Accent1 7 2 2" xfId="3061" xr:uid="{00000000-0005-0000-0000-0000402F0000}"/>
    <cellStyle name="40% - Accent1 7 2 2 2" xfId="3062" xr:uid="{00000000-0005-0000-0000-0000412F0000}"/>
    <cellStyle name="40% - Accent1 7 2 2 2 2" xfId="10977" xr:uid="{00000000-0005-0000-0000-0000422F0000}"/>
    <cellStyle name="40% - Accent1 7 2 2 2 2 2" xfId="24919" xr:uid="{00000000-0005-0000-0000-0000432F0000}"/>
    <cellStyle name="40% - Accent1 7 2 2 2 3" xfId="20387" xr:uid="{00000000-0005-0000-0000-0000442F0000}"/>
    <cellStyle name="40% - Accent1 7 2 2 3" xfId="3063" xr:uid="{00000000-0005-0000-0000-0000452F0000}"/>
    <cellStyle name="40% - Accent1 7 2 2 3 2" xfId="12397" xr:uid="{00000000-0005-0000-0000-0000462F0000}"/>
    <cellStyle name="40% - Accent1 7 2 2 3 2 2" xfId="26109" xr:uid="{00000000-0005-0000-0000-0000472F0000}"/>
    <cellStyle name="40% - Accent1 7 2 2 3 3" xfId="20388" xr:uid="{00000000-0005-0000-0000-0000482F0000}"/>
    <cellStyle name="40% - Accent1 7 2 2 4" xfId="3064" xr:uid="{00000000-0005-0000-0000-0000492F0000}"/>
    <cellStyle name="40% - Accent1 7 2 2 4 2" xfId="15144" xr:uid="{00000000-0005-0000-0000-00004A2F0000}"/>
    <cellStyle name="40% - Accent1 7 2 2 4 2 2" xfId="28693" xr:uid="{00000000-0005-0000-0000-00004B2F0000}"/>
    <cellStyle name="40% - Accent1 7 2 2 4 3" xfId="20389" xr:uid="{00000000-0005-0000-0000-00004C2F0000}"/>
    <cellStyle name="40% - Accent1 7 2 2 5" xfId="3065" xr:uid="{00000000-0005-0000-0000-00004D2F0000}"/>
    <cellStyle name="40% - Accent1 7 2 2 5 2" xfId="16848" xr:uid="{00000000-0005-0000-0000-00004E2F0000}"/>
    <cellStyle name="40% - Accent1 7 2 2 5 2 2" xfId="30255" xr:uid="{00000000-0005-0000-0000-00004F2F0000}"/>
    <cellStyle name="40% - Accent1 7 2 2 5 3" xfId="20390" xr:uid="{00000000-0005-0000-0000-0000502F0000}"/>
    <cellStyle name="40% - Accent1 7 2 2 6" xfId="9251" xr:uid="{00000000-0005-0000-0000-0000512F0000}"/>
    <cellStyle name="40% - Accent1 7 2 2 6 2" xfId="23726" xr:uid="{00000000-0005-0000-0000-0000522F0000}"/>
    <cellStyle name="40% - Accent1 7 2 2 7" xfId="20386" xr:uid="{00000000-0005-0000-0000-0000532F0000}"/>
    <cellStyle name="40% - Accent1 7 2 3" xfId="3066" xr:uid="{00000000-0005-0000-0000-0000542F0000}"/>
    <cellStyle name="40% - Accent1 7 2 3 2" xfId="3067" xr:uid="{00000000-0005-0000-0000-0000552F0000}"/>
    <cellStyle name="40% - Accent1 7 2 3 2 2" xfId="15145" xr:uid="{00000000-0005-0000-0000-0000562F0000}"/>
    <cellStyle name="40% - Accent1 7 2 3 2 2 2" xfId="28694" xr:uid="{00000000-0005-0000-0000-0000572F0000}"/>
    <cellStyle name="40% - Accent1 7 2 3 2 3" xfId="20392" xr:uid="{00000000-0005-0000-0000-0000582F0000}"/>
    <cellStyle name="40% - Accent1 7 2 3 3" xfId="10976" xr:uid="{00000000-0005-0000-0000-0000592F0000}"/>
    <cellStyle name="40% - Accent1 7 2 3 3 2" xfId="24918" xr:uid="{00000000-0005-0000-0000-00005A2F0000}"/>
    <cellStyle name="40% - Accent1 7 2 3 4" xfId="20391" xr:uid="{00000000-0005-0000-0000-00005B2F0000}"/>
    <cellStyle name="40% - Accent1 7 2 4" xfId="3068" xr:uid="{00000000-0005-0000-0000-00005C2F0000}"/>
    <cellStyle name="40% - Accent1 7 2 4 2" xfId="12236" xr:uid="{00000000-0005-0000-0000-00005D2F0000}"/>
    <cellStyle name="40% - Accent1 7 2 4 2 2" xfId="25948" xr:uid="{00000000-0005-0000-0000-00005E2F0000}"/>
    <cellStyle name="40% - Accent1 7 2 4 3" xfId="20393" xr:uid="{00000000-0005-0000-0000-00005F2F0000}"/>
    <cellStyle name="40% - Accent1 7 2 5" xfId="3069" xr:uid="{00000000-0005-0000-0000-0000602F0000}"/>
    <cellStyle name="40% - Accent1 7 2 5 2" xfId="12771" xr:uid="{00000000-0005-0000-0000-0000612F0000}"/>
    <cellStyle name="40% - Accent1 7 2 5 2 2" xfId="26483" xr:uid="{00000000-0005-0000-0000-0000622F0000}"/>
    <cellStyle name="40% - Accent1 7 2 5 3" xfId="20394" xr:uid="{00000000-0005-0000-0000-0000632F0000}"/>
    <cellStyle name="40% - Accent1 7 2 6" xfId="3070" xr:uid="{00000000-0005-0000-0000-0000642F0000}"/>
    <cellStyle name="40% - Accent1 7 2 6 2" xfId="13800" xr:uid="{00000000-0005-0000-0000-0000652F0000}"/>
    <cellStyle name="40% - Accent1 7 2 6 2 2" xfId="27349" xr:uid="{00000000-0005-0000-0000-0000662F0000}"/>
    <cellStyle name="40% - Accent1 7 2 6 3" xfId="20395" xr:uid="{00000000-0005-0000-0000-0000672F0000}"/>
    <cellStyle name="40% - Accent1 7 2 7" xfId="3071" xr:uid="{00000000-0005-0000-0000-0000682F0000}"/>
    <cellStyle name="40% - Accent1 7 2 7 2" xfId="14381" xr:uid="{00000000-0005-0000-0000-0000692F0000}"/>
    <cellStyle name="40% - Accent1 7 2 7 2 2" xfId="27930" xr:uid="{00000000-0005-0000-0000-00006A2F0000}"/>
    <cellStyle name="40% - Accent1 7 2 7 3" xfId="20396" xr:uid="{00000000-0005-0000-0000-00006B2F0000}"/>
    <cellStyle name="40% - Accent1 7 2 8" xfId="3072" xr:uid="{00000000-0005-0000-0000-00006C2F0000}"/>
    <cellStyle name="40% - Accent1 7 2 8 2" xfId="15143" xr:uid="{00000000-0005-0000-0000-00006D2F0000}"/>
    <cellStyle name="40% - Accent1 7 2 8 2 2" xfId="28692" xr:uid="{00000000-0005-0000-0000-00006E2F0000}"/>
    <cellStyle name="40% - Accent1 7 2 8 3" xfId="20397" xr:uid="{00000000-0005-0000-0000-00006F2F0000}"/>
    <cellStyle name="40% - Accent1 7 2 9" xfId="3073" xr:uid="{00000000-0005-0000-0000-0000702F0000}"/>
    <cellStyle name="40% - Accent1 7 2 9 2" xfId="16267" xr:uid="{00000000-0005-0000-0000-0000712F0000}"/>
    <cellStyle name="40% - Accent1 7 2 9 2 2" xfId="29674" xr:uid="{00000000-0005-0000-0000-0000722F0000}"/>
    <cellStyle name="40% - Accent1 7 2 9 3" xfId="20398" xr:uid="{00000000-0005-0000-0000-0000732F0000}"/>
    <cellStyle name="40% - Accent1 7 3" xfId="3074" xr:uid="{00000000-0005-0000-0000-0000742F0000}"/>
    <cellStyle name="40% - Accent1 7 3 2" xfId="3075" xr:uid="{00000000-0005-0000-0000-0000752F0000}"/>
    <cellStyle name="40% - Accent1 7 3 2 2" xfId="10978" xr:uid="{00000000-0005-0000-0000-0000762F0000}"/>
    <cellStyle name="40% - Accent1 7 3 2 2 2" xfId="24920" xr:uid="{00000000-0005-0000-0000-0000772F0000}"/>
    <cellStyle name="40% - Accent1 7 3 2 3" xfId="20400" xr:uid="{00000000-0005-0000-0000-0000782F0000}"/>
    <cellStyle name="40% - Accent1 7 3 3" xfId="3076" xr:uid="{00000000-0005-0000-0000-0000792F0000}"/>
    <cellStyle name="40% - Accent1 7 3 3 2" xfId="12433" xr:uid="{00000000-0005-0000-0000-00007A2F0000}"/>
    <cellStyle name="40% - Accent1 7 3 3 2 2" xfId="26145" xr:uid="{00000000-0005-0000-0000-00007B2F0000}"/>
    <cellStyle name="40% - Accent1 7 3 3 3" xfId="20401" xr:uid="{00000000-0005-0000-0000-00007C2F0000}"/>
    <cellStyle name="40% - Accent1 7 3 4" xfId="3077" xr:uid="{00000000-0005-0000-0000-00007D2F0000}"/>
    <cellStyle name="40% - Accent1 7 3 4 2" xfId="15146" xr:uid="{00000000-0005-0000-0000-00007E2F0000}"/>
    <cellStyle name="40% - Accent1 7 3 4 2 2" xfId="28695" xr:uid="{00000000-0005-0000-0000-00007F2F0000}"/>
    <cellStyle name="40% - Accent1 7 3 4 3" xfId="20402" xr:uid="{00000000-0005-0000-0000-0000802F0000}"/>
    <cellStyle name="40% - Accent1 7 3 5" xfId="3078" xr:uid="{00000000-0005-0000-0000-0000812F0000}"/>
    <cellStyle name="40% - Accent1 7 3 5 2" xfId="16559" xr:uid="{00000000-0005-0000-0000-0000822F0000}"/>
    <cellStyle name="40% - Accent1 7 3 5 2 2" xfId="29966" xr:uid="{00000000-0005-0000-0000-0000832F0000}"/>
    <cellStyle name="40% - Accent1 7 3 5 3" xfId="20403" xr:uid="{00000000-0005-0000-0000-0000842F0000}"/>
    <cellStyle name="40% - Accent1 7 3 6" xfId="9252" xr:uid="{00000000-0005-0000-0000-0000852F0000}"/>
    <cellStyle name="40% - Accent1 7 3 6 2" xfId="23727" xr:uid="{00000000-0005-0000-0000-0000862F0000}"/>
    <cellStyle name="40% - Accent1 7 3 7" xfId="20399" xr:uid="{00000000-0005-0000-0000-0000872F0000}"/>
    <cellStyle name="40% - Accent1 7 4" xfId="3079" xr:uid="{00000000-0005-0000-0000-0000882F0000}"/>
    <cellStyle name="40% - Accent1 7 4 2" xfId="3080" xr:uid="{00000000-0005-0000-0000-0000892F0000}"/>
    <cellStyle name="40% - Accent1 7 4 2 2" xfId="15147" xr:uid="{00000000-0005-0000-0000-00008A2F0000}"/>
    <cellStyle name="40% - Accent1 7 4 2 2 2" xfId="28696" xr:uid="{00000000-0005-0000-0000-00008B2F0000}"/>
    <cellStyle name="40% - Accent1 7 4 2 3" xfId="20405" xr:uid="{00000000-0005-0000-0000-00008C2F0000}"/>
    <cellStyle name="40% - Accent1 7 4 3" xfId="10975" xr:uid="{00000000-0005-0000-0000-00008D2F0000}"/>
    <cellStyle name="40% - Accent1 7 4 3 2" xfId="24917" xr:uid="{00000000-0005-0000-0000-00008E2F0000}"/>
    <cellStyle name="40% - Accent1 7 4 4" xfId="20404" xr:uid="{00000000-0005-0000-0000-00008F2F0000}"/>
    <cellStyle name="40% - Accent1 7 5" xfId="3081" xr:uid="{00000000-0005-0000-0000-0000902F0000}"/>
    <cellStyle name="40% - Accent1 7 5 2" xfId="11934" xr:uid="{00000000-0005-0000-0000-0000912F0000}"/>
    <cellStyle name="40% - Accent1 7 5 2 2" xfId="25649" xr:uid="{00000000-0005-0000-0000-0000922F0000}"/>
    <cellStyle name="40% - Accent1 7 5 3" xfId="20406" xr:uid="{00000000-0005-0000-0000-0000932F0000}"/>
    <cellStyle name="40% - Accent1 7 6" xfId="3082" xr:uid="{00000000-0005-0000-0000-0000942F0000}"/>
    <cellStyle name="40% - Accent1 7 6 2" xfId="12726" xr:uid="{00000000-0005-0000-0000-0000952F0000}"/>
    <cellStyle name="40% - Accent1 7 6 2 2" xfId="26438" xr:uid="{00000000-0005-0000-0000-0000962F0000}"/>
    <cellStyle name="40% - Accent1 7 6 3" xfId="20407" xr:uid="{00000000-0005-0000-0000-0000972F0000}"/>
    <cellStyle name="40% - Accent1 7 7" xfId="3083" xr:uid="{00000000-0005-0000-0000-0000982F0000}"/>
    <cellStyle name="40% - Accent1 7 7 2" xfId="13511" xr:uid="{00000000-0005-0000-0000-0000992F0000}"/>
    <cellStyle name="40% - Accent1 7 7 2 2" xfId="27060" xr:uid="{00000000-0005-0000-0000-00009A2F0000}"/>
    <cellStyle name="40% - Accent1 7 7 3" xfId="20408" xr:uid="{00000000-0005-0000-0000-00009B2F0000}"/>
    <cellStyle name="40% - Accent1 7 8" xfId="3084" xr:uid="{00000000-0005-0000-0000-00009C2F0000}"/>
    <cellStyle name="40% - Accent1 7 8 2" xfId="14092" xr:uid="{00000000-0005-0000-0000-00009D2F0000}"/>
    <cellStyle name="40% - Accent1 7 8 2 2" xfId="27641" xr:uid="{00000000-0005-0000-0000-00009E2F0000}"/>
    <cellStyle name="40% - Accent1 7 8 3" xfId="20409" xr:uid="{00000000-0005-0000-0000-00009F2F0000}"/>
    <cellStyle name="40% - Accent1 7 9" xfId="3085" xr:uid="{00000000-0005-0000-0000-0000A02F0000}"/>
    <cellStyle name="40% - Accent1 7 9 2" xfId="15142" xr:uid="{00000000-0005-0000-0000-0000A12F0000}"/>
    <cellStyle name="40% - Accent1 7 9 2 2" xfId="28691" xr:uid="{00000000-0005-0000-0000-0000A22F0000}"/>
    <cellStyle name="40% - Accent1 7 9 3" xfId="20410" xr:uid="{00000000-0005-0000-0000-0000A32F0000}"/>
    <cellStyle name="40% - Accent1 8" xfId="3086" xr:uid="{00000000-0005-0000-0000-0000A42F0000}"/>
    <cellStyle name="40% - Accent1 8 10" xfId="9253" xr:uid="{00000000-0005-0000-0000-0000A52F0000}"/>
    <cellStyle name="40% - Accent1 8 10 2" xfId="23728" xr:uid="{00000000-0005-0000-0000-0000A62F0000}"/>
    <cellStyle name="40% - Accent1 8 11" xfId="20411" xr:uid="{00000000-0005-0000-0000-0000A72F0000}"/>
    <cellStyle name="40% - Accent1 8 2" xfId="3087" xr:uid="{00000000-0005-0000-0000-0000A82F0000}"/>
    <cellStyle name="40% - Accent1 8 2 2" xfId="3088" xr:uid="{00000000-0005-0000-0000-0000A92F0000}"/>
    <cellStyle name="40% - Accent1 8 2 2 2" xfId="10980" xr:uid="{00000000-0005-0000-0000-0000AA2F0000}"/>
    <cellStyle name="40% - Accent1 8 2 2 2 2" xfId="24922" xr:uid="{00000000-0005-0000-0000-0000AB2F0000}"/>
    <cellStyle name="40% - Accent1 8 2 2 3" xfId="20413" xr:uid="{00000000-0005-0000-0000-0000AC2F0000}"/>
    <cellStyle name="40% - Accent1 8 2 3" xfId="3089" xr:uid="{00000000-0005-0000-0000-0000AD2F0000}"/>
    <cellStyle name="40% - Accent1 8 2 3 2" xfId="12753" xr:uid="{00000000-0005-0000-0000-0000AE2F0000}"/>
    <cellStyle name="40% - Accent1 8 2 3 2 2" xfId="26465" xr:uid="{00000000-0005-0000-0000-0000AF2F0000}"/>
    <cellStyle name="40% - Accent1 8 2 3 3" xfId="20414" xr:uid="{00000000-0005-0000-0000-0000B02F0000}"/>
    <cellStyle name="40% - Accent1 8 2 4" xfId="3090" xr:uid="{00000000-0005-0000-0000-0000B12F0000}"/>
    <cellStyle name="40% - Accent1 8 2 4 2" xfId="15149" xr:uid="{00000000-0005-0000-0000-0000B22F0000}"/>
    <cellStyle name="40% - Accent1 8 2 4 2 2" xfId="28698" xr:uid="{00000000-0005-0000-0000-0000B32F0000}"/>
    <cellStyle name="40% - Accent1 8 2 4 3" xfId="20415" xr:uid="{00000000-0005-0000-0000-0000B42F0000}"/>
    <cellStyle name="40% - Accent1 8 2 5" xfId="3091" xr:uid="{00000000-0005-0000-0000-0000B52F0000}"/>
    <cellStyle name="40% - Accent1 8 2 5 2" xfId="16707" xr:uid="{00000000-0005-0000-0000-0000B62F0000}"/>
    <cellStyle name="40% - Accent1 8 2 5 2 2" xfId="30114" xr:uid="{00000000-0005-0000-0000-0000B72F0000}"/>
    <cellStyle name="40% - Accent1 8 2 5 3" xfId="20416" xr:uid="{00000000-0005-0000-0000-0000B82F0000}"/>
    <cellStyle name="40% - Accent1 8 2 6" xfId="9254" xr:uid="{00000000-0005-0000-0000-0000B92F0000}"/>
    <cellStyle name="40% - Accent1 8 2 6 2" xfId="23729" xr:uid="{00000000-0005-0000-0000-0000BA2F0000}"/>
    <cellStyle name="40% - Accent1 8 2 7" xfId="20412" xr:uid="{00000000-0005-0000-0000-0000BB2F0000}"/>
    <cellStyle name="40% - Accent1 8 3" xfId="3092" xr:uid="{00000000-0005-0000-0000-0000BC2F0000}"/>
    <cellStyle name="40% - Accent1 8 3 2" xfId="3093" xr:uid="{00000000-0005-0000-0000-0000BD2F0000}"/>
    <cellStyle name="40% - Accent1 8 3 2 2" xfId="15150" xr:uid="{00000000-0005-0000-0000-0000BE2F0000}"/>
    <cellStyle name="40% - Accent1 8 3 2 2 2" xfId="28699" xr:uid="{00000000-0005-0000-0000-0000BF2F0000}"/>
    <cellStyle name="40% - Accent1 8 3 2 3" xfId="20418" xr:uid="{00000000-0005-0000-0000-0000C02F0000}"/>
    <cellStyle name="40% - Accent1 8 3 3" xfId="10979" xr:uid="{00000000-0005-0000-0000-0000C12F0000}"/>
    <cellStyle name="40% - Accent1 8 3 3 2" xfId="24921" xr:uid="{00000000-0005-0000-0000-0000C22F0000}"/>
    <cellStyle name="40% - Accent1 8 3 4" xfId="20417" xr:uid="{00000000-0005-0000-0000-0000C32F0000}"/>
    <cellStyle name="40% - Accent1 8 4" xfId="3094" xr:uid="{00000000-0005-0000-0000-0000C42F0000}"/>
    <cellStyle name="40% - Accent1 8 4 2" xfId="12085" xr:uid="{00000000-0005-0000-0000-0000C52F0000}"/>
    <cellStyle name="40% - Accent1 8 4 2 2" xfId="25799" xr:uid="{00000000-0005-0000-0000-0000C62F0000}"/>
    <cellStyle name="40% - Accent1 8 4 3" xfId="20419" xr:uid="{00000000-0005-0000-0000-0000C72F0000}"/>
    <cellStyle name="40% - Accent1 8 5" xfId="3095" xr:uid="{00000000-0005-0000-0000-0000C82F0000}"/>
    <cellStyle name="40% - Accent1 8 5 2" xfId="12502" xr:uid="{00000000-0005-0000-0000-0000C92F0000}"/>
    <cellStyle name="40% - Accent1 8 5 2 2" xfId="26214" xr:uid="{00000000-0005-0000-0000-0000CA2F0000}"/>
    <cellStyle name="40% - Accent1 8 5 3" xfId="20420" xr:uid="{00000000-0005-0000-0000-0000CB2F0000}"/>
    <cellStyle name="40% - Accent1 8 6" xfId="3096" xr:uid="{00000000-0005-0000-0000-0000CC2F0000}"/>
    <cellStyle name="40% - Accent1 8 6 2" xfId="13659" xr:uid="{00000000-0005-0000-0000-0000CD2F0000}"/>
    <cellStyle name="40% - Accent1 8 6 2 2" xfId="27208" xr:uid="{00000000-0005-0000-0000-0000CE2F0000}"/>
    <cellStyle name="40% - Accent1 8 6 3" xfId="20421" xr:uid="{00000000-0005-0000-0000-0000CF2F0000}"/>
    <cellStyle name="40% - Accent1 8 7" xfId="3097" xr:uid="{00000000-0005-0000-0000-0000D02F0000}"/>
    <cellStyle name="40% - Accent1 8 7 2" xfId="14240" xr:uid="{00000000-0005-0000-0000-0000D12F0000}"/>
    <cellStyle name="40% - Accent1 8 7 2 2" xfId="27789" xr:uid="{00000000-0005-0000-0000-0000D22F0000}"/>
    <cellStyle name="40% - Accent1 8 7 3" xfId="20422" xr:uid="{00000000-0005-0000-0000-0000D32F0000}"/>
    <cellStyle name="40% - Accent1 8 8" xfId="3098" xr:uid="{00000000-0005-0000-0000-0000D42F0000}"/>
    <cellStyle name="40% - Accent1 8 8 2" xfId="15148" xr:uid="{00000000-0005-0000-0000-0000D52F0000}"/>
    <cellStyle name="40% - Accent1 8 8 2 2" xfId="28697" xr:uid="{00000000-0005-0000-0000-0000D62F0000}"/>
    <cellStyle name="40% - Accent1 8 8 3" xfId="20423" xr:uid="{00000000-0005-0000-0000-0000D72F0000}"/>
    <cellStyle name="40% - Accent1 8 9" xfId="3099" xr:uid="{00000000-0005-0000-0000-0000D82F0000}"/>
    <cellStyle name="40% - Accent1 8 9 2" xfId="16126" xr:uid="{00000000-0005-0000-0000-0000D92F0000}"/>
    <cellStyle name="40% - Accent1 8 9 2 2" xfId="29533" xr:uid="{00000000-0005-0000-0000-0000DA2F0000}"/>
    <cellStyle name="40% - Accent1 8 9 3" xfId="20424" xr:uid="{00000000-0005-0000-0000-0000DB2F0000}"/>
    <cellStyle name="40% - Accent1 9" xfId="3100" xr:uid="{00000000-0005-0000-0000-0000DC2F0000}"/>
    <cellStyle name="40% - Accent1 9 2" xfId="3101" xr:uid="{00000000-0005-0000-0000-0000DD2F0000}"/>
    <cellStyle name="40% - Accent1 9 2 2" xfId="10981" xr:uid="{00000000-0005-0000-0000-0000DE2F0000}"/>
    <cellStyle name="40% - Accent1 9 2 2 2" xfId="24923" xr:uid="{00000000-0005-0000-0000-0000DF2F0000}"/>
    <cellStyle name="40% - Accent1 9 2 3" xfId="20426" xr:uid="{00000000-0005-0000-0000-0000E02F0000}"/>
    <cellStyle name="40% - Accent1 9 3" xfId="3102" xr:uid="{00000000-0005-0000-0000-0000E12F0000}"/>
    <cellStyle name="40% - Accent1 9 3 2" xfId="11775" xr:uid="{00000000-0005-0000-0000-0000E22F0000}"/>
    <cellStyle name="40% - Accent1 9 3 2 2" xfId="25490" xr:uid="{00000000-0005-0000-0000-0000E32F0000}"/>
    <cellStyle name="40% - Accent1 9 3 3" xfId="20427" xr:uid="{00000000-0005-0000-0000-0000E42F0000}"/>
    <cellStyle name="40% - Accent1 9 4" xfId="3103" xr:uid="{00000000-0005-0000-0000-0000E52F0000}"/>
    <cellStyle name="40% - Accent1 9 4 2" xfId="15151" xr:uid="{00000000-0005-0000-0000-0000E62F0000}"/>
    <cellStyle name="40% - Accent1 9 4 2 2" xfId="28700" xr:uid="{00000000-0005-0000-0000-0000E72F0000}"/>
    <cellStyle name="40% - Accent1 9 4 3" xfId="20428" xr:uid="{00000000-0005-0000-0000-0000E82F0000}"/>
    <cellStyle name="40% - Accent1 9 5" xfId="3104" xr:uid="{00000000-0005-0000-0000-0000E92F0000}"/>
    <cellStyle name="40% - Accent1 9 5 2" xfId="17091" xr:uid="{00000000-0005-0000-0000-0000EA2F0000}"/>
    <cellStyle name="40% - Accent1 9 5 2 2" xfId="30450" xr:uid="{00000000-0005-0000-0000-0000EB2F0000}"/>
    <cellStyle name="40% - Accent1 9 5 3" xfId="20429" xr:uid="{00000000-0005-0000-0000-0000EC2F0000}"/>
    <cellStyle name="40% - Accent1 9 6" xfId="9255" xr:uid="{00000000-0005-0000-0000-0000ED2F0000}"/>
    <cellStyle name="40% - Accent1 9 6 2" xfId="23730" xr:uid="{00000000-0005-0000-0000-0000EE2F0000}"/>
    <cellStyle name="40% - Accent1 9 7" xfId="20425" xr:uid="{00000000-0005-0000-0000-0000EF2F0000}"/>
    <cellStyle name="40% - Accent2" xfId="23" builtinId="35" customBuiltin="1"/>
    <cellStyle name="40% - Accent2 10" xfId="3105" xr:uid="{00000000-0005-0000-0000-0000F12F0000}"/>
    <cellStyle name="40% - Accent2 10 2" xfId="3106" xr:uid="{00000000-0005-0000-0000-0000F22F0000}"/>
    <cellStyle name="40% - Accent2 10 2 2" xfId="11759" xr:uid="{00000000-0005-0000-0000-0000F32F0000}"/>
    <cellStyle name="40% - Accent2 10 2 2 2" xfId="25474" xr:uid="{00000000-0005-0000-0000-0000F42F0000}"/>
    <cellStyle name="40% - Accent2 10 2 3" xfId="20432" xr:uid="{00000000-0005-0000-0000-0000F52F0000}"/>
    <cellStyle name="40% - Accent2 10 3" xfId="3107" xr:uid="{00000000-0005-0000-0000-0000F62F0000}"/>
    <cellStyle name="40% - Accent2 10 3 2" xfId="15152" xr:uid="{00000000-0005-0000-0000-0000F72F0000}"/>
    <cellStyle name="40% - Accent2 10 3 2 2" xfId="28701" xr:uid="{00000000-0005-0000-0000-0000F82F0000}"/>
    <cellStyle name="40% - Accent2 10 3 3" xfId="20433" xr:uid="{00000000-0005-0000-0000-0000F92F0000}"/>
    <cellStyle name="40% - Accent2 10 4" xfId="3108" xr:uid="{00000000-0005-0000-0000-0000FA2F0000}"/>
    <cellStyle name="40% - Accent2 10 4 2" xfId="17181" xr:uid="{00000000-0005-0000-0000-0000FB2F0000}"/>
    <cellStyle name="40% - Accent2 10 4 2 2" xfId="30540" xr:uid="{00000000-0005-0000-0000-0000FC2F0000}"/>
    <cellStyle name="40% - Accent2 10 4 3" xfId="20434" xr:uid="{00000000-0005-0000-0000-0000FD2F0000}"/>
    <cellStyle name="40% - Accent2 10 5" xfId="10499" xr:uid="{00000000-0005-0000-0000-0000FE2F0000}"/>
    <cellStyle name="40% - Accent2 10 5 2" xfId="24447" xr:uid="{00000000-0005-0000-0000-0000FF2F0000}"/>
    <cellStyle name="40% - Accent2 10 6" xfId="20431" xr:uid="{00000000-0005-0000-0000-000000300000}"/>
    <cellStyle name="40% - Accent2 11" xfId="3109" xr:uid="{00000000-0005-0000-0000-000001300000}"/>
    <cellStyle name="40% - Accent2 11 2" xfId="3110" xr:uid="{00000000-0005-0000-0000-000002300000}"/>
    <cellStyle name="40% - Accent2 11 2 2" xfId="12595" xr:uid="{00000000-0005-0000-0000-000003300000}"/>
    <cellStyle name="40% - Accent2 11 2 2 2" xfId="26307" xr:uid="{00000000-0005-0000-0000-000004300000}"/>
    <cellStyle name="40% - Accent2 11 2 3" xfId="20436" xr:uid="{00000000-0005-0000-0000-000005300000}"/>
    <cellStyle name="40% - Accent2 11 3" xfId="3111" xr:uid="{00000000-0005-0000-0000-000006300000}"/>
    <cellStyle name="40% - Accent2 11 3 2" xfId="15153" xr:uid="{00000000-0005-0000-0000-000007300000}"/>
    <cellStyle name="40% - Accent2 11 3 2 2" xfId="28702" xr:uid="{00000000-0005-0000-0000-000008300000}"/>
    <cellStyle name="40% - Accent2 11 3 3" xfId="20437" xr:uid="{00000000-0005-0000-0000-000009300000}"/>
    <cellStyle name="40% - Accent2 11 4" xfId="3112" xr:uid="{00000000-0005-0000-0000-00000A300000}"/>
    <cellStyle name="40% - Accent2 11 4 2" xfId="17270" xr:uid="{00000000-0005-0000-0000-00000B300000}"/>
    <cellStyle name="40% - Accent2 11 4 2 2" xfId="30629" xr:uid="{00000000-0005-0000-0000-00000C300000}"/>
    <cellStyle name="40% - Accent2 11 4 3" xfId="20438" xr:uid="{00000000-0005-0000-0000-00000D300000}"/>
    <cellStyle name="40% - Accent2 11 5" xfId="10982" xr:uid="{00000000-0005-0000-0000-00000E300000}"/>
    <cellStyle name="40% - Accent2 11 5 2" xfId="24924" xr:uid="{00000000-0005-0000-0000-00000F300000}"/>
    <cellStyle name="40% - Accent2 11 6" xfId="20435" xr:uid="{00000000-0005-0000-0000-000010300000}"/>
    <cellStyle name="40% - Accent2 12" xfId="3113" xr:uid="{00000000-0005-0000-0000-000011300000}"/>
    <cellStyle name="40% - Accent2 12 2" xfId="3114" xr:uid="{00000000-0005-0000-0000-000012300000}"/>
    <cellStyle name="40% - Accent2 12 2 2" xfId="16422" xr:uid="{00000000-0005-0000-0000-000013300000}"/>
    <cellStyle name="40% - Accent2 12 2 2 2" xfId="29829" xr:uid="{00000000-0005-0000-0000-000014300000}"/>
    <cellStyle name="40% - Accent2 12 2 3" xfId="20440" xr:uid="{00000000-0005-0000-0000-000015300000}"/>
    <cellStyle name="40% - Accent2 12 3" xfId="11735" xr:uid="{00000000-0005-0000-0000-000016300000}"/>
    <cellStyle name="40% - Accent2 12 3 2" xfId="25450" xr:uid="{00000000-0005-0000-0000-000017300000}"/>
    <cellStyle name="40% - Accent2 12 4" xfId="20439" xr:uid="{00000000-0005-0000-0000-000018300000}"/>
    <cellStyle name="40% - Accent2 13" xfId="3115" xr:uid="{00000000-0005-0000-0000-000019300000}"/>
    <cellStyle name="40% - Accent2 13 2" xfId="13374" xr:uid="{00000000-0005-0000-0000-00001A300000}"/>
    <cellStyle name="40% - Accent2 13 2 2" xfId="26923" xr:uid="{00000000-0005-0000-0000-00001B300000}"/>
    <cellStyle name="40% - Accent2 13 3" xfId="20441" xr:uid="{00000000-0005-0000-0000-00001C300000}"/>
    <cellStyle name="40% - Accent2 14" xfId="3116" xr:uid="{00000000-0005-0000-0000-00001D300000}"/>
    <cellStyle name="40% - Accent2 14 2" xfId="13955" xr:uid="{00000000-0005-0000-0000-00001E300000}"/>
    <cellStyle name="40% - Accent2 14 2 2" xfId="27504" xr:uid="{00000000-0005-0000-0000-00001F300000}"/>
    <cellStyle name="40% - Accent2 14 3" xfId="20442" xr:uid="{00000000-0005-0000-0000-000020300000}"/>
    <cellStyle name="40% - Accent2 15" xfId="3117" xr:uid="{00000000-0005-0000-0000-000021300000}"/>
    <cellStyle name="40% - Accent2 15 2" xfId="15823" xr:uid="{00000000-0005-0000-0000-000022300000}"/>
    <cellStyle name="40% - Accent2 15 2 2" xfId="29230" xr:uid="{00000000-0005-0000-0000-000023300000}"/>
    <cellStyle name="40% - Accent2 15 3" xfId="20443" xr:uid="{00000000-0005-0000-0000-000024300000}"/>
    <cellStyle name="40% - Accent2 16" xfId="3118" xr:uid="{00000000-0005-0000-0000-000025300000}"/>
    <cellStyle name="40% - Accent2 16 2" xfId="15841" xr:uid="{00000000-0005-0000-0000-000026300000}"/>
    <cellStyle name="40% - Accent2 16 2 2" xfId="29248" xr:uid="{00000000-0005-0000-0000-000027300000}"/>
    <cellStyle name="40% - Accent2 16 3" xfId="20444" xr:uid="{00000000-0005-0000-0000-000028300000}"/>
    <cellStyle name="40% - Accent2 17" xfId="8805" xr:uid="{00000000-0005-0000-0000-000029300000}"/>
    <cellStyle name="40% - Accent2 17 2" xfId="23281" xr:uid="{00000000-0005-0000-0000-00002A300000}"/>
    <cellStyle name="40% - Accent2 18" xfId="20430" xr:uid="{00000000-0005-0000-0000-00002B300000}"/>
    <cellStyle name="40% - Accent2 2" xfId="3119" xr:uid="{00000000-0005-0000-0000-00002C300000}"/>
    <cellStyle name="40% - Accent2 2 10" xfId="3120" xr:uid="{00000000-0005-0000-0000-00002D300000}"/>
    <cellStyle name="40% - Accent2 2 10 2" xfId="15894" xr:uid="{00000000-0005-0000-0000-00002E300000}"/>
    <cellStyle name="40% - Accent2 2 10 2 2" xfId="29301" xr:uid="{00000000-0005-0000-0000-00002F300000}"/>
    <cellStyle name="40% - Accent2 2 10 3" xfId="20446" xr:uid="{00000000-0005-0000-0000-000030300000}"/>
    <cellStyle name="40% - Accent2 2 11" xfId="9256" xr:uid="{00000000-0005-0000-0000-000031300000}"/>
    <cellStyle name="40% - Accent2 2 11 2" xfId="23731" xr:uid="{00000000-0005-0000-0000-000032300000}"/>
    <cellStyle name="40% - Accent2 2 12" xfId="20445" xr:uid="{00000000-0005-0000-0000-000033300000}"/>
    <cellStyle name="40% - Accent2 2 2" xfId="3121" xr:uid="{00000000-0005-0000-0000-000034300000}"/>
    <cellStyle name="40% - Accent2 2 2 10" xfId="20447" xr:uid="{00000000-0005-0000-0000-000035300000}"/>
    <cellStyle name="40% - Accent2 2 2 2" xfId="3122" xr:uid="{00000000-0005-0000-0000-000036300000}"/>
    <cellStyle name="40% - Accent2 2 2 2 2" xfId="3123" xr:uid="{00000000-0005-0000-0000-000037300000}"/>
    <cellStyle name="40% - Accent2 2 2 2 2 2" xfId="3124" xr:uid="{00000000-0005-0000-0000-000038300000}"/>
    <cellStyle name="40% - Accent2 2 2 2 2 2 2" xfId="3125" xr:uid="{00000000-0005-0000-0000-000039300000}"/>
    <cellStyle name="40% - Accent2 2 2 2 2 2 2 2" xfId="16953" xr:uid="{00000000-0005-0000-0000-00003A300000}"/>
    <cellStyle name="40% - Accent2 2 2 2 2 2 2 2 2" xfId="30360" xr:uid="{00000000-0005-0000-0000-00003B300000}"/>
    <cellStyle name="40% - Accent2 2 2 2 2 2 2 3" xfId="20451" xr:uid="{00000000-0005-0000-0000-00003C300000}"/>
    <cellStyle name="40% - Accent2 2 2 2 2 2 3" xfId="10986" xr:uid="{00000000-0005-0000-0000-00003D300000}"/>
    <cellStyle name="40% - Accent2 2 2 2 2 2 3 2" xfId="24928" xr:uid="{00000000-0005-0000-0000-00003E300000}"/>
    <cellStyle name="40% - Accent2 2 2 2 2 2 4" xfId="20450" xr:uid="{00000000-0005-0000-0000-00003F300000}"/>
    <cellStyle name="40% - Accent2 2 2 2 2 3" xfId="3126" xr:uid="{00000000-0005-0000-0000-000040300000}"/>
    <cellStyle name="40% - Accent2 2 2 2 2 3 2" xfId="12341" xr:uid="{00000000-0005-0000-0000-000041300000}"/>
    <cellStyle name="40% - Accent2 2 2 2 2 3 2 2" xfId="26053" xr:uid="{00000000-0005-0000-0000-000042300000}"/>
    <cellStyle name="40% - Accent2 2 2 2 2 3 3" xfId="20452" xr:uid="{00000000-0005-0000-0000-000043300000}"/>
    <cellStyle name="40% - Accent2 2 2 2 2 4" xfId="3127" xr:uid="{00000000-0005-0000-0000-000044300000}"/>
    <cellStyle name="40% - Accent2 2 2 2 2 4 2" xfId="13905" xr:uid="{00000000-0005-0000-0000-000045300000}"/>
    <cellStyle name="40% - Accent2 2 2 2 2 4 2 2" xfId="27454" xr:uid="{00000000-0005-0000-0000-000046300000}"/>
    <cellStyle name="40% - Accent2 2 2 2 2 4 3" xfId="20453" xr:uid="{00000000-0005-0000-0000-000047300000}"/>
    <cellStyle name="40% - Accent2 2 2 2 2 5" xfId="3128" xr:uid="{00000000-0005-0000-0000-000048300000}"/>
    <cellStyle name="40% - Accent2 2 2 2 2 5 2" xfId="14486" xr:uid="{00000000-0005-0000-0000-000049300000}"/>
    <cellStyle name="40% - Accent2 2 2 2 2 5 2 2" xfId="28035" xr:uid="{00000000-0005-0000-0000-00004A300000}"/>
    <cellStyle name="40% - Accent2 2 2 2 2 5 3" xfId="20454" xr:uid="{00000000-0005-0000-0000-00004B300000}"/>
    <cellStyle name="40% - Accent2 2 2 2 2 6" xfId="3129" xr:uid="{00000000-0005-0000-0000-00004C300000}"/>
    <cellStyle name="40% - Accent2 2 2 2 2 6 2" xfId="16372" xr:uid="{00000000-0005-0000-0000-00004D300000}"/>
    <cellStyle name="40% - Accent2 2 2 2 2 6 2 2" xfId="29779" xr:uid="{00000000-0005-0000-0000-00004E300000}"/>
    <cellStyle name="40% - Accent2 2 2 2 2 6 3" xfId="20455" xr:uid="{00000000-0005-0000-0000-00004F300000}"/>
    <cellStyle name="40% - Accent2 2 2 2 2 7" xfId="9259" xr:uid="{00000000-0005-0000-0000-000050300000}"/>
    <cellStyle name="40% - Accent2 2 2 2 2 7 2" xfId="23734" xr:uid="{00000000-0005-0000-0000-000051300000}"/>
    <cellStyle name="40% - Accent2 2 2 2 2 8" xfId="20449" xr:uid="{00000000-0005-0000-0000-000052300000}"/>
    <cellStyle name="40% - Accent2 2 2 2 3" xfId="3130" xr:uid="{00000000-0005-0000-0000-000053300000}"/>
    <cellStyle name="40% - Accent2 2 2 2 3 2" xfId="3131" xr:uid="{00000000-0005-0000-0000-000054300000}"/>
    <cellStyle name="40% - Accent2 2 2 2 3 2 2" xfId="16664" xr:uid="{00000000-0005-0000-0000-000055300000}"/>
    <cellStyle name="40% - Accent2 2 2 2 3 2 2 2" xfId="30071" xr:uid="{00000000-0005-0000-0000-000056300000}"/>
    <cellStyle name="40% - Accent2 2 2 2 3 2 3" xfId="20457" xr:uid="{00000000-0005-0000-0000-000057300000}"/>
    <cellStyle name="40% - Accent2 2 2 2 3 3" xfId="10985" xr:uid="{00000000-0005-0000-0000-000058300000}"/>
    <cellStyle name="40% - Accent2 2 2 2 3 3 2" xfId="24927" xr:uid="{00000000-0005-0000-0000-000059300000}"/>
    <cellStyle name="40% - Accent2 2 2 2 3 4" xfId="20456" xr:uid="{00000000-0005-0000-0000-00005A300000}"/>
    <cellStyle name="40% - Accent2 2 2 2 4" xfId="3132" xr:uid="{00000000-0005-0000-0000-00005B300000}"/>
    <cellStyle name="40% - Accent2 2 2 2 4 2" xfId="12041" xr:uid="{00000000-0005-0000-0000-00005C300000}"/>
    <cellStyle name="40% - Accent2 2 2 2 4 2 2" xfId="25756" xr:uid="{00000000-0005-0000-0000-00005D300000}"/>
    <cellStyle name="40% - Accent2 2 2 2 4 3" xfId="20458" xr:uid="{00000000-0005-0000-0000-00005E300000}"/>
    <cellStyle name="40% - Accent2 2 2 2 5" xfId="3133" xr:uid="{00000000-0005-0000-0000-00005F300000}"/>
    <cellStyle name="40% - Accent2 2 2 2 5 2" xfId="13616" xr:uid="{00000000-0005-0000-0000-000060300000}"/>
    <cellStyle name="40% - Accent2 2 2 2 5 2 2" xfId="27165" xr:uid="{00000000-0005-0000-0000-000061300000}"/>
    <cellStyle name="40% - Accent2 2 2 2 5 3" xfId="20459" xr:uid="{00000000-0005-0000-0000-000062300000}"/>
    <cellStyle name="40% - Accent2 2 2 2 6" xfId="3134" xr:uid="{00000000-0005-0000-0000-000063300000}"/>
    <cellStyle name="40% - Accent2 2 2 2 6 2" xfId="14197" xr:uid="{00000000-0005-0000-0000-000064300000}"/>
    <cellStyle name="40% - Accent2 2 2 2 6 2 2" xfId="27746" xr:uid="{00000000-0005-0000-0000-000065300000}"/>
    <cellStyle name="40% - Accent2 2 2 2 6 3" xfId="20460" xr:uid="{00000000-0005-0000-0000-000066300000}"/>
    <cellStyle name="40% - Accent2 2 2 2 7" xfId="3135" xr:uid="{00000000-0005-0000-0000-000067300000}"/>
    <cellStyle name="40% - Accent2 2 2 2 7 2" xfId="16083" xr:uid="{00000000-0005-0000-0000-000068300000}"/>
    <cellStyle name="40% - Accent2 2 2 2 7 2 2" xfId="29490" xr:uid="{00000000-0005-0000-0000-000069300000}"/>
    <cellStyle name="40% - Accent2 2 2 2 7 3" xfId="20461" xr:uid="{00000000-0005-0000-0000-00006A300000}"/>
    <cellStyle name="40% - Accent2 2 2 2 8" xfId="9258" xr:uid="{00000000-0005-0000-0000-00006B300000}"/>
    <cellStyle name="40% - Accent2 2 2 2 8 2" xfId="23733" xr:uid="{00000000-0005-0000-0000-00006C300000}"/>
    <cellStyle name="40% - Accent2 2 2 2 9" xfId="20448" xr:uid="{00000000-0005-0000-0000-00006D300000}"/>
    <cellStyle name="40% - Accent2 2 2 3" xfId="3136" xr:uid="{00000000-0005-0000-0000-00006E300000}"/>
    <cellStyle name="40% - Accent2 2 2 3 2" xfId="3137" xr:uid="{00000000-0005-0000-0000-00006F300000}"/>
    <cellStyle name="40% - Accent2 2 2 3 2 2" xfId="3138" xr:uid="{00000000-0005-0000-0000-000070300000}"/>
    <cellStyle name="40% - Accent2 2 2 3 2 2 2" xfId="16810" xr:uid="{00000000-0005-0000-0000-000071300000}"/>
    <cellStyle name="40% - Accent2 2 2 3 2 2 2 2" xfId="30217" xr:uid="{00000000-0005-0000-0000-000072300000}"/>
    <cellStyle name="40% - Accent2 2 2 3 2 2 3" xfId="20464" xr:uid="{00000000-0005-0000-0000-000073300000}"/>
    <cellStyle name="40% - Accent2 2 2 3 2 3" xfId="10987" xr:uid="{00000000-0005-0000-0000-000074300000}"/>
    <cellStyle name="40% - Accent2 2 2 3 2 3 2" xfId="24929" xr:uid="{00000000-0005-0000-0000-000075300000}"/>
    <cellStyle name="40% - Accent2 2 2 3 2 4" xfId="20463" xr:uid="{00000000-0005-0000-0000-000076300000}"/>
    <cellStyle name="40% - Accent2 2 2 3 3" xfId="3139" xr:uid="{00000000-0005-0000-0000-000077300000}"/>
    <cellStyle name="40% - Accent2 2 2 3 3 2" xfId="12198" xr:uid="{00000000-0005-0000-0000-000078300000}"/>
    <cellStyle name="40% - Accent2 2 2 3 3 2 2" xfId="25910" xr:uid="{00000000-0005-0000-0000-000079300000}"/>
    <cellStyle name="40% - Accent2 2 2 3 3 3" xfId="20465" xr:uid="{00000000-0005-0000-0000-00007A300000}"/>
    <cellStyle name="40% - Accent2 2 2 3 4" xfId="3140" xr:uid="{00000000-0005-0000-0000-00007B300000}"/>
    <cellStyle name="40% - Accent2 2 2 3 4 2" xfId="13762" xr:uid="{00000000-0005-0000-0000-00007C300000}"/>
    <cellStyle name="40% - Accent2 2 2 3 4 2 2" xfId="27311" xr:uid="{00000000-0005-0000-0000-00007D300000}"/>
    <cellStyle name="40% - Accent2 2 2 3 4 3" xfId="20466" xr:uid="{00000000-0005-0000-0000-00007E300000}"/>
    <cellStyle name="40% - Accent2 2 2 3 5" xfId="3141" xr:uid="{00000000-0005-0000-0000-00007F300000}"/>
    <cellStyle name="40% - Accent2 2 2 3 5 2" xfId="14343" xr:uid="{00000000-0005-0000-0000-000080300000}"/>
    <cellStyle name="40% - Accent2 2 2 3 5 2 2" xfId="27892" xr:uid="{00000000-0005-0000-0000-000081300000}"/>
    <cellStyle name="40% - Accent2 2 2 3 5 3" xfId="20467" xr:uid="{00000000-0005-0000-0000-000082300000}"/>
    <cellStyle name="40% - Accent2 2 2 3 6" xfId="3142" xr:uid="{00000000-0005-0000-0000-000083300000}"/>
    <cellStyle name="40% - Accent2 2 2 3 6 2" xfId="16229" xr:uid="{00000000-0005-0000-0000-000084300000}"/>
    <cellStyle name="40% - Accent2 2 2 3 6 2 2" xfId="29636" xr:uid="{00000000-0005-0000-0000-000085300000}"/>
    <cellStyle name="40% - Accent2 2 2 3 6 3" xfId="20468" xr:uid="{00000000-0005-0000-0000-000086300000}"/>
    <cellStyle name="40% - Accent2 2 2 3 7" xfId="9260" xr:uid="{00000000-0005-0000-0000-000087300000}"/>
    <cellStyle name="40% - Accent2 2 2 3 7 2" xfId="23735" xr:uid="{00000000-0005-0000-0000-000088300000}"/>
    <cellStyle name="40% - Accent2 2 2 3 8" xfId="20462" xr:uid="{00000000-0005-0000-0000-000089300000}"/>
    <cellStyle name="40% - Accent2 2 2 4" xfId="3143" xr:uid="{00000000-0005-0000-0000-00008A300000}"/>
    <cellStyle name="40% - Accent2 2 2 4 2" xfId="3144" xr:uid="{00000000-0005-0000-0000-00008B300000}"/>
    <cellStyle name="40% - Accent2 2 2 4 2 2" xfId="17157" xr:uid="{00000000-0005-0000-0000-00008C300000}"/>
    <cellStyle name="40% - Accent2 2 2 4 2 2 2" xfId="30516" xr:uid="{00000000-0005-0000-0000-00008D300000}"/>
    <cellStyle name="40% - Accent2 2 2 4 2 3" xfId="20470" xr:uid="{00000000-0005-0000-0000-00008E300000}"/>
    <cellStyle name="40% - Accent2 2 2 4 3" xfId="10984" xr:uid="{00000000-0005-0000-0000-00008F300000}"/>
    <cellStyle name="40% - Accent2 2 2 4 3 2" xfId="24926" xr:uid="{00000000-0005-0000-0000-000090300000}"/>
    <cellStyle name="40% - Accent2 2 2 4 4" xfId="20469" xr:uid="{00000000-0005-0000-0000-000091300000}"/>
    <cellStyle name="40% - Accent2 2 2 5" xfId="3145" xr:uid="{00000000-0005-0000-0000-000092300000}"/>
    <cellStyle name="40% - Accent2 2 2 5 2" xfId="3146" xr:uid="{00000000-0005-0000-0000-000093300000}"/>
    <cellStyle name="40% - Accent2 2 2 5 2 2" xfId="17246" xr:uid="{00000000-0005-0000-0000-000094300000}"/>
    <cellStyle name="40% - Accent2 2 2 5 2 2 2" xfId="30605" xr:uid="{00000000-0005-0000-0000-000095300000}"/>
    <cellStyle name="40% - Accent2 2 2 5 2 3" xfId="20472" xr:uid="{00000000-0005-0000-0000-000096300000}"/>
    <cellStyle name="40% - Accent2 2 2 5 3" xfId="11896" xr:uid="{00000000-0005-0000-0000-000097300000}"/>
    <cellStyle name="40% - Accent2 2 2 5 3 2" xfId="25611" xr:uid="{00000000-0005-0000-0000-000098300000}"/>
    <cellStyle name="40% - Accent2 2 2 5 4" xfId="20471" xr:uid="{00000000-0005-0000-0000-000099300000}"/>
    <cellStyle name="40% - Accent2 2 2 6" xfId="3147" xr:uid="{00000000-0005-0000-0000-00009A300000}"/>
    <cellStyle name="40% - Accent2 2 2 6 2" xfId="3148" xr:uid="{00000000-0005-0000-0000-00009B300000}"/>
    <cellStyle name="40% - Accent2 2 2 6 2 2" xfId="16521" xr:uid="{00000000-0005-0000-0000-00009C300000}"/>
    <cellStyle name="40% - Accent2 2 2 6 2 2 2" xfId="29928" xr:uid="{00000000-0005-0000-0000-00009D300000}"/>
    <cellStyle name="40% - Accent2 2 2 6 2 3" xfId="20474" xr:uid="{00000000-0005-0000-0000-00009E300000}"/>
    <cellStyle name="40% - Accent2 2 2 6 3" xfId="13473" xr:uid="{00000000-0005-0000-0000-00009F300000}"/>
    <cellStyle name="40% - Accent2 2 2 6 3 2" xfId="27022" xr:uid="{00000000-0005-0000-0000-0000A0300000}"/>
    <cellStyle name="40% - Accent2 2 2 6 4" xfId="20473" xr:uid="{00000000-0005-0000-0000-0000A1300000}"/>
    <cellStyle name="40% - Accent2 2 2 7" xfId="3149" xr:uid="{00000000-0005-0000-0000-0000A2300000}"/>
    <cellStyle name="40% - Accent2 2 2 7 2" xfId="14054" xr:uid="{00000000-0005-0000-0000-0000A3300000}"/>
    <cellStyle name="40% - Accent2 2 2 7 2 2" xfId="27603" xr:uid="{00000000-0005-0000-0000-0000A4300000}"/>
    <cellStyle name="40% - Accent2 2 2 7 3" xfId="20475" xr:uid="{00000000-0005-0000-0000-0000A5300000}"/>
    <cellStyle name="40% - Accent2 2 2 8" xfId="3150" xr:uid="{00000000-0005-0000-0000-0000A6300000}"/>
    <cellStyle name="40% - Accent2 2 2 8 2" xfId="15940" xr:uid="{00000000-0005-0000-0000-0000A7300000}"/>
    <cellStyle name="40% - Accent2 2 2 8 2 2" xfId="29347" xr:uid="{00000000-0005-0000-0000-0000A8300000}"/>
    <cellStyle name="40% - Accent2 2 2 8 3" xfId="20476" xr:uid="{00000000-0005-0000-0000-0000A9300000}"/>
    <cellStyle name="40% - Accent2 2 2 9" xfId="9257" xr:uid="{00000000-0005-0000-0000-0000AA300000}"/>
    <cellStyle name="40% - Accent2 2 2 9 2" xfId="23732" xr:uid="{00000000-0005-0000-0000-0000AB300000}"/>
    <cellStyle name="40% - Accent2 2 3" xfId="3151" xr:uid="{00000000-0005-0000-0000-0000AC300000}"/>
    <cellStyle name="40% - Accent2 2 3 2" xfId="3152" xr:uid="{00000000-0005-0000-0000-0000AD300000}"/>
    <cellStyle name="40% - Accent2 2 3 2 2" xfId="3153" xr:uid="{00000000-0005-0000-0000-0000AE300000}"/>
    <cellStyle name="40% - Accent2 2 3 2 2 2" xfId="3154" xr:uid="{00000000-0005-0000-0000-0000AF300000}"/>
    <cellStyle name="40% - Accent2 2 3 2 2 2 2" xfId="16907" xr:uid="{00000000-0005-0000-0000-0000B0300000}"/>
    <cellStyle name="40% - Accent2 2 3 2 2 2 2 2" xfId="30314" xr:uid="{00000000-0005-0000-0000-0000B1300000}"/>
    <cellStyle name="40% - Accent2 2 3 2 2 2 3" xfId="20480" xr:uid="{00000000-0005-0000-0000-0000B2300000}"/>
    <cellStyle name="40% - Accent2 2 3 2 2 3" xfId="10989" xr:uid="{00000000-0005-0000-0000-0000B3300000}"/>
    <cellStyle name="40% - Accent2 2 3 2 2 3 2" xfId="24931" xr:uid="{00000000-0005-0000-0000-0000B4300000}"/>
    <cellStyle name="40% - Accent2 2 3 2 2 4" xfId="20479" xr:uid="{00000000-0005-0000-0000-0000B5300000}"/>
    <cellStyle name="40% - Accent2 2 3 2 3" xfId="3155" xr:uid="{00000000-0005-0000-0000-0000B6300000}"/>
    <cellStyle name="40% - Accent2 2 3 2 3 2" xfId="12295" xr:uid="{00000000-0005-0000-0000-0000B7300000}"/>
    <cellStyle name="40% - Accent2 2 3 2 3 2 2" xfId="26007" xr:uid="{00000000-0005-0000-0000-0000B8300000}"/>
    <cellStyle name="40% - Accent2 2 3 2 3 3" xfId="20481" xr:uid="{00000000-0005-0000-0000-0000B9300000}"/>
    <cellStyle name="40% - Accent2 2 3 2 4" xfId="3156" xr:uid="{00000000-0005-0000-0000-0000BA300000}"/>
    <cellStyle name="40% - Accent2 2 3 2 4 2" xfId="13859" xr:uid="{00000000-0005-0000-0000-0000BB300000}"/>
    <cellStyle name="40% - Accent2 2 3 2 4 2 2" xfId="27408" xr:uid="{00000000-0005-0000-0000-0000BC300000}"/>
    <cellStyle name="40% - Accent2 2 3 2 4 3" xfId="20482" xr:uid="{00000000-0005-0000-0000-0000BD300000}"/>
    <cellStyle name="40% - Accent2 2 3 2 5" xfId="3157" xr:uid="{00000000-0005-0000-0000-0000BE300000}"/>
    <cellStyle name="40% - Accent2 2 3 2 5 2" xfId="14440" xr:uid="{00000000-0005-0000-0000-0000BF300000}"/>
    <cellStyle name="40% - Accent2 2 3 2 5 2 2" xfId="27989" xr:uid="{00000000-0005-0000-0000-0000C0300000}"/>
    <cellStyle name="40% - Accent2 2 3 2 5 3" xfId="20483" xr:uid="{00000000-0005-0000-0000-0000C1300000}"/>
    <cellStyle name="40% - Accent2 2 3 2 6" xfId="3158" xr:uid="{00000000-0005-0000-0000-0000C2300000}"/>
    <cellStyle name="40% - Accent2 2 3 2 6 2" xfId="16326" xr:uid="{00000000-0005-0000-0000-0000C3300000}"/>
    <cellStyle name="40% - Accent2 2 3 2 6 2 2" xfId="29733" xr:uid="{00000000-0005-0000-0000-0000C4300000}"/>
    <cellStyle name="40% - Accent2 2 3 2 6 3" xfId="20484" xr:uid="{00000000-0005-0000-0000-0000C5300000}"/>
    <cellStyle name="40% - Accent2 2 3 2 7" xfId="9262" xr:uid="{00000000-0005-0000-0000-0000C6300000}"/>
    <cellStyle name="40% - Accent2 2 3 2 7 2" xfId="23737" xr:uid="{00000000-0005-0000-0000-0000C7300000}"/>
    <cellStyle name="40% - Accent2 2 3 2 8" xfId="20478" xr:uid="{00000000-0005-0000-0000-0000C8300000}"/>
    <cellStyle name="40% - Accent2 2 3 3" xfId="3159" xr:uid="{00000000-0005-0000-0000-0000C9300000}"/>
    <cellStyle name="40% - Accent2 2 3 3 2" xfId="3160" xr:uid="{00000000-0005-0000-0000-0000CA300000}"/>
    <cellStyle name="40% - Accent2 2 3 3 2 2" xfId="16618" xr:uid="{00000000-0005-0000-0000-0000CB300000}"/>
    <cellStyle name="40% - Accent2 2 3 3 2 2 2" xfId="30025" xr:uid="{00000000-0005-0000-0000-0000CC300000}"/>
    <cellStyle name="40% - Accent2 2 3 3 2 3" xfId="20486" xr:uid="{00000000-0005-0000-0000-0000CD300000}"/>
    <cellStyle name="40% - Accent2 2 3 3 3" xfId="10988" xr:uid="{00000000-0005-0000-0000-0000CE300000}"/>
    <cellStyle name="40% - Accent2 2 3 3 3 2" xfId="24930" xr:uid="{00000000-0005-0000-0000-0000CF300000}"/>
    <cellStyle name="40% - Accent2 2 3 3 4" xfId="20485" xr:uid="{00000000-0005-0000-0000-0000D0300000}"/>
    <cellStyle name="40% - Accent2 2 3 4" xfId="3161" xr:uid="{00000000-0005-0000-0000-0000D1300000}"/>
    <cellStyle name="40% - Accent2 2 3 4 2" xfId="11995" xr:uid="{00000000-0005-0000-0000-0000D2300000}"/>
    <cellStyle name="40% - Accent2 2 3 4 2 2" xfId="25710" xr:uid="{00000000-0005-0000-0000-0000D3300000}"/>
    <cellStyle name="40% - Accent2 2 3 4 3" xfId="20487" xr:uid="{00000000-0005-0000-0000-0000D4300000}"/>
    <cellStyle name="40% - Accent2 2 3 5" xfId="3162" xr:uid="{00000000-0005-0000-0000-0000D5300000}"/>
    <cellStyle name="40% - Accent2 2 3 5 2" xfId="13570" xr:uid="{00000000-0005-0000-0000-0000D6300000}"/>
    <cellStyle name="40% - Accent2 2 3 5 2 2" xfId="27119" xr:uid="{00000000-0005-0000-0000-0000D7300000}"/>
    <cellStyle name="40% - Accent2 2 3 5 3" xfId="20488" xr:uid="{00000000-0005-0000-0000-0000D8300000}"/>
    <cellStyle name="40% - Accent2 2 3 6" xfId="3163" xr:uid="{00000000-0005-0000-0000-0000D9300000}"/>
    <cellStyle name="40% - Accent2 2 3 6 2" xfId="14151" xr:uid="{00000000-0005-0000-0000-0000DA300000}"/>
    <cellStyle name="40% - Accent2 2 3 6 2 2" xfId="27700" xr:uid="{00000000-0005-0000-0000-0000DB300000}"/>
    <cellStyle name="40% - Accent2 2 3 6 3" xfId="20489" xr:uid="{00000000-0005-0000-0000-0000DC300000}"/>
    <cellStyle name="40% - Accent2 2 3 7" xfId="3164" xr:uid="{00000000-0005-0000-0000-0000DD300000}"/>
    <cellStyle name="40% - Accent2 2 3 7 2" xfId="16037" xr:uid="{00000000-0005-0000-0000-0000DE300000}"/>
    <cellStyle name="40% - Accent2 2 3 7 2 2" xfId="29444" xr:uid="{00000000-0005-0000-0000-0000DF300000}"/>
    <cellStyle name="40% - Accent2 2 3 7 3" xfId="20490" xr:uid="{00000000-0005-0000-0000-0000E0300000}"/>
    <cellStyle name="40% - Accent2 2 3 8" xfId="9261" xr:uid="{00000000-0005-0000-0000-0000E1300000}"/>
    <cellStyle name="40% - Accent2 2 3 8 2" xfId="23736" xr:uid="{00000000-0005-0000-0000-0000E2300000}"/>
    <cellStyle name="40% - Accent2 2 3 9" xfId="20477" xr:uid="{00000000-0005-0000-0000-0000E3300000}"/>
    <cellStyle name="40% - Accent2 2 4" xfId="3165" xr:uid="{00000000-0005-0000-0000-0000E4300000}"/>
    <cellStyle name="40% - Accent2 2 4 2" xfId="3166" xr:uid="{00000000-0005-0000-0000-0000E5300000}"/>
    <cellStyle name="40% - Accent2 2 4 2 2" xfId="3167" xr:uid="{00000000-0005-0000-0000-0000E6300000}"/>
    <cellStyle name="40% - Accent2 2 4 2 2 2" xfId="16764" xr:uid="{00000000-0005-0000-0000-0000E7300000}"/>
    <cellStyle name="40% - Accent2 2 4 2 2 2 2" xfId="30171" xr:uid="{00000000-0005-0000-0000-0000E8300000}"/>
    <cellStyle name="40% - Accent2 2 4 2 2 3" xfId="20493" xr:uid="{00000000-0005-0000-0000-0000E9300000}"/>
    <cellStyle name="40% - Accent2 2 4 2 3" xfId="10990" xr:uid="{00000000-0005-0000-0000-0000EA300000}"/>
    <cellStyle name="40% - Accent2 2 4 2 3 2" xfId="24932" xr:uid="{00000000-0005-0000-0000-0000EB300000}"/>
    <cellStyle name="40% - Accent2 2 4 2 4" xfId="20492" xr:uid="{00000000-0005-0000-0000-0000EC300000}"/>
    <cellStyle name="40% - Accent2 2 4 3" xfId="3168" xr:uid="{00000000-0005-0000-0000-0000ED300000}"/>
    <cellStyle name="40% - Accent2 2 4 3 2" xfId="12152" xr:uid="{00000000-0005-0000-0000-0000EE300000}"/>
    <cellStyle name="40% - Accent2 2 4 3 2 2" xfId="25864" xr:uid="{00000000-0005-0000-0000-0000EF300000}"/>
    <cellStyle name="40% - Accent2 2 4 3 3" xfId="20494" xr:uid="{00000000-0005-0000-0000-0000F0300000}"/>
    <cellStyle name="40% - Accent2 2 4 4" xfId="3169" xr:uid="{00000000-0005-0000-0000-0000F1300000}"/>
    <cellStyle name="40% - Accent2 2 4 4 2" xfId="13716" xr:uid="{00000000-0005-0000-0000-0000F2300000}"/>
    <cellStyle name="40% - Accent2 2 4 4 2 2" xfId="27265" xr:uid="{00000000-0005-0000-0000-0000F3300000}"/>
    <cellStyle name="40% - Accent2 2 4 4 3" xfId="20495" xr:uid="{00000000-0005-0000-0000-0000F4300000}"/>
    <cellStyle name="40% - Accent2 2 4 5" xfId="3170" xr:uid="{00000000-0005-0000-0000-0000F5300000}"/>
    <cellStyle name="40% - Accent2 2 4 5 2" xfId="14297" xr:uid="{00000000-0005-0000-0000-0000F6300000}"/>
    <cellStyle name="40% - Accent2 2 4 5 2 2" xfId="27846" xr:uid="{00000000-0005-0000-0000-0000F7300000}"/>
    <cellStyle name="40% - Accent2 2 4 5 3" xfId="20496" xr:uid="{00000000-0005-0000-0000-0000F8300000}"/>
    <cellStyle name="40% - Accent2 2 4 6" xfId="3171" xr:uid="{00000000-0005-0000-0000-0000F9300000}"/>
    <cellStyle name="40% - Accent2 2 4 6 2" xfId="16183" xr:uid="{00000000-0005-0000-0000-0000FA300000}"/>
    <cellStyle name="40% - Accent2 2 4 6 2 2" xfId="29590" xr:uid="{00000000-0005-0000-0000-0000FB300000}"/>
    <cellStyle name="40% - Accent2 2 4 6 3" xfId="20497" xr:uid="{00000000-0005-0000-0000-0000FC300000}"/>
    <cellStyle name="40% - Accent2 2 4 7" xfId="9263" xr:uid="{00000000-0005-0000-0000-0000FD300000}"/>
    <cellStyle name="40% - Accent2 2 4 7 2" xfId="23738" xr:uid="{00000000-0005-0000-0000-0000FE300000}"/>
    <cellStyle name="40% - Accent2 2 4 8" xfId="20491" xr:uid="{00000000-0005-0000-0000-0000FF300000}"/>
    <cellStyle name="40% - Accent2 2 5" xfId="3172" xr:uid="{00000000-0005-0000-0000-000000310000}"/>
    <cellStyle name="40% - Accent2 2 5 2" xfId="3173" xr:uid="{00000000-0005-0000-0000-000001310000}"/>
    <cellStyle name="40% - Accent2 2 5 2 2" xfId="12611" xr:uid="{00000000-0005-0000-0000-000002310000}"/>
    <cellStyle name="40% - Accent2 2 5 2 2 2" xfId="26323" xr:uid="{00000000-0005-0000-0000-000003310000}"/>
    <cellStyle name="40% - Accent2 2 5 2 3" xfId="20499" xr:uid="{00000000-0005-0000-0000-000004310000}"/>
    <cellStyle name="40% - Accent2 2 5 3" xfId="3174" xr:uid="{00000000-0005-0000-0000-000005310000}"/>
    <cellStyle name="40% - Accent2 2 5 3 2" xfId="15154" xr:uid="{00000000-0005-0000-0000-000006310000}"/>
    <cellStyle name="40% - Accent2 2 5 3 2 2" xfId="28703" xr:uid="{00000000-0005-0000-0000-000007310000}"/>
    <cellStyle name="40% - Accent2 2 5 3 3" xfId="20500" xr:uid="{00000000-0005-0000-0000-000008310000}"/>
    <cellStyle name="40% - Accent2 2 5 4" xfId="3175" xr:uid="{00000000-0005-0000-0000-000009310000}"/>
    <cellStyle name="40% - Accent2 2 5 4 2" xfId="17003" xr:uid="{00000000-0005-0000-0000-00000A310000}"/>
    <cellStyle name="40% - Accent2 2 5 4 2 2" xfId="30410" xr:uid="{00000000-0005-0000-0000-00000B310000}"/>
    <cellStyle name="40% - Accent2 2 5 4 3" xfId="20501" xr:uid="{00000000-0005-0000-0000-00000C310000}"/>
    <cellStyle name="40% - Accent2 2 5 5" xfId="10524" xr:uid="{00000000-0005-0000-0000-00000D310000}"/>
    <cellStyle name="40% - Accent2 2 5 5 2" xfId="24466" xr:uid="{00000000-0005-0000-0000-00000E310000}"/>
    <cellStyle name="40% - Accent2 2 5 6" xfId="20498" xr:uid="{00000000-0005-0000-0000-00000F310000}"/>
    <cellStyle name="40% - Accent2 2 6" xfId="3176" xr:uid="{00000000-0005-0000-0000-000010310000}"/>
    <cellStyle name="40% - Accent2 2 6 2" xfId="3177" xr:uid="{00000000-0005-0000-0000-000011310000}"/>
    <cellStyle name="40% - Accent2 2 6 2 2" xfId="12728" xr:uid="{00000000-0005-0000-0000-000012310000}"/>
    <cellStyle name="40% - Accent2 2 6 2 2 2" xfId="26440" xr:uid="{00000000-0005-0000-0000-000013310000}"/>
    <cellStyle name="40% - Accent2 2 6 2 3" xfId="20503" xr:uid="{00000000-0005-0000-0000-000014310000}"/>
    <cellStyle name="40% - Accent2 2 6 3" xfId="3178" xr:uid="{00000000-0005-0000-0000-000015310000}"/>
    <cellStyle name="40% - Accent2 2 6 3 2" xfId="15155" xr:uid="{00000000-0005-0000-0000-000016310000}"/>
    <cellStyle name="40% - Accent2 2 6 3 2 2" xfId="28704" xr:uid="{00000000-0005-0000-0000-000017310000}"/>
    <cellStyle name="40% - Accent2 2 6 3 3" xfId="20504" xr:uid="{00000000-0005-0000-0000-000018310000}"/>
    <cellStyle name="40% - Accent2 2 6 4" xfId="3179" xr:uid="{00000000-0005-0000-0000-000019310000}"/>
    <cellStyle name="40% - Accent2 2 6 4 2" xfId="17111" xr:uid="{00000000-0005-0000-0000-00001A310000}"/>
    <cellStyle name="40% - Accent2 2 6 4 2 2" xfId="30470" xr:uid="{00000000-0005-0000-0000-00001B310000}"/>
    <cellStyle name="40% - Accent2 2 6 4 3" xfId="20505" xr:uid="{00000000-0005-0000-0000-00001C310000}"/>
    <cellStyle name="40% - Accent2 2 6 5" xfId="10983" xr:uid="{00000000-0005-0000-0000-00001D310000}"/>
    <cellStyle name="40% - Accent2 2 6 5 2" xfId="24925" xr:uid="{00000000-0005-0000-0000-00001E310000}"/>
    <cellStyle name="40% - Accent2 2 6 6" xfId="20502" xr:uid="{00000000-0005-0000-0000-00001F310000}"/>
    <cellStyle name="40% - Accent2 2 7" xfId="3180" xr:uid="{00000000-0005-0000-0000-000020310000}"/>
    <cellStyle name="40% - Accent2 2 7 2" xfId="3181" xr:uid="{00000000-0005-0000-0000-000021310000}"/>
    <cellStyle name="40% - Accent2 2 7 2 2" xfId="17200" xr:uid="{00000000-0005-0000-0000-000022310000}"/>
    <cellStyle name="40% - Accent2 2 7 2 2 2" xfId="30559" xr:uid="{00000000-0005-0000-0000-000023310000}"/>
    <cellStyle name="40% - Accent2 2 7 2 3" xfId="20507" xr:uid="{00000000-0005-0000-0000-000024310000}"/>
    <cellStyle name="40% - Accent2 2 7 3" xfId="11828" xr:uid="{00000000-0005-0000-0000-000025310000}"/>
    <cellStyle name="40% - Accent2 2 7 3 2" xfId="25543" xr:uid="{00000000-0005-0000-0000-000026310000}"/>
    <cellStyle name="40% - Accent2 2 7 4" xfId="20506" xr:uid="{00000000-0005-0000-0000-000027310000}"/>
    <cellStyle name="40% - Accent2 2 8" xfId="3182" xr:uid="{00000000-0005-0000-0000-000028310000}"/>
    <cellStyle name="40% - Accent2 2 8 2" xfId="3183" xr:uid="{00000000-0005-0000-0000-000029310000}"/>
    <cellStyle name="40% - Accent2 2 8 2 2" xfId="16475" xr:uid="{00000000-0005-0000-0000-00002A310000}"/>
    <cellStyle name="40% - Accent2 2 8 2 2 2" xfId="29882" xr:uid="{00000000-0005-0000-0000-00002B310000}"/>
    <cellStyle name="40% - Accent2 2 8 2 3" xfId="20509" xr:uid="{00000000-0005-0000-0000-00002C310000}"/>
    <cellStyle name="40% - Accent2 2 8 3" xfId="13427" xr:uid="{00000000-0005-0000-0000-00002D310000}"/>
    <cellStyle name="40% - Accent2 2 8 3 2" xfId="26976" xr:uid="{00000000-0005-0000-0000-00002E310000}"/>
    <cellStyle name="40% - Accent2 2 8 4" xfId="20508" xr:uid="{00000000-0005-0000-0000-00002F310000}"/>
    <cellStyle name="40% - Accent2 2 9" xfId="3184" xr:uid="{00000000-0005-0000-0000-000030310000}"/>
    <cellStyle name="40% - Accent2 2 9 2" xfId="14008" xr:uid="{00000000-0005-0000-0000-000031310000}"/>
    <cellStyle name="40% - Accent2 2 9 2 2" xfId="27557" xr:uid="{00000000-0005-0000-0000-000032310000}"/>
    <cellStyle name="40% - Accent2 2 9 3" xfId="20510" xr:uid="{00000000-0005-0000-0000-000033310000}"/>
    <cellStyle name="40% - Accent2 3" xfId="3185" xr:uid="{00000000-0005-0000-0000-000034310000}"/>
    <cellStyle name="40% - Accent2 3 10" xfId="20511" xr:uid="{00000000-0005-0000-0000-000035310000}"/>
    <cellStyle name="40% - Accent2 3 2" xfId="3186" xr:uid="{00000000-0005-0000-0000-000036310000}"/>
    <cellStyle name="40% - Accent2 3 2 2" xfId="3187" xr:uid="{00000000-0005-0000-0000-000037310000}"/>
    <cellStyle name="40% - Accent2 3 2 2 2" xfId="3188" xr:uid="{00000000-0005-0000-0000-000038310000}"/>
    <cellStyle name="40% - Accent2 3 2 2 2 2" xfId="3189" xr:uid="{00000000-0005-0000-0000-000039310000}"/>
    <cellStyle name="40% - Accent2 3 2 2 2 2 2" xfId="16930" xr:uid="{00000000-0005-0000-0000-00003A310000}"/>
    <cellStyle name="40% - Accent2 3 2 2 2 2 2 2" xfId="30337" xr:uid="{00000000-0005-0000-0000-00003B310000}"/>
    <cellStyle name="40% - Accent2 3 2 2 2 2 3" xfId="20515" xr:uid="{00000000-0005-0000-0000-00003C310000}"/>
    <cellStyle name="40% - Accent2 3 2 2 2 3" xfId="10993" xr:uid="{00000000-0005-0000-0000-00003D310000}"/>
    <cellStyle name="40% - Accent2 3 2 2 2 3 2" xfId="24935" xr:uid="{00000000-0005-0000-0000-00003E310000}"/>
    <cellStyle name="40% - Accent2 3 2 2 2 4" xfId="20514" xr:uid="{00000000-0005-0000-0000-00003F310000}"/>
    <cellStyle name="40% - Accent2 3 2 2 3" xfId="3190" xr:uid="{00000000-0005-0000-0000-000040310000}"/>
    <cellStyle name="40% - Accent2 3 2 2 3 2" xfId="12318" xr:uid="{00000000-0005-0000-0000-000041310000}"/>
    <cellStyle name="40% - Accent2 3 2 2 3 2 2" xfId="26030" xr:uid="{00000000-0005-0000-0000-000042310000}"/>
    <cellStyle name="40% - Accent2 3 2 2 3 3" xfId="20516" xr:uid="{00000000-0005-0000-0000-000043310000}"/>
    <cellStyle name="40% - Accent2 3 2 2 4" xfId="3191" xr:uid="{00000000-0005-0000-0000-000044310000}"/>
    <cellStyle name="40% - Accent2 3 2 2 4 2" xfId="13882" xr:uid="{00000000-0005-0000-0000-000045310000}"/>
    <cellStyle name="40% - Accent2 3 2 2 4 2 2" xfId="27431" xr:uid="{00000000-0005-0000-0000-000046310000}"/>
    <cellStyle name="40% - Accent2 3 2 2 4 3" xfId="20517" xr:uid="{00000000-0005-0000-0000-000047310000}"/>
    <cellStyle name="40% - Accent2 3 2 2 5" xfId="3192" xr:uid="{00000000-0005-0000-0000-000048310000}"/>
    <cellStyle name="40% - Accent2 3 2 2 5 2" xfId="14463" xr:uid="{00000000-0005-0000-0000-000049310000}"/>
    <cellStyle name="40% - Accent2 3 2 2 5 2 2" xfId="28012" xr:uid="{00000000-0005-0000-0000-00004A310000}"/>
    <cellStyle name="40% - Accent2 3 2 2 5 3" xfId="20518" xr:uid="{00000000-0005-0000-0000-00004B310000}"/>
    <cellStyle name="40% - Accent2 3 2 2 6" xfId="3193" xr:uid="{00000000-0005-0000-0000-00004C310000}"/>
    <cellStyle name="40% - Accent2 3 2 2 6 2" xfId="16349" xr:uid="{00000000-0005-0000-0000-00004D310000}"/>
    <cellStyle name="40% - Accent2 3 2 2 6 2 2" xfId="29756" xr:uid="{00000000-0005-0000-0000-00004E310000}"/>
    <cellStyle name="40% - Accent2 3 2 2 6 3" xfId="20519" xr:uid="{00000000-0005-0000-0000-00004F310000}"/>
    <cellStyle name="40% - Accent2 3 2 2 7" xfId="9266" xr:uid="{00000000-0005-0000-0000-000050310000}"/>
    <cellStyle name="40% - Accent2 3 2 2 7 2" xfId="23741" xr:uid="{00000000-0005-0000-0000-000051310000}"/>
    <cellStyle name="40% - Accent2 3 2 2 8" xfId="20513" xr:uid="{00000000-0005-0000-0000-000052310000}"/>
    <cellStyle name="40% - Accent2 3 2 3" xfId="3194" xr:uid="{00000000-0005-0000-0000-000053310000}"/>
    <cellStyle name="40% - Accent2 3 2 3 2" xfId="3195" xr:uid="{00000000-0005-0000-0000-000054310000}"/>
    <cellStyle name="40% - Accent2 3 2 3 2 2" xfId="16641" xr:uid="{00000000-0005-0000-0000-000055310000}"/>
    <cellStyle name="40% - Accent2 3 2 3 2 2 2" xfId="30048" xr:uid="{00000000-0005-0000-0000-000056310000}"/>
    <cellStyle name="40% - Accent2 3 2 3 2 3" xfId="20521" xr:uid="{00000000-0005-0000-0000-000057310000}"/>
    <cellStyle name="40% - Accent2 3 2 3 3" xfId="10992" xr:uid="{00000000-0005-0000-0000-000058310000}"/>
    <cellStyle name="40% - Accent2 3 2 3 3 2" xfId="24934" xr:uid="{00000000-0005-0000-0000-000059310000}"/>
    <cellStyle name="40% - Accent2 3 2 3 4" xfId="20520" xr:uid="{00000000-0005-0000-0000-00005A310000}"/>
    <cellStyle name="40% - Accent2 3 2 4" xfId="3196" xr:uid="{00000000-0005-0000-0000-00005B310000}"/>
    <cellStyle name="40% - Accent2 3 2 4 2" xfId="12018" xr:uid="{00000000-0005-0000-0000-00005C310000}"/>
    <cellStyle name="40% - Accent2 3 2 4 2 2" xfId="25733" xr:uid="{00000000-0005-0000-0000-00005D310000}"/>
    <cellStyle name="40% - Accent2 3 2 4 3" xfId="20522" xr:uid="{00000000-0005-0000-0000-00005E310000}"/>
    <cellStyle name="40% - Accent2 3 2 5" xfId="3197" xr:uid="{00000000-0005-0000-0000-00005F310000}"/>
    <cellStyle name="40% - Accent2 3 2 5 2" xfId="13593" xr:uid="{00000000-0005-0000-0000-000060310000}"/>
    <cellStyle name="40% - Accent2 3 2 5 2 2" xfId="27142" xr:uid="{00000000-0005-0000-0000-000061310000}"/>
    <cellStyle name="40% - Accent2 3 2 5 3" xfId="20523" xr:uid="{00000000-0005-0000-0000-000062310000}"/>
    <cellStyle name="40% - Accent2 3 2 6" xfId="3198" xr:uid="{00000000-0005-0000-0000-000063310000}"/>
    <cellStyle name="40% - Accent2 3 2 6 2" xfId="14174" xr:uid="{00000000-0005-0000-0000-000064310000}"/>
    <cellStyle name="40% - Accent2 3 2 6 2 2" xfId="27723" xr:uid="{00000000-0005-0000-0000-000065310000}"/>
    <cellStyle name="40% - Accent2 3 2 6 3" xfId="20524" xr:uid="{00000000-0005-0000-0000-000066310000}"/>
    <cellStyle name="40% - Accent2 3 2 7" xfId="3199" xr:uid="{00000000-0005-0000-0000-000067310000}"/>
    <cellStyle name="40% - Accent2 3 2 7 2" xfId="16060" xr:uid="{00000000-0005-0000-0000-000068310000}"/>
    <cellStyle name="40% - Accent2 3 2 7 2 2" xfId="29467" xr:uid="{00000000-0005-0000-0000-000069310000}"/>
    <cellStyle name="40% - Accent2 3 2 7 3" xfId="20525" xr:uid="{00000000-0005-0000-0000-00006A310000}"/>
    <cellStyle name="40% - Accent2 3 2 8" xfId="9265" xr:uid="{00000000-0005-0000-0000-00006B310000}"/>
    <cellStyle name="40% - Accent2 3 2 8 2" xfId="23740" xr:uid="{00000000-0005-0000-0000-00006C310000}"/>
    <cellStyle name="40% - Accent2 3 2 9" xfId="20512" xr:uid="{00000000-0005-0000-0000-00006D310000}"/>
    <cellStyle name="40% - Accent2 3 3" xfId="3200" xr:uid="{00000000-0005-0000-0000-00006E310000}"/>
    <cellStyle name="40% - Accent2 3 3 2" xfId="3201" xr:uid="{00000000-0005-0000-0000-00006F310000}"/>
    <cellStyle name="40% - Accent2 3 3 2 2" xfId="3202" xr:uid="{00000000-0005-0000-0000-000070310000}"/>
    <cellStyle name="40% - Accent2 3 3 2 2 2" xfId="16787" xr:uid="{00000000-0005-0000-0000-000071310000}"/>
    <cellStyle name="40% - Accent2 3 3 2 2 2 2" xfId="30194" xr:uid="{00000000-0005-0000-0000-000072310000}"/>
    <cellStyle name="40% - Accent2 3 3 2 2 3" xfId="20528" xr:uid="{00000000-0005-0000-0000-000073310000}"/>
    <cellStyle name="40% - Accent2 3 3 2 3" xfId="10994" xr:uid="{00000000-0005-0000-0000-000074310000}"/>
    <cellStyle name="40% - Accent2 3 3 2 3 2" xfId="24936" xr:uid="{00000000-0005-0000-0000-000075310000}"/>
    <cellStyle name="40% - Accent2 3 3 2 4" xfId="20527" xr:uid="{00000000-0005-0000-0000-000076310000}"/>
    <cellStyle name="40% - Accent2 3 3 3" xfId="3203" xr:uid="{00000000-0005-0000-0000-000077310000}"/>
    <cellStyle name="40% - Accent2 3 3 3 2" xfId="12175" xr:uid="{00000000-0005-0000-0000-000078310000}"/>
    <cellStyle name="40% - Accent2 3 3 3 2 2" xfId="25887" xr:uid="{00000000-0005-0000-0000-000079310000}"/>
    <cellStyle name="40% - Accent2 3 3 3 3" xfId="20529" xr:uid="{00000000-0005-0000-0000-00007A310000}"/>
    <cellStyle name="40% - Accent2 3 3 4" xfId="3204" xr:uid="{00000000-0005-0000-0000-00007B310000}"/>
    <cellStyle name="40% - Accent2 3 3 4 2" xfId="13739" xr:uid="{00000000-0005-0000-0000-00007C310000}"/>
    <cellStyle name="40% - Accent2 3 3 4 2 2" xfId="27288" xr:uid="{00000000-0005-0000-0000-00007D310000}"/>
    <cellStyle name="40% - Accent2 3 3 4 3" xfId="20530" xr:uid="{00000000-0005-0000-0000-00007E310000}"/>
    <cellStyle name="40% - Accent2 3 3 5" xfId="3205" xr:uid="{00000000-0005-0000-0000-00007F310000}"/>
    <cellStyle name="40% - Accent2 3 3 5 2" xfId="14320" xr:uid="{00000000-0005-0000-0000-000080310000}"/>
    <cellStyle name="40% - Accent2 3 3 5 2 2" xfId="27869" xr:uid="{00000000-0005-0000-0000-000081310000}"/>
    <cellStyle name="40% - Accent2 3 3 5 3" xfId="20531" xr:uid="{00000000-0005-0000-0000-000082310000}"/>
    <cellStyle name="40% - Accent2 3 3 6" xfId="3206" xr:uid="{00000000-0005-0000-0000-000083310000}"/>
    <cellStyle name="40% - Accent2 3 3 6 2" xfId="16206" xr:uid="{00000000-0005-0000-0000-000084310000}"/>
    <cellStyle name="40% - Accent2 3 3 6 2 2" xfId="29613" xr:uid="{00000000-0005-0000-0000-000085310000}"/>
    <cellStyle name="40% - Accent2 3 3 6 3" xfId="20532" xr:uid="{00000000-0005-0000-0000-000086310000}"/>
    <cellStyle name="40% - Accent2 3 3 7" xfId="9267" xr:uid="{00000000-0005-0000-0000-000087310000}"/>
    <cellStyle name="40% - Accent2 3 3 7 2" xfId="23742" xr:uid="{00000000-0005-0000-0000-000088310000}"/>
    <cellStyle name="40% - Accent2 3 3 8" xfId="20526" xr:uid="{00000000-0005-0000-0000-000089310000}"/>
    <cellStyle name="40% - Accent2 3 4" xfId="3207" xr:uid="{00000000-0005-0000-0000-00008A310000}"/>
    <cellStyle name="40% - Accent2 3 4 2" xfId="3208" xr:uid="{00000000-0005-0000-0000-00008B310000}"/>
    <cellStyle name="40% - Accent2 3 4 2 2" xfId="17134" xr:uid="{00000000-0005-0000-0000-00008C310000}"/>
    <cellStyle name="40% - Accent2 3 4 2 2 2" xfId="30493" xr:uid="{00000000-0005-0000-0000-00008D310000}"/>
    <cellStyle name="40% - Accent2 3 4 2 3" xfId="20534" xr:uid="{00000000-0005-0000-0000-00008E310000}"/>
    <cellStyle name="40% - Accent2 3 4 3" xfId="10991" xr:uid="{00000000-0005-0000-0000-00008F310000}"/>
    <cellStyle name="40% - Accent2 3 4 3 2" xfId="24933" xr:uid="{00000000-0005-0000-0000-000090310000}"/>
    <cellStyle name="40% - Accent2 3 4 4" xfId="20533" xr:uid="{00000000-0005-0000-0000-000091310000}"/>
    <cellStyle name="40% - Accent2 3 5" xfId="3209" xr:uid="{00000000-0005-0000-0000-000092310000}"/>
    <cellStyle name="40% - Accent2 3 5 2" xfId="3210" xr:uid="{00000000-0005-0000-0000-000093310000}"/>
    <cellStyle name="40% - Accent2 3 5 2 2" xfId="17223" xr:uid="{00000000-0005-0000-0000-000094310000}"/>
    <cellStyle name="40% - Accent2 3 5 2 2 2" xfId="30582" xr:uid="{00000000-0005-0000-0000-000095310000}"/>
    <cellStyle name="40% - Accent2 3 5 2 3" xfId="20536" xr:uid="{00000000-0005-0000-0000-000096310000}"/>
    <cellStyle name="40% - Accent2 3 5 3" xfId="11870" xr:uid="{00000000-0005-0000-0000-000097310000}"/>
    <cellStyle name="40% - Accent2 3 5 3 2" xfId="25585" xr:uid="{00000000-0005-0000-0000-000098310000}"/>
    <cellStyle name="40% - Accent2 3 5 4" xfId="20535" xr:uid="{00000000-0005-0000-0000-000099310000}"/>
    <cellStyle name="40% - Accent2 3 6" xfId="3211" xr:uid="{00000000-0005-0000-0000-00009A310000}"/>
    <cellStyle name="40% - Accent2 3 6 2" xfId="3212" xr:uid="{00000000-0005-0000-0000-00009B310000}"/>
    <cellStyle name="40% - Accent2 3 6 2 2" xfId="16498" xr:uid="{00000000-0005-0000-0000-00009C310000}"/>
    <cellStyle name="40% - Accent2 3 6 2 2 2" xfId="29905" xr:uid="{00000000-0005-0000-0000-00009D310000}"/>
    <cellStyle name="40% - Accent2 3 6 2 3" xfId="20538" xr:uid="{00000000-0005-0000-0000-00009E310000}"/>
    <cellStyle name="40% - Accent2 3 6 3" xfId="13450" xr:uid="{00000000-0005-0000-0000-00009F310000}"/>
    <cellStyle name="40% - Accent2 3 6 3 2" xfId="26999" xr:uid="{00000000-0005-0000-0000-0000A0310000}"/>
    <cellStyle name="40% - Accent2 3 6 4" xfId="20537" xr:uid="{00000000-0005-0000-0000-0000A1310000}"/>
    <cellStyle name="40% - Accent2 3 7" xfId="3213" xr:uid="{00000000-0005-0000-0000-0000A2310000}"/>
    <cellStyle name="40% - Accent2 3 7 2" xfId="14031" xr:uid="{00000000-0005-0000-0000-0000A3310000}"/>
    <cellStyle name="40% - Accent2 3 7 2 2" xfId="27580" xr:uid="{00000000-0005-0000-0000-0000A4310000}"/>
    <cellStyle name="40% - Accent2 3 7 3" xfId="20539" xr:uid="{00000000-0005-0000-0000-0000A5310000}"/>
    <cellStyle name="40% - Accent2 3 8" xfId="3214" xr:uid="{00000000-0005-0000-0000-0000A6310000}"/>
    <cellStyle name="40% - Accent2 3 8 2" xfId="15917" xr:uid="{00000000-0005-0000-0000-0000A7310000}"/>
    <cellStyle name="40% - Accent2 3 8 2 2" xfId="29324" xr:uid="{00000000-0005-0000-0000-0000A8310000}"/>
    <cellStyle name="40% - Accent2 3 8 3" xfId="20540" xr:uid="{00000000-0005-0000-0000-0000A9310000}"/>
    <cellStyle name="40% - Accent2 3 9" xfId="9264" xr:uid="{00000000-0005-0000-0000-0000AA310000}"/>
    <cellStyle name="40% - Accent2 3 9 2" xfId="23739" xr:uid="{00000000-0005-0000-0000-0000AB310000}"/>
    <cellStyle name="40% - Accent2 4" xfId="3215" xr:uid="{00000000-0005-0000-0000-0000AC310000}"/>
    <cellStyle name="40% - Accent2 4 10" xfId="20541" xr:uid="{00000000-0005-0000-0000-0000AD310000}"/>
    <cellStyle name="40% - Accent2 4 2" xfId="3216" xr:uid="{00000000-0005-0000-0000-0000AE310000}"/>
    <cellStyle name="40% - Accent2 4 2 2" xfId="3217" xr:uid="{00000000-0005-0000-0000-0000AF310000}"/>
    <cellStyle name="40% - Accent2 4 2 2 2" xfId="3218" xr:uid="{00000000-0005-0000-0000-0000B0310000}"/>
    <cellStyle name="40% - Accent2 4 2 2 2 2" xfId="3219" xr:uid="{00000000-0005-0000-0000-0000B1310000}"/>
    <cellStyle name="40% - Accent2 4 2 2 2 2 2" xfId="16888" xr:uid="{00000000-0005-0000-0000-0000B2310000}"/>
    <cellStyle name="40% - Accent2 4 2 2 2 2 2 2" xfId="30295" xr:uid="{00000000-0005-0000-0000-0000B3310000}"/>
    <cellStyle name="40% - Accent2 4 2 2 2 2 3" xfId="20545" xr:uid="{00000000-0005-0000-0000-0000B4310000}"/>
    <cellStyle name="40% - Accent2 4 2 2 2 3" xfId="10997" xr:uid="{00000000-0005-0000-0000-0000B5310000}"/>
    <cellStyle name="40% - Accent2 4 2 2 2 3 2" xfId="24939" xr:uid="{00000000-0005-0000-0000-0000B6310000}"/>
    <cellStyle name="40% - Accent2 4 2 2 2 4" xfId="20544" xr:uid="{00000000-0005-0000-0000-0000B7310000}"/>
    <cellStyle name="40% - Accent2 4 2 2 3" xfId="3220" xr:uid="{00000000-0005-0000-0000-0000B8310000}"/>
    <cellStyle name="40% - Accent2 4 2 2 3 2" xfId="12276" xr:uid="{00000000-0005-0000-0000-0000B9310000}"/>
    <cellStyle name="40% - Accent2 4 2 2 3 2 2" xfId="25988" xr:uid="{00000000-0005-0000-0000-0000BA310000}"/>
    <cellStyle name="40% - Accent2 4 2 2 3 3" xfId="20546" xr:uid="{00000000-0005-0000-0000-0000BB310000}"/>
    <cellStyle name="40% - Accent2 4 2 2 4" xfId="3221" xr:uid="{00000000-0005-0000-0000-0000BC310000}"/>
    <cellStyle name="40% - Accent2 4 2 2 4 2" xfId="13840" xr:uid="{00000000-0005-0000-0000-0000BD310000}"/>
    <cellStyle name="40% - Accent2 4 2 2 4 2 2" xfId="27389" xr:uid="{00000000-0005-0000-0000-0000BE310000}"/>
    <cellStyle name="40% - Accent2 4 2 2 4 3" xfId="20547" xr:uid="{00000000-0005-0000-0000-0000BF310000}"/>
    <cellStyle name="40% - Accent2 4 2 2 5" xfId="3222" xr:uid="{00000000-0005-0000-0000-0000C0310000}"/>
    <cellStyle name="40% - Accent2 4 2 2 5 2" xfId="14421" xr:uid="{00000000-0005-0000-0000-0000C1310000}"/>
    <cellStyle name="40% - Accent2 4 2 2 5 2 2" xfId="27970" xr:uid="{00000000-0005-0000-0000-0000C2310000}"/>
    <cellStyle name="40% - Accent2 4 2 2 5 3" xfId="20548" xr:uid="{00000000-0005-0000-0000-0000C3310000}"/>
    <cellStyle name="40% - Accent2 4 2 2 6" xfId="3223" xr:uid="{00000000-0005-0000-0000-0000C4310000}"/>
    <cellStyle name="40% - Accent2 4 2 2 6 2" xfId="16307" xr:uid="{00000000-0005-0000-0000-0000C5310000}"/>
    <cellStyle name="40% - Accent2 4 2 2 6 2 2" xfId="29714" xr:uid="{00000000-0005-0000-0000-0000C6310000}"/>
    <cellStyle name="40% - Accent2 4 2 2 6 3" xfId="20549" xr:uid="{00000000-0005-0000-0000-0000C7310000}"/>
    <cellStyle name="40% - Accent2 4 2 2 7" xfId="9270" xr:uid="{00000000-0005-0000-0000-0000C8310000}"/>
    <cellStyle name="40% - Accent2 4 2 2 7 2" xfId="23745" xr:uid="{00000000-0005-0000-0000-0000C9310000}"/>
    <cellStyle name="40% - Accent2 4 2 2 8" xfId="20543" xr:uid="{00000000-0005-0000-0000-0000CA310000}"/>
    <cellStyle name="40% - Accent2 4 2 3" xfId="3224" xr:uid="{00000000-0005-0000-0000-0000CB310000}"/>
    <cellStyle name="40% - Accent2 4 2 3 2" xfId="3225" xr:uid="{00000000-0005-0000-0000-0000CC310000}"/>
    <cellStyle name="40% - Accent2 4 2 3 2 2" xfId="16599" xr:uid="{00000000-0005-0000-0000-0000CD310000}"/>
    <cellStyle name="40% - Accent2 4 2 3 2 2 2" xfId="30006" xr:uid="{00000000-0005-0000-0000-0000CE310000}"/>
    <cellStyle name="40% - Accent2 4 2 3 2 3" xfId="20551" xr:uid="{00000000-0005-0000-0000-0000CF310000}"/>
    <cellStyle name="40% - Accent2 4 2 3 3" xfId="10996" xr:uid="{00000000-0005-0000-0000-0000D0310000}"/>
    <cellStyle name="40% - Accent2 4 2 3 3 2" xfId="24938" xr:uid="{00000000-0005-0000-0000-0000D1310000}"/>
    <cellStyle name="40% - Accent2 4 2 3 4" xfId="20550" xr:uid="{00000000-0005-0000-0000-0000D2310000}"/>
    <cellStyle name="40% - Accent2 4 2 4" xfId="3226" xr:uid="{00000000-0005-0000-0000-0000D3310000}"/>
    <cellStyle name="40% - Accent2 4 2 4 2" xfId="11976" xr:uid="{00000000-0005-0000-0000-0000D4310000}"/>
    <cellStyle name="40% - Accent2 4 2 4 2 2" xfId="25691" xr:uid="{00000000-0005-0000-0000-0000D5310000}"/>
    <cellStyle name="40% - Accent2 4 2 4 3" xfId="20552" xr:uid="{00000000-0005-0000-0000-0000D6310000}"/>
    <cellStyle name="40% - Accent2 4 2 5" xfId="3227" xr:uid="{00000000-0005-0000-0000-0000D7310000}"/>
    <cellStyle name="40% - Accent2 4 2 5 2" xfId="13551" xr:uid="{00000000-0005-0000-0000-0000D8310000}"/>
    <cellStyle name="40% - Accent2 4 2 5 2 2" xfId="27100" xr:uid="{00000000-0005-0000-0000-0000D9310000}"/>
    <cellStyle name="40% - Accent2 4 2 5 3" xfId="20553" xr:uid="{00000000-0005-0000-0000-0000DA310000}"/>
    <cellStyle name="40% - Accent2 4 2 6" xfId="3228" xr:uid="{00000000-0005-0000-0000-0000DB310000}"/>
    <cellStyle name="40% - Accent2 4 2 6 2" xfId="14132" xr:uid="{00000000-0005-0000-0000-0000DC310000}"/>
    <cellStyle name="40% - Accent2 4 2 6 2 2" xfId="27681" xr:uid="{00000000-0005-0000-0000-0000DD310000}"/>
    <cellStyle name="40% - Accent2 4 2 6 3" xfId="20554" xr:uid="{00000000-0005-0000-0000-0000DE310000}"/>
    <cellStyle name="40% - Accent2 4 2 7" xfId="3229" xr:uid="{00000000-0005-0000-0000-0000DF310000}"/>
    <cellStyle name="40% - Accent2 4 2 7 2" xfId="16018" xr:uid="{00000000-0005-0000-0000-0000E0310000}"/>
    <cellStyle name="40% - Accent2 4 2 7 2 2" xfId="29425" xr:uid="{00000000-0005-0000-0000-0000E1310000}"/>
    <cellStyle name="40% - Accent2 4 2 7 3" xfId="20555" xr:uid="{00000000-0005-0000-0000-0000E2310000}"/>
    <cellStyle name="40% - Accent2 4 2 8" xfId="9269" xr:uid="{00000000-0005-0000-0000-0000E3310000}"/>
    <cellStyle name="40% - Accent2 4 2 8 2" xfId="23744" xr:uid="{00000000-0005-0000-0000-0000E4310000}"/>
    <cellStyle name="40% - Accent2 4 2 9" xfId="20542" xr:uid="{00000000-0005-0000-0000-0000E5310000}"/>
    <cellStyle name="40% - Accent2 4 3" xfId="3230" xr:uid="{00000000-0005-0000-0000-0000E6310000}"/>
    <cellStyle name="40% - Accent2 4 3 2" xfId="3231" xr:uid="{00000000-0005-0000-0000-0000E7310000}"/>
    <cellStyle name="40% - Accent2 4 3 2 2" xfId="3232" xr:uid="{00000000-0005-0000-0000-0000E8310000}"/>
    <cellStyle name="40% - Accent2 4 3 2 2 2" xfId="16748" xr:uid="{00000000-0005-0000-0000-0000E9310000}"/>
    <cellStyle name="40% - Accent2 4 3 2 2 2 2" xfId="30155" xr:uid="{00000000-0005-0000-0000-0000EA310000}"/>
    <cellStyle name="40% - Accent2 4 3 2 2 3" xfId="20558" xr:uid="{00000000-0005-0000-0000-0000EB310000}"/>
    <cellStyle name="40% - Accent2 4 3 2 3" xfId="10998" xr:uid="{00000000-0005-0000-0000-0000EC310000}"/>
    <cellStyle name="40% - Accent2 4 3 2 3 2" xfId="24940" xr:uid="{00000000-0005-0000-0000-0000ED310000}"/>
    <cellStyle name="40% - Accent2 4 3 2 4" xfId="20557" xr:uid="{00000000-0005-0000-0000-0000EE310000}"/>
    <cellStyle name="40% - Accent2 4 3 3" xfId="3233" xr:uid="{00000000-0005-0000-0000-0000EF310000}"/>
    <cellStyle name="40% - Accent2 4 3 3 2" xfId="12136" xr:uid="{00000000-0005-0000-0000-0000F0310000}"/>
    <cellStyle name="40% - Accent2 4 3 3 2 2" xfId="25848" xr:uid="{00000000-0005-0000-0000-0000F1310000}"/>
    <cellStyle name="40% - Accent2 4 3 3 3" xfId="20559" xr:uid="{00000000-0005-0000-0000-0000F2310000}"/>
    <cellStyle name="40% - Accent2 4 3 4" xfId="3234" xr:uid="{00000000-0005-0000-0000-0000F3310000}"/>
    <cellStyle name="40% - Accent2 4 3 4 2" xfId="13700" xr:uid="{00000000-0005-0000-0000-0000F4310000}"/>
    <cellStyle name="40% - Accent2 4 3 4 2 2" xfId="27249" xr:uid="{00000000-0005-0000-0000-0000F5310000}"/>
    <cellStyle name="40% - Accent2 4 3 4 3" xfId="20560" xr:uid="{00000000-0005-0000-0000-0000F6310000}"/>
    <cellStyle name="40% - Accent2 4 3 5" xfId="3235" xr:uid="{00000000-0005-0000-0000-0000F7310000}"/>
    <cellStyle name="40% - Accent2 4 3 5 2" xfId="14281" xr:uid="{00000000-0005-0000-0000-0000F8310000}"/>
    <cellStyle name="40% - Accent2 4 3 5 2 2" xfId="27830" xr:uid="{00000000-0005-0000-0000-0000F9310000}"/>
    <cellStyle name="40% - Accent2 4 3 5 3" xfId="20561" xr:uid="{00000000-0005-0000-0000-0000FA310000}"/>
    <cellStyle name="40% - Accent2 4 3 6" xfId="3236" xr:uid="{00000000-0005-0000-0000-0000FB310000}"/>
    <cellStyle name="40% - Accent2 4 3 6 2" xfId="16167" xr:uid="{00000000-0005-0000-0000-0000FC310000}"/>
    <cellStyle name="40% - Accent2 4 3 6 2 2" xfId="29574" xr:uid="{00000000-0005-0000-0000-0000FD310000}"/>
    <cellStyle name="40% - Accent2 4 3 6 3" xfId="20562" xr:uid="{00000000-0005-0000-0000-0000FE310000}"/>
    <cellStyle name="40% - Accent2 4 3 7" xfId="9271" xr:uid="{00000000-0005-0000-0000-0000FF310000}"/>
    <cellStyle name="40% - Accent2 4 3 7 2" xfId="23746" xr:uid="{00000000-0005-0000-0000-000000320000}"/>
    <cellStyle name="40% - Accent2 4 3 8" xfId="20556" xr:uid="{00000000-0005-0000-0000-000001320000}"/>
    <cellStyle name="40% - Accent2 4 4" xfId="3237" xr:uid="{00000000-0005-0000-0000-000002320000}"/>
    <cellStyle name="40% - Accent2 4 4 2" xfId="3238" xr:uid="{00000000-0005-0000-0000-000003320000}"/>
    <cellStyle name="40% - Accent2 4 4 2 2" xfId="16456" xr:uid="{00000000-0005-0000-0000-000004320000}"/>
    <cellStyle name="40% - Accent2 4 4 2 2 2" xfId="29863" xr:uid="{00000000-0005-0000-0000-000005320000}"/>
    <cellStyle name="40% - Accent2 4 4 2 3" xfId="20564" xr:uid="{00000000-0005-0000-0000-000006320000}"/>
    <cellStyle name="40% - Accent2 4 4 3" xfId="10995" xr:uid="{00000000-0005-0000-0000-000007320000}"/>
    <cellStyle name="40% - Accent2 4 4 3 2" xfId="24937" xr:uid="{00000000-0005-0000-0000-000008320000}"/>
    <cellStyle name="40% - Accent2 4 4 4" xfId="20563" xr:uid="{00000000-0005-0000-0000-000009320000}"/>
    <cellStyle name="40% - Accent2 4 5" xfId="3239" xr:uid="{00000000-0005-0000-0000-00000A320000}"/>
    <cellStyle name="40% - Accent2 4 5 2" xfId="11807" xr:uid="{00000000-0005-0000-0000-00000B320000}"/>
    <cellStyle name="40% - Accent2 4 5 2 2" xfId="25522" xr:uid="{00000000-0005-0000-0000-00000C320000}"/>
    <cellStyle name="40% - Accent2 4 5 3" xfId="20565" xr:uid="{00000000-0005-0000-0000-00000D320000}"/>
    <cellStyle name="40% - Accent2 4 6" xfId="3240" xr:uid="{00000000-0005-0000-0000-00000E320000}"/>
    <cellStyle name="40% - Accent2 4 6 2" xfId="13408" xr:uid="{00000000-0005-0000-0000-00000F320000}"/>
    <cellStyle name="40% - Accent2 4 6 2 2" xfId="26957" xr:uid="{00000000-0005-0000-0000-000010320000}"/>
    <cellStyle name="40% - Accent2 4 6 3" xfId="20566" xr:uid="{00000000-0005-0000-0000-000011320000}"/>
    <cellStyle name="40% - Accent2 4 7" xfId="3241" xr:uid="{00000000-0005-0000-0000-000012320000}"/>
    <cellStyle name="40% - Accent2 4 7 2" xfId="13989" xr:uid="{00000000-0005-0000-0000-000013320000}"/>
    <cellStyle name="40% - Accent2 4 7 2 2" xfId="27538" xr:uid="{00000000-0005-0000-0000-000014320000}"/>
    <cellStyle name="40% - Accent2 4 7 3" xfId="20567" xr:uid="{00000000-0005-0000-0000-000015320000}"/>
    <cellStyle name="40% - Accent2 4 8" xfId="3242" xr:uid="{00000000-0005-0000-0000-000016320000}"/>
    <cellStyle name="40% - Accent2 4 8 2" xfId="15875" xr:uid="{00000000-0005-0000-0000-000017320000}"/>
    <cellStyle name="40% - Accent2 4 8 2 2" xfId="29282" xr:uid="{00000000-0005-0000-0000-000018320000}"/>
    <cellStyle name="40% - Accent2 4 8 3" xfId="20568" xr:uid="{00000000-0005-0000-0000-000019320000}"/>
    <cellStyle name="40% - Accent2 4 9" xfId="9268" xr:uid="{00000000-0005-0000-0000-00001A320000}"/>
    <cellStyle name="40% - Accent2 4 9 2" xfId="23743" xr:uid="{00000000-0005-0000-0000-00001B320000}"/>
    <cellStyle name="40% - Accent2 5" xfId="3243" xr:uid="{00000000-0005-0000-0000-00001C320000}"/>
    <cellStyle name="40% - Accent2 5 10" xfId="20569" xr:uid="{00000000-0005-0000-0000-00001D320000}"/>
    <cellStyle name="40% - Accent2 5 2" xfId="3244" xr:uid="{00000000-0005-0000-0000-00001E320000}"/>
    <cellStyle name="40% - Accent2 5 2 2" xfId="3245" xr:uid="{00000000-0005-0000-0000-00001F320000}"/>
    <cellStyle name="40% - Accent2 5 2 2 2" xfId="3246" xr:uid="{00000000-0005-0000-0000-000020320000}"/>
    <cellStyle name="40% - Accent2 5 2 2 2 2" xfId="3247" xr:uid="{00000000-0005-0000-0000-000021320000}"/>
    <cellStyle name="40% - Accent2 5 2 2 2 2 2" xfId="16871" xr:uid="{00000000-0005-0000-0000-000022320000}"/>
    <cellStyle name="40% - Accent2 5 2 2 2 2 2 2" xfId="30278" xr:uid="{00000000-0005-0000-0000-000023320000}"/>
    <cellStyle name="40% - Accent2 5 2 2 2 2 3" xfId="20573" xr:uid="{00000000-0005-0000-0000-000024320000}"/>
    <cellStyle name="40% - Accent2 5 2 2 2 3" xfId="11001" xr:uid="{00000000-0005-0000-0000-000025320000}"/>
    <cellStyle name="40% - Accent2 5 2 2 2 3 2" xfId="24943" xr:uid="{00000000-0005-0000-0000-000026320000}"/>
    <cellStyle name="40% - Accent2 5 2 2 2 4" xfId="20572" xr:uid="{00000000-0005-0000-0000-000027320000}"/>
    <cellStyle name="40% - Accent2 5 2 2 3" xfId="3248" xr:uid="{00000000-0005-0000-0000-000028320000}"/>
    <cellStyle name="40% - Accent2 5 2 2 3 2" xfId="12259" xr:uid="{00000000-0005-0000-0000-000029320000}"/>
    <cellStyle name="40% - Accent2 5 2 2 3 2 2" xfId="25971" xr:uid="{00000000-0005-0000-0000-00002A320000}"/>
    <cellStyle name="40% - Accent2 5 2 2 3 3" xfId="20574" xr:uid="{00000000-0005-0000-0000-00002B320000}"/>
    <cellStyle name="40% - Accent2 5 2 2 4" xfId="3249" xr:uid="{00000000-0005-0000-0000-00002C320000}"/>
    <cellStyle name="40% - Accent2 5 2 2 4 2" xfId="13823" xr:uid="{00000000-0005-0000-0000-00002D320000}"/>
    <cellStyle name="40% - Accent2 5 2 2 4 2 2" xfId="27372" xr:uid="{00000000-0005-0000-0000-00002E320000}"/>
    <cellStyle name="40% - Accent2 5 2 2 4 3" xfId="20575" xr:uid="{00000000-0005-0000-0000-00002F320000}"/>
    <cellStyle name="40% - Accent2 5 2 2 5" xfId="3250" xr:uid="{00000000-0005-0000-0000-000030320000}"/>
    <cellStyle name="40% - Accent2 5 2 2 5 2" xfId="14404" xr:uid="{00000000-0005-0000-0000-000031320000}"/>
    <cellStyle name="40% - Accent2 5 2 2 5 2 2" xfId="27953" xr:uid="{00000000-0005-0000-0000-000032320000}"/>
    <cellStyle name="40% - Accent2 5 2 2 5 3" xfId="20576" xr:uid="{00000000-0005-0000-0000-000033320000}"/>
    <cellStyle name="40% - Accent2 5 2 2 6" xfId="3251" xr:uid="{00000000-0005-0000-0000-000034320000}"/>
    <cellStyle name="40% - Accent2 5 2 2 6 2" xfId="16290" xr:uid="{00000000-0005-0000-0000-000035320000}"/>
    <cellStyle name="40% - Accent2 5 2 2 6 2 2" xfId="29697" xr:uid="{00000000-0005-0000-0000-000036320000}"/>
    <cellStyle name="40% - Accent2 5 2 2 6 3" xfId="20577" xr:uid="{00000000-0005-0000-0000-000037320000}"/>
    <cellStyle name="40% - Accent2 5 2 2 7" xfId="9274" xr:uid="{00000000-0005-0000-0000-000038320000}"/>
    <cellStyle name="40% - Accent2 5 2 2 7 2" xfId="23749" xr:uid="{00000000-0005-0000-0000-000039320000}"/>
    <cellStyle name="40% - Accent2 5 2 2 8" xfId="20571" xr:uid="{00000000-0005-0000-0000-00003A320000}"/>
    <cellStyle name="40% - Accent2 5 2 3" xfId="3252" xr:uid="{00000000-0005-0000-0000-00003B320000}"/>
    <cellStyle name="40% - Accent2 5 2 3 2" xfId="3253" xr:uid="{00000000-0005-0000-0000-00003C320000}"/>
    <cellStyle name="40% - Accent2 5 2 3 2 2" xfId="16582" xr:uid="{00000000-0005-0000-0000-00003D320000}"/>
    <cellStyle name="40% - Accent2 5 2 3 2 2 2" xfId="29989" xr:uid="{00000000-0005-0000-0000-00003E320000}"/>
    <cellStyle name="40% - Accent2 5 2 3 2 3" xfId="20579" xr:uid="{00000000-0005-0000-0000-00003F320000}"/>
    <cellStyle name="40% - Accent2 5 2 3 3" xfId="11000" xr:uid="{00000000-0005-0000-0000-000040320000}"/>
    <cellStyle name="40% - Accent2 5 2 3 3 2" xfId="24942" xr:uid="{00000000-0005-0000-0000-000041320000}"/>
    <cellStyle name="40% - Accent2 5 2 3 4" xfId="20578" xr:uid="{00000000-0005-0000-0000-000042320000}"/>
    <cellStyle name="40% - Accent2 5 2 4" xfId="3254" xr:uid="{00000000-0005-0000-0000-000043320000}"/>
    <cellStyle name="40% - Accent2 5 2 4 2" xfId="11959" xr:uid="{00000000-0005-0000-0000-000044320000}"/>
    <cellStyle name="40% - Accent2 5 2 4 2 2" xfId="25674" xr:uid="{00000000-0005-0000-0000-000045320000}"/>
    <cellStyle name="40% - Accent2 5 2 4 3" xfId="20580" xr:uid="{00000000-0005-0000-0000-000046320000}"/>
    <cellStyle name="40% - Accent2 5 2 5" xfId="3255" xr:uid="{00000000-0005-0000-0000-000047320000}"/>
    <cellStyle name="40% - Accent2 5 2 5 2" xfId="13534" xr:uid="{00000000-0005-0000-0000-000048320000}"/>
    <cellStyle name="40% - Accent2 5 2 5 2 2" xfId="27083" xr:uid="{00000000-0005-0000-0000-000049320000}"/>
    <cellStyle name="40% - Accent2 5 2 5 3" xfId="20581" xr:uid="{00000000-0005-0000-0000-00004A320000}"/>
    <cellStyle name="40% - Accent2 5 2 6" xfId="3256" xr:uid="{00000000-0005-0000-0000-00004B320000}"/>
    <cellStyle name="40% - Accent2 5 2 6 2" xfId="14115" xr:uid="{00000000-0005-0000-0000-00004C320000}"/>
    <cellStyle name="40% - Accent2 5 2 6 2 2" xfId="27664" xr:uid="{00000000-0005-0000-0000-00004D320000}"/>
    <cellStyle name="40% - Accent2 5 2 6 3" xfId="20582" xr:uid="{00000000-0005-0000-0000-00004E320000}"/>
    <cellStyle name="40% - Accent2 5 2 7" xfId="3257" xr:uid="{00000000-0005-0000-0000-00004F320000}"/>
    <cellStyle name="40% - Accent2 5 2 7 2" xfId="16001" xr:uid="{00000000-0005-0000-0000-000050320000}"/>
    <cellStyle name="40% - Accent2 5 2 7 2 2" xfId="29408" xr:uid="{00000000-0005-0000-0000-000051320000}"/>
    <cellStyle name="40% - Accent2 5 2 7 3" xfId="20583" xr:uid="{00000000-0005-0000-0000-000052320000}"/>
    <cellStyle name="40% - Accent2 5 2 8" xfId="9273" xr:uid="{00000000-0005-0000-0000-000053320000}"/>
    <cellStyle name="40% - Accent2 5 2 8 2" xfId="23748" xr:uid="{00000000-0005-0000-0000-000054320000}"/>
    <cellStyle name="40% - Accent2 5 2 9" xfId="20570" xr:uid="{00000000-0005-0000-0000-000055320000}"/>
    <cellStyle name="40% - Accent2 5 3" xfId="3258" xr:uid="{00000000-0005-0000-0000-000056320000}"/>
    <cellStyle name="40% - Accent2 5 3 2" xfId="3259" xr:uid="{00000000-0005-0000-0000-000057320000}"/>
    <cellStyle name="40% - Accent2 5 3 2 2" xfId="3260" xr:uid="{00000000-0005-0000-0000-000058320000}"/>
    <cellStyle name="40% - Accent2 5 3 2 2 2" xfId="16731" xr:uid="{00000000-0005-0000-0000-000059320000}"/>
    <cellStyle name="40% - Accent2 5 3 2 2 2 2" xfId="30138" xr:uid="{00000000-0005-0000-0000-00005A320000}"/>
    <cellStyle name="40% - Accent2 5 3 2 2 3" xfId="20586" xr:uid="{00000000-0005-0000-0000-00005B320000}"/>
    <cellStyle name="40% - Accent2 5 3 2 3" xfId="11002" xr:uid="{00000000-0005-0000-0000-00005C320000}"/>
    <cellStyle name="40% - Accent2 5 3 2 3 2" xfId="24944" xr:uid="{00000000-0005-0000-0000-00005D320000}"/>
    <cellStyle name="40% - Accent2 5 3 2 4" xfId="20585" xr:uid="{00000000-0005-0000-0000-00005E320000}"/>
    <cellStyle name="40% - Accent2 5 3 3" xfId="3261" xr:uid="{00000000-0005-0000-0000-00005F320000}"/>
    <cellStyle name="40% - Accent2 5 3 3 2" xfId="12119" xr:uid="{00000000-0005-0000-0000-000060320000}"/>
    <cellStyle name="40% - Accent2 5 3 3 2 2" xfId="25831" xr:uid="{00000000-0005-0000-0000-000061320000}"/>
    <cellStyle name="40% - Accent2 5 3 3 3" xfId="20587" xr:uid="{00000000-0005-0000-0000-000062320000}"/>
    <cellStyle name="40% - Accent2 5 3 4" xfId="3262" xr:uid="{00000000-0005-0000-0000-000063320000}"/>
    <cellStyle name="40% - Accent2 5 3 4 2" xfId="13683" xr:uid="{00000000-0005-0000-0000-000064320000}"/>
    <cellStyle name="40% - Accent2 5 3 4 2 2" xfId="27232" xr:uid="{00000000-0005-0000-0000-000065320000}"/>
    <cellStyle name="40% - Accent2 5 3 4 3" xfId="20588" xr:uid="{00000000-0005-0000-0000-000066320000}"/>
    <cellStyle name="40% - Accent2 5 3 5" xfId="3263" xr:uid="{00000000-0005-0000-0000-000067320000}"/>
    <cellStyle name="40% - Accent2 5 3 5 2" xfId="14264" xr:uid="{00000000-0005-0000-0000-000068320000}"/>
    <cellStyle name="40% - Accent2 5 3 5 2 2" xfId="27813" xr:uid="{00000000-0005-0000-0000-000069320000}"/>
    <cellStyle name="40% - Accent2 5 3 5 3" xfId="20589" xr:uid="{00000000-0005-0000-0000-00006A320000}"/>
    <cellStyle name="40% - Accent2 5 3 6" xfId="3264" xr:uid="{00000000-0005-0000-0000-00006B320000}"/>
    <cellStyle name="40% - Accent2 5 3 6 2" xfId="16150" xr:uid="{00000000-0005-0000-0000-00006C320000}"/>
    <cellStyle name="40% - Accent2 5 3 6 2 2" xfId="29557" xr:uid="{00000000-0005-0000-0000-00006D320000}"/>
    <cellStyle name="40% - Accent2 5 3 6 3" xfId="20590" xr:uid="{00000000-0005-0000-0000-00006E320000}"/>
    <cellStyle name="40% - Accent2 5 3 7" xfId="9275" xr:uid="{00000000-0005-0000-0000-00006F320000}"/>
    <cellStyle name="40% - Accent2 5 3 7 2" xfId="23750" xr:uid="{00000000-0005-0000-0000-000070320000}"/>
    <cellStyle name="40% - Accent2 5 3 8" xfId="20584" xr:uid="{00000000-0005-0000-0000-000071320000}"/>
    <cellStyle name="40% - Accent2 5 4" xfId="3265" xr:uid="{00000000-0005-0000-0000-000072320000}"/>
    <cellStyle name="40% - Accent2 5 4 2" xfId="3266" xr:uid="{00000000-0005-0000-0000-000073320000}"/>
    <cellStyle name="40% - Accent2 5 4 2 2" xfId="16439" xr:uid="{00000000-0005-0000-0000-000074320000}"/>
    <cellStyle name="40% - Accent2 5 4 2 2 2" xfId="29846" xr:uid="{00000000-0005-0000-0000-000075320000}"/>
    <cellStyle name="40% - Accent2 5 4 2 3" xfId="20592" xr:uid="{00000000-0005-0000-0000-000076320000}"/>
    <cellStyle name="40% - Accent2 5 4 3" xfId="10999" xr:uid="{00000000-0005-0000-0000-000077320000}"/>
    <cellStyle name="40% - Accent2 5 4 3 2" xfId="24941" xr:uid="{00000000-0005-0000-0000-000078320000}"/>
    <cellStyle name="40% - Accent2 5 4 4" xfId="20591" xr:uid="{00000000-0005-0000-0000-000079320000}"/>
    <cellStyle name="40% - Accent2 5 5" xfId="3267" xr:uid="{00000000-0005-0000-0000-00007A320000}"/>
    <cellStyle name="40% - Accent2 5 5 2" xfId="11790" xr:uid="{00000000-0005-0000-0000-00007B320000}"/>
    <cellStyle name="40% - Accent2 5 5 2 2" xfId="25505" xr:uid="{00000000-0005-0000-0000-00007C320000}"/>
    <cellStyle name="40% - Accent2 5 5 3" xfId="20593" xr:uid="{00000000-0005-0000-0000-00007D320000}"/>
    <cellStyle name="40% - Accent2 5 6" xfId="3268" xr:uid="{00000000-0005-0000-0000-00007E320000}"/>
    <cellStyle name="40% - Accent2 5 6 2" xfId="13391" xr:uid="{00000000-0005-0000-0000-00007F320000}"/>
    <cellStyle name="40% - Accent2 5 6 2 2" xfId="26940" xr:uid="{00000000-0005-0000-0000-000080320000}"/>
    <cellStyle name="40% - Accent2 5 6 3" xfId="20594" xr:uid="{00000000-0005-0000-0000-000081320000}"/>
    <cellStyle name="40% - Accent2 5 7" xfId="3269" xr:uid="{00000000-0005-0000-0000-000082320000}"/>
    <cellStyle name="40% - Accent2 5 7 2" xfId="13972" xr:uid="{00000000-0005-0000-0000-000083320000}"/>
    <cellStyle name="40% - Accent2 5 7 2 2" xfId="27521" xr:uid="{00000000-0005-0000-0000-000084320000}"/>
    <cellStyle name="40% - Accent2 5 7 3" xfId="20595" xr:uid="{00000000-0005-0000-0000-000085320000}"/>
    <cellStyle name="40% - Accent2 5 8" xfId="3270" xr:uid="{00000000-0005-0000-0000-000086320000}"/>
    <cellStyle name="40% - Accent2 5 8 2" xfId="15858" xr:uid="{00000000-0005-0000-0000-000087320000}"/>
    <cellStyle name="40% - Accent2 5 8 2 2" xfId="29265" xr:uid="{00000000-0005-0000-0000-000088320000}"/>
    <cellStyle name="40% - Accent2 5 8 3" xfId="20596" xr:uid="{00000000-0005-0000-0000-000089320000}"/>
    <cellStyle name="40% - Accent2 5 9" xfId="9272" xr:uid="{00000000-0005-0000-0000-00008A320000}"/>
    <cellStyle name="40% - Accent2 5 9 2" xfId="23747" xr:uid="{00000000-0005-0000-0000-00008B320000}"/>
    <cellStyle name="40% - Accent2 6" xfId="3271" xr:uid="{00000000-0005-0000-0000-00008C320000}"/>
    <cellStyle name="40% - Accent2 6 10" xfId="20597" xr:uid="{00000000-0005-0000-0000-00008D320000}"/>
    <cellStyle name="40% - Accent2 6 2" xfId="3272" xr:uid="{00000000-0005-0000-0000-00008E320000}"/>
    <cellStyle name="40% - Accent2 6 2 2" xfId="3273" xr:uid="{00000000-0005-0000-0000-00008F320000}"/>
    <cellStyle name="40% - Accent2 6 2 2 2" xfId="3274" xr:uid="{00000000-0005-0000-0000-000090320000}"/>
    <cellStyle name="40% - Accent2 6 2 2 2 2" xfId="3275" xr:uid="{00000000-0005-0000-0000-000091320000}"/>
    <cellStyle name="40% - Accent2 6 2 2 2 2 2" xfId="16977" xr:uid="{00000000-0005-0000-0000-000092320000}"/>
    <cellStyle name="40% - Accent2 6 2 2 2 2 2 2" xfId="30384" xr:uid="{00000000-0005-0000-0000-000093320000}"/>
    <cellStyle name="40% - Accent2 6 2 2 2 2 3" xfId="20601" xr:uid="{00000000-0005-0000-0000-000094320000}"/>
    <cellStyle name="40% - Accent2 6 2 2 2 3" xfId="11005" xr:uid="{00000000-0005-0000-0000-000095320000}"/>
    <cellStyle name="40% - Accent2 6 2 2 2 3 2" xfId="24947" xr:uid="{00000000-0005-0000-0000-000096320000}"/>
    <cellStyle name="40% - Accent2 6 2 2 2 4" xfId="20600" xr:uid="{00000000-0005-0000-0000-000097320000}"/>
    <cellStyle name="40% - Accent2 6 2 2 3" xfId="3276" xr:uid="{00000000-0005-0000-0000-000098320000}"/>
    <cellStyle name="40% - Accent2 6 2 2 3 2" xfId="12365" xr:uid="{00000000-0005-0000-0000-000099320000}"/>
    <cellStyle name="40% - Accent2 6 2 2 3 2 2" xfId="26077" xr:uid="{00000000-0005-0000-0000-00009A320000}"/>
    <cellStyle name="40% - Accent2 6 2 2 3 3" xfId="20602" xr:uid="{00000000-0005-0000-0000-00009B320000}"/>
    <cellStyle name="40% - Accent2 6 2 2 4" xfId="3277" xr:uid="{00000000-0005-0000-0000-00009C320000}"/>
    <cellStyle name="40% - Accent2 6 2 2 4 2" xfId="13929" xr:uid="{00000000-0005-0000-0000-00009D320000}"/>
    <cellStyle name="40% - Accent2 6 2 2 4 2 2" xfId="27478" xr:uid="{00000000-0005-0000-0000-00009E320000}"/>
    <cellStyle name="40% - Accent2 6 2 2 4 3" xfId="20603" xr:uid="{00000000-0005-0000-0000-00009F320000}"/>
    <cellStyle name="40% - Accent2 6 2 2 5" xfId="3278" xr:uid="{00000000-0005-0000-0000-0000A0320000}"/>
    <cellStyle name="40% - Accent2 6 2 2 5 2" xfId="14510" xr:uid="{00000000-0005-0000-0000-0000A1320000}"/>
    <cellStyle name="40% - Accent2 6 2 2 5 2 2" xfId="28059" xr:uid="{00000000-0005-0000-0000-0000A2320000}"/>
    <cellStyle name="40% - Accent2 6 2 2 5 3" xfId="20604" xr:uid="{00000000-0005-0000-0000-0000A3320000}"/>
    <cellStyle name="40% - Accent2 6 2 2 6" xfId="3279" xr:uid="{00000000-0005-0000-0000-0000A4320000}"/>
    <cellStyle name="40% - Accent2 6 2 2 6 2" xfId="16396" xr:uid="{00000000-0005-0000-0000-0000A5320000}"/>
    <cellStyle name="40% - Accent2 6 2 2 6 2 2" xfId="29803" xr:uid="{00000000-0005-0000-0000-0000A6320000}"/>
    <cellStyle name="40% - Accent2 6 2 2 6 3" xfId="20605" xr:uid="{00000000-0005-0000-0000-0000A7320000}"/>
    <cellStyle name="40% - Accent2 6 2 2 7" xfId="9278" xr:uid="{00000000-0005-0000-0000-0000A8320000}"/>
    <cellStyle name="40% - Accent2 6 2 2 7 2" xfId="23753" xr:uid="{00000000-0005-0000-0000-0000A9320000}"/>
    <cellStyle name="40% - Accent2 6 2 2 8" xfId="20599" xr:uid="{00000000-0005-0000-0000-0000AA320000}"/>
    <cellStyle name="40% - Accent2 6 2 3" xfId="3280" xr:uid="{00000000-0005-0000-0000-0000AB320000}"/>
    <cellStyle name="40% - Accent2 6 2 3 2" xfId="3281" xr:uid="{00000000-0005-0000-0000-0000AC320000}"/>
    <cellStyle name="40% - Accent2 6 2 3 2 2" xfId="16688" xr:uid="{00000000-0005-0000-0000-0000AD320000}"/>
    <cellStyle name="40% - Accent2 6 2 3 2 2 2" xfId="30095" xr:uid="{00000000-0005-0000-0000-0000AE320000}"/>
    <cellStyle name="40% - Accent2 6 2 3 2 3" xfId="20607" xr:uid="{00000000-0005-0000-0000-0000AF320000}"/>
    <cellStyle name="40% - Accent2 6 2 3 3" xfId="11004" xr:uid="{00000000-0005-0000-0000-0000B0320000}"/>
    <cellStyle name="40% - Accent2 6 2 3 3 2" xfId="24946" xr:uid="{00000000-0005-0000-0000-0000B1320000}"/>
    <cellStyle name="40% - Accent2 6 2 3 4" xfId="20606" xr:uid="{00000000-0005-0000-0000-0000B2320000}"/>
    <cellStyle name="40% - Accent2 6 2 4" xfId="3282" xr:uid="{00000000-0005-0000-0000-0000B3320000}"/>
    <cellStyle name="40% - Accent2 6 2 4 2" xfId="12065" xr:uid="{00000000-0005-0000-0000-0000B4320000}"/>
    <cellStyle name="40% - Accent2 6 2 4 2 2" xfId="25780" xr:uid="{00000000-0005-0000-0000-0000B5320000}"/>
    <cellStyle name="40% - Accent2 6 2 4 3" xfId="20608" xr:uid="{00000000-0005-0000-0000-0000B6320000}"/>
    <cellStyle name="40% - Accent2 6 2 5" xfId="3283" xr:uid="{00000000-0005-0000-0000-0000B7320000}"/>
    <cellStyle name="40% - Accent2 6 2 5 2" xfId="13640" xr:uid="{00000000-0005-0000-0000-0000B8320000}"/>
    <cellStyle name="40% - Accent2 6 2 5 2 2" xfId="27189" xr:uid="{00000000-0005-0000-0000-0000B9320000}"/>
    <cellStyle name="40% - Accent2 6 2 5 3" xfId="20609" xr:uid="{00000000-0005-0000-0000-0000BA320000}"/>
    <cellStyle name="40% - Accent2 6 2 6" xfId="3284" xr:uid="{00000000-0005-0000-0000-0000BB320000}"/>
    <cellStyle name="40% - Accent2 6 2 6 2" xfId="14221" xr:uid="{00000000-0005-0000-0000-0000BC320000}"/>
    <cellStyle name="40% - Accent2 6 2 6 2 2" xfId="27770" xr:uid="{00000000-0005-0000-0000-0000BD320000}"/>
    <cellStyle name="40% - Accent2 6 2 6 3" xfId="20610" xr:uid="{00000000-0005-0000-0000-0000BE320000}"/>
    <cellStyle name="40% - Accent2 6 2 7" xfId="3285" xr:uid="{00000000-0005-0000-0000-0000BF320000}"/>
    <cellStyle name="40% - Accent2 6 2 7 2" xfId="16107" xr:uid="{00000000-0005-0000-0000-0000C0320000}"/>
    <cellStyle name="40% - Accent2 6 2 7 2 2" xfId="29514" xr:uid="{00000000-0005-0000-0000-0000C1320000}"/>
    <cellStyle name="40% - Accent2 6 2 7 3" xfId="20611" xr:uid="{00000000-0005-0000-0000-0000C2320000}"/>
    <cellStyle name="40% - Accent2 6 2 8" xfId="9277" xr:uid="{00000000-0005-0000-0000-0000C3320000}"/>
    <cellStyle name="40% - Accent2 6 2 8 2" xfId="23752" xr:uid="{00000000-0005-0000-0000-0000C4320000}"/>
    <cellStyle name="40% - Accent2 6 2 9" xfId="20598" xr:uid="{00000000-0005-0000-0000-0000C5320000}"/>
    <cellStyle name="40% - Accent2 6 3" xfId="3286" xr:uid="{00000000-0005-0000-0000-0000C6320000}"/>
    <cellStyle name="40% - Accent2 6 3 2" xfId="3287" xr:uid="{00000000-0005-0000-0000-0000C7320000}"/>
    <cellStyle name="40% - Accent2 6 3 2 2" xfId="3288" xr:uid="{00000000-0005-0000-0000-0000C8320000}"/>
    <cellStyle name="40% - Accent2 6 3 2 2 2" xfId="16834" xr:uid="{00000000-0005-0000-0000-0000C9320000}"/>
    <cellStyle name="40% - Accent2 6 3 2 2 2 2" xfId="30241" xr:uid="{00000000-0005-0000-0000-0000CA320000}"/>
    <cellStyle name="40% - Accent2 6 3 2 2 3" xfId="20614" xr:uid="{00000000-0005-0000-0000-0000CB320000}"/>
    <cellStyle name="40% - Accent2 6 3 2 3" xfId="11006" xr:uid="{00000000-0005-0000-0000-0000CC320000}"/>
    <cellStyle name="40% - Accent2 6 3 2 3 2" xfId="24948" xr:uid="{00000000-0005-0000-0000-0000CD320000}"/>
    <cellStyle name="40% - Accent2 6 3 2 4" xfId="20613" xr:uid="{00000000-0005-0000-0000-0000CE320000}"/>
    <cellStyle name="40% - Accent2 6 3 3" xfId="3289" xr:uid="{00000000-0005-0000-0000-0000CF320000}"/>
    <cellStyle name="40% - Accent2 6 3 3 2" xfId="12222" xr:uid="{00000000-0005-0000-0000-0000D0320000}"/>
    <cellStyle name="40% - Accent2 6 3 3 2 2" xfId="25934" xr:uid="{00000000-0005-0000-0000-0000D1320000}"/>
    <cellStyle name="40% - Accent2 6 3 3 3" xfId="20615" xr:uid="{00000000-0005-0000-0000-0000D2320000}"/>
    <cellStyle name="40% - Accent2 6 3 4" xfId="3290" xr:uid="{00000000-0005-0000-0000-0000D3320000}"/>
    <cellStyle name="40% - Accent2 6 3 4 2" xfId="13786" xr:uid="{00000000-0005-0000-0000-0000D4320000}"/>
    <cellStyle name="40% - Accent2 6 3 4 2 2" xfId="27335" xr:uid="{00000000-0005-0000-0000-0000D5320000}"/>
    <cellStyle name="40% - Accent2 6 3 4 3" xfId="20616" xr:uid="{00000000-0005-0000-0000-0000D6320000}"/>
    <cellStyle name="40% - Accent2 6 3 5" xfId="3291" xr:uid="{00000000-0005-0000-0000-0000D7320000}"/>
    <cellStyle name="40% - Accent2 6 3 5 2" xfId="14367" xr:uid="{00000000-0005-0000-0000-0000D8320000}"/>
    <cellStyle name="40% - Accent2 6 3 5 2 2" xfId="27916" xr:uid="{00000000-0005-0000-0000-0000D9320000}"/>
    <cellStyle name="40% - Accent2 6 3 5 3" xfId="20617" xr:uid="{00000000-0005-0000-0000-0000DA320000}"/>
    <cellStyle name="40% - Accent2 6 3 6" xfId="3292" xr:uid="{00000000-0005-0000-0000-0000DB320000}"/>
    <cellStyle name="40% - Accent2 6 3 6 2" xfId="16253" xr:uid="{00000000-0005-0000-0000-0000DC320000}"/>
    <cellStyle name="40% - Accent2 6 3 6 2 2" xfId="29660" xr:uid="{00000000-0005-0000-0000-0000DD320000}"/>
    <cellStyle name="40% - Accent2 6 3 6 3" xfId="20618" xr:uid="{00000000-0005-0000-0000-0000DE320000}"/>
    <cellStyle name="40% - Accent2 6 3 7" xfId="9279" xr:uid="{00000000-0005-0000-0000-0000DF320000}"/>
    <cellStyle name="40% - Accent2 6 3 7 2" xfId="23754" xr:uid="{00000000-0005-0000-0000-0000E0320000}"/>
    <cellStyle name="40% - Accent2 6 3 8" xfId="20612" xr:uid="{00000000-0005-0000-0000-0000E1320000}"/>
    <cellStyle name="40% - Accent2 6 4" xfId="3293" xr:uid="{00000000-0005-0000-0000-0000E2320000}"/>
    <cellStyle name="40% - Accent2 6 4 2" xfId="3294" xr:uid="{00000000-0005-0000-0000-0000E3320000}"/>
    <cellStyle name="40% - Accent2 6 4 2 2" xfId="16545" xr:uid="{00000000-0005-0000-0000-0000E4320000}"/>
    <cellStyle name="40% - Accent2 6 4 2 2 2" xfId="29952" xr:uid="{00000000-0005-0000-0000-0000E5320000}"/>
    <cellStyle name="40% - Accent2 6 4 2 3" xfId="20620" xr:uid="{00000000-0005-0000-0000-0000E6320000}"/>
    <cellStyle name="40% - Accent2 6 4 3" xfId="11003" xr:uid="{00000000-0005-0000-0000-0000E7320000}"/>
    <cellStyle name="40% - Accent2 6 4 3 2" xfId="24945" xr:uid="{00000000-0005-0000-0000-0000E8320000}"/>
    <cellStyle name="40% - Accent2 6 4 4" xfId="20619" xr:uid="{00000000-0005-0000-0000-0000E9320000}"/>
    <cellStyle name="40% - Accent2 6 5" xfId="3295" xr:uid="{00000000-0005-0000-0000-0000EA320000}"/>
    <cellStyle name="40% - Accent2 6 5 2" xfId="11920" xr:uid="{00000000-0005-0000-0000-0000EB320000}"/>
    <cellStyle name="40% - Accent2 6 5 2 2" xfId="25635" xr:uid="{00000000-0005-0000-0000-0000EC320000}"/>
    <cellStyle name="40% - Accent2 6 5 3" xfId="20621" xr:uid="{00000000-0005-0000-0000-0000ED320000}"/>
    <cellStyle name="40% - Accent2 6 6" xfId="3296" xr:uid="{00000000-0005-0000-0000-0000EE320000}"/>
    <cellStyle name="40% - Accent2 6 6 2" xfId="13497" xr:uid="{00000000-0005-0000-0000-0000EF320000}"/>
    <cellStyle name="40% - Accent2 6 6 2 2" xfId="27046" xr:uid="{00000000-0005-0000-0000-0000F0320000}"/>
    <cellStyle name="40% - Accent2 6 6 3" xfId="20622" xr:uid="{00000000-0005-0000-0000-0000F1320000}"/>
    <cellStyle name="40% - Accent2 6 7" xfId="3297" xr:uid="{00000000-0005-0000-0000-0000F2320000}"/>
    <cellStyle name="40% - Accent2 6 7 2" xfId="14078" xr:uid="{00000000-0005-0000-0000-0000F3320000}"/>
    <cellStyle name="40% - Accent2 6 7 2 2" xfId="27627" xr:uid="{00000000-0005-0000-0000-0000F4320000}"/>
    <cellStyle name="40% - Accent2 6 7 3" xfId="20623" xr:uid="{00000000-0005-0000-0000-0000F5320000}"/>
    <cellStyle name="40% - Accent2 6 8" xfId="3298" xr:uid="{00000000-0005-0000-0000-0000F6320000}"/>
    <cellStyle name="40% - Accent2 6 8 2" xfId="15964" xr:uid="{00000000-0005-0000-0000-0000F7320000}"/>
    <cellStyle name="40% - Accent2 6 8 2 2" xfId="29371" xr:uid="{00000000-0005-0000-0000-0000F8320000}"/>
    <cellStyle name="40% - Accent2 6 8 3" xfId="20624" xr:uid="{00000000-0005-0000-0000-0000F9320000}"/>
    <cellStyle name="40% - Accent2 6 9" xfId="9276" xr:uid="{00000000-0005-0000-0000-0000FA320000}"/>
    <cellStyle name="40% - Accent2 6 9 2" xfId="23751" xr:uid="{00000000-0005-0000-0000-0000FB320000}"/>
    <cellStyle name="40% - Accent2 7" xfId="3299" xr:uid="{00000000-0005-0000-0000-0000FC320000}"/>
    <cellStyle name="40% - Accent2 7 2" xfId="3300" xr:uid="{00000000-0005-0000-0000-0000FD320000}"/>
    <cellStyle name="40% - Accent2 7 2 2" xfId="3301" xr:uid="{00000000-0005-0000-0000-0000FE320000}"/>
    <cellStyle name="40% - Accent2 7 2 2 2" xfId="3302" xr:uid="{00000000-0005-0000-0000-0000FF320000}"/>
    <cellStyle name="40% - Accent2 7 2 2 2 2" xfId="16850" xr:uid="{00000000-0005-0000-0000-000000330000}"/>
    <cellStyle name="40% - Accent2 7 2 2 2 2 2" xfId="30257" xr:uid="{00000000-0005-0000-0000-000001330000}"/>
    <cellStyle name="40% - Accent2 7 2 2 2 3" xfId="20628" xr:uid="{00000000-0005-0000-0000-000002330000}"/>
    <cellStyle name="40% - Accent2 7 2 2 3" xfId="11008" xr:uid="{00000000-0005-0000-0000-000003330000}"/>
    <cellStyle name="40% - Accent2 7 2 2 3 2" xfId="24950" xr:uid="{00000000-0005-0000-0000-000004330000}"/>
    <cellStyle name="40% - Accent2 7 2 2 4" xfId="20627" xr:uid="{00000000-0005-0000-0000-000005330000}"/>
    <cellStyle name="40% - Accent2 7 2 3" xfId="3303" xr:uid="{00000000-0005-0000-0000-000006330000}"/>
    <cellStyle name="40% - Accent2 7 2 3 2" xfId="12238" xr:uid="{00000000-0005-0000-0000-000007330000}"/>
    <cellStyle name="40% - Accent2 7 2 3 2 2" xfId="25950" xr:uid="{00000000-0005-0000-0000-000008330000}"/>
    <cellStyle name="40% - Accent2 7 2 3 3" xfId="20629" xr:uid="{00000000-0005-0000-0000-000009330000}"/>
    <cellStyle name="40% - Accent2 7 2 4" xfId="3304" xr:uid="{00000000-0005-0000-0000-00000A330000}"/>
    <cellStyle name="40% - Accent2 7 2 4 2" xfId="13802" xr:uid="{00000000-0005-0000-0000-00000B330000}"/>
    <cellStyle name="40% - Accent2 7 2 4 2 2" xfId="27351" xr:uid="{00000000-0005-0000-0000-00000C330000}"/>
    <cellStyle name="40% - Accent2 7 2 4 3" xfId="20630" xr:uid="{00000000-0005-0000-0000-00000D330000}"/>
    <cellStyle name="40% - Accent2 7 2 5" xfId="3305" xr:uid="{00000000-0005-0000-0000-00000E330000}"/>
    <cellStyle name="40% - Accent2 7 2 5 2" xfId="14383" xr:uid="{00000000-0005-0000-0000-00000F330000}"/>
    <cellStyle name="40% - Accent2 7 2 5 2 2" xfId="27932" xr:uid="{00000000-0005-0000-0000-000010330000}"/>
    <cellStyle name="40% - Accent2 7 2 5 3" xfId="20631" xr:uid="{00000000-0005-0000-0000-000011330000}"/>
    <cellStyle name="40% - Accent2 7 2 6" xfId="3306" xr:uid="{00000000-0005-0000-0000-000012330000}"/>
    <cellStyle name="40% - Accent2 7 2 6 2" xfId="16269" xr:uid="{00000000-0005-0000-0000-000013330000}"/>
    <cellStyle name="40% - Accent2 7 2 6 2 2" xfId="29676" xr:uid="{00000000-0005-0000-0000-000014330000}"/>
    <cellStyle name="40% - Accent2 7 2 6 3" xfId="20632" xr:uid="{00000000-0005-0000-0000-000015330000}"/>
    <cellStyle name="40% - Accent2 7 2 7" xfId="9281" xr:uid="{00000000-0005-0000-0000-000016330000}"/>
    <cellStyle name="40% - Accent2 7 2 7 2" xfId="23756" xr:uid="{00000000-0005-0000-0000-000017330000}"/>
    <cellStyle name="40% - Accent2 7 2 8" xfId="20626" xr:uid="{00000000-0005-0000-0000-000018330000}"/>
    <cellStyle name="40% - Accent2 7 3" xfId="3307" xr:uid="{00000000-0005-0000-0000-000019330000}"/>
    <cellStyle name="40% - Accent2 7 3 2" xfId="3308" xr:uid="{00000000-0005-0000-0000-00001A330000}"/>
    <cellStyle name="40% - Accent2 7 3 2 2" xfId="16561" xr:uid="{00000000-0005-0000-0000-00001B330000}"/>
    <cellStyle name="40% - Accent2 7 3 2 2 2" xfId="29968" xr:uid="{00000000-0005-0000-0000-00001C330000}"/>
    <cellStyle name="40% - Accent2 7 3 2 3" xfId="20634" xr:uid="{00000000-0005-0000-0000-00001D330000}"/>
    <cellStyle name="40% - Accent2 7 3 3" xfId="11007" xr:uid="{00000000-0005-0000-0000-00001E330000}"/>
    <cellStyle name="40% - Accent2 7 3 3 2" xfId="24949" xr:uid="{00000000-0005-0000-0000-00001F330000}"/>
    <cellStyle name="40% - Accent2 7 3 4" xfId="20633" xr:uid="{00000000-0005-0000-0000-000020330000}"/>
    <cellStyle name="40% - Accent2 7 4" xfId="3309" xr:uid="{00000000-0005-0000-0000-000021330000}"/>
    <cellStyle name="40% - Accent2 7 4 2" xfId="11936" xr:uid="{00000000-0005-0000-0000-000022330000}"/>
    <cellStyle name="40% - Accent2 7 4 2 2" xfId="25651" xr:uid="{00000000-0005-0000-0000-000023330000}"/>
    <cellStyle name="40% - Accent2 7 4 3" xfId="20635" xr:uid="{00000000-0005-0000-0000-000024330000}"/>
    <cellStyle name="40% - Accent2 7 5" xfId="3310" xr:uid="{00000000-0005-0000-0000-000025330000}"/>
    <cellStyle name="40% - Accent2 7 5 2" xfId="13513" xr:uid="{00000000-0005-0000-0000-000026330000}"/>
    <cellStyle name="40% - Accent2 7 5 2 2" xfId="27062" xr:uid="{00000000-0005-0000-0000-000027330000}"/>
    <cellStyle name="40% - Accent2 7 5 3" xfId="20636" xr:uid="{00000000-0005-0000-0000-000028330000}"/>
    <cellStyle name="40% - Accent2 7 6" xfId="3311" xr:uid="{00000000-0005-0000-0000-000029330000}"/>
    <cellStyle name="40% - Accent2 7 6 2" xfId="14094" xr:uid="{00000000-0005-0000-0000-00002A330000}"/>
    <cellStyle name="40% - Accent2 7 6 2 2" xfId="27643" xr:uid="{00000000-0005-0000-0000-00002B330000}"/>
    <cellStyle name="40% - Accent2 7 6 3" xfId="20637" xr:uid="{00000000-0005-0000-0000-00002C330000}"/>
    <cellStyle name="40% - Accent2 7 7" xfId="3312" xr:uid="{00000000-0005-0000-0000-00002D330000}"/>
    <cellStyle name="40% - Accent2 7 7 2" xfId="15980" xr:uid="{00000000-0005-0000-0000-00002E330000}"/>
    <cellStyle name="40% - Accent2 7 7 2 2" xfId="29387" xr:uid="{00000000-0005-0000-0000-00002F330000}"/>
    <cellStyle name="40% - Accent2 7 7 3" xfId="20638" xr:uid="{00000000-0005-0000-0000-000030330000}"/>
    <cellStyle name="40% - Accent2 7 8" xfId="9280" xr:uid="{00000000-0005-0000-0000-000031330000}"/>
    <cellStyle name="40% - Accent2 7 8 2" xfId="23755" xr:uid="{00000000-0005-0000-0000-000032330000}"/>
    <cellStyle name="40% - Accent2 7 9" xfId="20625" xr:uid="{00000000-0005-0000-0000-000033330000}"/>
    <cellStyle name="40% - Accent2 8" xfId="3313" xr:uid="{00000000-0005-0000-0000-000034330000}"/>
    <cellStyle name="40% - Accent2 8 2" xfId="3314" xr:uid="{00000000-0005-0000-0000-000035330000}"/>
    <cellStyle name="40% - Accent2 8 2 2" xfId="3315" xr:uid="{00000000-0005-0000-0000-000036330000}"/>
    <cellStyle name="40% - Accent2 8 2 2 2" xfId="16708" xr:uid="{00000000-0005-0000-0000-000037330000}"/>
    <cellStyle name="40% - Accent2 8 2 2 2 2" xfId="30115" xr:uid="{00000000-0005-0000-0000-000038330000}"/>
    <cellStyle name="40% - Accent2 8 2 2 3" xfId="20641" xr:uid="{00000000-0005-0000-0000-000039330000}"/>
    <cellStyle name="40% - Accent2 8 2 3" xfId="11009" xr:uid="{00000000-0005-0000-0000-00003A330000}"/>
    <cellStyle name="40% - Accent2 8 2 3 2" xfId="24951" xr:uid="{00000000-0005-0000-0000-00003B330000}"/>
    <cellStyle name="40% - Accent2 8 2 4" xfId="20640" xr:uid="{00000000-0005-0000-0000-00003C330000}"/>
    <cellStyle name="40% - Accent2 8 3" xfId="3316" xr:uid="{00000000-0005-0000-0000-00003D330000}"/>
    <cellStyle name="40% - Accent2 8 3 2" xfId="12086" xr:uid="{00000000-0005-0000-0000-00003E330000}"/>
    <cellStyle name="40% - Accent2 8 3 2 2" xfId="25800" xr:uid="{00000000-0005-0000-0000-00003F330000}"/>
    <cellStyle name="40% - Accent2 8 3 3" xfId="20642" xr:uid="{00000000-0005-0000-0000-000040330000}"/>
    <cellStyle name="40% - Accent2 8 4" xfId="3317" xr:uid="{00000000-0005-0000-0000-000041330000}"/>
    <cellStyle name="40% - Accent2 8 4 2" xfId="13660" xr:uid="{00000000-0005-0000-0000-000042330000}"/>
    <cellStyle name="40% - Accent2 8 4 2 2" xfId="27209" xr:uid="{00000000-0005-0000-0000-000043330000}"/>
    <cellStyle name="40% - Accent2 8 4 3" xfId="20643" xr:uid="{00000000-0005-0000-0000-000044330000}"/>
    <cellStyle name="40% - Accent2 8 5" xfId="3318" xr:uid="{00000000-0005-0000-0000-000045330000}"/>
    <cellStyle name="40% - Accent2 8 5 2" xfId="14241" xr:uid="{00000000-0005-0000-0000-000046330000}"/>
    <cellStyle name="40% - Accent2 8 5 2 2" xfId="27790" xr:uid="{00000000-0005-0000-0000-000047330000}"/>
    <cellStyle name="40% - Accent2 8 5 3" xfId="20644" xr:uid="{00000000-0005-0000-0000-000048330000}"/>
    <cellStyle name="40% - Accent2 8 6" xfId="3319" xr:uid="{00000000-0005-0000-0000-000049330000}"/>
    <cellStyle name="40% - Accent2 8 6 2" xfId="16127" xr:uid="{00000000-0005-0000-0000-00004A330000}"/>
    <cellStyle name="40% - Accent2 8 6 2 2" xfId="29534" xr:uid="{00000000-0005-0000-0000-00004B330000}"/>
    <cellStyle name="40% - Accent2 8 6 3" xfId="20645" xr:uid="{00000000-0005-0000-0000-00004C330000}"/>
    <cellStyle name="40% - Accent2 8 7" xfId="9282" xr:uid="{00000000-0005-0000-0000-00004D330000}"/>
    <cellStyle name="40% - Accent2 8 7 2" xfId="23757" xr:uid="{00000000-0005-0000-0000-00004E330000}"/>
    <cellStyle name="40% - Accent2 8 8" xfId="20639" xr:uid="{00000000-0005-0000-0000-00004F330000}"/>
    <cellStyle name="40% - Accent2 9" xfId="3320" xr:uid="{00000000-0005-0000-0000-000050330000}"/>
    <cellStyle name="40% - Accent2 9 2" xfId="3321" xr:uid="{00000000-0005-0000-0000-000051330000}"/>
    <cellStyle name="40% - Accent2 9 2 2" xfId="11706" xr:uid="{00000000-0005-0000-0000-000052330000}"/>
    <cellStyle name="40% - Accent2 9 2 2 2" xfId="25426" xr:uid="{00000000-0005-0000-0000-000053330000}"/>
    <cellStyle name="40% - Accent2 9 2 3" xfId="20647" xr:uid="{00000000-0005-0000-0000-000054330000}"/>
    <cellStyle name="40% - Accent2 9 3" xfId="3322" xr:uid="{00000000-0005-0000-0000-000055330000}"/>
    <cellStyle name="40% - Accent2 9 3 2" xfId="12523" xr:uid="{00000000-0005-0000-0000-000056330000}"/>
    <cellStyle name="40% - Accent2 9 3 2 2" xfId="26235" xr:uid="{00000000-0005-0000-0000-000057330000}"/>
    <cellStyle name="40% - Accent2 9 3 3" xfId="20648" xr:uid="{00000000-0005-0000-0000-000058330000}"/>
    <cellStyle name="40% - Accent2 9 4" xfId="3323" xr:uid="{00000000-0005-0000-0000-000059330000}"/>
    <cellStyle name="40% - Accent2 9 4 2" xfId="15156" xr:uid="{00000000-0005-0000-0000-00005A330000}"/>
    <cellStyle name="40% - Accent2 9 4 2 2" xfId="28705" xr:uid="{00000000-0005-0000-0000-00005B330000}"/>
    <cellStyle name="40% - Accent2 9 4 3" xfId="20649" xr:uid="{00000000-0005-0000-0000-00005C330000}"/>
    <cellStyle name="40% - Accent2 9 5" xfId="3324" xr:uid="{00000000-0005-0000-0000-00005D330000}"/>
    <cellStyle name="40% - Accent2 9 5 2" xfId="17092" xr:uid="{00000000-0005-0000-0000-00005E330000}"/>
    <cellStyle name="40% - Accent2 9 5 2 2" xfId="30451" xr:uid="{00000000-0005-0000-0000-00005F330000}"/>
    <cellStyle name="40% - Accent2 9 5 3" xfId="20650" xr:uid="{00000000-0005-0000-0000-000060330000}"/>
    <cellStyle name="40% - Accent2 9 6" xfId="10458" xr:uid="{00000000-0005-0000-0000-000061330000}"/>
    <cellStyle name="40% - Accent2 9 6 2" xfId="24417" xr:uid="{00000000-0005-0000-0000-000062330000}"/>
    <cellStyle name="40% - Accent2 9 7" xfId="20646" xr:uid="{00000000-0005-0000-0000-000063330000}"/>
    <cellStyle name="40% - Accent3" xfId="27" builtinId="39" customBuiltin="1"/>
    <cellStyle name="40% - Accent3 10" xfId="3325" xr:uid="{00000000-0005-0000-0000-000065330000}"/>
    <cellStyle name="40% - Accent3 10 2" xfId="3326" xr:uid="{00000000-0005-0000-0000-000066330000}"/>
    <cellStyle name="40% - Accent3 10 2 2" xfId="3327" xr:uid="{00000000-0005-0000-0000-000067330000}"/>
    <cellStyle name="40% - Accent3 10 2 2 2" xfId="12781" xr:uid="{00000000-0005-0000-0000-000068330000}"/>
    <cellStyle name="40% - Accent3 10 2 2 2 2" xfId="26493" xr:uid="{00000000-0005-0000-0000-000069330000}"/>
    <cellStyle name="40% - Accent3 10 2 2 3" xfId="20653" xr:uid="{00000000-0005-0000-0000-00006A330000}"/>
    <cellStyle name="40% - Accent3 10 2 3" xfId="3328" xr:uid="{00000000-0005-0000-0000-00006B330000}"/>
    <cellStyle name="40% - Accent3 10 2 3 2" xfId="15159" xr:uid="{00000000-0005-0000-0000-00006C330000}"/>
    <cellStyle name="40% - Accent3 10 2 3 2 2" xfId="28708" xr:uid="{00000000-0005-0000-0000-00006D330000}"/>
    <cellStyle name="40% - Accent3 10 2 3 3" xfId="20654" xr:uid="{00000000-0005-0000-0000-00006E330000}"/>
    <cellStyle name="40% - Accent3 10 2 4" xfId="11011" xr:uid="{00000000-0005-0000-0000-00006F330000}"/>
    <cellStyle name="40% - Accent3 10 2 4 2" xfId="24953" xr:uid="{00000000-0005-0000-0000-000070330000}"/>
    <cellStyle name="40% - Accent3 10 2 5" xfId="20652" xr:uid="{00000000-0005-0000-0000-000071330000}"/>
    <cellStyle name="40% - Accent3 10 3" xfId="3329" xr:uid="{00000000-0005-0000-0000-000072330000}"/>
    <cellStyle name="40% - Accent3 10 3 2" xfId="12695" xr:uid="{00000000-0005-0000-0000-000073330000}"/>
    <cellStyle name="40% - Accent3 10 3 2 2" xfId="26407" xr:uid="{00000000-0005-0000-0000-000074330000}"/>
    <cellStyle name="40% - Accent3 10 3 3" xfId="20655" xr:uid="{00000000-0005-0000-0000-000075330000}"/>
    <cellStyle name="40% - Accent3 10 4" xfId="3330" xr:uid="{00000000-0005-0000-0000-000076330000}"/>
    <cellStyle name="40% - Accent3 10 4 2" xfId="15158" xr:uid="{00000000-0005-0000-0000-000077330000}"/>
    <cellStyle name="40% - Accent3 10 4 2 2" xfId="28707" xr:uid="{00000000-0005-0000-0000-000078330000}"/>
    <cellStyle name="40% - Accent3 10 4 3" xfId="20656" xr:uid="{00000000-0005-0000-0000-000079330000}"/>
    <cellStyle name="40% - Accent3 10 5" xfId="3331" xr:uid="{00000000-0005-0000-0000-00007A330000}"/>
    <cellStyle name="40% - Accent3 10 5 2" xfId="17182" xr:uid="{00000000-0005-0000-0000-00007B330000}"/>
    <cellStyle name="40% - Accent3 10 5 2 2" xfId="30541" xr:uid="{00000000-0005-0000-0000-00007C330000}"/>
    <cellStyle name="40% - Accent3 10 5 3" xfId="20657" xr:uid="{00000000-0005-0000-0000-00007D330000}"/>
    <cellStyle name="40% - Accent3 10 6" xfId="9284" xr:uid="{00000000-0005-0000-0000-00007E330000}"/>
    <cellStyle name="40% - Accent3 10 6 2" xfId="23759" xr:uid="{00000000-0005-0000-0000-00007F330000}"/>
    <cellStyle name="40% - Accent3 10 7" xfId="20651" xr:uid="{00000000-0005-0000-0000-000080330000}"/>
    <cellStyle name="40% - Accent3 11" xfId="3332" xr:uid="{00000000-0005-0000-0000-000081330000}"/>
    <cellStyle name="40% - Accent3 11 2" xfId="3333" xr:uid="{00000000-0005-0000-0000-000082330000}"/>
    <cellStyle name="40% - Accent3 11 2 2" xfId="11012" xr:uid="{00000000-0005-0000-0000-000083330000}"/>
    <cellStyle name="40% - Accent3 11 2 2 2" xfId="24954" xr:uid="{00000000-0005-0000-0000-000084330000}"/>
    <cellStyle name="40% - Accent3 11 2 3" xfId="20659" xr:uid="{00000000-0005-0000-0000-000085330000}"/>
    <cellStyle name="40% - Accent3 11 3" xfId="3334" xr:uid="{00000000-0005-0000-0000-000086330000}"/>
    <cellStyle name="40% - Accent3 11 3 2" xfId="12614" xr:uid="{00000000-0005-0000-0000-000087330000}"/>
    <cellStyle name="40% - Accent3 11 3 2 2" xfId="26326" xr:uid="{00000000-0005-0000-0000-000088330000}"/>
    <cellStyle name="40% - Accent3 11 3 3" xfId="20660" xr:uid="{00000000-0005-0000-0000-000089330000}"/>
    <cellStyle name="40% - Accent3 11 4" xfId="3335" xr:uid="{00000000-0005-0000-0000-00008A330000}"/>
    <cellStyle name="40% - Accent3 11 4 2" xfId="15160" xr:uid="{00000000-0005-0000-0000-00008B330000}"/>
    <cellStyle name="40% - Accent3 11 4 2 2" xfId="28709" xr:uid="{00000000-0005-0000-0000-00008C330000}"/>
    <cellStyle name="40% - Accent3 11 4 3" xfId="20661" xr:uid="{00000000-0005-0000-0000-00008D330000}"/>
    <cellStyle name="40% - Accent3 11 5" xfId="3336" xr:uid="{00000000-0005-0000-0000-00008E330000}"/>
    <cellStyle name="40% - Accent3 11 5 2" xfId="17271" xr:uid="{00000000-0005-0000-0000-00008F330000}"/>
    <cellStyle name="40% - Accent3 11 5 2 2" xfId="30630" xr:uid="{00000000-0005-0000-0000-000090330000}"/>
    <cellStyle name="40% - Accent3 11 5 3" xfId="20662" xr:uid="{00000000-0005-0000-0000-000091330000}"/>
    <cellStyle name="40% - Accent3 11 6" xfId="9285" xr:uid="{00000000-0005-0000-0000-000092330000}"/>
    <cellStyle name="40% - Accent3 11 6 2" xfId="23760" xr:uid="{00000000-0005-0000-0000-000093330000}"/>
    <cellStyle name="40% - Accent3 11 7" xfId="20658" xr:uid="{00000000-0005-0000-0000-000094330000}"/>
    <cellStyle name="40% - Accent3 12" xfId="3337" xr:uid="{00000000-0005-0000-0000-000095330000}"/>
    <cellStyle name="40% - Accent3 12 2" xfId="3338" xr:uid="{00000000-0005-0000-0000-000096330000}"/>
    <cellStyle name="40% - Accent3 12 2 2" xfId="3339" xr:uid="{00000000-0005-0000-0000-000097330000}"/>
    <cellStyle name="40% - Accent3 12 2 2 2" xfId="11014" xr:uid="{00000000-0005-0000-0000-000098330000}"/>
    <cellStyle name="40% - Accent3 12 2 2 2 2" xfId="24956" xr:uid="{00000000-0005-0000-0000-000099330000}"/>
    <cellStyle name="40% - Accent3 12 2 2 3" xfId="20665" xr:uid="{00000000-0005-0000-0000-00009A330000}"/>
    <cellStyle name="40% - Accent3 12 2 3" xfId="3340" xr:uid="{00000000-0005-0000-0000-00009B330000}"/>
    <cellStyle name="40% - Accent3 12 2 3 2" xfId="12626" xr:uid="{00000000-0005-0000-0000-00009C330000}"/>
    <cellStyle name="40% - Accent3 12 2 3 2 2" xfId="26338" xr:uid="{00000000-0005-0000-0000-00009D330000}"/>
    <cellStyle name="40% - Accent3 12 2 3 3" xfId="20666" xr:uid="{00000000-0005-0000-0000-00009E330000}"/>
    <cellStyle name="40% - Accent3 12 2 4" xfId="3341" xr:uid="{00000000-0005-0000-0000-00009F330000}"/>
    <cellStyle name="40% - Accent3 12 2 4 2" xfId="15162" xr:uid="{00000000-0005-0000-0000-0000A0330000}"/>
    <cellStyle name="40% - Accent3 12 2 4 2 2" xfId="28711" xr:uid="{00000000-0005-0000-0000-0000A1330000}"/>
    <cellStyle name="40% - Accent3 12 2 4 3" xfId="20667" xr:uid="{00000000-0005-0000-0000-0000A2330000}"/>
    <cellStyle name="40% - Accent3 12 2 5" xfId="9287" xr:uid="{00000000-0005-0000-0000-0000A3330000}"/>
    <cellStyle name="40% - Accent3 12 2 5 2" xfId="23762" xr:uid="{00000000-0005-0000-0000-0000A4330000}"/>
    <cellStyle name="40% - Accent3 12 2 6" xfId="20664" xr:uid="{00000000-0005-0000-0000-0000A5330000}"/>
    <cellStyle name="40% - Accent3 12 3" xfId="3342" xr:uid="{00000000-0005-0000-0000-0000A6330000}"/>
    <cellStyle name="40% - Accent3 12 3 2" xfId="11013" xr:uid="{00000000-0005-0000-0000-0000A7330000}"/>
    <cellStyle name="40% - Accent3 12 3 2 2" xfId="24955" xr:uid="{00000000-0005-0000-0000-0000A8330000}"/>
    <cellStyle name="40% - Accent3 12 3 3" xfId="20668" xr:uid="{00000000-0005-0000-0000-0000A9330000}"/>
    <cellStyle name="40% - Accent3 12 4" xfId="3343" xr:uid="{00000000-0005-0000-0000-0000AA330000}"/>
    <cellStyle name="40% - Accent3 12 4 2" xfId="11883" xr:uid="{00000000-0005-0000-0000-0000AB330000}"/>
    <cellStyle name="40% - Accent3 12 4 2 2" xfId="25598" xr:uid="{00000000-0005-0000-0000-0000AC330000}"/>
    <cellStyle name="40% - Accent3 12 4 3" xfId="20669" xr:uid="{00000000-0005-0000-0000-0000AD330000}"/>
    <cellStyle name="40% - Accent3 12 5" xfId="3344" xr:uid="{00000000-0005-0000-0000-0000AE330000}"/>
    <cellStyle name="40% - Accent3 12 5 2" xfId="15161" xr:uid="{00000000-0005-0000-0000-0000AF330000}"/>
    <cellStyle name="40% - Accent3 12 5 2 2" xfId="28710" xr:uid="{00000000-0005-0000-0000-0000B0330000}"/>
    <cellStyle name="40% - Accent3 12 5 3" xfId="20670" xr:uid="{00000000-0005-0000-0000-0000B1330000}"/>
    <cellStyle name="40% - Accent3 12 6" xfId="3345" xr:uid="{00000000-0005-0000-0000-0000B2330000}"/>
    <cellStyle name="40% - Accent3 12 6 2" xfId="16423" xr:uid="{00000000-0005-0000-0000-0000B3330000}"/>
    <cellStyle name="40% - Accent3 12 6 2 2" xfId="29830" xr:uid="{00000000-0005-0000-0000-0000B4330000}"/>
    <cellStyle name="40% - Accent3 12 6 3" xfId="20671" xr:uid="{00000000-0005-0000-0000-0000B5330000}"/>
    <cellStyle name="40% - Accent3 12 7" xfId="9286" xr:uid="{00000000-0005-0000-0000-0000B6330000}"/>
    <cellStyle name="40% - Accent3 12 7 2" xfId="23761" xr:uid="{00000000-0005-0000-0000-0000B7330000}"/>
    <cellStyle name="40% - Accent3 12 8" xfId="20663" xr:uid="{00000000-0005-0000-0000-0000B8330000}"/>
    <cellStyle name="40% - Accent3 13" xfId="3346" xr:uid="{00000000-0005-0000-0000-0000B9330000}"/>
    <cellStyle name="40% - Accent3 13 2" xfId="3347" xr:uid="{00000000-0005-0000-0000-0000BA330000}"/>
    <cellStyle name="40% - Accent3 13 2 2" xfId="11015" xr:uid="{00000000-0005-0000-0000-0000BB330000}"/>
    <cellStyle name="40% - Accent3 13 2 2 2" xfId="24957" xr:uid="{00000000-0005-0000-0000-0000BC330000}"/>
    <cellStyle name="40% - Accent3 13 2 3" xfId="20673" xr:uid="{00000000-0005-0000-0000-0000BD330000}"/>
    <cellStyle name="40% - Accent3 13 3" xfId="3348" xr:uid="{00000000-0005-0000-0000-0000BE330000}"/>
    <cellStyle name="40% - Accent3 13 3 2" xfId="11879" xr:uid="{00000000-0005-0000-0000-0000BF330000}"/>
    <cellStyle name="40% - Accent3 13 3 2 2" xfId="25594" xr:uid="{00000000-0005-0000-0000-0000C0330000}"/>
    <cellStyle name="40% - Accent3 13 3 3" xfId="20674" xr:uid="{00000000-0005-0000-0000-0000C1330000}"/>
    <cellStyle name="40% - Accent3 13 4" xfId="3349" xr:uid="{00000000-0005-0000-0000-0000C2330000}"/>
    <cellStyle name="40% - Accent3 13 4 2" xfId="15163" xr:uid="{00000000-0005-0000-0000-0000C3330000}"/>
    <cellStyle name="40% - Accent3 13 4 2 2" xfId="28712" xr:uid="{00000000-0005-0000-0000-0000C4330000}"/>
    <cellStyle name="40% - Accent3 13 4 3" xfId="20675" xr:uid="{00000000-0005-0000-0000-0000C5330000}"/>
    <cellStyle name="40% - Accent3 13 5" xfId="9288" xr:uid="{00000000-0005-0000-0000-0000C6330000}"/>
    <cellStyle name="40% - Accent3 13 5 2" xfId="23763" xr:uid="{00000000-0005-0000-0000-0000C7330000}"/>
    <cellStyle name="40% - Accent3 13 6" xfId="20672" xr:uid="{00000000-0005-0000-0000-0000C8330000}"/>
    <cellStyle name="40% - Accent3 14" xfId="3350" xr:uid="{00000000-0005-0000-0000-0000C9330000}"/>
    <cellStyle name="40% - Accent3 14 2" xfId="3351" xr:uid="{00000000-0005-0000-0000-0000CA330000}"/>
    <cellStyle name="40% - Accent3 14 2 2" xfId="11016" xr:uid="{00000000-0005-0000-0000-0000CB330000}"/>
    <cellStyle name="40% - Accent3 14 2 2 2" xfId="24958" xr:uid="{00000000-0005-0000-0000-0000CC330000}"/>
    <cellStyle name="40% - Accent3 14 2 3" xfId="20677" xr:uid="{00000000-0005-0000-0000-0000CD330000}"/>
    <cellStyle name="40% - Accent3 14 3" xfId="3352" xr:uid="{00000000-0005-0000-0000-0000CE330000}"/>
    <cellStyle name="40% - Accent3 14 3 2" xfId="12618" xr:uid="{00000000-0005-0000-0000-0000CF330000}"/>
    <cellStyle name="40% - Accent3 14 3 2 2" xfId="26330" xr:uid="{00000000-0005-0000-0000-0000D0330000}"/>
    <cellStyle name="40% - Accent3 14 3 3" xfId="20678" xr:uid="{00000000-0005-0000-0000-0000D1330000}"/>
    <cellStyle name="40% - Accent3 14 4" xfId="3353" xr:uid="{00000000-0005-0000-0000-0000D2330000}"/>
    <cellStyle name="40% - Accent3 14 4 2" xfId="15164" xr:uid="{00000000-0005-0000-0000-0000D3330000}"/>
    <cellStyle name="40% - Accent3 14 4 2 2" xfId="28713" xr:uid="{00000000-0005-0000-0000-0000D4330000}"/>
    <cellStyle name="40% - Accent3 14 4 3" xfId="20679" xr:uid="{00000000-0005-0000-0000-0000D5330000}"/>
    <cellStyle name="40% - Accent3 14 5" xfId="9289" xr:uid="{00000000-0005-0000-0000-0000D6330000}"/>
    <cellStyle name="40% - Accent3 14 5 2" xfId="23764" xr:uid="{00000000-0005-0000-0000-0000D7330000}"/>
    <cellStyle name="40% - Accent3 14 6" xfId="20676" xr:uid="{00000000-0005-0000-0000-0000D8330000}"/>
    <cellStyle name="40% - Accent3 15" xfId="3354" xr:uid="{00000000-0005-0000-0000-0000D9330000}"/>
    <cellStyle name="40% - Accent3 15 2" xfId="3355" xr:uid="{00000000-0005-0000-0000-0000DA330000}"/>
    <cellStyle name="40% - Accent3 15 2 2" xfId="11017" xr:uid="{00000000-0005-0000-0000-0000DB330000}"/>
    <cellStyle name="40% - Accent3 15 2 2 2" xfId="24959" xr:uid="{00000000-0005-0000-0000-0000DC330000}"/>
    <cellStyle name="40% - Accent3 15 2 3" xfId="20681" xr:uid="{00000000-0005-0000-0000-0000DD330000}"/>
    <cellStyle name="40% - Accent3 15 3" xfId="3356" xr:uid="{00000000-0005-0000-0000-0000DE330000}"/>
    <cellStyle name="40% - Accent3 15 3 2" xfId="12560" xr:uid="{00000000-0005-0000-0000-0000DF330000}"/>
    <cellStyle name="40% - Accent3 15 3 2 2" xfId="26272" xr:uid="{00000000-0005-0000-0000-0000E0330000}"/>
    <cellStyle name="40% - Accent3 15 3 3" xfId="20682" xr:uid="{00000000-0005-0000-0000-0000E1330000}"/>
    <cellStyle name="40% - Accent3 15 4" xfId="3357" xr:uid="{00000000-0005-0000-0000-0000E2330000}"/>
    <cellStyle name="40% - Accent3 15 4 2" xfId="15165" xr:uid="{00000000-0005-0000-0000-0000E3330000}"/>
    <cellStyle name="40% - Accent3 15 4 2 2" xfId="28714" xr:uid="{00000000-0005-0000-0000-0000E4330000}"/>
    <cellStyle name="40% - Accent3 15 4 3" xfId="20683" xr:uid="{00000000-0005-0000-0000-0000E5330000}"/>
    <cellStyle name="40% - Accent3 15 5" xfId="9290" xr:uid="{00000000-0005-0000-0000-0000E6330000}"/>
    <cellStyle name="40% - Accent3 15 5 2" xfId="23765" xr:uid="{00000000-0005-0000-0000-0000E7330000}"/>
    <cellStyle name="40% - Accent3 15 6" xfId="20680" xr:uid="{00000000-0005-0000-0000-0000E8330000}"/>
    <cellStyle name="40% - Accent3 16" xfId="3358" xr:uid="{00000000-0005-0000-0000-0000E9330000}"/>
    <cellStyle name="40% - Accent3 16 2" xfId="3359" xr:uid="{00000000-0005-0000-0000-0000EA330000}"/>
    <cellStyle name="40% - Accent3 16 2 2" xfId="11018" xr:uid="{00000000-0005-0000-0000-0000EB330000}"/>
    <cellStyle name="40% - Accent3 16 2 2 2" xfId="24960" xr:uid="{00000000-0005-0000-0000-0000EC330000}"/>
    <cellStyle name="40% - Accent3 16 2 3" xfId="20685" xr:uid="{00000000-0005-0000-0000-0000ED330000}"/>
    <cellStyle name="40% - Accent3 16 3" xfId="3360" xr:uid="{00000000-0005-0000-0000-0000EE330000}"/>
    <cellStyle name="40% - Accent3 16 3 2" xfId="11851" xr:uid="{00000000-0005-0000-0000-0000EF330000}"/>
    <cellStyle name="40% - Accent3 16 3 2 2" xfId="25566" xr:uid="{00000000-0005-0000-0000-0000F0330000}"/>
    <cellStyle name="40% - Accent3 16 3 3" xfId="20686" xr:uid="{00000000-0005-0000-0000-0000F1330000}"/>
    <cellStyle name="40% - Accent3 16 4" xfId="3361" xr:uid="{00000000-0005-0000-0000-0000F2330000}"/>
    <cellStyle name="40% - Accent3 16 4 2" xfId="15166" xr:uid="{00000000-0005-0000-0000-0000F3330000}"/>
    <cellStyle name="40% - Accent3 16 4 2 2" xfId="28715" xr:uid="{00000000-0005-0000-0000-0000F4330000}"/>
    <cellStyle name="40% - Accent3 16 4 3" xfId="20687" xr:uid="{00000000-0005-0000-0000-0000F5330000}"/>
    <cellStyle name="40% - Accent3 16 5" xfId="9291" xr:uid="{00000000-0005-0000-0000-0000F6330000}"/>
    <cellStyle name="40% - Accent3 16 5 2" xfId="23766" xr:uid="{00000000-0005-0000-0000-0000F7330000}"/>
    <cellStyle name="40% - Accent3 16 6" xfId="20684" xr:uid="{00000000-0005-0000-0000-0000F8330000}"/>
    <cellStyle name="40% - Accent3 17" xfId="3362" xr:uid="{00000000-0005-0000-0000-0000F9330000}"/>
    <cellStyle name="40% - Accent3 17 2" xfId="3363" xr:uid="{00000000-0005-0000-0000-0000FA330000}"/>
    <cellStyle name="40% - Accent3 17 2 2" xfId="11019" xr:uid="{00000000-0005-0000-0000-0000FB330000}"/>
    <cellStyle name="40% - Accent3 17 2 2 2" xfId="24961" xr:uid="{00000000-0005-0000-0000-0000FC330000}"/>
    <cellStyle name="40% - Accent3 17 2 3" xfId="20689" xr:uid="{00000000-0005-0000-0000-0000FD330000}"/>
    <cellStyle name="40% - Accent3 17 3" xfId="3364" xr:uid="{00000000-0005-0000-0000-0000FE330000}"/>
    <cellStyle name="40% - Accent3 17 3 2" xfId="11782" xr:uid="{00000000-0005-0000-0000-0000FF330000}"/>
    <cellStyle name="40% - Accent3 17 3 2 2" xfId="25497" xr:uid="{00000000-0005-0000-0000-000000340000}"/>
    <cellStyle name="40% - Accent3 17 3 3" xfId="20690" xr:uid="{00000000-0005-0000-0000-000001340000}"/>
    <cellStyle name="40% - Accent3 17 4" xfId="3365" xr:uid="{00000000-0005-0000-0000-000002340000}"/>
    <cellStyle name="40% - Accent3 17 4 2" xfId="15167" xr:uid="{00000000-0005-0000-0000-000003340000}"/>
    <cellStyle name="40% - Accent3 17 4 2 2" xfId="28716" xr:uid="{00000000-0005-0000-0000-000004340000}"/>
    <cellStyle name="40% - Accent3 17 4 3" xfId="20691" xr:uid="{00000000-0005-0000-0000-000005340000}"/>
    <cellStyle name="40% - Accent3 17 5" xfId="9292" xr:uid="{00000000-0005-0000-0000-000006340000}"/>
    <cellStyle name="40% - Accent3 17 5 2" xfId="23767" xr:uid="{00000000-0005-0000-0000-000007340000}"/>
    <cellStyle name="40% - Accent3 17 6" xfId="20688" xr:uid="{00000000-0005-0000-0000-000008340000}"/>
    <cellStyle name="40% - Accent3 18" xfId="3366" xr:uid="{00000000-0005-0000-0000-000009340000}"/>
    <cellStyle name="40% - Accent3 18 2" xfId="3367" xr:uid="{00000000-0005-0000-0000-00000A340000}"/>
    <cellStyle name="40% - Accent3 18 2 2" xfId="11020" xr:uid="{00000000-0005-0000-0000-00000B340000}"/>
    <cellStyle name="40% - Accent3 18 2 2 2" xfId="24962" xr:uid="{00000000-0005-0000-0000-00000C340000}"/>
    <cellStyle name="40% - Accent3 18 2 3" xfId="20693" xr:uid="{00000000-0005-0000-0000-00000D340000}"/>
    <cellStyle name="40% - Accent3 18 3" xfId="3368" xr:uid="{00000000-0005-0000-0000-00000E340000}"/>
    <cellStyle name="40% - Accent3 18 3 2" xfId="12606" xr:uid="{00000000-0005-0000-0000-00000F340000}"/>
    <cellStyle name="40% - Accent3 18 3 2 2" xfId="26318" xr:uid="{00000000-0005-0000-0000-000010340000}"/>
    <cellStyle name="40% - Accent3 18 3 3" xfId="20694" xr:uid="{00000000-0005-0000-0000-000011340000}"/>
    <cellStyle name="40% - Accent3 18 4" xfId="3369" xr:uid="{00000000-0005-0000-0000-000012340000}"/>
    <cellStyle name="40% - Accent3 18 4 2" xfId="15168" xr:uid="{00000000-0005-0000-0000-000013340000}"/>
    <cellStyle name="40% - Accent3 18 4 2 2" xfId="28717" xr:uid="{00000000-0005-0000-0000-000014340000}"/>
    <cellStyle name="40% - Accent3 18 4 3" xfId="20695" xr:uid="{00000000-0005-0000-0000-000015340000}"/>
    <cellStyle name="40% - Accent3 18 5" xfId="9293" xr:uid="{00000000-0005-0000-0000-000016340000}"/>
    <cellStyle name="40% - Accent3 18 5 2" xfId="23768" xr:uid="{00000000-0005-0000-0000-000017340000}"/>
    <cellStyle name="40% - Accent3 18 6" xfId="20692" xr:uid="{00000000-0005-0000-0000-000018340000}"/>
    <cellStyle name="40% - Accent3 19" xfId="3370" xr:uid="{00000000-0005-0000-0000-000019340000}"/>
    <cellStyle name="40% - Accent3 19 2" xfId="3371" xr:uid="{00000000-0005-0000-0000-00001A340000}"/>
    <cellStyle name="40% - Accent3 19 2 2" xfId="11707" xr:uid="{00000000-0005-0000-0000-00001B340000}"/>
    <cellStyle name="40% - Accent3 19 2 2 2" xfId="25427" xr:uid="{00000000-0005-0000-0000-00001C340000}"/>
    <cellStyle name="40% - Accent3 19 2 3" xfId="20697" xr:uid="{00000000-0005-0000-0000-00001D340000}"/>
    <cellStyle name="40% - Accent3 19 3" xfId="3372" xr:uid="{00000000-0005-0000-0000-00001E340000}"/>
    <cellStyle name="40% - Accent3 19 3 2" xfId="12796" xr:uid="{00000000-0005-0000-0000-00001F340000}"/>
    <cellStyle name="40% - Accent3 19 3 2 2" xfId="26508" xr:uid="{00000000-0005-0000-0000-000020340000}"/>
    <cellStyle name="40% - Accent3 19 3 3" xfId="20698" xr:uid="{00000000-0005-0000-0000-000021340000}"/>
    <cellStyle name="40% - Accent3 19 4" xfId="3373" xr:uid="{00000000-0005-0000-0000-000022340000}"/>
    <cellStyle name="40% - Accent3 19 4 2" xfId="15169" xr:uid="{00000000-0005-0000-0000-000023340000}"/>
    <cellStyle name="40% - Accent3 19 4 2 2" xfId="28718" xr:uid="{00000000-0005-0000-0000-000024340000}"/>
    <cellStyle name="40% - Accent3 19 4 3" xfId="20699" xr:uid="{00000000-0005-0000-0000-000025340000}"/>
    <cellStyle name="40% - Accent3 19 5" xfId="10459" xr:uid="{00000000-0005-0000-0000-000026340000}"/>
    <cellStyle name="40% - Accent3 19 5 2" xfId="24418" xr:uid="{00000000-0005-0000-0000-000027340000}"/>
    <cellStyle name="40% - Accent3 19 6" xfId="20696" xr:uid="{00000000-0005-0000-0000-000028340000}"/>
    <cellStyle name="40% - Accent3 2" xfId="3374" xr:uid="{00000000-0005-0000-0000-000029340000}"/>
    <cellStyle name="40% - Accent3 2 10" xfId="3375" xr:uid="{00000000-0005-0000-0000-00002A340000}"/>
    <cellStyle name="40% - Accent3 2 10 2" xfId="3376" xr:uid="{00000000-0005-0000-0000-00002B340000}"/>
    <cellStyle name="40% - Accent3 2 10 2 2" xfId="15171" xr:uid="{00000000-0005-0000-0000-00002C340000}"/>
    <cellStyle name="40% - Accent3 2 10 2 2 2" xfId="28720" xr:uid="{00000000-0005-0000-0000-00002D340000}"/>
    <cellStyle name="40% - Accent3 2 10 2 3" xfId="20702" xr:uid="{00000000-0005-0000-0000-00002E340000}"/>
    <cellStyle name="40% - Accent3 2 10 3" xfId="11830" xr:uid="{00000000-0005-0000-0000-00002F340000}"/>
    <cellStyle name="40% - Accent3 2 10 3 2" xfId="25545" xr:uid="{00000000-0005-0000-0000-000030340000}"/>
    <cellStyle name="40% - Accent3 2 10 4" xfId="20701" xr:uid="{00000000-0005-0000-0000-000031340000}"/>
    <cellStyle name="40% - Accent3 2 11" xfId="3377" xr:uid="{00000000-0005-0000-0000-000032340000}"/>
    <cellStyle name="40% - Accent3 2 11 2" xfId="11740" xr:uid="{00000000-0005-0000-0000-000033340000}"/>
    <cellStyle name="40% - Accent3 2 11 2 2" xfId="25455" xr:uid="{00000000-0005-0000-0000-000034340000}"/>
    <cellStyle name="40% - Accent3 2 11 3" xfId="20703" xr:uid="{00000000-0005-0000-0000-000035340000}"/>
    <cellStyle name="40% - Accent3 2 12" xfId="3378" xr:uid="{00000000-0005-0000-0000-000036340000}"/>
    <cellStyle name="40% - Accent3 2 12 2" xfId="13429" xr:uid="{00000000-0005-0000-0000-000037340000}"/>
    <cellStyle name="40% - Accent3 2 12 2 2" xfId="26978" xr:uid="{00000000-0005-0000-0000-000038340000}"/>
    <cellStyle name="40% - Accent3 2 12 3" xfId="20704" xr:uid="{00000000-0005-0000-0000-000039340000}"/>
    <cellStyle name="40% - Accent3 2 13" xfId="3379" xr:uid="{00000000-0005-0000-0000-00003A340000}"/>
    <cellStyle name="40% - Accent3 2 13 2" xfId="14010" xr:uid="{00000000-0005-0000-0000-00003B340000}"/>
    <cellStyle name="40% - Accent3 2 13 2 2" xfId="27559" xr:uid="{00000000-0005-0000-0000-00003C340000}"/>
    <cellStyle name="40% - Accent3 2 13 3" xfId="20705" xr:uid="{00000000-0005-0000-0000-00003D340000}"/>
    <cellStyle name="40% - Accent3 2 14" xfId="3380" xr:uid="{00000000-0005-0000-0000-00003E340000}"/>
    <cellStyle name="40% - Accent3 2 14 2" xfId="15170" xr:uid="{00000000-0005-0000-0000-00003F340000}"/>
    <cellStyle name="40% - Accent3 2 14 2 2" xfId="28719" xr:uid="{00000000-0005-0000-0000-000040340000}"/>
    <cellStyle name="40% - Accent3 2 14 3" xfId="20706" xr:uid="{00000000-0005-0000-0000-000041340000}"/>
    <cellStyle name="40% - Accent3 2 15" xfId="3381" xr:uid="{00000000-0005-0000-0000-000042340000}"/>
    <cellStyle name="40% - Accent3 2 15 2" xfId="15896" xr:uid="{00000000-0005-0000-0000-000043340000}"/>
    <cellStyle name="40% - Accent3 2 15 2 2" xfId="29303" xr:uid="{00000000-0005-0000-0000-000044340000}"/>
    <cellStyle name="40% - Accent3 2 15 3" xfId="20707" xr:uid="{00000000-0005-0000-0000-000045340000}"/>
    <cellStyle name="40% - Accent3 2 16" xfId="9294" xr:uid="{00000000-0005-0000-0000-000046340000}"/>
    <cellStyle name="40% - Accent3 2 16 2" xfId="23769" xr:uid="{00000000-0005-0000-0000-000047340000}"/>
    <cellStyle name="40% - Accent3 2 17" xfId="20700" xr:uid="{00000000-0005-0000-0000-000048340000}"/>
    <cellStyle name="40% - Accent3 2 2" xfId="3382" xr:uid="{00000000-0005-0000-0000-000049340000}"/>
    <cellStyle name="40% - Accent3 2 2 10" xfId="3383" xr:uid="{00000000-0005-0000-0000-00004A340000}"/>
    <cellStyle name="40% - Accent3 2 2 10 2" xfId="15172" xr:uid="{00000000-0005-0000-0000-00004B340000}"/>
    <cellStyle name="40% - Accent3 2 2 10 2 2" xfId="28721" xr:uid="{00000000-0005-0000-0000-00004C340000}"/>
    <cellStyle name="40% - Accent3 2 2 10 3" xfId="20709" xr:uid="{00000000-0005-0000-0000-00004D340000}"/>
    <cellStyle name="40% - Accent3 2 2 11" xfId="3384" xr:uid="{00000000-0005-0000-0000-00004E340000}"/>
    <cellStyle name="40% - Accent3 2 2 11 2" xfId="15942" xr:uid="{00000000-0005-0000-0000-00004F340000}"/>
    <cellStyle name="40% - Accent3 2 2 11 2 2" xfId="29349" xr:uid="{00000000-0005-0000-0000-000050340000}"/>
    <cellStyle name="40% - Accent3 2 2 11 3" xfId="20710" xr:uid="{00000000-0005-0000-0000-000051340000}"/>
    <cellStyle name="40% - Accent3 2 2 12" xfId="9295" xr:uid="{00000000-0005-0000-0000-000052340000}"/>
    <cellStyle name="40% - Accent3 2 2 12 2" xfId="23770" xr:uid="{00000000-0005-0000-0000-000053340000}"/>
    <cellStyle name="40% - Accent3 2 2 13" xfId="20708" xr:uid="{00000000-0005-0000-0000-000054340000}"/>
    <cellStyle name="40% - Accent3 2 2 2" xfId="3385" xr:uid="{00000000-0005-0000-0000-000055340000}"/>
    <cellStyle name="40% - Accent3 2 2 2 10" xfId="3386" xr:uid="{00000000-0005-0000-0000-000056340000}"/>
    <cellStyle name="40% - Accent3 2 2 2 10 2" xfId="16085" xr:uid="{00000000-0005-0000-0000-000057340000}"/>
    <cellStyle name="40% - Accent3 2 2 2 10 2 2" xfId="29492" xr:uid="{00000000-0005-0000-0000-000058340000}"/>
    <cellStyle name="40% - Accent3 2 2 2 10 3" xfId="20712" xr:uid="{00000000-0005-0000-0000-000059340000}"/>
    <cellStyle name="40% - Accent3 2 2 2 11" xfId="9296" xr:uid="{00000000-0005-0000-0000-00005A340000}"/>
    <cellStyle name="40% - Accent3 2 2 2 11 2" xfId="23771" xr:uid="{00000000-0005-0000-0000-00005B340000}"/>
    <cellStyle name="40% - Accent3 2 2 2 12" xfId="20711" xr:uid="{00000000-0005-0000-0000-00005C340000}"/>
    <cellStyle name="40% - Accent3 2 2 2 2" xfId="3387" xr:uid="{00000000-0005-0000-0000-00005D340000}"/>
    <cellStyle name="40% - Accent3 2 2 2 2 10" xfId="9297" xr:uid="{00000000-0005-0000-0000-00005E340000}"/>
    <cellStyle name="40% - Accent3 2 2 2 2 10 2" xfId="23772" xr:uid="{00000000-0005-0000-0000-00005F340000}"/>
    <cellStyle name="40% - Accent3 2 2 2 2 11" xfId="20713" xr:uid="{00000000-0005-0000-0000-000060340000}"/>
    <cellStyle name="40% - Accent3 2 2 2 2 2" xfId="3388" xr:uid="{00000000-0005-0000-0000-000061340000}"/>
    <cellStyle name="40% - Accent3 2 2 2 2 2 2" xfId="3389" xr:uid="{00000000-0005-0000-0000-000062340000}"/>
    <cellStyle name="40% - Accent3 2 2 2 2 2 2 2" xfId="11025" xr:uid="{00000000-0005-0000-0000-000063340000}"/>
    <cellStyle name="40% - Accent3 2 2 2 2 2 2 2 2" xfId="24967" xr:uid="{00000000-0005-0000-0000-000064340000}"/>
    <cellStyle name="40% - Accent3 2 2 2 2 2 2 3" xfId="20715" xr:uid="{00000000-0005-0000-0000-000065340000}"/>
    <cellStyle name="40% - Accent3 2 2 2 2 2 3" xfId="3390" xr:uid="{00000000-0005-0000-0000-000066340000}"/>
    <cellStyle name="40% - Accent3 2 2 2 2 2 3 2" xfId="12659" xr:uid="{00000000-0005-0000-0000-000067340000}"/>
    <cellStyle name="40% - Accent3 2 2 2 2 2 3 2 2" xfId="26371" xr:uid="{00000000-0005-0000-0000-000068340000}"/>
    <cellStyle name="40% - Accent3 2 2 2 2 2 3 3" xfId="20716" xr:uid="{00000000-0005-0000-0000-000069340000}"/>
    <cellStyle name="40% - Accent3 2 2 2 2 2 4" xfId="3391" xr:uid="{00000000-0005-0000-0000-00006A340000}"/>
    <cellStyle name="40% - Accent3 2 2 2 2 2 4 2" xfId="15175" xr:uid="{00000000-0005-0000-0000-00006B340000}"/>
    <cellStyle name="40% - Accent3 2 2 2 2 2 4 2 2" xfId="28724" xr:uid="{00000000-0005-0000-0000-00006C340000}"/>
    <cellStyle name="40% - Accent3 2 2 2 2 2 4 3" xfId="20717" xr:uid="{00000000-0005-0000-0000-00006D340000}"/>
    <cellStyle name="40% - Accent3 2 2 2 2 2 5" xfId="3392" xr:uid="{00000000-0005-0000-0000-00006E340000}"/>
    <cellStyle name="40% - Accent3 2 2 2 2 2 5 2" xfId="16955" xr:uid="{00000000-0005-0000-0000-00006F340000}"/>
    <cellStyle name="40% - Accent3 2 2 2 2 2 5 2 2" xfId="30362" xr:uid="{00000000-0005-0000-0000-000070340000}"/>
    <cellStyle name="40% - Accent3 2 2 2 2 2 5 3" xfId="20718" xr:uid="{00000000-0005-0000-0000-000071340000}"/>
    <cellStyle name="40% - Accent3 2 2 2 2 2 6" xfId="9298" xr:uid="{00000000-0005-0000-0000-000072340000}"/>
    <cellStyle name="40% - Accent3 2 2 2 2 2 6 2" xfId="23773" xr:uid="{00000000-0005-0000-0000-000073340000}"/>
    <cellStyle name="40% - Accent3 2 2 2 2 2 7" xfId="20714" xr:uid="{00000000-0005-0000-0000-000074340000}"/>
    <cellStyle name="40% - Accent3 2 2 2 2 3" xfId="3393" xr:uid="{00000000-0005-0000-0000-000075340000}"/>
    <cellStyle name="40% - Accent3 2 2 2 2 3 2" xfId="3394" xr:uid="{00000000-0005-0000-0000-000076340000}"/>
    <cellStyle name="40% - Accent3 2 2 2 2 3 2 2" xfId="15176" xr:uid="{00000000-0005-0000-0000-000077340000}"/>
    <cellStyle name="40% - Accent3 2 2 2 2 3 2 2 2" xfId="28725" xr:uid="{00000000-0005-0000-0000-000078340000}"/>
    <cellStyle name="40% - Accent3 2 2 2 2 3 2 3" xfId="20720" xr:uid="{00000000-0005-0000-0000-000079340000}"/>
    <cellStyle name="40% - Accent3 2 2 2 2 3 3" xfId="11024" xr:uid="{00000000-0005-0000-0000-00007A340000}"/>
    <cellStyle name="40% - Accent3 2 2 2 2 3 3 2" xfId="24966" xr:uid="{00000000-0005-0000-0000-00007B340000}"/>
    <cellStyle name="40% - Accent3 2 2 2 2 3 4" xfId="20719" xr:uid="{00000000-0005-0000-0000-00007C340000}"/>
    <cellStyle name="40% - Accent3 2 2 2 2 4" xfId="3395" xr:uid="{00000000-0005-0000-0000-00007D340000}"/>
    <cellStyle name="40% - Accent3 2 2 2 2 4 2" xfId="12343" xr:uid="{00000000-0005-0000-0000-00007E340000}"/>
    <cellStyle name="40% - Accent3 2 2 2 2 4 2 2" xfId="26055" xr:uid="{00000000-0005-0000-0000-00007F340000}"/>
    <cellStyle name="40% - Accent3 2 2 2 2 4 3" xfId="20721" xr:uid="{00000000-0005-0000-0000-000080340000}"/>
    <cellStyle name="40% - Accent3 2 2 2 2 5" xfId="3396" xr:uid="{00000000-0005-0000-0000-000081340000}"/>
    <cellStyle name="40% - Accent3 2 2 2 2 5 2" xfId="12622" xr:uid="{00000000-0005-0000-0000-000082340000}"/>
    <cellStyle name="40% - Accent3 2 2 2 2 5 2 2" xfId="26334" xr:uid="{00000000-0005-0000-0000-000083340000}"/>
    <cellStyle name="40% - Accent3 2 2 2 2 5 3" xfId="20722" xr:uid="{00000000-0005-0000-0000-000084340000}"/>
    <cellStyle name="40% - Accent3 2 2 2 2 6" xfId="3397" xr:uid="{00000000-0005-0000-0000-000085340000}"/>
    <cellStyle name="40% - Accent3 2 2 2 2 6 2" xfId="13907" xr:uid="{00000000-0005-0000-0000-000086340000}"/>
    <cellStyle name="40% - Accent3 2 2 2 2 6 2 2" xfId="27456" xr:uid="{00000000-0005-0000-0000-000087340000}"/>
    <cellStyle name="40% - Accent3 2 2 2 2 6 3" xfId="20723" xr:uid="{00000000-0005-0000-0000-000088340000}"/>
    <cellStyle name="40% - Accent3 2 2 2 2 7" xfId="3398" xr:uid="{00000000-0005-0000-0000-000089340000}"/>
    <cellStyle name="40% - Accent3 2 2 2 2 7 2" xfId="14488" xr:uid="{00000000-0005-0000-0000-00008A340000}"/>
    <cellStyle name="40% - Accent3 2 2 2 2 7 2 2" xfId="28037" xr:uid="{00000000-0005-0000-0000-00008B340000}"/>
    <cellStyle name="40% - Accent3 2 2 2 2 7 3" xfId="20724" xr:uid="{00000000-0005-0000-0000-00008C340000}"/>
    <cellStyle name="40% - Accent3 2 2 2 2 8" xfId="3399" xr:uid="{00000000-0005-0000-0000-00008D340000}"/>
    <cellStyle name="40% - Accent3 2 2 2 2 8 2" xfId="15174" xr:uid="{00000000-0005-0000-0000-00008E340000}"/>
    <cellStyle name="40% - Accent3 2 2 2 2 8 2 2" xfId="28723" xr:uid="{00000000-0005-0000-0000-00008F340000}"/>
    <cellStyle name="40% - Accent3 2 2 2 2 8 3" xfId="20725" xr:uid="{00000000-0005-0000-0000-000090340000}"/>
    <cellStyle name="40% - Accent3 2 2 2 2 9" xfId="3400" xr:uid="{00000000-0005-0000-0000-000091340000}"/>
    <cellStyle name="40% - Accent3 2 2 2 2 9 2" xfId="16374" xr:uid="{00000000-0005-0000-0000-000092340000}"/>
    <cellStyle name="40% - Accent3 2 2 2 2 9 2 2" xfId="29781" xr:uid="{00000000-0005-0000-0000-000093340000}"/>
    <cellStyle name="40% - Accent3 2 2 2 2 9 3" xfId="20726" xr:uid="{00000000-0005-0000-0000-000094340000}"/>
    <cellStyle name="40% - Accent3 2 2 2 3" xfId="3401" xr:uid="{00000000-0005-0000-0000-000095340000}"/>
    <cellStyle name="40% - Accent3 2 2 2 3 2" xfId="3402" xr:uid="{00000000-0005-0000-0000-000096340000}"/>
    <cellStyle name="40% - Accent3 2 2 2 3 2 2" xfId="11026" xr:uid="{00000000-0005-0000-0000-000097340000}"/>
    <cellStyle name="40% - Accent3 2 2 2 3 2 2 2" xfId="24968" xr:uid="{00000000-0005-0000-0000-000098340000}"/>
    <cellStyle name="40% - Accent3 2 2 2 3 2 3" xfId="20728" xr:uid="{00000000-0005-0000-0000-000099340000}"/>
    <cellStyle name="40% - Accent3 2 2 2 3 3" xfId="3403" xr:uid="{00000000-0005-0000-0000-00009A340000}"/>
    <cellStyle name="40% - Accent3 2 2 2 3 3 2" xfId="12481" xr:uid="{00000000-0005-0000-0000-00009B340000}"/>
    <cellStyle name="40% - Accent3 2 2 2 3 3 2 2" xfId="26193" xr:uid="{00000000-0005-0000-0000-00009C340000}"/>
    <cellStyle name="40% - Accent3 2 2 2 3 3 3" xfId="20729" xr:uid="{00000000-0005-0000-0000-00009D340000}"/>
    <cellStyle name="40% - Accent3 2 2 2 3 4" xfId="3404" xr:uid="{00000000-0005-0000-0000-00009E340000}"/>
    <cellStyle name="40% - Accent3 2 2 2 3 4 2" xfId="15177" xr:uid="{00000000-0005-0000-0000-00009F340000}"/>
    <cellStyle name="40% - Accent3 2 2 2 3 4 2 2" xfId="28726" xr:uid="{00000000-0005-0000-0000-0000A0340000}"/>
    <cellStyle name="40% - Accent3 2 2 2 3 4 3" xfId="20730" xr:uid="{00000000-0005-0000-0000-0000A1340000}"/>
    <cellStyle name="40% - Accent3 2 2 2 3 5" xfId="3405" xr:uid="{00000000-0005-0000-0000-0000A2340000}"/>
    <cellStyle name="40% - Accent3 2 2 2 3 5 2" xfId="16666" xr:uid="{00000000-0005-0000-0000-0000A3340000}"/>
    <cellStyle name="40% - Accent3 2 2 2 3 5 2 2" xfId="30073" xr:uid="{00000000-0005-0000-0000-0000A4340000}"/>
    <cellStyle name="40% - Accent3 2 2 2 3 5 3" xfId="20731" xr:uid="{00000000-0005-0000-0000-0000A5340000}"/>
    <cellStyle name="40% - Accent3 2 2 2 3 6" xfId="9299" xr:uid="{00000000-0005-0000-0000-0000A6340000}"/>
    <cellStyle name="40% - Accent3 2 2 2 3 6 2" xfId="23774" xr:uid="{00000000-0005-0000-0000-0000A7340000}"/>
    <cellStyle name="40% - Accent3 2 2 2 3 7" xfId="20727" xr:uid="{00000000-0005-0000-0000-0000A8340000}"/>
    <cellStyle name="40% - Accent3 2 2 2 4" xfId="3406" xr:uid="{00000000-0005-0000-0000-0000A9340000}"/>
    <cellStyle name="40% - Accent3 2 2 2 4 2" xfId="3407" xr:uid="{00000000-0005-0000-0000-0000AA340000}"/>
    <cellStyle name="40% - Accent3 2 2 2 4 2 2" xfId="15178" xr:uid="{00000000-0005-0000-0000-0000AB340000}"/>
    <cellStyle name="40% - Accent3 2 2 2 4 2 2 2" xfId="28727" xr:uid="{00000000-0005-0000-0000-0000AC340000}"/>
    <cellStyle name="40% - Accent3 2 2 2 4 2 3" xfId="20733" xr:uid="{00000000-0005-0000-0000-0000AD340000}"/>
    <cellStyle name="40% - Accent3 2 2 2 4 3" xfId="11023" xr:uid="{00000000-0005-0000-0000-0000AE340000}"/>
    <cellStyle name="40% - Accent3 2 2 2 4 3 2" xfId="24965" xr:uid="{00000000-0005-0000-0000-0000AF340000}"/>
    <cellStyle name="40% - Accent3 2 2 2 4 4" xfId="20732" xr:uid="{00000000-0005-0000-0000-0000B0340000}"/>
    <cellStyle name="40% - Accent3 2 2 2 5" xfId="3408" xr:uid="{00000000-0005-0000-0000-0000B1340000}"/>
    <cellStyle name="40% - Accent3 2 2 2 5 2" xfId="12043" xr:uid="{00000000-0005-0000-0000-0000B2340000}"/>
    <cellStyle name="40% - Accent3 2 2 2 5 2 2" xfId="25758" xr:uid="{00000000-0005-0000-0000-0000B3340000}"/>
    <cellStyle name="40% - Accent3 2 2 2 5 3" xfId="20734" xr:uid="{00000000-0005-0000-0000-0000B4340000}"/>
    <cellStyle name="40% - Accent3 2 2 2 6" xfId="3409" xr:uid="{00000000-0005-0000-0000-0000B5340000}"/>
    <cellStyle name="40% - Accent3 2 2 2 6 2" xfId="12457" xr:uid="{00000000-0005-0000-0000-0000B6340000}"/>
    <cellStyle name="40% - Accent3 2 2 2 6 2 2" xfId="26169" xr:uid="{00000000-0005-0000-0000-0000B7340000}"/>
    <cellStyle name="40% - Accent3 2 2 2 6 3" xfId="20735" xr:uid="{00000000-0005-0000-0000-0000B8340000}"/>
    <cellStyle name="40% - Accent3 2 2 2 7" xfId="3410" xr:uid="{00000000-0005-0000-0000-0000B9340000}"/>
    <cellStyle name="40% - Accent3 2 2 2 7 2" xfId="13618" xr:uid="{00000000-0005-0000-0000-0000BA340000}"/>
    <cellStyle name="40% - Accent3 2 2 2 7 2 2" xfId="27167" xr:uid="{00000000-0005-0000-0000-0000BB340000}"/>
    <cellStyle name="40% - Accent3 2 2 2 7 3" xfId="20736" xr:uid="{00000000-0005-0000-0000-0000BC340000}"/>
    <cellStyle name="40% - Accent3 2 2 2 8" xfId="3411" xr:uid="{00000000-0005-0000-0000-0000BD340000}"/>
    <cellStyle name="40% - Accent3 2 2 2 8 2" xfId="14199" xr:uid="{00000000-0005-0000-0000-0000BE340000}"/>
    <cellStyle name="40% - Accent3 2 2 2 8 2 2" xfId="27748" xr:uid="{00000000-0005-0000-0000-0000BF340000}"/>
    <cellStyle name="40% - Accent3 2 2 2 8 3" xfId="20737" xr:uid="{00000000-0005-0000-0000-0000C0340000}"/>
    <cellStyle name="40% - Accent3 2 2 2 9" xfId="3412" xr:uid="{00000000-0005-0000-0000-0000C1340000}"/>
    <cellStyle name="40% - Accent3 2 2 2 9 2" xfId="15173" xr:uid="{00000000-0005-0000-0000-0000C2340000}"/>
    <cellStyle name="40% - Accent3 2 2 2 9 2 2" xfId="28722" xr:uid="{00000000-0005-0000-0000-0000C3340000}"/>
    <cellStyle name="40% - Accent3 2 2 2 9 3" xfId="20738" xr:uid="{00000000-0005-0000-0000-0000C4340000}"/>
    <cellStyle name="40% - Accent3 2 2 3" xfId="3413" xr:uid="{00000000-0005-0000-0000-0000C5340000}"/>
    <cellStyle name="40% - Accent3 2 2 3 10" xfId="9300" xr:uid="{00000000-0005-0000-0000-0000C6340000}"/>
    <cellStyle name="40% - Accent3 2 2 3 10 2" xfId="23775" xr:uid="{00000000-0005-0000-0000-0000C7340000}"/>
    <cellStyle name="40% - Accent3 2 2 3 11" xfId="20739" xr:uid="{00000000-0005-0000-0000-0000C8340000}"/>
    <cellStyle name="40% - Accent3 2 2 3 2" xfId="3414" xr:uid="{00000000-0005-0000-0000-0000C9340000}"/>
    <cellStyle name="40% - Accent3 2 2 3 2 2" xfId="3415" xr:uid="{00000000-0005-0000-0000-0000CA340000}"/>
    <cellStyle name="40% - Accent3 2 2 3 2 2 2" xfId="11028" xr:uid="{00000000-0005-0000-0000-0000CB340000}"/>
    <cellStyle name="40% - Accent3 2 2 3 2 2 2 2" xfId="24970" xr:uid="{00000000-0005-0000-0000-0000CC340000}"/>
    <cellStyle name="40% - Accent3 2 2 3 2 2 3" xfId="20741" xr:uid="{00000000-0005-0000-0000-0000CD340000}"/>
    <cellStyle name="40% - Accent3 2 2 3 2 3" xfId="3416" xr:uid="{00000000-0005-0000-0000-0000CE340000}"/>
    <cellStyle name="40% - Accent3 2 2 3 2 3 2" xfId="12714" xr:uid="{00000000-0005-0000-0000-0000CF340000}"/>
    <cellStyle name="40% - Accent3 2 2 3 2 3 2 2" xfId="26426" xr:uid="{00000000-0005-0000-0000-0000D0340000}"/>
    <cellStyle name="40% - Accent3 2 2 3 2 3 3" xfId="20742" xr:uid="{00000000-0005-0000-0000-0000D1340000}"/>
    <cellStyle name="40% - Accent3 2 2 3 2 4" xfId="3417" xr:uid="{00000000-0005-0000-0000-0000D2340000}"/>
    <cellStyle name="40% - Accent3 2 2 3 2 4 2" xfId="15180" xr:uid="{00000000-0005-0000-0000-0000D3340000}"/>
    <cellStyle name="40% - Accent3 2 2 3 2 4 2 2" xfId="28729" xr:uid="{00000000-0005-0000-0000-0000D4340000}"/>
    <cellStyle name="40% - Accent3 2 2 3 2 4 3" xfId="20743" xr:uid="{00000000-0005-0000-0000-0000D5340000}"/>
    <cellStyle name="40% - Accent3 2 2 3 2 5" xfId="3418" xr:uid="{00000000-0005-0000-0000-0000D6340000}"/>
    <cellStyle name="40% - Accent3 2 2 3 2 5 2" xfId="16812" xr:uid="{00000000-0005-0000-0000-0000D7340000}"/>
    <cellStyle name="40% - Accent3 2 2 3 2 5 2 2" xfId="30219" xr:uid="{00000000-0005-0000-0000-0000D8340000}"/>
    <cellStyle name="40% - Accent3 2 2 3 2 5 3" xfId="20744" xr:uid="{00000000-0005-0000-0000-0000D9340000}"/>
    <cellStyle name="40% - Accent3 2 2 3 2 6" xfId="9301" xr:uid="{00000000-0005-0000-0000-0000DA340000}"/>
    <cellStyle name="40% - Accent3 2 2 3 2 6 2" xfId="23776" xr:uid="{00000000-0005-0000-0000-0000DB340000}"/>
    <cellStyle name="40% - Accent3 2 2 3 2 7" xfId="20740" xr:uid="{00000000-0005-0000-0000-0000DC340000}"/>
    <cellStyle name="40% - Accent3 2 2 3 3" xfId="3419" xr:uid="{00000000-0005-0000-0000-0000DD340000}"/>
    <cellStyle name="40% - Accent3 2 2 3 3 2" xfId="3420" xr:uid="{00000000-0005-0000-0000-0000DE340000}"/>
    <cellStyle name="40% - Accent3 2 2 3 3 2 2" xfId="15181" xr:uid="{00000000-0005-0000-0000-0000DF340000}"/>
    <cellStyle name="40% - Accent3 2 2 3 3 2 2 2" xfId="28730" xr:uid="{00000000-0005-0000-0000-0000E0340000}"/>
    <cellStyle name="40% - Accent3 2 2 3 3 2 3" xfId="20746" xr:uid="{00000000-0005-0000-0000-0000E1340000}"/>
    <cellStyle name="40% - Accent3 2 2 3 3 3" xfId="11027" xr:uid="{00000000-0005-0000-0000-0000E2340000}"/>
    <cellStyle name="40% - Accent3 2 2 3 3 3 2" xfId="24969" xr:uid="{00000000-0005-0000-0000-0000E3340000}"/>
    <cellStyle name="40% - Accent3 2 2 3 3 4" xfId="20745" xr:uid="{00000000-0005-0000-0000-0000E4340000}"/>
    <cellStyle name="40% - Accent3 2 2 3 4" xfId="3421" xr:uid="{00000000-0005-0000-0000-0000E5340000}"/>
    <cellStyle name="40% - Accent3 2 2 3 4 2" xfId="12200" xr:uid="{00000000-0005-0000-0000-0000E6340000}"/>
    <cellStyle name="40% - Accent3 2 2 3 4 2 2" xfId="25912" xr:uid="{00000000-0005-0000-0000-0000E7340000}"/>
    <cellStyle name="40% - Accent3 2 2 3 4 3" xfId="20747" xr:uid="{00000000-0005-0000-0000-0000E8340000}"/>
    <cellStyle name="40% - Accent3 2 2 3 5" xfId="3422" xr:uid="{00000000-0005-0000-0000-0000E9340000}"/>
    <cellStyle name="40% - Accent3 2 2 3 5 2" xfId="12490" xr:uid="{00000000-0005-0000-0000-0000EA340000}"/>
    <cellStyle name="40% - Accent3 2 2 3 5 2 2" xfId="26202" xr:uid="{00000000-0005-0000-0000-0000EB340000}"/>
    <cellStyle name="40% - Accent3 2 2 3 5 3" xfId="20748" xr:uid="{00000000-0005-0000-0000-0000EC340000}"/>
    <cellStyle name="40% - Accent3 2 2 3 6" xfId="3423" xr:uid="{00000000-0005-0000-0000-0000ED340000}"/>
    <cellStyle name="40% - Accent3 2 2 3 6 2" xfId="13764" xr:uid="{00000000-0005-0000-0000-0000EE340000}"/>
    <cellStyle name="40% - Accent3 2 2 3 6 2 2" xfId="27313" xr:uid="{00000000-0005-0000-0000-0000EF340000}"/>
    <cellStyle name="40% - Accent3 2 2 3 6 3" xfId="20749" xr:uid="{00000000-0005-0000-0000-0000F0340000}"/>
    <cellStyle name="40% - Accent3 2 2 3 7" xfId="3424" xr:uid="{00000000-0005-0000-0000-0000F1340000}"/>
    <cellStyle name="40% - Accent3 2 2 3 7 2" xfId="14345" xr:uid="{00000000-0005-0000-0000-0000F2340000}"/>
    <cellStyle name="40% - Accent3 2 2 3 7 2 2" xfId="27894" xr:uid="{00000000-0005-0000-0000-0000F3340000}"/>
    <cellStyle name="40% - Accent3 2 2 3 7 3" xfId="20750" xr:uid="{00000000-0005-0000-0000-0000F4340000}"/>
    <cellStyle name="40% - Accent3 2 2 3 8" xfId="3425" xr:uid="{00000000-0005-0000-0000-0000F5340000}"/>
    <cellStyle name="40% - Accent3 2 2 3 8 2" xfId="15179" xr:uid="{00000000-0005-0000-0000-0000F6340000}"/>
    <cellStyle name="40% - Accent3 2 2 3 8 2 2" xfId="28728" xr:uid="{00000000-0005-0000-0000-0000F7340000}"/>
    <cellStyle name="40% - Accent3 2 2 3 8 3" xfId="20751" xr:uid="{00000000-0005-0000-0000-0000F8340000}"/>
    <cellStyle name="40% - Accent3 2 2 3 9" xfId="3426" xr:uid="{00000000-0005-0000-0000-0000F9340000}"/>
    <cellStyle name="40% - Accent3 2 2 3 9 2" xfId="16231" xr:uid="{00000000-0005-0000-0000-0000FA340000}"/>
    <cellStyle name="40% - Accent3 2 2 3 9 2 2" xfId="29638" xr:uid="{00000000-0005-0000-0000-0000FB340000}"/>
    <cellStyle name="40% - Accent3 2 2 3 9 3" xfId="20752" xr:uid="{00000000-0005-0000-0000-0000FC340000}"/>
    <cellStyle name="40% - Accent3 2 2 4" xfId="3427" xr:uid="{00000000-0005-0000-0000-0000FD340000}"/>
    <cellStyle name="40% - Accent3 2 2 4 2" xfId="3428" xr:uid="{00000000-0005-0000-0000-0000FE340000}"/>
    <cellStyle name="40% - Accent3 2 2 4 2 2" xfId="11029" xr:uid="{00000000-0005-0000-0000-0000FF340000}"/>
    <cellStyle name="40% - Accent3 2 2 4 2 2 2" xfId="24971" xr:uid="{00000000-0005-0000-0000-000000350000}"/>
    <cellStyle name="40% - Accent3 2 2 4 2 3" xfId="20754" xr:uid="{00000000-0005-0000-0000-000001350000}"/>
    <cellStyle name="40% - Accent3 2 2 4 3" xfId="3429" xr:uid="{00000000-0005-0000-0000-000002350000}"/>
    <cellStyle name="40% - Accent3 2 2 4 3 2" xfId="12380" xr:uid="{00000000-0005-0000-0000-000003350000}"/>
    <cellStyle name="40% - Accent3 2 2 4 3 2 2" xfId="26092" xr:uid="{00000000-0005-0000-0000-000004350000}"/>
    <cellStyle name="40% - Accent3 2 2 4 3 3" xfId="20755" xr:uid="{00000000-0005-0000-0000-000005350000}"/>
    <cellStyle name="40% - Accent3 2 2 4 4" xfId="3430" xr:uid="{00000000-0005-0000-0000-000006350000}"/>
    <cellStyle name="40% - Accent3 2 2 4 4 2" xfId="15182" xr:uid="{00000000-0005-0000-0000-000007350000}"/>
    <cellStyle name="40% - Accent3 2 2 4 4 2 2" xfId="28731" xr:uid="{00000000-0005-0000-0000-000008350000}"/>
    <cellStyle name="40% - Accent3 2 2 4 4 3" xfId="20756" xr:uid="{00000000-0005-0000-0000-000009350000}"/>
    <cellStyle name="40% - Accent3 2 2 4 5" xfId="3431" xr:uid="{00000000-0005-0000-0000-00000A350000}"/>
    <cellStyle name="40% - Accent3 2 2 4 5 2" xfId="17159" xr:uid="{00000000-0005-0000-0000-00000B350000}"/>
    <cellStyle name="40% - Accent3 2 2 4 5 2 2" xfId="30518" xr:uid="{00000000-0005-0000-0000-00000C350000}"/>
    <cellStyle name="40% - Accent3 2 2 4 5 3" xfId="20757" xr:uid="{00000000-0005-0000-0000-00000D350000}"/>
    <cellStyle name="40% - Accent3 2 2 4 6" xfId="9302" xr:uid="{00000000-0005-0000-0000-00000E350000}"/>
    <cellStyle name="40% - Accent3 2 2 4 6 2" xfId="23777" xr:uid="{00000000-0005-0000-0000-00000F350000}"/>
    <cellStyle name="40% - Accent3 2 2 4 7" xfId="20753" xr:uid="{00000000-0005-0000-0000-000010350000}"/>
    <cellStyle name="40% - Accent3 2 2 5" xfId="3432" xr:uid="{00000000-0005-0000-0000-000011350000}"/>
    <cellStyle name="40% - Accent3 2 2 5 2" xfId="3433" xr:uid="{00000000-0005-0000-0000-000012350000}"/>
    <cellStyle name="40% - Accent3 2 2 5 2 2" xfId="15183" xr:uid="{00000000-0005-0000-0000-000013350000}"/>
    <cellStyle name="40% - Accent3 2 2 5 2 2 2" xfId="28732" xr:uid="{00000000-0005-0000-0000-000014350000}"/>
    <cellStyle name="40% - Accent3 2 2 5 2 3" xfId="20759" xr:uid="{00000000-0005-0000-0000-000015350000}"/>
    <cellStyle name="40% - Accent3 2 2 5 3" xfId="3434" xr:uid="{00000000-0005-0000-0000-000016350000}"/>
    <cellStyle name="40% - Accent3 2 2 5 3 2" xfId="17248" xr:uid="{00000000-0005-0000-0000-000017350000}"/>
    <cellStyle name="40% - Accent3 2 2 5 3 2 2" xfId="30607" xr:uid="{00000000-0005-0000-0000-000018350000}"/>
    <cellStyle name="40% - Accent3 2 2 5 3 3" xfId="20760" xr:uid="{00000000-0005-0000-0000-000019350000}"/>
    <cellStyle name="40% - Accent3 2 2 5 4" xfId="11022" xr:uid="{00000000-0005-0000-0000-00001A350000}"/>
    <cellStyle name="40% - Accent3 2 2 5 4 2" xfId="24964" xr:uid="{00000000-0005-0000-0000-00001B350000}"/>
    <cellStyle name="40% - Accent3 2 2 5 5" xfId="20758" xr:uid="{00000000-0005-0000-0000-00001C350000}"/>
    <cellStyle name="40% - Accent3 2 2 6" xfId="3435" xr:uid="{00000000-0005-0000-0000-00001D350000}"/>
    <cellStyle name="40% - Accent3 2 2 6 2" xfId="3436" xr:uid="{00000000-0005-0000-0000-00001E350000}"/>
    <cellStyle name="40% - Accent3 2 2 6 2 2" xfId="16523" xr:uid="{00000000-0005-0000-0000-00001F350000}"/>
    <cellStyle name="40% - Accent3 2 2 6 2 2 2" xfId="29930" xr:uid="{00000000-0005-0000-0000-000020350000}"/>
    <cellStyle name="40% - Accent3 2 2 6 2 3" xfId="20762" xr:uid="{00000000-0005-0000-0000-000021350000}"/>
    <cellStyle name="40% - Accent3 2 2 6 3" xfId="11898" xr:uid="{00000000-0005-0000-0000-000022350000}"/>
    <cellStyle name="40% - Accent3 2 2 6 3 2" xfId="25613" xr:uid="{00000000-0005-0000-0000-000023350000}"/>
    <cellStyle name="40% - Accent3 2 2 6 4" xfId="20761" xr:uid="{00000000-0005-0000-0000-000024350000}"/>
    <cellStyle name="40% - Accent3 2 2 7" xfId="3437" xr:uid="{00000000-0005-0000-0000-000025350000}"/>
    <cellStyle name="40% - Accent3 2 2 7 2" xfId="12388" xr:uid="{00000000-0005-0000-0000-000026350000}"/>
    <cellStyle name="40% - Accent3 2 2 7 2 2" xfId="26100" xr:uid="{00000000-0005-0000-0000-000027350000}"/>
    <cellStyle name="40% - Accent3 2 2 7 3" xfId="20763" xr:uid="{00000000-0005-0000-0000-000028350000}"/>
    <cellStyle name="40% - Accent3 2 2 8" xfId="3438" xr:uid="{00000000-0005-0000-0000-000029350000}"/>
    <cellStyle name="40% - Accent3 2 2 8 2" xfId="13475" xr:uid="{00000000-0005-0000-0000-00002A350000}"/>
    <cellStyle name="40% - Accent3 2 2 8 2 2" xfId="27024" xr:uid="{00000000-0005-0000-0000-00002B350000}"/>
    <cellStyle name="40% - Accent3 2 2 8 3" xfId="20764" xr:uid="{00000000-0005-0000-0000-00002C350000}"/>
    <cellStyle name="40% - Accent3 2 2 9" xfId="3439" xr:uid="{00000000-0005-0000-0000-00002D350000}"/>
    <cellStyle name="40% - Accent3 2 2 9 2" xfId="14056" xr:uid="{00000000-0005-0000-0000-00002E350000}"/>
    <cellStyle name="40% - Accent3 2 2 9 2 2" xfId="27605" xr:uid="{00000000-0005-0000-0000-00002F350000}"/>
    <cellStyle name="40% - Accent3 2 2 9 3" xfId="20765" xr:uid="{00000000-0005-0000-0000-000030350000}"/>
    <cellStyle name="40% - Accent3 2 3" xfId="3440" xr:uid="{00000000-0005-0000-0000-000031350000}"/>
    <cellStyle name="40% - Accent3 2 3 10" xfId="3441" xr:uid="{00000000-0005-0000-0000-000032350000}"/>
    <cellStyle name="40% - Accent3 2 3 10 2" xfId="16039" xr:uid="{00000000-0005-0000-0000-000033350000}"/>
    <cellStyle name="40% - Accent3 2 3 10 2 2" xfId="29446" xr:uid="{00000000-0005-0000-0000-000034350000}"/>
    <cellStyle name="40% - Accent3 2 3 10 3" xfId="20767" xr:uid="{00000000-0005-0000-0000-000035350000}"/>
    <cellStyle name="40% - Accent3 2 3 11" xfId="9303" xr:uid="{00000000-0005-0000-0000-000036350000}"/>
    <cellStyle name="40% - Accent3 2 3 11 2" xfId="23778" xr:uid="{00000000-0005-0000-0000-000037350000}"/>
    <cellStyle name="40% - Accent3 2 3 12" xfId="20766" xr:uid="{00000000-0005-0000-0000-000038350000}"/>
    <cellStyle name="40% - Accent3 2 3 2" xfId="3442" xr:uid="{00000000-0005-0000-0000-000039350000}"/>
    <cellStyle name="40% - Accent3 2 3 2 10" xfId="9304" xr:uid="{00000000-0005-0000-0000-00003A350000}"/>
    <cellStyle name="40% - Accent3 2 3 2 10 2" xfId="23779" xr:uid="{00000000-0005-0000-0000-00003B350000}"/>
    <cellStyle name="40% - Accent3 2 3 2 11" xfId="20768" xr:uid="{00000000-0005-0000-0000-00003C350000}"/>
    <cellStyle name="40% - Accent3 2 3 2 2" xfId="3443" xr:uid="{00000000-0005-0000-0000-00003D350000}"/>
    <cellStyle name="40% - Accent3 2 3 2 2 2" xfId="3444" xr:uid="{00000000-0005-0000-0000-00003E350000}"/>
    <cellStyle name="40% - Accent3 2 3 2 2 2 2" xfId="11032" xr:uid="{00000000-0005-0000-0000-00003F350000}"/>
    <cellStyle name="40% - Accent3 2 3 2 2 2 2 2" xfId="24974" xr:uid="{00000000-0005-0000-0000-000040350000}"/>
    <cellStyle name="40% - Accent3 2 3 2 2 2 3" xfId="20770" xr:uid="{00000000-0005-0000-0000-000041350000}"/>
    <cellStyle name="40% - Accent3 2 3 2 2 3" xfId="3445" xr:uid="{00000000-0005-0000-0000-000042350000}"/>
    <cellStyle name="40% - Accent3 2 3 2 2 3 2" xfId="12419" xr:uid="{00000000-0005-0000-0000-000043350000}"/>
    <cellStyle name="40% - Accent3 2 3 2 2 3 2 2" xfId="26131" xr:uid="{00000000-0005-0000-0000-000044350000}"/>
    <cellStyle name="40% - Accent3 2 3 2 2 3 3" xfId="20771" xr:uid="{00000000-0005-0000-0000-000045350000}"/>
    <cellStyle name="40% - Accent3 2 3 2 2 4" xfId="3446" xr:uid="{00000000-0005-0000-0000-000046350000}"/>
    <cellStyle name="40% - Accent3 2 3 2 2 4 2" xfId="15186" xr:uid="{00000000-0005-0000-0000-000047350000}"/>
    <cellStyle name="40% - Accent3 2 3 2 2 4 2 2" xfId="28735" xr:uid="{00000000-0005-0000-0000-000048350000}"/>
    <cellStyle name="40% - Accent3 2 3 2 2 4 3" xfId="20772" xr:uid="{00000000-0005-0000-0000-000049350000}"/>
    <cellStyle name="40% - Accent3 2 3 2 2 5" xfId="3447" xr:uid="{00000000-0005-0000-0000-00004A350000}"/>
    <cellStyle name="40% - Accent3 2 3 2 2 5 2" xfId="16909" xr:uid="{00000000-0005-0000-0000-00004B350000}"/>
    <cellStyle name="40% - Accent3 2 3 2 2 5 2 2" xfId="30316" xr:uid="{00000000-0005-0000-0000-00004C350000}"/>
    <cellStyle name="40% - Accent3 2 3 2 2 5 3" xfId="20773" xr:uid="{00000000-0005-0000-0000-00004D350000}"/>
    <cellStyle name="40% - Accent3 2 3 2 2 6" xfId="9305" xr:uid="{00000000-0005-0000-0000-00004E350000}"/>
    <cellStyle name="40% - Accent3 2 3 2 2 6 2" xfId="23780" xr:uid="{00000000-0005-0000-0000-00004F350000}"/>
    <cellStyle name="40% - Accent3 2 3 2 2 7" xfId="20769" xr:uid="{00000000-0005-0000-0000-000050350000}"/>
    <cellStyle name="40% - Accent3 2 3 2 3" xfId="3448" xr:uid="{00000000-0005-0000-0000-000051350000}"/>
    <cellStyle name="40% - Accent3 2 3 2 3 2" xfId="3449" xr:uid="{00000000-0005-0000-0000-000052350000}"/>
    <cellStyle name="40% - Accent3 2 3 2 3 2 2" xfId="15187" xr:uid="{00000000-0005-0000-0000-000053350000}"/>
    <cellStyle name="40% - Accent3 2 3 2 3 2 2 2" xfId="28736" xr:uid="{00000000-0005-0000-0000-000054350000}"/>
    <cellStyle name="40% - Accent3 2 3 2 3 2 3" xfId="20775" xr:uid="{00000000-0005-0000-0000-000055350000}"/>
    <cellStyle name="40% - Accent3 2 3 2 3 3" xfId="11031" xr:uid="{00000000-0005-0000-0000-000056350000}"/>
    <cellStyle name="40% - Accent3 2 3 2 3 3 2" xfId="24973" xr:uid="{00000000-0005-0000-0000-000057350000}"/>
    <cellStyle name="40% - Accent3 2 3 2 3 4" xfId="20774" xr:uid="{00000000-0005-0000-0000-000058350000}"/>
    <cellStyle name="40% - Accent3 2 3 2 4" xfId="3450" xr:uid="{00000000-0005-0000-0000-000059350000}"/>
    <cellStyle name="40% - Accent3 2 3 2 4 2" xfId="12297" xr:uid="{00000000-0005-0000-0000-00005A350000}"/>
    <cellStyle name="40% - Accent3 2 3 2 4 2 2" xfId="26009" xr:uid="{00000000-0005-0000-0000-00005B350000}"/>
    <cellStyle name="40% - Accent3 2 3 2 4 3" xfId="20776" xr:uid="{00000000-0005-0000-0000-00005C350000}"/>
    <cellStyle name="40% - Accent3 2 3 2 5" xfId="3451" xr:uid="{00000000-0005-0000-0000-00005D350000}"/>
    <cellStyle name="40% - Accent3 2 3 2 5 2" xfId="12563" xr:uid="{00000000-0005-0000-0000-00005E350000}"/>
    <cellStyle name="40% - Accent3 2 3 2 5 2 2" xfId="26275" xr:uid="{00000000-0005-0000-0000-00005F350000}"/>
    <cellStyle name="40% - Accent3 2 3 2 5 3" xfId="20777" xr:uid="{00000000-0005-0000-0000-000060350000}"/>
    <cellStyle name="40% - Accent3 2 3 2 6" xfId="3452" xr:uid="{00000000-0005-0000-0000-000061350000}"/>
    <cellStyle name="40% - Accent3 2 3 2 6 2" xfId="13861" xr:uid="{00000000-0005-0000-0000-000062350000}"/>
    <cellStyle name="40% - Accent3 2 3 2 6 2 2" xfId="27410" xr:uid="{00000000-0005-0000-0000-000063350000}"/>
    <cellStyle name="40% - Accent3 2 3 2 6 3" xfId="20778" xr:uid="{00000000-0005-0000-0000-000064350000}"/>
    <cellStyle name="40% - Accent3 2 3 2 7" xfId="3453" xr:uid="{00000000-0005-0000-0000-000065350000}"/>
    <cellStyle name="40% - Accent3 2 3 2 7 2" xfId="14442" xr:uid="{00000000-0005-0000-0000-000066350000}"/>
    <cellStyle name="40% - Accent3 2 3 2 7 2 2" xfId="27991" xr:uid="{00000000-0005-0000-0000-000067350000}"/>
    <cellStyle name="40% - Accent3 2 3 2 7 3" xfId="20779" xr:uid="{00000000-0005-0000-0000-000068350000}"/>
    <cellStyle name="40% - Accent3 2 3 2 8" xfId="3454" xr:uid="{00000000-0005-0000-0000-000069350000}"/>
    <cellStyle name="40% - Accent3 2 3 2 8 2" xfId="15185" xr:uid="{00000000-0005-0000-0000-00006A350000}"/>
    <cellStyle name="40% - Accent3 2 3 2 8 2 2" xfId="28734" xr:uid="{00000000-0005-0000-0000-00006B350000}"/>
    <cellStyle name="40% - Accent3 2 3 2 8 3" xfId="20780" xr:uid="{00000000-0005-0000-0000-00006C350000}"/>
    <cellStyle name="40% - Accent3 2 3 2 9" xfId="3455" xr:uid="{00000000-0005-0000-0000-00006D350000}"/>
    <cellStyle name="40% - Accent3 2 3 2 9 2" xfId="16328" xr:uid="{00000000-0005-0000-0000-00006E350000}"/>
    <cellStyle name="40% - Accent3 2 3 2 9 2 2" xfId="29735" xr:uid="{00000000-0005-0000-0000-00006F350000}"/>
    <cellStyle name="40% - Accent3 2 3 2 9 3" xfId="20781" xr:uid="{00000000-0005-0000-0000-000070350000}"/>
    <cellStyle name="40% - Accent3 2 3 3" xfId="3456" xr:uid="{00000000-0005-0000-0000-000071350000}"/>
    <cellStyle name="40% - Accent3 2 3 3 2" xfId="3457" xr:uid="{00000000-0005-0000-0000-000072350000}"/>
    <cellStyle name="40% - Accent3 2 3 3 2 2" xfId="11033" xr:uid="{00000000-0005-0000-0000-000073350000}"/>
    <cellStyle name="40% - Accent3 2 3 3 2 2 2" xfId="24975" xr:uid="{00000000-0005-0000-0000-000074350000}"/>
    <cellStyle name="40% - Accent3 2 3 3 2 3" xfId="20783" xr:uid="{00000000-0005-0000-0000-000075350000}"/>
    <cellStyle name="40% - Accent3 2 3 3 3" xfId="3458" xr:uid="{00000000-0005-0000-0000-000076350000}"/>
    <cellStyle name="40% - Accent3 2 3 3 3 2" xfId="12802" xr:uid="{00000000-0005-0000-0000-000077350000}"/>
    <cellStyle name="40% - Accent3 2 3 3 3 2 2" xfId="26514" xr:uid="{00000000-0005-0000-0000-000078350000}"/>
    <cellStyle name="40% - Accent3 2 3 3 3 3" xfId="20784" xr:uid="{00000000-0005-0000-0000-000079350000}"/>
    <cellStyle name="40% - Accent3 2 3 3 4" xfId="3459" xr:uid="{00000000-0005-0000-0000-00007A350000}"/>
    <cellStyle name="40% - Accent3 2 3 3 4 2" xfId="15188" xr:uid="{00000000-0005-0000-0000-00007B350000}"/>
    <cellStyle name="40% - Accent3 2 3 3 4 2 2" xfId="28737" xr:uid="{00000000-0005-0000-0000-00007C350000}"/>
    <cellStyle name="40% - Accent3 2 3 3 4 3" xfId="20785" xr:uid="{00000000-0005-0000-0000-00007D350000}"/>
    <cellStyle name="40% - Accent3 2 3 3 5" xfId="3460" xr:uid="{00000000-0005-0000-0000-00007E350000}"/>
    <cellStyle name="40% - Accent3 2 3 3 5 2" xfId="16620" xr:uid="{00000000-0005-0000-0000-00007F350000}"/>
    <cellStyle name="40% - Accent3 2 3 3 5 2 2" xfId="30027" xr:uid="{00000000-0005-0000-0000-000080350000}"/>
    <cellStyle name="40% - Accent3 2 3 3 5 3" xfId="20786" xr:uid="{00000000-0005-0000-0000-000081350000}"/>
    <cellStyle name="40% - Accent3 2 3 3 6" xfId="9306" xr:uid="{00000000-0005-0000-0000-000082350000}"/>
    <cellStyle name="40% - Accent3 2 3 3 6 2" xfId="23781" xr:uid="{00000000-0005-0000-0000-000083350000}"/>
    <cellStyle name="40% - Accent3 2 3 3 7" xfId="20782" xr:uid="{00000000-0005-0000-0000-000084350000}"/>
    <cellStyle name="40% - Accent3 2 3 4" xfId="3461" xr:uid="{00000000-0005-0000-0000-000085350000}"/>
    <cellStyle name="40% - Accent3 2 3 4 2" xfId="3462" xr:uid="{00000000-0005-0000-0000-000086350000}"/>
    <cellStyle name="40% - Accent3 2 3 4 2 2" xfId="15189" xr:uid="{00000000-0005-0000-0000-000087350000}"/>
    <cellStyle name="40% - Accent3 2 3 4 2 2 2" xfId="28738" xr:uid="{00000000-0005-0000-0000-000088350000}"/>
    <cellStyle name="40% - Accent3 2 3 4 2 3" xfId="20788" xr:uid="{00000000-0005-0000-0000-000089350000}"/>
    <cellStyle name="40% - Accent3 2 3 4 3" xfId="11030" xr:uid="{00000000-0005-0000-0000-00008A350000}"/>
    <cellStyle name="40% - Accent3 2 3 4 3 2" xfId="24972" xr:uid="{00000000-0005-0000-0000-00008B350000}"/>
    <cellStyle name="40% - Accent3 2 3 4 4" xfId="20787" xr:uid="{00000000-0005-0000-0000-00008C350000}"/>
    <cellStyle name="40% - Accent3 2 3 5" xfId="3463" xr:uid="{00000000-0005-0000-0000-00008D350000}"/>
    <cellStyle name="40% - Accent3 2 3 5 2" xfId="11997" xr:uid="{00000000-0005-0000-0000-00008E350000}"/>
    <cellStyle name="40% - Accent3 2 3 5 2 2" xfId="25712" xr:uid="{00000000-0005-0000-0000-00008F350000}"/>
    <cellStyle name="40% - Accent3 2 3 5 3" xfId="20789" xr:uid="{00000000-0005-0000-0000-000090350000}"/>
    <cellStyle name="40% - Accent3 2 3 6" xfId="3464" xr:uid="{00000000-0005-0000-0000-000091350000}"/>
    <cellStyle name="40% - Accent3 2 3 6 2" xfId="12607" xr:uid="{00000000-0005-0000-0000-000092350000}"/>
    <cellStyle name="40% - Accent3 2 3 6 2 2" xfId="26319" xr:uid="{00000000-0005-0000-0000-000093350000}"/>
    <cellStyle name="40% - Accent3 2 3 6 3" xfId="20790" xr:uid="{00000000-0005-0000-0000-000094350000}"/>
    <cellStyle name="40% - Accent3 2 3 7" xfId="3465" xr:uid="{00000000-0005-0000-0000-000095350000}"/>
    <cellStyle name="40% - Accent3 2 3 7 2" xfId="13572" xr:uid="{00000000-0005-0000-0000-000096350000}"/>
    <cellStyle name="40% - Accent3 2 3 7 2 2" xfId="27121" xr:uid="{00000000-0005-0000-0000-000097350000}"/>
    <cellStyle name="40% - Accent3 2 3 7 3" xfId="20791" xr:uid="{00000000-0005-0000-0000-000098350000}"/>
    <cellStyle name="40% - Accent3 2 3 8" xfId="3466" xr:uid="{00000000-0005-0000-0000-000099350000}"/>
    <cellStyle name="40% - Accent3 2 3 8 2" xfId="14153" xr:uid="{00000000-0005-0000-0000-00009A350000}"/>
    <cellStyle name="40% - Accent3 2 3 8 2 2" xfId="27702" xr:uid="{00000000-0005-0000-0000-00009B350000}"/>
    <cellStyle name="40% - Accent3 2 3 8 3" xfId="20792" xr:uid="{00000000-0005-0000-0000-00009C350000}"/>
    <cellStyle name="40% - Accent3 2 3 9" xfId="3467" xr:uid="{00000000-0005-0000-0000-00009D350000}"/>
    <cellStyle name="40% - Accent3 2 3 9 2" xfId="15184" xr:uid="{00000000-0005-0000-0000-00009E350000}"/>
    <cellStyle name="40% - Accent3 2 3 9 2 2" xfId="28733" xr:uid="{00000000-0005-0000-0000-00009F350000}"/>
    <cellStyle name="40% - Accent3 2 3 9 3" xfId="20793" xr:uid="{00000000-0005-0000-0000-0000A0350000}"/>
    <cellStyle name="40% - Accent3 2 4" xfId="3468" xr:uid="{00000000-0005-0000-0000-0000A1350000}"/>
    <cellStyle name="40% - Accent3 2 4 10" xfId="9307" xr:uid="{00000000-0005-0000-0000-0000A2350000}"/>
    <cellStyle name="40% - Accent3 2 4 10 2" xfId="23782" xr:uid="{00000000-0005-0000-0000-0000A3350000}"/>
    <cellStyle name="40% - Accent3 2 4 11" xfId="20794" xr:uid="{00000000-0005-0000-0000-0000A4350000}"/>
    <cellStyle name="40% - Accent3 2 4 2" xfId="3469" xr:uid="{00000000-0005-0000-0000-0000A5350000}"/>
    <cellStyle name="40% - Accent3 2 4 2 2" xfId="3470" xr:uid="{00000000-0005-0000-0000-0000A6350000}"/>
    <cellStyle name="40% - Accent3 2 4 2 2 2" xfId="11035" xr:uid="{00000000-0005-0000-0000-0000A7350000}"/>
    <cellStyle name="40% - Accent3 2 4 2 2 2 2" xfId="24977" xr:uid="{00000000-0005-0000-0000-0000A8350000}"/>
    <cellStyle name="40% - Accent3 2 4 2 2 3" xfId="20796" xr:uid="{00000000-0005-0000-0000-0000A9350000}"/>
    <cellStyle name="40% - Accent3 2 4 2 3" xfId="3471" xr:uid="{00000000-0005-0000-0000-0000AA350000}"/>
    <cellStyle name="40% - Accent3 2 4 2 3 2" xfId="12804" xr:uid="{00000000-0005-0000-0000-0000AB350000}"/>
    <cellStyle name="40% - Accent3 2 4 2 3 2 2" xfId="26516" xr:uid="{00000000-0005-0000-0000-0000AC350000}"/>
    <cellStyle name="40% - Accent3 2 4 2 3 3" xfId="20797" xr:uid="{00000000-0005-0000-0000-0000AD350000}"/>
    <cellStyle name="40% - Accent3 2 4 2 4" xfId="3472" xr:uid="{00000000-0005-0000-0000-0000AE350000}"/>
    <cellStyle name="40% - Accent3 2 4 2 4 2" xfId="15191" xr:uid="{00000000-0005-0000-0000-0000AF350000}"/>
    <cellStyle name="40% - Accent3 2 4 2 4 2 2" xfId="28740" xr:uid="{00000000-0005-0000-0000-0000B0350000}"/>
    <cellStyle name="40% - Accent3 2 4 2 4 3" xfId="20798" xr:uid="{00000000-0005-0000-0000-0000B1350000}"/>
    <cellStyle name="40% - Accent3 2 4 2 5" xfId="3473" xr:uid="{00000000-0005-0000-0000-0000B2350000}"/>
    <cellStyle name="40% - Accent3 2 4 2 5 2" xfId="16766" xr:uid="{00000000-0005-0000-0000-0000B3350000}"/>
    <cellStyle name="40% - Accent3 2 4 2 5 2 2" xfId="30173" xr:uid="{00000000-0005-0000-0000-0000B4350000}"/>
    <cellStyle name="40% - Accent3 2 4 2 5 3" xfId="20799" xr:uid="{00000000-0005-0000-0000-0000B5350000}"/>
    <cellStyle name="40% - Accent3 2 4 2 6" xfId="9308" xr:uid="{00000000-0005-0000-0000-0000B6350000}"/>
    <cellStyle name="40% - Accent3 2 4 2 6 2" xfId="23783" xr:uid="{00000000-0005-0000-0000-0000B7350000}"/>
    <cellStyle name="40% - Accent3 2 4 2 7" xfId="20795" xr:uid="{00000000-0005-0000-0000-0000B8350000}"/>
    <cellStyle name="40% - Accent3 2 4 3" xfId="3474" xr:uid="{00000000-0005-0000-0000-0000B9350000}"/>
    <cellStyle name="40% - Accent3 2 4 3 2" xfId="3475" xr:uid="{00000000-0005-0000-0000-0000BA350000}"/>
    <cellStyle name="40% - Accent3 2 4 3 2 2" xfId="15192" xr:uid="{00000000-0005-0000-0000-0000BB350000}"/>
    <cellStyle name="40% - Accent3 2 4 3 2 2 2" xfId="28741" xr:uid="{00000000-0005-0000-0000-0000BC350000}"/>
    <cellStyle name="40% - Accent3 2 4 3 2 3" xfId="20801" xr:uid="{00000000-0005-0000-0000-0000BD350000}"/>
    <cellStyle name="40% - Accent3 2 4 3 3" xfId="11034" xr:uid="{00000000-0005-0000-0000-0000BE350000}"/>
    <cellStyle name="40% - Accent3 2 4 3 3 2" xfId="24976" xr:uid="{00000000-0005-0000-0000-0000BF350000}"/>
    <cellStyle name="40% - Accent3 2 4 3 4" xfId="20800" xr:uid="{00000000-0005-0000-0000-0000C0350000}"/>
    <cellStyle name="40% - Accent3 2 4 4" xfId="3476" xr:uid="{00000000-0005-0000-0000-0000C1350000}"/>
    <cellStyle name="40% - Accent3 2 4 4 2" xfId="12154" xr:uid="{00000000-0005-0000-0000-0000C2350000}"/>
    <cellStyle name="40% - Accent3 2 4 4 2 2" xfId="25866" xr:uid="{00000000-0005-0000-0000-0000C3350000}"/>
    <cellStyle name="40% - Accent3 2 4 4 3" xfId="20802" xr:uid="{00000000-0005-0000-0000-0000C4350000}"/>
    <cellStyle name="40% - Accent3 2 4 5" xfId="3477" xr:uid="{00000000-0005-0000-0000-0000C5350000}"/>
    <cellStyle name="40% - Accent3 2 4 5 2" xfId="12803" xr:uid="{00000000-0005-0000-0000-0000C6350000}"/>
    <cellStyle name="40% - Accent3 2 4 5 2 2" xfId="26515" xr:uid="{00000000-0005-0000-0000-0000C7350000}"/>
    <cellStyle name="40% - Accent3 2 4 5 3" xfId="20803" xr:uid="{00000000-0005-0000-0000-0000C8350000}"/>
    <cellStyle name="40% - Accent3 2 4 6" xfId="3478" xr:uid="{00000000-0005-0000-0000-0000C9350000}"/>
    <cellStyle name="40% - Accent3 2 4 6 2" xfId="13718" xr:uid="{00000000-0005-0000-0000-0000CA350000}"/>
    <cellStyle name="40% - Accent3 2 4 6 2 2" xfId="27267" xr:uid="{00000000-0005-0000-0000-0000CB350000}"/>
    <cellStyle name="40% - Accent3 2 4 6 3" xfId="20804" xr:uid="{00000000-0005-0000-0000-0000CC350000}"/>
    <cellStyle name="40% - Accent3 2 4 7" xfId="3479" xr:uid="{00000000-0005-0000-0000-0000CD350000}"/>
    <cellStyle name="40% - Accent3 2 4 7 2" xfId="14299" xr:uid="{00000000-0005-0000-0000-0000CE350000}"/>
    <cellStyle name="40% - Accent3 2 4 7 2 2" xfId="27848" xr:uid="{00000000-0005-0000-0000-0000CF350000}"/>
    <cellStyle name="40% - Accent3 2 4 7 3" xfId="20805" xr:uid="{00000000-0005-0000-0000-0000D0350000}"/>
    <cellStyle name="40% - Accent3 2 4 8" xfId="3480" xr:uid="{00000000-0005-0000-0000-0000D1350000}"/>
    <cellStyle name="40% - Accent3 2 4 8 2" xfId="15190" xr:uid="{00000000-0005-0000-0000-0000D2350000}"/>
    <cellStyle name="40% - Accent3 2 4 8 2 2" xfId="28739" xr:uid="{00000000-0005-0000-0000-0000D3350000}"/>
    <cellStyle name="40% - Accent3 2 4 8 3" xfId="20806" xr:uid="{00000000-0005-0000-0000-0000D4350000}"/>
    <cellStyle name="40% - Accent3 2 4 9" xfId="3481" xr:uid="{00000000-0005-0000-0000-0000D5350000}"/>
    <cellStyle name="40% - Accent3 2 4 9 2" xfId="16185" xr:uid="{00000000-0005-0000-0000-0000D6350000}"/>
    <cellStyle name="40% - Accent3 2 4 9 2 2" xfId="29592" xr:uid="{00000000-0005-0000-0000-0000D7350000}"/>
    <cellStyle name="40% - Accent3 2 4 9 3" xfId="20807" xr:uid="{00000000-0005-0000-0000-0000D8350000}"/>
    <cellStyle name="40% - Accent3 2 5" xfId="3482" xr:uid="{00000000-0005-0000-0000-0000D9350000}"/>
    <cellStyle name="40% - Accent3 2 5 2" xfId="3483" xr:uid="{00000000-0005-0000-0000-0000DA350000}"/>
    <cellStyle name="40% - Accent3 2 5 2 2" xfId="3484" xr:uid="{00000000-0005-0000-0000-0000DB350000}"/>
    <cellStyle name="40% - Accent3 2 5 2 2 2" xfId="11037" xr:uid="{00000000-0005-0000-0000-0000DC350000}"/>
    <cellStyle name="40% - Accent3 2 5 2 2 2 2" xfId="24979" xr:uid="{00000000-0005-0000-0000-0000DD350000}"/>
    <cellStyle name="40% - Accent3 2 5 2 2 3" xfId="20810" xr:uid="{00000000-0005-0000-0000-0000DE350000}"/>
    <cellStyle name="40% - Accent3 2 5 2 3" xfId="3485" xr:uid="{00000000-0005-0000-0000-0000DF350000}"/>
    <cellStyle name="40% - Accent3 2 5 2 3 2" xfId="12806" xr:uid="{00000000-0005-0000-0000-0000E0350000}"/>
    <cellStyle name="40% - Accent3 2 5 2 3 2 2" xfId="26518" xr:uid="{00000000-0005-0000-0000-0000E1350000}"/>
    <cellStyle name="40% - Accent3 2 5 2 3 3" xfId="20811" xr:uid="{00000000-0005-0000-0000-0000E2350000}"/>
    <cellStyle name="40% - Accent3 2 5 2 4" xfId="3486" xr:uid="{00000000-0005-0000-0000-0000E3350000}"/>
    <cellStyle name="40% - Accent3 2 5 2 4 2" xfId="15194" xr:uid="{00000000-0005-0000-0000-0000E4350000}"/>
    <cellStyle name="40% - Accent3 2 5 2 4 2 2" xfId="28743" xr:uid="{00000000-0005-0000-0000-0000E5350000}"/>
    <cellStyle name="40% - Accent3 2 5 2 4 3" xfId="20812" xr:uid="{00000000-0005-0000-0000-0000E6350000}"/>
    <cellStyle name="40% - Accent3 2 5 2 5" xfId="9310" xr:uid="{00000000-0005-0000-0000-0000E7350000}"/>
    <cellStyle name="40% - Accent3 2 5 2 5 2" xfId="23785" xr:uid="{00000000-0005-0000-0000-0000E8350000}"/>
    <cellStyle name="40% - Accent3 2 5 2 6" xfId="20809" xr:uid="{00000000-0005-0000-0000-0000E9350000}"/>
    <cellStyle name="40% - Accent3 2 5 3" xfId="3487" xr:uid="{00000000-0005-0000-0000-0000EA350000}"/>
    <cellStyle name="40% - Accent3 2 5 3 2" xfId="11036" xr:uid="{00000000-0005-0000-0000-0000EB350000}"/>
    <cellStyle name="40% - Accent3 2 5 3 2 2" xfId="24978" xr:uid="{00000000-0005-0000-0000-0000EC350000}"/>
    <cellStyle name="40% - Accent3 2 5 3 3" xfId="20813" xr:uid="{00000000-0005-0000-0000-0000ED350000}"/>
    <cellStyle name="40% - Accent3 2 5 4" xfId="3488" xr:uid="{00000000-0005-0000-0000-0000EE350000}"/>
    <cellStyle name="40% - Accent3 2 5 4 2" xfId="12805" xr:uid="{00000000-0005-0000-0000-0000EF350000}"/>
    <cellStyle name="40% - Accent3 2 5 4 2 2" xfId="26517" xr:uid="{00000000-0005-0000-0000-0000F0350000}"/>
    <cellStyle name="40% - Accent3 2 5 4 3" xfId="20814" xr:uid="{00000000-0005-0000-0000-0000F1350000}"/>
    <cellStyle name="40% - Accent3 2 5 5" xfId="3489" xr:uid="{00000000-0005-0000-0000-0000F2350000}"/>
    <cellStyle name="40% - Accent3 2 5 5 2" xfId="15193" xr:uid="{00000000-0005-0000-0000-0000F3350000}"/>
    <cellStyle name="40% - Accent3 2 5 5 2 2" xfId="28742" xr:uid="{00000000-0005-0000-0000-0000F4350000}"/>
    <cellStyle name="40% - Accent3 2 5 5 3" xfId="20815" xr:uid="{00000000-0005-0000-0000-0000F5350000}"/>
    <cellStyle name="40% - Accent3 2 5 6" xfId="3490" xr:uid="{00000000-0005-0000-0000-0000F6350000}"/>
    <cellStyle name="40% - Accent3 2 5 6 2" xfId="17004" xr:uid="{00000000-0005-0000-0000-0000F7350000}"/>
    <cellStyle name="40% - Accent3 2 5 6 2 2" xfId="30411" xr:uid="{00000000-0005-0000-0000-0000F8350000}"/>
    <cellStyle name="40% - Accent3 2 5 6 3" xfId="20816" xr:uid="{00000000-0005-0000-0000-0000F9350000}"/>
    <cellStyle name="40% - Accent3 2 5 7" xfId="9309" xr:uid="{00000000-0005-0000-0000-0000FA350000}"/>
    <cellStyle name="40% - Accent3 2 5 7 2" xfId="23784" xr:uid="{00000000-0005-0000-0000-0000FB350000}"/>
    <cellStyle name="40% - Accent3 2 5 8" xfId="20808" xr:uid="{00000000-0005-0000-0000-0000FC350000}"/>
    <cellStyle name="40% - Accent3 2 6" xfId="3491" xr:uid="{00000000-0005-0000-0000-0000FD350000}"/>
    <cellStyle name="40% - Accent3 2 6 2" xfId="3492" xr:uid="{00000000-0005-0000-0000-0000FE350000}"/>
    <cellStyle name="40% - Accent3 2 6 2 2" xfId="11038" xr:uid="{00000000-0005-0000-0000-0000FF350000}"/>
    <cellStyle name="40% - Accent3 2 6 2 2 2" xfId="24980" xr:uid="{00000000-0005-0000-0000-000000360000}"/>
    <cellStyle name="40% - Accent3 2 6 2 3" xfId="20818" xr:uid="{00000000-0005-0000-0000-000001360000}"/>
    <cellStyle name="40% - Accent3 2 6 3" xfId="3493" xr:uid="{00000000-0005-0000-0000-000002360000}"/>
    <cellStyle name="40% - Accent3 2 6 3 2" xfId="12807" xr:uid="{00000000-0005-0000-0000-000003360000}"/>
    <cellStyle name="40% - Accent3 2 6 3 2 2" xfId="26519" xr:uid="{00000000-0005-0000-0000-000004360000}"/>
    <cellStyle name="40% - Accent3 2 6 3 3" xfId="20819" xr:uid="{00000000-0005-0000-0000-000005360000}"/>
    <cellStyle name="40% - Accent3 2 6 4" xfId="3494" xr:uid="{00000000-0005-0000-0000-000006360000}"/>
    <cellStyle name="40% - Accent3 2 6 4 2" xfId="15195" xr:uid="{00000000-0005-0000-0000-000007360000}"/>
    <cellStyle name="40% - Accent3 2 6 4 2 2" xfId="28744" xr:uid="{00000000-0005-0000-0000-000008360000}"/>
    <cellStyle name="40% - Accent3 2 6 4 3" xfId="20820" xr:uid="{00000000-0005-0000-0000-000009360000}"/>
    <cellStyle name="40% - Accent3 2 6 5" xfId="3495" xr:uid="{00000000-0005-0000-0000-00000A360000}"/>
    <cellStyle name="40% - Accent3 2 6 5 2" xfId="17113" xr:uid="{00000000-0005-0000-0000-00000B360000}"/>
    <cellStyle name="40% - Accent3 2 6 5 2 2" xfId="30472" xr:uid="{00000000-0005-0000-0000-00000C360000}"/>
    <cellStyle name="40% - Accent3 2 6 5 3" xfId="20821" xr:uid="{00000000-0005-0000-0000-00000D360000}"/>
    <cellStyle name="40% - Accent3 2 6 6" xfId="9311" xr:uid="{00000000-0005-0000-0000-00000E360000}"/>
    <cellStyle name="40% - Accent3 2 6 6 2" xfId="23786" xr:uid="{00000000-0005-0000-0000-00000F360000}"/>
    <cellStyle name="40% - Accent3 2 6 7" xfId="20817" xr:uid="{00000000-0005-0000-0000-000010360000}"/>
    <cellStyle name="40% - Accent3 2 7" xfId="3496" xr:uid="{00000000-0005-0000-0000-000011360000}"/>
    <cellStyle name="40% - Accent3 2 7 2" xfId="3497" xr:uid="{00000000-0005-0000-0000-000012360000}"/>
    <cellStyle name="40% - Accent3 2 7 2 2" xfId="11039" xr:uid="{00000000-0005-0000-0000-000013360000}"/>
    <cellStyle name="40% - Accent3 2 7 2 2 2" xfId="24981" xr:uid="{00000000-0005-0000-0000-000014360000}"/>
    <cellStyle name="40% - Accent3 2 7 2 3" xfId="20823" xr:uid="{00000000-0005-0000-0000-000015360000}"/>
    <cellStyle name="40% - Accent3 2 7 3" xfId="3498" xr:uid="{00000000-0005-0000-0000-000016360000}"/>
    <cellStyle name="40% - Accent3 2 7 3 2" xfId="12808" xr:uid="{00000000-0005-0000-0000-000017360000}"/>
    <cellStyle name="40% - Accent3 2 7 3 2 2" xfId="26520" xr:uid="{00000000-0005-0000-0000-000018360000}"/>
    <cellStyle name="40% - Accent3 2 7 3 3" xfId="20824" xr:uid="{00000000-0005-0000-0000-000019360000}"/>
    <cellStyle name="40% - Accent3 2 7 4" xfId="3499" xr:uid="{00000000-0005-0000-0000-00001A360000}"/>
    <cellStyle name="40% - Accent3 2 7 4 2" xfId="15196" xr:uid="{00000000-0005-0000-0000-00001B360000}"/>
    <cellStyle name="40% - Accent3 2 7 4 2 2" xfId="28745" xr:uid="{00000000-0005-0000-0000-00001C360000}"/>
    <cellStyle name="40% - Accent3 2 7 4 3" xfId="20825" xr:uid="{00000000-0005-0000-0000-00001D360000}"/>
    <cellStyle name="40% - Accent3 2 7 5" xfId="3500" xr:uid="{00000000-0005-0000-0000-00001E360000}"/>
    <cellStyle name="40% - Accent3 2 7 5 2" xfId="17202" xr:uid="{00000000-0005-0000-0000-00001F360000}"/>
    <cellStyle name="40% - Accent3 2 7 5 2 2" xfId="30561" xr:uid="{00000000-0005-0000-0000-000020360000}"/>
    <cellStyle name="40% - Accent3 2 7 5 3" xfId="20826" xr:uid="{00000000-0005-0000-0000-000021360000}"/>
    <cellStyle name="40% - Accent3 2 7 6" xfId="9312" xr:uid="{00000000-0005-0000-0000-000022360000}"/>
    <cellStyle name="40% - Accent3 2 7 6 2" xfId="23787" xr:uid="{00000000-0005-0000-0000-000023360000}"/>
    <cellStyle name="40% - Accent3 2 7 7" xfId="20822" xr:uid="{00000000-0005-0000-0000-000024360000}"/>
    <cellStyle name="40% - Accent3 2 8" xfId="3501" xr:uid="{00000000-0005-0000-0000-000025360000}"/>
    <cellStyle name="40% - Accent3 2 8 2" xfId="3502" xr:uid="{00000000-0005-0000-0000-000026360000}"/>
    <cellStyle name="40% - Accent3 2 8 2 2" xfId="12809" xr:uid="{00000000-0005-0000-0000-000027360000}"/>
    <cellStyle name="40% - Accent3 2 8 2 2 2" xfId="26521" xr:uid="{00000000-0005-0000-0000-000028360000}"/>
    <cellStyle name="40% - Accent3 2 8 2 3" xfId="20828" xr:uid="{00000000-0005-0000-0000-000029360000}"/>
    <cellStyle name="40% - Accent3 2 8 3" xfId="3503" xr:uid="{00000000-0005-0000-0000-00002A360000}"/>
    <cellStyle name="40% - Accent3 2 8 3 2" xfId="15197" xr:uid="{00000000-0005-0000-0000-00002B360000}"/>
    <cellStyle name="40% - Accent3 2 8 3 2 2" xfId="28746" xr:uid="{00000000-0005-0000-0000-00002C360000}"/>
    <cellStyle name="40% - Accent3 2 8 3 3" xfId="20829" xr:uid="{00000000-0005-0000-0000-00002D360000}"/>
    <cellStyle name="40% - Accent3 2 8 4" xfId="3504" xr:uid="{00000000-0005-0000-0000-00002E360000}"/>
    <cellStyle name="40% - Accent3 2 8 4 2" xfId="16477" xr:uid="{00000000-0005-0000-0000-00002F360000}"/>
    <cellStyle name="40% - Accent3 2 8 4 2 2" xfId="29884" xr:uid="{00000000-0005-0000-0000-000030360000}"/>
    <cellStyle name="40% - Accent3 2 8 4 3" xfId="20830" xr:uid="{00000000-0005-0000-0000-000031360000}"/>
    <cellStyle name="40% - Accent3 2 8 5" xfId="10525" xr:uid="{00000000-0005-0000-0000-000032360000}"/>
    <cellStyle name="40% - Accent3 2 8 5 2" xfId="24467" xr:uid="{00000000-0005-0000-0000-000033360000}"/>
    <cellStyle name="40% - Accent3 2 8 6" xfId="20827" xr:uid="{00000000-0005-0000-0000-000034360000}"/>
    <cellStyle name="40% - Accent3 2 9" xfId="3505" xr:uid="{00000000-0005-0000-0000-000035360000}"/>
    <cellStyle name="40% - Accent3 2 9 2" xfId="3506" xr:uid="{00000000-0005-0000-0000-000036360000}"/>
    <cellStyle name="40% - Accent3 2 9 2 2" xfId="12810" xr:uid="{00000000-0005-0000-0000-000037360000}"/>
    <cellStyle name="40% - Accent3 2 9 2 2 2" xfId="26522" xr:uid="{00000000-0005-0000-0000-000038360000}"/>
    <cellStyle name="40% - Accent3 2 9 2 3" xfId="20832" xr:uid="{00000000-0005-0000-0000-000039360000}"/>
    <cellStyle name="40% - Accent3 2 9 3" xfId="3507" xr:uid="{00000000-0005-0000-0000-00003A360000}"/>
    <cellStyle name="40% - Accent3 2 9 3 2" xfId="15198" xr:uid="{00000000-0005-0000-0000-00003B360000}"/>
    <cellStyle name="40% - Accent3 2 9 3 2 2" xfId="28747" xr:uid="{00000000-0005-0000-0000-00003C360000}"/>
    <cellStyle name="40% - Accent3 2 9 3 3" xfId="20833" xr:uid="{00000000-0005-0000-0000-00003D360000}"/>
    <cellStyle name="40% - Accent3 2 9 4" xfId="11021" xr:uid="{00000000-0005-0000-0000-00003E360000}"/>
    <cellStyle name="40% - Accent3 2 9 4 2" xfId="24963" xr:uid="{00000000-0005-0000-0000-00003F360000}"/>
    <cellStyle name="40% - Accent3 2 9 5" xfId="20831" xr:uid="{00000000-0005-0000-0000-000040360000}"/>
    <cellStyle name="40% - Accent3 20" xfId="3508" xr:uid="{00000000-0005-0000-0000-000041360000}"/>
    <cellStyle name="40% - Accent3 20 2" xfId="3509" xr:uid="{00000000-0005-0000-0000-000042360000}"/>
    <cellStyle name="40% - Accent3 20 2 2" xfId="12811" xr:uid="{00000000-0005-0000-0000-000043360000}"/>
    <cellStyle name="40% - Accent3 20 2 2 2" xfId="26523" xr:uid="{00000000-0005-0000-0000-000044360000}"/>
    <cellStyle name="40% - Accent3 20 2 3" xfId="20835" xr:uid="{00000000-0005-0000-0000-000045360000}"/>
    <cellStyle name="40% - Accent3 20 3" xfId="3510" xr:uid="{00000000-0005-0000-0000-000046360000}"/>
    <cellStyle name="40% - Accent3 20 3 2" xfId="15199" xr:uid="{00000000-0005-0000-0000-000047360000}"/>
    <cellStyle name="40% - Accent3 20 3 2 2" xfId="28748" xr:uid="{00000000-0005-0000-0000-000048360000}"/>
    <cellStyle name="40% - Accent3 20 3 3" xfId="20836" xr:uid="{00000000-0005-0000-0000-000049360000}"/>
    <cellStyle name="40% - Accent3 20 4" xfId="10500" xr:uid="{00000000-0005-0000-0000-00004A360000}"/>
    <cellStyle name="40% - Accent3 20 4 2" xfId="24448" xr:uid="{00000000-0005-0000-0000-00004B360000}"/>
    <cellStyle name="40% - Accent3 20 5" xfId="20834" xr:uid="{00000000-0005-0000-0000-00004C360000}"/>
    <cellStyle name="40% - Accent3 21" xfId="3511" xr:uid="{00000000-0005-0000-0000-00004D360000}"/>
    <cellStyle name="40% - Accent3 21 2" xfId="3512" xr:uid="{00000000-0005-0000-0000-00004E360000}"/>
    <cellStyle name="40% - Accent3 21 2 2" xfId="12812" xr:uid="{00000000-0005-0000-0000-00004F360000}"/>
    <cellStyle name="40% - Accent3 21 2 2 2" xfId="26524" xr:uid="{00000000-0005-0000-0000-000050360000}"/>
    <cellStyle name="40% - Accent3 21 2 3" xfId="20838" xr:uid="{00000000-0005-0000-0000-000051360000}"/>
    <cellStyle name="40% - Accent3 21 3" xfId="3513" xr:uid="{00000000-0005-0000-0000-000052360000}"/>
    <cellStyle name="40% - Accent3 21 3 2" xfId="15200" xr:uid="{00000000-0005-0000-0000-000053360000}"/>
    <cellStyle name="40% - Accent3 21 3 2 2" xfId="28749" xr:uid="{00000000-0005-0000-0000-000054360000}"/>
    <cellStyle name="40% - Accent3 21 3 3" xfId="20839" xr:uid="{00000000-0005-0000-0000-000055360000}"/>
    <cellStyle name="40% - Accent3 21 4" xfId="11010" xr:uid="{00000000-0005-0000-0000-000056360000}"/>
    <cellStyle name="40% - Accent3 21 4 2" xfId="24952" xr:uid="{00000000-0005-0000-0000-000057360000}"/>
    <cellStyle name="40% - Accent3 21 5" xfId="20837" xr:uid="{00000000-0005-0000-0000-000058360000}"/>
    <cellStyle name="40% - Accent3 22" xfId="3514" xr:uid="{00000000-0005-0000-0000-000059360000}"/>
    <cellStyle name="40% - Accent3 22 2" xfId="11736" xr:uid="{00000000-0005-0000-0000-00005A360000}"/>
    <cellStyle name="40% - Accent3 22 2 2" xfId="25451" xr:uid="{00000000-0005-0000-0000-00005B360000}"/>
    <cellStyle name="40% - Accent3 22 3" xfId="20840" xr:uid="{00000000-0005-0000-0000-00005C360000}"/>
    <cellStyle name="40% - Accent3 23" xfId="3515" xr:uid="{00000000-0005-0000-0000-00005D360000}"/>
    <cellStyle name="40% - Accent3 23 2" xfId="12483" xr:uid="{00000000-0005-0000-0000-00005E360000}"/>
    <cellStyle name="40% - Accent3 23 2 2" xfId="26195" xr:uid="{00000000-0005-0000-0000-00005F360000}"/>
    <cellStyle name="40% - Accent3 23 3" xfId="20841" xr:uid="{00000000-0005-0000-0000-000060360000}"/>
    <cellStyle name="40% - Accent3 24" xfId="3516" xr:uid="{00000000-0005-0000-0000-000061360000}"/>
    <cellStyle name="40% - Accent3 24 2" xfId="13375" xr:uid="{00000000-0005-0000-0000-000062360000}"/>
    <cellStyle name="40% - Accent3 24 2 2" xfId="26924" xr:uid="{00000000-0005-0000-0000-000063360000}"/>
    <cellStyle name="40% - Accent3 24 3" xfId="20842" xr:uid="{00000000-0005-0000-0000-000064360000}"/>
    <cellStyle name="40% - Accent3 25" xfId="3517" xr:uid="{00000000-0005-0000-0000-000065360000}"/>
    <cellStyle name="40% - Accent3 25 2" xfId="13956" xr:uid="{00000000-0005-0000-0000-000066360000}"/>
    <cellStyle name="40% - Accent3 25 2 2" xfId="27505" xr:uid="{00000000-0005-0000-0000-000067360000}"/>
    <cellStyle name="40% - Accent3 25 3" xfId="20843" xr:uid="{00000000-0005-0000-0000-000068360000}"/>
    <cellStyle name="40% - Accent3 26" xfId="3518" xr:uid="{00000000-0005-0000-0000-000069360000}"/>
    <cellStyle name="40% - Accent3 26 2" xfId="15157" xr:uid="{00000000-0005-0000-0000-00006A360000}"/>
    <cellStyle name="40% - Accent3 26 2 2" xfId="28706" xr:uid="{00000000-0005-0000-0000-00006B360000}"/>
    <cellStyle name="40% - Accent3 26 3" xfId="20844" xr:uid="{00000000-0005-0000-0000-00006C360000}"/>
    <cellStyle name="40% - Accent3 27" xfId="3519" xr:uid="{00000000-0005-0000-0000-00006D360000}"/>
    <cellStyle name="40% - Accent3 27 2" xfId="15822" xr:uid="{00000000-0005-0000-0000-00006E360000}"/>
    <cellStyle name="40% - Accent3 27 2 2" xfId="29229" xr:uid="{00000000-0005-0000-0000-00006F360000}"/>
    <cellStyle name="40% - Accent3 27 3" xfId="20845" xr:uid="{00000000-0005-0000-0000-000070360000}"/>
    <cellStyle name="40% - Accent3 28" xfId="3520" xr:uid="{00000000-0005-0000-0000-000071360000}"/>
    <cellStyle name="40% - Accent3 28 2" xfId="15842" xr:uid="{00000000-0005-0000-0000-000072360000}"/>
    <cellStyle name="40% - Accent3 28 2 2" xfId="29249" xr:uid="{00000000-0005-0000-0000-000073360000}"/>
    <cellStyle name="40% - Accent3 28 3" xfId="20846" xr:uid="{00000000-0005-0000-0000-000074360000}"/>
    <cellStyle name="40% - Accent3 29" xfId="3521" xr:uid="{00000000-0005-0000-0000-000075360000}"/>
    <cellStyle name="40% - Accent3 29 2" xfId="9283" xr:uid="{00000000-0005-0000-0000-000076360000}"/>
    <cellStyle name="40% - Accent3 29 2 2" xfId="23758" xr:uid="{00000000-0005-0000-0000-000077360000}"/>
    <cellStyle name="40% - Accent3 29 3" xfId="20847" xr:uid="{00000000-0005-0000-0000-000078360000}"/>
    <cellStyle name="40% - Accent3 3" xfId="3522" xr:uid="{00000000-0005-0000-0000-000079360000}"/>
    <cellStyle name="40% - Accent3 3 10" xfId="3523" xr:uid="{00000000-0005-0000-0000-00007A360000}"/>
    <cellStyle name="40% - Accent3 3 10 2" xfId="14033" xr:uid="{00000000-0005-0000-0000-00007B360000}"/>
    <cellStyle name="40% - Accent3 3 10 2 2" xfId="27582" xr:uid="{00000000-0005-0000-0000-00007C360000}"/>
    <cellStyle name="40% - Accent3 3 10 3" xfId="20849" xr:uid="{00000000-0005-0000-0000-00007D360000}"/>
    <cellStyle name="40% - Accent3 3 11" xfId="3524" xr:uid="{00000000-0005-0000-0000-00007E360000}"/>
    <cellStyle name="40% - Accent3 3 11 2" xfId="15201" xr:uid="{00000000-0005-0000-0000-00007F360000}"/>
    <cellStyle name="40% - Accent3 3 11 2 2" xfId="28750" xr:uid="{00000000-0005-0000-0000-000080360000}"/>
    <cellStyle name="40% - Accent3 3 11 3" xfId="20850" xr:uid="{00000000-0005-0000-0000-000081360000}"/>
    <cellStyle name="40% - Accent3 3 12" xfId="3525" xr:uid="{00000000-0005-0000-0000-000082360000}"/>
    <cellStyle name="40% - Accent3 3 12 2" xfId="15919" xr:uid="{00000000-0005-0000-0000-000083360000}"/>
    <cellStyle name="40% - Accent3 3 12 2 2" xfId="29326" xr:uid="{00000000-0005-0000-0000-000084360000}"/>
    <cellStyle name="40% - Accent3 3 12 3" xfId="20851" xr:uid="{00000000-0005-0000-0000-000085360000}"/>
    <cellStyle name="40% - Accent3 3 13" xfId="9313" xr:uid="{00000000-0005-0000-0000-000086360000}"/>
    <cellStyle name="40% - Accent3 3 13 2" xfId="23788" xr:uid="{00000000-0005-0000-0000-000087360000}"/>
    <cellStyle name="40% - Accent3 3 14" xfId="20848" xr:uid="{00000000-0005-0000-0000-000088360000}"/>
    <cellStyle name="40% - Accent3 3 2" xfId="3526" xr:uid="{00000000-0005-0000-0000-000089360000}"/>
    <cellStyle name="40% - Accent3 3 2 10" xfId="3527" xr:uid="{00000000-0005-0000-0000-00008A360000}"/>
    <cellStyle name="40% - Accent3 3 2 10 2" xfId="16062" xr:uid="{00000000-0005-0000-0000-00008B360000}"/>
    <cellStyle name="40% - Accent3 3 2 10 2 2" xfId="29469" xr:uid="{00000000-0005-0000-0000-00008C360000}"/>
    <cellStyle name="40% - Accent3 3 2 10 3" xfId="20853" xr:uid="{00000000-0005-0000-0000-00008D360000}"/>
    <cellStyle name="40% - Accent3 3 2 11" xfId="9314" xr:uid="{00000000-0005-0000-0000-00008E360000}"/>
    <cellStyle name="40% - Accent3 3 2 11 2" xfId="23789" xr:uid="{00000000-0005-0000-0000-00008F360000}"/>
    <cellStyle name="40% - Accent3 3 2 12" xfId="20852" xr:uid="{00000000-0005-0000-0000-000090360000}"/>
    <cellStyle name="40% - Accent3 3 2 2" xfId="3528" xr:uid="{00000000-0005-0000-0000-000091360000}"/>
    <cellStyle name="40% - Accent3 3 2 2 10" xfId="9315" xr:uid="{00000000-0005-0000-0000-000092360000}"/>
    <cellStyle name="40% - Accent3 3 2 2 10 2" xfId="23790" xr:uid="{00000000-0005-0000-0000-000093360000}"/>
    <cellStyle name="40% - Accent3 3 2 2 11" xfId="20854" xr:uid="{00000000-0005-0000-0000-000094360000}"/>
    <cellStyle name="40% - Accent3 3 2 2 2" xfId="3529" xr:uid="{00000000-0005-0000-0000-000095360000}"/>
    <cellStyle name="40% - Accent3 3 2 2 2 2" xfId="3530" xr:uid="{00000000-0005-0000-0000-000096360000}"/>
    <cellStyle name="40% - Accent3 3 2 2 2 2 2" xfId="11043" xr:uid="{00000000-0005-0000-0000-000097360000}"/>
    <cellStyle name="40% - Accent3 3 2 2 2 2 2 2" xfId="24985" xr:uid="{00000000-0005-0000-0000-000098360000}"/>
    <cellStyle name="40% - Accent3 3 2 2 2 2 3" xfId="20856" xr:uid="{00000000-0005-0000-0000-000099360000}"/>
    <cellStyle name="40% - Accent3 3 2 2 2 3" xfId="3531" xr:uid="{00000000-0005-0000-0000-00009A360000}"/>
    <cellStyle name="40% - Accent3 3 2 2 2 3 2" xfId="12816" xr:uid="{00000000-0005-0000-0000-00009B360000}"/>
    <cellStyle name="40% - Accent3 3 2 2 2 3 2 2" xfId="26528" xr:uid="{00000000-0005-0000-0000-00009C360000}"/>
    <cellStyle name="40% - Accent3 3 2 2 2 3 3" xfId="20857" xr:uid="{00000000-0005-0000-0000-00009D360000}"/>
    <cellStyle name="40% - Accent3 3 2 2 2 4" xfId="3532" xr:uid="{00000000-0005-0000-0000-00009E360000}"/>
    <cellStyle name="40% - Accent3 3 2 2 2 4 2" xfId="15204" xr:uid="{00000000-0005-0000-0000-00009F360000}"/>
    <cellStyle name="40% - Accent3 3 2 2 2 4 2 2" xfId="28753" xr:uid="{00000000-0005-0000-0000-0000A0360000}"/>
    <cellStyle name="40% - Accent3 3 2 2 2 4 3" xfId="20858" xr:uid="{00000000-0005-0000-0000-0000A1360000}"/>
    <cellStyle name="40% - Accent3 3 2 2 2 5" xfId="3533" xr:uid="{00000000-0005-0000-0000-0000A2360000}"/>
    <cellStyle name="40% - Accent3 3 2 2 2 5 2" xfId="16932" xr:uid="{00000000-0005-0000-0000-0000A3360000}"/>
    <cellStyle name="40% - Accent3 3 2 2 2 5 2 2" xfId="30339" xr:uid="{00000000-0005-0000-0000-0000A4360000}"/>
    <cellStyle name="40% - Accent3 3 2 2 2 5 3" xfId="20859" xr:uid="{00000000-0005-0000-0000-0000A5360000}"/>
    <cellStyle name="40% - Accent3 3 2 2 2 6" xfId="9316" xr:uid="{00000000-0005-0000-0000-0000A6360000}"/>
    <cellStyle name="40% - Accent3 3 2 2 2 6 2" xfId="23791" xr:uid="{00000000-0005-0000-0000-0000A7360000}"/>
    <cellStyle name="40% - Accent3 3 2 2 2 7" xfId="20855" xr:uid="{00000000-0005-0000-0000-0000A8360000}"/>
    <cellStyle name="40% - Accent3 3 2 2 3" xfId="3534" xr:uid="{00000000-0005-0000-0000-0000A9360000}"/>
    <cellStyle name="40% - Accent3 3 2 2 3 2" xfId="3535" xr:uid="{00000000-0005-0000-0000-0000AA360000}"/>
    <cellStyle name="40% - Accent3 3 2 2 3 2 2" xfId="15205" xr:uid="{00000000-0005-0000-0000-0000AB360000}"/>
    <cellStyle name="40% - Accent3 3 2 2 3 2 2 2" xfId="28754" xr:uid="{00000000-0005-0000-0000-0000AC360000}"/>
    <cellStyle name="40% - Accent3 3 2 2 3 2 3" xfId="20861" xr:uid="{00000000-0005-0000-0000-0000AD360000}"/>
    <cellStyle name="40% - Accent3 3 2 2 3 3" xfId="11042" xr:uid="{00000000-0005-0000-0000-0000AE360000}"/>
    <cellStyle name="40% - Accent3 3 2 2 3 3 2" xfId="24984" xr:uid="{00000000-0005-0000-0000-0000AF360000}"/>
    <cellStyle name="40% - Accent3 3 2 2 3 4" xfId="20860" xr:uid="{00000000-0005-0000-0000-0000B0360000}"/>
    <cellStyle name="40% - Accent3 3 2 2 4" xfId="3536" xr:uid="{00000000-0005-0000-0000-0000B1360000}"/>
    <cellStyle name="40% - Accent3 3 2 2 4 2" xfId="12320" xr:uid="{00000000-0005-0000-0000-0000B2360000}"/>
    <cellStyle name="40% - Accent3 3 2 2 4 2 2" xfId="26032" xr:uid="{00000000-0005-0000-0000-0000B3360000}"/>
    <cellStyle name="40% - Accent3 3 2 2 4 3" xfId="20862" xr:uid="{00000000-0005-0000-0000-0000B4360000}"/>
    <cellStyle name="40% - Accent3 3 2 2 5" xfId="3537" xr:uid="{00000000-0005-0000-0000-0000B5360000}"/>
    <cellStyle name="40% - Accent3 3 2 2 5 2" xfId="12815" xr:uid="{00000000-0005-0000-0000-0000B6360000}"/>
    <cellStyle name="40% - Accent3 3 2 2 5 2 2" xfId="26527" xr:uid="{00000000-0005-0000-0000-0000B7360000}"/>
    <cellStyle name="40% - Accent3 3 2 2 5 3" xfId="20863" xr:uid="{00000000-0005-0000-0000-0000B8360000}"/>
    <cellStyle name="40% - Accent3 3 2 2 6" xfId="3538" xr:uid="{00000000-0005-0000-0000-0000B9360000}"/>
    <cellStyle name="40% - Accent3 3 2 2 6 2" xfId="13884" xr:uid="{00000000-0005-0000-0000-0000BA360000}"/>
    <cellStyle name="40% - Accent3 3 2 2 6 2 2" xfId="27433" xr:uid="{00000000-0005-0000-0000-0000BB360000}"/>
    <cellStyle name="40% - Accent3 3 2 2 6 3" xfId="20864" xr:uid="{00000000-0005-0000-0000-0000BC360000}"/>
    <cellStyle name="40% - Accent3 3 2 2 7" xfId="3539" xr:uid="{00000000-0005-0000-0000-0000BD360000}"/>
    <cellStyle name="40% - Accent3 3 2 2 7 2" xfId="14465" xr:uid="{00000000-0005-0000-0000-0000BE360000}"/>
    <cellStyle name="40% - Accent3 3 2 2 7 2 2" xfId="28014" xr:uid="{00000000-0005-0000-0000-0000BF360000}"/>
    <cellStyle name="40% - Accent3 3 2 2 7 3" xfId="20865" xr:uid="{00000000-0005-0000-0000-0000C0360000}"/>
    <cellStyle name="40% - Accent3 3 2 2 8" xfId="3540" xr:uid="{00000000-0005-0000-0000-0000C1360000}"/>
    <cellStyle name="40% - Accent3 3 2 2 8 2" xfId="15203" xr:uid="{00000000-0005-0000-0000-0000C2360000}"/>
    <cellStyle name="40% - Accent3 3 2 2 8 2 2" xfId="28752" xr:uid="{00000000-0005-0000-0000-0000C3360000}"/>
    <cellStyle name="40% - Accent3 3 2 2 8 3" xfId="20866" xr:uid="{00000000-0005-0000-0000-0000C4360000}"/>
    <cellStyle name="40% - Accent3 3 2 2 9" xfId="3541" xr:uid="{00000000-0005-0000-0000-0000C5360000}"/>
    <cellStyle name="40% - Accent3 3 2 2 9 2" xfId="16351" xr:uid="{00000000-0005-0000-0000-0000C6360000}"/>
    <cellStyle name="40% - Accent3 3 2 2 9 2 2" xfId="29758" xr:uid="{00000000-0005-0000-0000-0000C7360000}"/>
    <cellStyle name="40% - Accent3 3 2 2 9 3" xfId="20867" xr:uid="{00000000-0005-0000-0000-0000C8360000}"/>
    <cellStyle name="40% - Accent3 3 2 3" xfId="3542" xr:uid="{00000000-0005-0000-0000-0000C9360000}"/>
    <cellStyle name="40% - Accent3 3 2 3 2" xfId="3543" xr:uid="{00000000-0005-0000-0000-0000CA360000}"/>
    <cellStyle name="40% - Accent3 3 2 3 2 2" xfId="11044" xr:uid="{00000000-0005-0000-0000-0000CB360000}"/>
    <cellStyle name="40% - Accent3 3 2 3 2 2 2" xfId="24986" xr:uid="{00000000-0005-0000-0000-0000CC360000}"/>
    <cellStyle name="40% - Accent3 3 2 3 2 3" xfId="20869" xr:uid="{00000000-0005-0000-0000-0000CD360000}"/>
    <cellStyle name="40% - Accent3 3 2 3 3" xfId="3544" xr:uid="{00000000-0005-0000-0000-0000CE360000}"/>
    <cellStyle name="40% - Accent3 3 2 3 3 2" xfId="12817" xr:uid="{00000000-0005-0000-0000-0000CF360000}"/>
    <cellStyle name="40% - Accent3 3 2 3 3 2 2" xfId="26529" xr:uid="{00000000-0005-0000-0000-0000D0360000}"/>
    <cellStyle name="40% - Accent3 3 2 3 3 3" xfId="20870" xr:uid="{00000000-0005-0000-0000-0000D1360000}"/>
    <cellStyle name="40% - Accent3 3 2 3 4" xfId="3545" xr:uid="{00000000-0005-0000-0000-0000D2360000}"/>
    <cellStyle name="40% - Accent3 3 2 3 4 2" xfId="15206" xr:uid="{00000000-0005-0000-0000-0000D3360000}"/>
    <cellStyle name="40% - Accent3 3 2 3 4 2 2" xfId="28755" xr:uid="{00000000-0005-0000-0000-0000D4360000}"/>
    <cellStyle name="40% - Accent3 3 2 3 4 3" xfId="20871" xr:uid="{00000000-0005-0000-0000-0000D5360000}"/>
    <cellStyle name="40% - Accent3 3 2 3 5" xfId="3546" xr:uid="{00000000-0005-0000-0000-0000D6360000}"/>
    <cellStyle name="40% - Accent3 3 2 3 5 2" xfId="16643" xr:uid="{00000000-0005-0000-0000-0000D7360000}"/>
    <cellStyle name="40% - Accent3 3 2 3 5 2 2" xfId="30050" xr:uid="{00000000-0005-0000-0000-0000D8360000}"/>
    <cellStyle name="40% - Accent3 3 2 3 5 3" xfId="20872" xr:uid="{00000000-0005-0000-0000-0000D9360000}"/>
    <cellStyle name="40% - Accent3 3 2 3 6" xfId="9317" xr:uid="{00000000-0005-0000-0000-0000DA360000}"/>
    <cellStyle name="40% - Accent3 3 2 3 6 2" xfId="23792" xr:uid="{00000000-0005-0000-0000-0000DB360000}"/>
    <cellStyle name="40% - Accent3 3 2 3 7" xfId="20868" xr:uid="{00000000-0005-0000-0000-0000DC360000}"/>
    <cellStyle name="40% - Accent3 3 2 4" xfId="3547" xr:uid="{00000000-0005-0000-0000-0000DD360000}"/>
    <cellStyle name="40% - Accent3 3 2 4 2" xfId="3548" xr:uid="{00000000-0005-0000-0000-0000DE360000}"/>
    <cellStyle name="40% - Accent3 3 2 4 2 2" xfId="15207" xr:uid="{00000000-0005-0000-0000-0000DF360000}"/>
    <cellStyle name="40% - Accent3 3 2 4 2 2 2" xfId="28756" xr:uid="{00000000-0005-0000-0000-0000E0360000}"/>
    <cellStyle name="40% - Accent3 3 2 4 2 3" xfId="20874" xr:uid="{00000000-0005-0000-0000-0000E1360000}"/>
    <cellStyle name="40% - Accent3 3 2 4 3" xfId="11041" xr:uid="{00000000-0005-0000-0000-0000E2360000}"/>
    <cellStyle name="40% - Accent3 3 2 4 3 2" xfId="24983" xr:uid="{00000000-0005-0000-0000-0000E3360000}"/>
    <cellStyle name="40% - Accent3 3 2 4 4" xfId="20873" xr:uid="{00000000-0005-0000-0000-0000E4360000}"/>
    <cellStyle name="40% - Accent3 3 2 5" xfId="3549" xr:uid="{00000000-0005-0000-0000-0000E5360000}"/>
    <cellStyle name="40% - Accent3 3 2 5 2" xfId="12020" xr:uid="{00000000-0005-0000-0000-0000E6360000}"/>
    <cellStyle name="40% - Accent3 3 2 5 2 2" xfId="25735" xr:uid="{00000000-0005-0000-0000-0000E7360000}"/>
    <cellStyle name="40% - Accent3 3 2 5 3" xfId="20875" xr:uid="{00000000-0005-0000-0000-0000E8360000}"/>
    <cellStyle name="40% - Accent3 3 2 6" xfId="3550" xr:uid="{00000000-0005-0000-0000-0000E9360000}"/>
    <cellStyle name="40% - Accent3 3 2 6 2" xfId="12814" xr:uid="{00000000-0005-0000-0000-0000EA360000}"/>
    <cellStyle name="40% - Accent3 3 2 6 2 2" xfId="26526" xr:uid="{00000000-0005-0000-0000-0000EB360000}"/>
    <cellStyle name="40% - Accent3 3 2 6 3" xfId="20876" xr:uid="{00000000-0005-0000-0000-0000EC360000}"/>
    <cellStyle name="40% - Accent3 3 2 7" xfId="3551" xr:uid="{00000000-0005-0000-0000-0000ED360000}"/>
    <cellStyle name="40% - Accent3 3 2 7 2" xfId="13595" xr:uid="{00000000-0005-0000-0000-0000EE360000}"/>
    <cellStyle name="40% - Accent3 3 2 7 2 2" xfId="27144" xr:uid="{00000000-0005-0000-0000-0000EF360000}"/>
    <cellStyle name="40% - Accent3 3 2 7 3" xfId="20877" xr:uid="{00000000-0005-0000-0000-0000F0360000}"/>
    <cellStyle name="40% - Accent3 3 2 8" xfId="3552" xr:uid="{00000000-0005-0000-0000-0000F1360000}"/>
    <cellStyle name="40% - Accent3 3 2 8 2" xfId="14176" xr:uid="{00000000-0005-0000-0000-0000F2360000}"/>
    <cellStyle name="40% - Accent3 3 2 8 2 2" xfId="27725" xr:uid="{00000000-0005-0000-0000-0000F3360000}"/>
    <cellStyle name="40% - Accent3 3 2 8 3" xfId="20878" xr:uid="{00000000-0005-0000-0000-0000F4360000}"/>
    <cellStyle name="40% - Accent3 3 2 9" xfId="3553" xr:uid="{00000000-0005-0000-0000-0000F5360000}"/>
    <cellStyle name="40% - Accent3 3 2 9 2" xfId="15202" xr:uid="{00000000-0005-0000-0000-0000F6360000}"/>
    <cellStyle name="40% - Accent3 3 2 9 2 2" xfId="28751" xr:uid="{00000000-0005-0000-0000-0000F7360000}"/>
    <cellStyle name="40% - Accent3 3 2 9 3" xfId="20879" xr:uid="{00000000-0005-0000-0000-0000F8360000}"/>
    <cellStyle name="40% - Accent3 3 3" xfId="3554" xr:uid="{00000000-0005-0000-0000-0000F9360000}"/>
    <cellStyle name="40% - Accent3 3 3 10" xfId="9318" xr:uid="{00000000-0005-0000-0000-0000FA360000}"/>
    <cellStyle name="40% - Accent3 3 3 10 2" xfId="23793" xr:uid="{00000000-0005-0000-0000-0000FB360000}"/>
    <cellStyle name="40% - Accent3 3 3 11" xfId="20880" xr:uid="{00000000-0005-0000-0000-0000FC360000}"/>
    <cellStyle name="40% - Accent3 3 3 2" xfId="3555" xr:uid="{00000000-0005-0000-0000-0000FD360000}"/>
    <cellStyle name="40% - Accent3 3 3 2 2" xfId="3556" xr:uid="{00000000-0005-0000-0000-0000FE360000}"/>
    <cellStyle name="40% - Accent3 3 3 2 2 2" xfId="11046" xr:uid="{00000000-0005-0000-0000-0000FF360000}"/>
    <cellStyle name="40% - Accent3 3 3 2 2 2 2" xfId="24988" xr:uid="{00000000-0005-0000-0000-000000370000}"/>
    <cellStyle name="40% - Accent3 3 3 2 2 3" xfId="20882" xr:uid="{00000000-0005-0000-0000-000001370000}"/>
    <cellStyle name="40% - Accent3 3 3 2 3" xfId="3557" xr:uid="{00000000-0005-0000-0000-000002370000}"/>
    <cellStyle name="40% - Accent3 3 3 2 3 2" xfId="12819" xr:uid="{00000000-0005-0000-0000-000003370000}"/>
    <cellStyle name="40% - Accent3 3 3 2 3 2 2" xfId="26531" xr:uid="{00000000-0005-0000-0000-000004370000}"/>
    <cellStyle name="40% - Accent3 3 3 2 3 3" xfId="20883" xr:uid="{00000000-0005-0000-0000-000005370000}"/>
    <cellStyle name="40% - Accent3 3 3 2 4" xfId="3558" xr:uid="{00000000-0005-0000-0000-000006370000}"/>
    <cellStyle name="40% - Accent3 3 3 2 4 2" xfId="15209" xr:uid="{00000000-0005-0000-0000-000007370000}"/>
    <cellStyle name="40% - Accent3 3 3 2 4 2 2" xfId="28758" xr:uid="{00000000-0005-0000-0000-000008370000}"/>
    <cellStyle name="40% - Accent3 3 3 2 4 3" xfId="20884" xr:uid="{00000000-0005-0000-0000-000009370000}"/>
    <cellStyle name="40% - Accent3 3 3 2 5" xfId="3559" xr:uid="{00000000-0005-0000-0000-00000A370000}"/>
    <cellStyle name="40% - Accent3 3 3 2 5 2" xfId="16789" xr:uid="{00000000-0005-0000-0000-00000B370000}"/>
    <cellStyle name="40% - Accent3 3 3 2 5 2 2" xfId="30196" xr:uid="{00000000-0005-0000-0000-00000C370000}"/>
    <cellStyle name="40% - Accent3 3 3 2 5 3" xfId="20885" xr:uid="{00000000-0005-0000-0000-00000D370000}"/>
    <cellStyle name="40% - Accent3 3 3 2 6" xfId="9319" xr:uid="{00000000-0005-0000-0000-00000E370000}"/>
    <cellStyle name="40% - Accent3 3 3 2 6 2" xfId="23794" xr:uid="{00000000-0005-0000-0000-00000F370000}"/>
    <cellStyle name="40% - Accent3 3 3 2 7" xfId="20881" xr:uid="{00000000-0005-0000-0000-000010370000}"/>
    <cellStyle name="40% - Accent3 3 3 3" xfId="3560" xr:uid="{00000000-0005-0000-0000-000011370000}"/>
    <cellStyle name="40% - Accent3 3 3 3 2" xfId="3561" xr:uid="{00000000-0005-0000-0000-000012370000}"/>
    <cellStyle name="40% - Accent3 3 3 3 2 2" xfId="15210" xr:uid="{00000000-0005-0000-0000-000013370000}"/>
    <cellStyle name="40% - Accent3 3 3 3 2 2 2" xfId="28759" xr:uid="{00000000-0005-0000-0000-000014370000}"/>
    <cellStyle name="40% - Accent3 3 3 3 2 3" xfId="20887" xr:uid="{00000000-0005-0000-0000-000015370000}"/>
    <cellStyle name="40% - Accent3 3 3 3 3" xfId="11045" xr:uid="{00000000-0005-0000-0000-000016370000}"/>
    <cellStyle name="40% - Accent3 3 3 3 3 2" xfId="24987" xr:uid="{00000000-0005-0000-0000-000017370000}"/>
    <cellStyle name="40% - Accent3 3 3 3 4" xfId="20886" xr:uid="{00000000-0005-0000-0000-000018370000}"/>
    <cellStyle name="40% - Accent3 3 3 4" xfId="3562" xr:uid="{00000000-0005-0000-0000-000019370000}"/>
    <cellStyle name="40% - Accent3 3 3 4 2" xfId="12177" xr:uid="{00000000-0005-0000-0000-00001A370000}"/>
    <cellStyle name="40% - Accent3 3 3 4 2 2" xfId="25889" xr:uid="{00000000-0005-0000-0000-00001B370000}"/>
    <cellStyle name="40% - Accent3 3 3 4 3" xfId="20888" xr:uid="{00000000-0005-0000-0000-00001C370000}"/>
    <cellStyle name="40% - Accent3 3 3 5" xfId="3563" xr:uid="{00000000-0005-0000-0000-00001D370000}"/>
    <cellStyle name="40% - Accent3 3 3 5 2" xfId="12818" xr:uid="{00000000-0005-0000-0000-00001E370000}"/>
    <cellStyle name="40% - Accent3 3 3 5 2 2" xfId="26530" xr:uid="{00000000-0005-0000-0000-00001F370000}"/>
    <cellStyle name="40% - Accent3 3 3 5 3" xfId="20889" xr:uid="{00000000-0005-0000-0000-000020370000}"/>
    <cellStyle name="40% - Accent3 3 3 6" xfId="3564" xr:uid="{00000000-0005-0000-0000-000021370000}"/>
    <cellStyle name="40% - Accent3 3 3 6 2" xfId="13741" xr:uid="{00000000-0005-0000-0000-000022370000}"/>
    <cellStyle name="40% - Accent3 3 3 6 2 2" xfId="27290" xr:uid="{00000000-0005-0000-0000-000023370000}"/>
    <cellStyle name="40% - Accent3 3 3 6 3" xfId="20890" xr:uid="{00000000-0005-0000-0000-000024370000}"/>
    <cellStyle name="40% - Accent3 3 3 7" xfId="3565" xr:uid="{00000000-0005-0000-0000-000025370000}"/>
    <cellStyle name="40% - Accent3 3 3 7 2" xfId="14322" xr:uid="{00000000-0005-0000-0000-000026370000}"/>
    <cellStyle name="40% - Accent3 3 3 7 2 2" xfId="27871" xr:uid="{00000000-0005-0000-0000-000027370000}"/>
    <cellStyle name="40% - Accent3 3 3 7 3" xfId="20891" xr:uid="{00000000-0005-0000-0000-000028370000}"/>
    <cellStyle name="40% - Accent3 3 3 8" xfId="3566" xr:uid="{00000000-0005-0000-0000-000029370000}"/>
    <cellStyle name="40% - Accent3 3 3 8 2" xfId="15208" xr:uid="{00000000-0005-0000-0000-00002A370000}"/>
    <cellStyle name="40% - Accent3 3 3 8 2 2" xfId="28757" xr:uid="{00000000-0005-0000-0000-00002B370000}"/>
    <cellStyle name="40% - Accent3 3 3 8 3" xfId="20892" xr:uid="{00000000-0005-0000-0000-00002C370000}"/>
    <cellStyle name="40% - Accent3 3 3 9" xfId="3567" xr:uid="{00000000-0005-0000-0000-00002D370000}"/>
    <cellStyle name="40% - Accent3 3 3 9 2" xfId="16208" xr:uid="{00000000-0005-0000-0000-00002E370000}"/>
    <cellStyle name="40% - Accent3 3 3 9 2 2" xfId="29615" xr:uid="{00000000-0005-0000-0000-00002F370000}"/>
    <cellStyle name="40% - Accent3 3 3 9 3" xfId="20893" xr:uid="{00000000-0005-0000-0000-000030370000}"/>
    <cellStyle name="40% - Accent3 3 4" xfId="3568" xr:uid="{00000000-0005-0000-0000-000031370000}"/>
    <cellStyle name="40% - Accent3 3 4 2" xfId="3569" xr:uid="{00000000-0005-0000-0000-000032370000}"/>
    <cellStyle name="40% - Accent3 3 4 2 2" xfId="11047" xr:uid="{00000000-0005-0000-0000-000033370000}"/>
    <cellStyle name="40% - Accent3 3 4 2 2 2" xfId="24989" xr:uid="{00000000-0005-0000-0000-000034370000}"/>
    <cellStyle name="40% - Accent3 3 4 2 3" xfId="20895" xr:uid="{00000000-0005-0000-0000-000035370000}"/>
    <cellStyle name="40% - Accent3 3 4 3" xfId="3570" xr:uid="{00000000-0005-0000-0000-000036370000}"/>
    <cellStyle name="40% - Accent3 3 4 3 2" xfId="12820" xr:uid="{00000000-0005-0000-0000-000037370000}"/>
    <cellStyle name="40% - Accent3 3 4 3 2 2" xfId="26532" xr:uid="{00000000-0005-0000-0000-000038370000}"/>
    <cellStyle name="40% - Accent3 3 4 3 3" xfId="20896" xr:uid="{00000000-0005-0000-0000-000039370000}"/>
    <cellStyle name="40% - Accent3 3 4 4" xfId="3571" xr:uid="{00000000-0005-0000-0000-00003A370000}"/>
    <cellStyle name="40% - Accent3 3 4 4 2" xfId="15211" xr:uid="{00000000-0005-0000-0000-00003B370000}"/>
    <cellStyle name="40% - Accent3 3 4 4 2 2" xfId="28760" xr:uid="{00000000-0005-0000-0000-00003C370000}"/>
    <cellStyle name="40% - Accent3 3 4 4 3" xfId="20897" xr:uid="{00000000-0005-0000-0000-00003D370000}"/>
    <cellStyle name="40% - Accent3 3 4 5" xfId="3572" xr:uid="{00000000-0005-0000-0000-00003E370000}"/>
    <cellStyle name="40% - Accent3 3 4 5 2" xfId="17136" xr:uid="{00000000-0005-0000-0000-00003F370000}"/>
    <cellStyle name="40% - Accent3 3 4 5 2 2" xfId="30495" xr:uid="{00000000-0005-0000-0000-000040370000}"/>
    <cellStyle name="40% - Accent3 3 4 5 3" xfId="20898" xr:uid="{00000000-0005-0000-0000-000041370000}"/>
    <cellStyle name="40% - Accent3 3 4 6" xfId="9320" xr:uid="{00000000-0005-0000-0000-000042370000}"/>
    <cellStyle name="40% - Accent3 3 4 6 2" xfId="23795" xr:uid="{00000000-0005-0000-0000-000043370000}"/>
    <cellStyle name="40% - Accent3 3 4 7" xfId="20894" xr:uid="{00000000-0005-0000-0000-000044370000}"/>
    <cellStyle name="40% - Accent3 3 5" xfId="3573" xr:uid="{00000000-0005-0000-0000-000045370000}"/>
    <cellStyle name="40% - Accent3 3 5 2" xfId="3574" xr:uid="{00000000-0005-0000-0000-000046370000}"/>
    <cellStyle name="40% - Accent3 3 5 2 2" xfId="11048" xr:uid="{00000000-0005-0000-0000-000047370000}"/>
    <cellStyle name="40% - Accent3 3 5 2 2 2" xfId="24990" xr:uid="{00000000-0005-0000-0000-000048370000}"/>
    <cellStyle name="40% - Accent3 3 5 2 3" xfId="20900" xr:uid="{00000000-0005-0000-0000-000049370000}"/>
    <cellStyle name="40% - Accent3 3 5 3" xfId="3575" xr:uid="{00000000-0005-0000-0000-00004A370000}"/>
    <cellStyle name="40% - Accent3 3 5 3 2" xfId="12821" xr:uid="{00000000-0005-0000-0000-00004B370000}"/>
    <cellStyle name="40% - Accent3 3 5 3 2 2" xfId="26533" xr:uid="{00000000-0005-0000-0000-00004C370000}"/>
    <cellStyle name="40% - Accent3 3 5 3 3" xfId="20901" xr:uid="{00000000-0005-0000-0000-00004D370000}"/>
    <cellStyle name="40% - Accent3 3 5 4" xfId="3576" xr:uid="{00000000-0005-0000-0000-00004E370000}"/>
    <cellStyle name="40% - Accent3 3 5 4 2" xfId="15212" xr:uid="{00000000-0005-0000-0000-00004F370000}"/>
    <cellStyle name="40% - Accent3 3 5 4 2 2" xfId="28761" xr:uid="{00000000-0005-0000-0000-000050370000}"/>
    <cellStyle name="40% - Accent3 3 5 4 3" xfId="20902" xr:uid="{00000000-0005-0000-0000-000051370000}"/>
    <cellStyle name="40% - Accent3 3 5 5" xfId="3577" xr:uid="{00000000-0005-0000-0000-000052370000}"/>
    <cellStyle name="40% - Accent3 3 5 5 2" xfId="17225" xr:uid="{00000000-0005-0000-0000-000053370000}"/>
    <cellStyle name="40% - Accent3 3 5 5 2 2" xfId="30584" xr:uid="{00000000-0005-0000-0000-000054370000}"/>
    <cellStyle name="40% - Accent3 3 5 5 3" xfId="20903" xr:uid="{00000000-0005-0000-0000-000055370000}"/>
    <cellStyle name="40% - Accent3 3 5 6" xfId="9321" xr:uid="{00000000-0005-0000-0000-000056370000}"/>
    <cellStyle name="40% - Accent3 3 5 6 2" xfId="23796" xr:uid="{00000000-0005-0000-0000-000057370000}"/>
    <cellStyle name="40% - Accent3 3 5 7" xfId="20899" xr:uid="{00000000-0005-0000-0000-000058370000}"/>
    <cellStyle name="40% - Accent3 3 6" xfId="3578" xr:uid="{00000000-0005-0000-0000-000059370000}"/>
    <cellStyle name="40% - Accent3 3 6 2" xfId="3579" xr:uid="{00000000-0005-0000-0000-00005A370000}"/>
    <cellStyle name="40% - Accent3 3 6 2 2" xfId="15213" xr:uid="{00000000-0005-0000-0000-00005B370000}"/>
    <cellStyle name="40% - Accent3 3 6 2 2 2" xfId="28762" xr:uid="{00000000-0005-0000-0000-00005C370000}"/>
    <cellStyle name="40% - Accent3 3 6 2 3" xfId="20905" xr:uid="{00000000-0005-0000-0000-00005D370000}"/>
    <cellStyle name="40% - Accent3 3 6 3" xfId="3580" xr:uid="{00000000-0005-0000-0000-00005E370000}"/>
    <cellStyle name="40% - Accent3 3 6 3 2" xfId="16500" xr:uid="{00000000-0005-0000-0000-00005F370000}"/>
    <cellStyle name="40% - Accent3 3 6 3 2 2" xfId="29907" xr:uid="{00000000-0005-0000-0000-000060370000}"/>
    <cellStyle name="40% - Accent3 3 6 3 3" xfId="20906" xr:uid="{00000000-0005-0000-0000-000061370000}"/>
    <cellStyle name="40% - Accent3 3 6 4" xfId="11040" xr:uid="{00000000-0005-0000-0000-000062370000}"/>
    <cellStyle name="40% - Accent3 3 6 4 2" xfId="24982" xr:uid="{00000000-0005-0000-0000-000063370000}"/>
    <cellStyle name="40% - Accent3 3 6 5" xfId="20904" xr:uid="{00000000-0005-0000-0000-000064370000}"/>
    <cellStyle name="40% - Accent3 3 7" xfId="3581" xr:uid="{00000000-0005-0000-0000-000065370000}"/>
    <cellStyle name="40% - Accent3 3 7 2" xfId="11872" xr:uid="{00000000-0005-0000-0000-000066370000}"/>
    <cellStyle name="40% - Accent3 3 7 2 2" xfId="25587" xr:uid="{00000000-0005-0000-0000-000067370000}"/>
    <cellStyle name="40% - Accent3 3 7 3" xfId="20907" xr:uid="{00000000-0005-0000-0000-000068370000}"/>
    <cellStyle name="40% - Accent3 3 8" xfId="3582" xr:uid="{00000000-0005-0000-0000-000069370000}"/>
    <cellStyle name="40% - Accent3 3 8 2" xfId="12813" xr:uid="{00000000-0005-0000-0000-00006A370000}"/>
    <cellStyle name="40% - Accent3 3 8 2 2" xfId="26525" xr:uid="{00000000-0005-0000-0000-00006B370000}"/>
    <cellStyle name="40% - Accent3 3 8 3" xfId="20908" xr:uid="{00000000-0005-0000-0000-00006C370000}"/>
    <cellStyle name="40% - Accent3 3 9" xfId="3583" xr:uid="{00000000-0005-0000-0000-00006D370000}"/>
    <cellStyle name="40% - Accent3 3 9 2" xfId="13452" xr:uid="{00000000-0005-0000-0000-00006E370000}"/>
    <cellStyle name="40% - Accent3 3 9 2 2" xfId="27001" xr:uid="{00000000-0005-0000-0000-00006F370000}"/>
    <cellStyle name="40% - Accent3 3 9 3" xfId="20909" xr:uid="{00000000-0005-0000-0000-000070370000}"/>
    <cellStyle name="40% - Accent3 30" xfId="23243" xr:uid="{00000000-0005-0000-0000-000071370000}"/>
    <cellStyle name="40% - Accent3 4" xfId="3584" xr:uid="{00000000-0005-0000-0000-000072370000}"/>
    <cellStyle name="40% - Accent3 4 10" xfId="3585" xr:uid="{00000000-0005-0000-0000-000073370000}"/>
    <cellStyle name="40% - Accent3 4 10 2" xfId="15214" xr:uid="{00000000-0005-0000-0000-000074370000}"/>
    <cellStyle name="40% - Accent3 4 10 2 2" xfId="28763" xr:uid="{00000000-0005-0000-0000-000075370000}"/>
    <cellStyle name="40% - Accent3 4 10 3" xfId="20911" xr:uid="{00000000-0005-0000-0000-000076370000}"/>
    <cellStyle name="40% - Accent3 4 11" xfId="3586" xr:uid="{00000000-0005-0000-0000-000077370000}"/>
    <cellStyle name="40% - Accent3 4 11 2" xfId="15876" xr:uid="{00000000-0005-0000-0000-000078370000}"/>
    <cellStyle name="40% - Accent3 4 11 2 2" xfId="29283" xr:uid="{00000000-0005-0000-0000-000079370000}"/>
    <cellStyle name="40% - Accent3 4 11 3" xfId="20912" xr:uid="{00000000-0005-0000-0000-00007A370000}"/>
    <cellStyle name="40% - Accent3 4 12" xfId="9322" xr:uid="{00000000-0005-0000-0000-00007B370000}"/>
    <cellStyle name="40% - Accent3 4 12 2" xfId="23797" xr:uid="{00000000-0005-0000-0000-00007C370000}"/>
    <cellStyle name="40% - Accent3 4 13" xfId="20910" xr:uid="{00000000-0005-0000-0000-00007D370000}"/>
    <cellStyle name="40% - Accent3 4 2" xfId="3587" xr:uid="{00000000-0005-0000-0000-00007E370000}"/>
    <cellStyle name="40% - Accent3 4 2 10" xfId="3588" xr:uid="{00000000-0005-0000-0000-00007F370000}"/>
    <cellStyle name="40% - Accent3 4 2 10 2" xfId="16019" xr:uid="{00000000-0005-0000-0000-000080370000}"/>
    <cellStyle name="40% - Accent3 4 2 10 2 2" xfId="29426" xr:uid="{00000000-0005-0000-0000-000081370000}"/>
    <cellStyle name="40% - Accent3 4 2 10 3" xfId="20914" xr:uid="{00000000-0005-0000-0000-000082370000}"/>
    <cellStyle name="40% - Accent3 4 2 11" xfId="9323" xr:uid="{00000000-0005-0000-0000-000083370000}"/>
    <cellStyle name="40% - Accent3 4 2 11 2" xfId="23798" xr:uid="{00000000-0005-0000-0000-000084370000}"/>
    <cellStyle name="40% - Accent3 4 2 12" xfId="20913" xr:uid="{00000000-0005-0000-0000-000085370000}"/>
    <cellStyle name="40% - Accent3 4 2 2" xfId="3589" xr:uid="{00000000-0005-0000-0000-000086370000}"/>
    <cellStyle name="40% - Accent3 4 2 2 10" xfId="9324" xr:uid="{00000000-0005-0000-0000-000087370000}"/>
    <cellStyle name="40% - Accent3 4 2 2 10 2" xfId="23799" xr:uid="{00000000-0005-0000-0000-000088370000}"/>
    <cellStyle name="40% - Accent3 4 2 2 11" xfId="20915" xr:uid="{00000000-0005-0000-0000-000089370000}"/>
    <cellStyle name="40% - Accent3 4 2 2 2" xfId="3590" xr:uid="{00000000-0005-0000-0000-00008A370000}"/>
    <cellStyle name="40% - Accent3 4 2 2 2 2" xfId="3591" xr:uid="{00000000-0005-0000-0000-00008B370000}"/>
    <cellStyle name="40% - Accent3 4 2 2 2 2 2" xfId="11052" xr:uid="{00000000-0005-0000-0000-00008C370000}"/>
    <cellStyle name="40% - Accent3 4 2 2 2 2 2 2" xfId="24994" xr:uid="{00000000-0005-0000-0000-00008D370000}"/>
    <cellStyle name="40% - Accent3 4 2 2 2 2 3" xfId="20917" xr:uid="{00000000-0005-0000-0000-00008E370000}"/>
    <cellStyle name="40% - Accent3 4 2 2 2 3" xfId="3592" xr:uid="{00000000-0005-0000-0000-00008F370000}"/>
    <cellStyle name="40% - Accent3 4 2 2 2 3 2" xfId="12825" xr:uid="{00000000-0005-0000-0000-000090370000}"/>
    <cellStyle name="40% - Accent3 4 2 2 2 3 2 2" xfId="26537" xr:uid="{00000000-0005-0000-0000-000091370000}"/>
    <cellStyle name="40% - Accent3 4 2 2 2 3 3" xfId="20918" xr:uid="{00000000-0005-0000-0000-000092370000}"/>
    <cellStyle name="40% - Accent3 4 2 2 2 4" xfId="3593" xr:uid="{00000000-0005-0000-0000-000093370000}"/>
    <cellStyle name="40% - Accent3 4 2 2 2 4 2" xfId="15217" xr:uid="{00000000-0005-0000-0000-000094370000}"/>
    <cellStyle name="40% - Accent3 4 2 2 2 4 2 2" xfId="28766" xr:uid="{00000000-0005-0000-0000-000095370000}"/>
    <cellStyle name="40% - Accent3 4 2 2 2 4 3" xfId="20919" xr:uid="{00000000-0005-0000-0000-000096370000}"/>
    <cellStyle name="40% - Accent3 4 2 2 2 5" xfId="3594" xr:uid="{00000000-0005-0000-0000-000097370000}"/>
    <cellStyle name="40% - Accent3 4 2 2 2 5 2" xfId="16889" xr:uid="{00000000-0005-0000-0000-000098370000}"/>
    <cellStyle name="40% - Accent3 4 2 2 2 5 2 2" xfId="30296" xr:uid="{00000000-0005-0000-0000-000099370000}"/>
    <cellStyle name="40% - Accent3 4 2 2 2 5 3" xfId="20920" xr:uid="{00000000-0005-0000-0000-00009A370000}"/>
    <cellStyle name="40% - Accent3 4 2 2 2 6" xfId="9325" xr:uid="{00000000-0005-0000-0000-00009B370000}"/>
    <cellStyle name="40% - Accent3 4 2 2 2 6 2" xfId="23800" xr:uid="{00000000-0005-0000-0000-00009C370000}"/>
    <cellStyle name="40% - Accent3 4 2 2 2 7" xfId="20916" xr:uid="{00000000-0005-0000-0000-00009D370000}"/>
    <cellStyle name="40% - Accent3 4 2 2 3" xfId="3595" xr:uid="{00000000-0005-0000-0000-00009E370000}"/>
    <cellStyle name="40% - Accent3 4 2 2 3 2" xfId="3596" xr:uid="{00000000-0005-0000-0000-00009F370000}"/>
    <cellStyle name="40% - Accent3 4 2 2 3 2 2" xfId="15218" xr:uid="{00000000-0005-0000-0000-0000A0370000}"/>
    <cellStyle name="40% - Accent3 4 2 2 3 2 2 2" xfId="28767" xr:uid="{00000000-0005-0000-0000-0000A1370000}"/>
    <cellStyle name="40% - Accent3 4 2 2 3 2 3" xfId="20922" xr:uid="{00000000-0005-0000-0000-0000A2370000}"/>
    <cellStyle name="40% - Accent3 4 2 2 3 3" xfId="11051" xr:uid="{00000000-0005-0000-0000-0000A3370000}"/>
    <cellStyle name="40% - Accent3 4 2 2 3 3 2" xfId="24993" xr:uid="{00000000-0005-0000-0000-0000A4370000}"/>
    <cellStyle name="40% - Accent3 4 2 2 3 4" xfId="20921" xr:uid="{00000000-0005-0000-0000-0000A5370000}"/>
    <cellStyle name="40% - Accent3 4 2 2 4" xfId="3597" xr:uid="{00000000-0005-0000-0000-0000A6370000}"/>
    <cellStyle name="40% - Accent3 4 2 2 4 2" xfId="12277" xr:uid="{00000000-0005-0000-0000-0000A7370000}"/>
    <cellStyle name="40% - Accent3 4 2 2 4 2 2" xfId="25989" xr:uid="{00000000-0005-0000-0000-0000A8370000}"/>
    <cellStyle name="40% - Accent3 4 2 2 4 3" xfId="20923" xr:uid="{00000000-0005-0000-0000-0000A9370000}"/>
    <cellStyle name="40% - Accent3 4 2 2 5" xfId="3598" xr:uid="{00000000-0005-0000-0000-0000AA370000}"/>
    <cellStyle name="40% - Accent3 4 2 2 5 2" xfId="12824" xr:uid="{00000000-0005-0000-0000-0000AB370000}"/>
    <cellStyle name="40% - Accent3 4 2 2 5 2 2" xfId="26536" xr:uid="{00000000-0005-0000-0000-0000AC370000}"/>
    <cellStyle name="40% - Accent3 4 2 2 5 3" xfId="20924" xr:uid="{00000000-0005-0000-0000-0000AD370000}"/>
    <cellStyle name="40% - Accent3 4 2 2 6" xfId="3599" xr:uid="{00000000-0005-0000-0000-0000AE370000}"/>
    <cellStyle name="40% - Accent3 4 2 2 6 2" xfId="13841" xr:uid="{00000000-0005-0000-0000-0000AF370000}"/>
    <cellStyle name="40% - Accent3 4 2 2 6 2 2" xfId="27390" xr:uid="{00000000-0005-0000-0000-0000B0370000}"/>
    <cellStyle name="40% - Accent3 4 2 2 6 3" xfId="20925" xr:uid="{00000000-0005-0000-0000-0000B1370000}"/>
    <cellStyle name="40% - Accent3 4 2 2 7" xfId="3600" xr:uid="{00000000-0005-0000-0000-0000B2370000}"/>
    <cellStyle name="40% - Accent3 4 2 2 7 2" xfId="14422" xr:uid="{00000000-0005-0000-0000-0000B3370000}"/>
    <cellStyle name="40% - Accent3 4 2 2 7 2 2" xfId="27971" xr:uid="{00000000-0005-0000-0000-0000B4370000}"/>
    <cellStyle name="40% - Accent3 4 2 2 7 3" xfId="20926" xr:uid="{00000000-0005-0000-0000-0000B5370000}"/>
    <cellStyle name="40% - Accent3 4 2 2 8" xfId="3601" xr:uid="{00000000-0005-0000-0000-0000B6370000}"/>
    <cellStyle name="40% - Accent3 4 2 2 8 2" xfId="15216" xr:uid="{00000000-0005-0000-0000-0000B7370000}"/>
    <cellStyle name="40% - Accent3 4 2 2 8 2 2" xfId="28765" xr:uid="{00000000-0005-0000-0000-0000B8370000}"/>
    <cellStyle name="40% - Accent3 4 2 2 8 3" xfId="20927" xr:uid="{00000000-0005-0000-0000-0000B9370000}"/>
    <cellStyle name="40% - Accent3 4 2 2 9" xfId="3602" xr:uid="{00000000-0005-0000-0000-0000BA370000}"/>
    <cellStyle name="40% - Accent3 4 2 2 9 2" xfId="16308" xr:uid="{00000000-0005-0000-0000-0000BB370000}"/>
    <cellStyle name="40% - Accent3 4 2 2 9 2 2" xfId="29715" xr:uid="{00000000-0005-0000-0000-0000BC370000}"/>
    <cellStyle name="40% - Accent3 4 2 2 9 3" xfId="20928" xr:uid="{00000000-0005-0000-0000-0000BD370000}"/>
    <cellStyle name="40% - Accent3 4 2 3" xfId="3603" xr:uid="{00000000-0005-0000-0000-0000BE370000}"/>
    <cellStyle name="40% - Accent3 4 2 3 2" xfId="3604" xr:uid="{00000000-0005-0000-0000-0000BF370000}"/>
    <cellStyle name="40% - Accent3 4 2 3 2 2" xfId="11053" xr:uid="{00000000-0005-0000-0000-0000C0370000}"/>
    <cellStyle name="40% - Accent3 4 2 3 2 2 2" xfId="24995" xr:uid="{00000000-0005-0000-0000-0000C1370000}"/>
    <cellStyle name="40% - Accent3 4 2 3 2 3" xfId="20930" xr:uid="{00000000-0005-0000-0000-0000C2370000}"/>
    <cellStyle name="40% - Accent3 4 2 3 3" xfId="3605" xr:uid="{00000000-0005-0000-0000-0000C3370000}"/>
    <cellStyle name="40% - Accent3 4 2 3 3 2" xfId="12826" xr:uid="{00000000-0005-0000-0000-0000C4370000}"/>
    <cellStyle name="40% - Accent3 4 2 3 3 2 2" xfId="26538" xr:uid="{00000000-0005-0000-0000-0000C5370000}"/>
    <cellStyle name="40% - Accent3 4 2 3 3 3" xfId="20931" xr:uid="{00000000-0005-0000-0000-0000C6370000}"/>
    <cellStyle name="40% - Accent3 4 2 3 4" xfId="3606" xr:uid="{00000000-0005-0000-0000-0000C7370000}"/>
    <cellStyle name="40% - Accent3 4 2 3 4 2" xfId="15219" xr:uid="{00000000-0005-0000-0000-0000C8370000}"/>
    <cellStyle name="40% - Accent3 4 2 3 4 2 2" xfId="28768" xr:uid="{00000000-0005-0000-0000-0000C9370000}"/>
    <cellStyle name="40% - Accent3 4 2 3 4 3" xfId="20932" xr:uid="{00000000-0005-0000-0000-0000CA370000}"/>
    <cellStyle name="40% - Accent3 4 2 3 5" xfId="3607" xr:uid="{00000000-0005-0000-0000-0000CB370000}"/>
    <cellStyle name="40% - Accent3 4 2 3 5 2" xfId="16600" xr:uid="{00000000-0005-0000-0000-0000CC370000}"/>
    <cellStyle name="40% - Accent3 4 2 3 5 2 2" xfId="30007" xr:uid="{00000000-0005-0000-0000-0000CD370000}"/>
    <cellStyle name="40% - Accent3 4 2 3 5 3" xfId="20933" xr:uid="{00000000-0005-0000-0000-0000CE370000}"/>
    <cellStyle name="40% - Accent3 4 2 3 6" xfId="9326" xr:uid="{00000000-0005-0000-0000-0000CF370000}"/>
    <cellStyle name="40% - Accent3 4 2 3 6 2" xfId="23801" xr:uid="{00000000-0005-0000-0000-0000D0370000}"/>
    <cellStyle name="40% - Accent3 4 2 3 7" xfId="20929" xr:uid="{00000000-0005-0000-0000-0000D1370000}"/>
    <cellStyle name="40% - Accent3 4 2 4" xfId="3608" xr:uid="{00000000-0005-0000-0000-0000D2370000}"/>
    <cellStyle name="40% - Accent3 4 2 4 2" xfId="3609" xr:uid="{00000000-0005-0000-0000-0000D3370000}"/>
    <cellStyle name="40% - Accent3 4 2 4 2 2" xfId="15220" xr:uid="{00000000-0005-0000-0000-0000D4370000}"/>
    <cellStyle name="40% - Accent3 4 2 4 2 2 2" xfId="28769" xr:uid="{00000000-0005-0000-0000-0000D5370000}"/>
    <cellStyle name="40% - Accent3 4 2 4 2 3" xfId="20935" xr:uid="{00000000-0005-0000-0000-0000D6370000}"/>
    <cellStyle name="40% - Accent3 4 2 4 3" xfId="11050" xr:uid="{00000000-0005-0000-0000-0000D7370000}"/>
    <cellStyle name="40% - Accent3 4 2 4 3 2" xfId="24992" xr:uid="{00000000-0005-0000-0000-0000D8370000}"/>
    <cellStyle name="40% - Accent3 4 2 4 4" xfId="20934" xr:uid="{00000000-0005-0000-0000-0000D9370000}"/>
    <cellStyle name="40% - Accent3 4 2 5" xfId="3610" xr:uid="{00000000-0005-0000-0000-0000DA370000}"/>
    <cellStyle name="40% - Accent3 4 2 5 2" xfId="11977" xr:uid="{00000000-0005-0000-0000-0000DB370000}"/>
    <cellStyle name="40% - Accent3 4 2 5 2 2" xfId="25692" xr:uid="{00000000-0005-0000-0000-0000DC370000}"/>
    <cellStyle name="40% - Accent3 4 2 5 3" xfId="20936" xr:uid="{00000000-0005-0000-0000-0000DD370000}"/>
    <cellStyle name="40% - Accent3 4 2 6" xfId="3611" xr:uid="{00000000-0005-0000-0000-0000DE370000}"/>
    <cellStyle name="40% - Accent3 4 2 6 2" xfId="12823" xr:uid="{00000000-0005-0000-0000-0000DF370000}"/>
    <cellStyle name="40% - Accent3 4 2 6 2 2" xfId="26535" xr:uid="{00000000-0005-0000-0000-0000E0370000}"/>
    <cellStyle name="40% - Accent3 4 2 6 3" xfId="20937" xr:uid="{00000000-0005-0000-0000-0000E1370000}"/>
    <cellStyle name="40% - Accent3 4 2 7" xfId="3612" xr:uid="{00000000-0005-0000-0000-0000E2370000}"/>
    <cellStyle name="40% - Accent3 4 2 7 2" xfId="13552" xr:uid="{00000000-0005-0000-0000-0000E3370000}"/>
    <cellStyle name="40% - Accent3 4 2 7 2 2" xfId="27101" xr:uid="{00000000-0005-0000-0000-0000E4370000}"/>
    <cellStyle name="40% - Accent3 4 2 7 3" xfId="20938" xr:uid="{00000000-0005-0000-0000-0000E5370000}"/>
    <cellStyle name="40% - Accent3 4 2 8" xfId="3613" xr:uid="{00000000-0005-0000-0000-0000E6370000}"/>
    <cellStyle name="40% - Accent3 4 2 8 2" xfId="14133" xr:uid="{00000000-0005-0000-0000-0000E7370000}"/>
    <cellStyle name="40% - Accent3 4 2 8 2 2" xfId="27682" xr:uid="{00000000-0005-0000-0000-0000E8370000}"/>
    <cellStyle name="40% - Accent3 4 2 8 3" xfId="20939" xr:uid="{00000000-0005-0000-0000-0000E9370000}"/>
    <cellStyle name="40% - Accent3 4 2 9" xfId="3614" xr:uid="{00000000-0005-0000-0000-0000EA370000}"/>
    <cellStyle name="40% - Accent3 4 2 9 2" xfId="15215" xr:uid="{00000000-0005-0000-0000-0000EB370000}"/>
    <cellStyle name="40% - Accent3 4 2 9 2 2" xfId="28764" xr:uid="{00000000-0005-0000-0000-0000EC370000}"/>
    <cellStyle name="40% - Accent3 4 2 9 3" xfId="20940" xr:uid="{00000000-0005-0000-0000-0000ED370000}"/>
    <cellStyle name="40% - Accent3 4 3" xfId="3615" xr:uid="{00000000-0005-0000-0000-0000EE370000}"/>
    <cellStyle name="40% - Accent3 4 3 10" xfId="9327" xr:uid="{00000000-0005-0000-0000-0000EF370000}"/>
    <cellStyle name="40% - Accent3 4 3 10 2" xfId="23802" xr:uid="{00000000-0005-0000-0000-0000F0370000}"/>
    <cellStyle name="40% - Accent3 4 3 11" xfId="20941" xr:uid="{00000000-0005-0000-0000-0000F1370000}"/>
    <cellStyle name="40% - Accent3 4 3 2" xfId="3616" xr:uid="{00000000-0005-0000-0000-0000F2370000}"/>
    <cellStyle name="40% - Accent3 4 3 2 2" xfId="3617" xr:uid="{00000000-0005-0000-0000-0000F3370000}"/>
    <cellStyle name="40% - Accent3 4 3 2 2 2" xfId="11055" xr:uid="{00000000-0005-0000-0000-0000F4370000}"/>
    <cellStyle name="40% - Accent3 4 3 2 2 2 2" xfId="24997" xr:uid="{00000000-0005-0000-0000-0000F5370000}"/>
    <cellStyle name="40% - Accent3 4 3 2 2 3" xfId="20943" xr:uid="{00000000-0005-0000-0000-0000F6370000}"/>
    <cellStyle name="40% - Accent3 4 3 2 3" xfId="3618" xr:uid="{00000000-0005-0000-0000-0000F7370000}"/>
    <cellStyle name="40% - Accent3 4 3 2 3 2" xfId="12828" xr:uid="{00000000-0005-0000-0000-0000F8370000}"/>
    <cellStyle name="40% - Accent3 4 3 2 3 2 2" xfId="26540" xr:uid="{00000000-0005-0000-0000-0000F9370000}"/>
    <cellStyle name="40% - Accent3 4 3 2 3 3" xfId="20944" xr:uid="{00000000-0005-0000-0000-0000FA370000}"/>
    <cellStyle name="40% - Accent3 4 3 2 4" xfId="3619" xr:uid="{00000000-0005-0000-0000-0000FB370000}"/>
    <cellStyle name="40% - Accent3 4 3 2 4 2" xfId="15222" xr:uid="{00000000-0005-0000-0000-0000FC370000}"/>
    <cellStyle name="40% - Accent3 4 3 2 4 2 2" xfId="28771" xr:uid="{00000000-0005-0000-0000-0000FD370000}"/>
    <cellStyle name="40% - Accent3 4 3 2 4 3" xfId="20945" xr:uid="{00000000-0005-0000-0000-0000FE370000}"/>
    <cellStyle name="40% - Accent3 4 3 2 5" xfId="3620" xr:uid="{00000000-0005-0000-0000-0000FF370000}"/>
    <cellStyle name="40% - Accent3 4 3 2 5 2" xfId="16749" xr:uid="{00000000-0005-0000-0000-000000380000}"/>
    <cellStyle name="40% - Accent3 4 3 2 5 2 2" xfId="30156" xr:uid="{00000000-0005-0000-0000-000001380000}"/>
    <cellStyle name="40% - Accent3 4 3 2 5 3" xfId="20946" xr:uid="{00000000-0005-0000-0000-000002380000}"/>
    <cellStyle name="40% - Accent3 4 3 2 6" xfId="9328" xr:uid="{00000000-0005-0000-0000-000003380000}"/>
    <cellStyle name="40% - Accent3 4 3 2 6 2" xfId="23803" xr:uid="{00000000-0005-0000-0000-000004380000}"/>
    <cellStyle name="40% - Accent3 4 3 2 7" xfId="20942" xr:uid="{00000000-0005-0000-0000-000005380000}"/>
    <cellStyle name="40% - Accent3 4 3 3" xfId="3621" xr:uid="{00000000-0005-0000-0000-000006380000}"/>
    <cellStyle name="40% - Accent3 4 3 3 2" xfId="3622" xr:uid="{00000000-0005-0000-0000-000007380000}"/>
    <cellStyle name="40% - Accent3 4 3 3 2 2" xfId="15223" xr:uid="{00000000-0005-0000-0000-000008380000}"/>
    <cellStyle name="40% - Accent3 4 3 3 2 2 2" xfId="28772" xr:uid="{00000000-0005-0000-0000-000009380000}"/>
    <cellStyle name="40% - Accent3 4 3 3 2 3" xfId="20948" xr:uid="{00000000-0005-0000-0000-00000A380000}"/>
    <cellStyle name="40% - Accent3 4 3 3 3" xfId="11054" xr:uid="{00000000-0005-0000-0000-00000B380000}"/>
    <cellStyle name="40% - Accent3 4 3 3 3 2" xfId="24996" xr:uid="{00000000-0005-0000-0000-00000C380000}"/>
    <cellStyle name="40% - Accent3 4 3 3 4" xfId="20947" xr:uid="{00000000-0005-0000-0000-00000D380000}"/>
    <cellStyle name="40% - Accent3 4 3 4" xfId="3623" xr:uid="{00000000-0005-0000-0000-00000E380000}"/>
    <cellStyle name="40% - Accent3 4 3 4 2" xfId="12137" xr:uid="{00000000-0005-0000-0000-00000F380000}"/>
    <cellStyle name="40% - Accent3 4 3 4 2 2" xfId="25849" xr:uid="{00000000-0005-0000-0000-000010380000}"/>
    <cellStyle name="40% - Accent3 4 3 4 3" xfId="20949" xr:uid="{00000000-0005-0000-0000-000011380000}"/>
    <cellStyle name="40% - Accent3 4 3 5" xfId="3624" xr:uid="{00000000-0005-0000-0000-000012380000}"/>
    <cellStyle name="40% - Accent3 4 3 5 2" xfId="12827" xr:uid="{00000000-0005-0000-0000-000013380000}"/>
    <cellStyle name="40% - Accent3 4 3 5 2 2" xfId="26539" xr:uid="{00000000-0005-0000-0000-000014380000}"/>
    <cellStyle name="40% - Accent3 4 3 5 3" xfId="20950" xr:uid="{00000000-0005-0000-0000-000015380000}"/>
    <cellStyle name="40% - Accent3 4 3 6" xfId="3625" xr:uid="{00000000-0005-0000-0000-000016380000}"/>
    <cellStyle name="40% - Accent3 4 3 6 2" xfId="13701" xr:uid="{00000000-0005-0000-0000-000017380000}"/>
    <cellStyle name="40% - Accent3 4 3 6 2 2" xfId="27250" xr:uid="{00000000-0005-0000-0000-000018380000}"/>
    <cellStyle name="40% - Accent3 4 3 6 3" xfId="20951" xr:uid="{00000000-0005-0000-0000-000019380000}"/>
    <cellStyle name="40% - Accent3 4 3 7" xfId="3626" xr:uid="{00000000-0005-0000-0000-00001A380000}"/>
    <cellStyle name="40% - Accent3 4 3 7 2" xfId="14282" xr:uid="{00000000-0005-0000-0000-00001B380000}"/>
    <cellStyle name="40% - Accent3 4 3 7 2 2" xfId="27831" xr:uid="{00000000-0005-0000-0000-00001C380000}"/>
    <cellStyle name="40% - Accent3 4 3 7 3" xfId="20952" xr:uid="{00000000-0005-0000-0000-00001D380000}"/>
    <cellStyle name="40% - Accent3 4 3 8" xfId="3627" xr:uid="{00000000-0005-0000-0000-00001E380000}"/>
    <cellStyle name="40% - Accent3 4 3 8 2" xfId="15221" xr:uid="{00000000-0005-0000-0000-00001F380000}"/>
    <cellStyle name="40% - Accent3 4 3 8 2 2" xfId="28770" xr:uid="{00000000-0005-0000-0000-000020380000}"/>
    <cellStyle name="40% - Accent3 4 3 8 3" xfId="20953" xr:uid="{00000000-0005-0000-0000-000021380000}"/>
    <cellStyle name="40% - Accent3 4 3 9" xfId="3628" xr:uid="{00000000-0005-0000-0000-000022380000}"/>
    <cellStyle name="40% - Accent3 4 3 9 2" xfId="16168" xr:uid="{00000000-0005-0000-0000-000023380000}"/>
    <cellStyle name="40% - Accent3 4 3 9 2 2" xfId="29575" xr:uid="{00000000-0005-0000-0000-000024380000}"/>
    <cellStyle name="40% - Accent3 4 3 9 3" xfId="20954" xr:uid="{00000000-0005-0000-0000-000025380000}"/>
    <cellStyle name="40% - Accent3 4 4" xfId="3629" xr:uid="{00000000-0005-0000-0000-000026380000}"/>
    <cellStyle name="40% - Accent3 4 4 2" xfId="3630" xr:uid="{00000000-0005-0000-0000-000027380000}"/>
    <cellStyle name="40% - Accent3 4 4 2 2" xfId="11056" xr:uid="{00000000-0005-0000-0000-000028380000}"/>
    <cellStyle name="40% - Accent3 4 4 2 2 2" xfId="24998" xr:uid="{00000000-0005-0000-0000-000029380000}"/>
    <cellStyle name="40% - Accent3 4 4 2 3" xfId="20956" xr:uid="{00000000-0005-0000-0000-00002A380000}"/>
    <cellStyle name="40% - Accent3 4 4 3" xfId="3631" xr:uid="{00000000-0005-0000-0000-00002B380000}"/>
    <cellStyle name="40% - Accent3 4 4 3 2" xfId="12829" xr:uid="{00000000-0005-0000-0000-00002C380000}"/>
    <cellStyle name="40% - Accent3 4 4 3 2 2" xfId="26541" xr:uid="{00000000-0005-0000-0000-00002D380000}"/>
    <cellStyle name="40% - Accent3 4 4 3 3" xfId="20957" xr:uid="{00000000-0005-0000-0000-00002E380000}"/>
    <cellStyle name="40% - Accent3 4 4 4" xfId="3632" xr:uid="{00000000-0005-0000-0000-00002F380000}"/>
    <cellStyle name="40% - Accent3 4 4 4 2" xfId="15224" xr:uid="{00000000-0005-0000-0000-000030380000}"/>
    <cellStyle name="40% - Accent3 4 4 4 2 2" xfId="28773" xr:uid="{00000000-0005-0000-0000-000031380000}"/>
    <cellStyle name="40% - Accent3 4 4 4 3" xfId="20958" xr:uid="{00000000-0005-0000-0000-000032380000}"/>
    <cellStyle name="40% - Accent3 4 4 5" xfId="3633" xr:uid="{00000000-0005-0000-0000-000033380000}"/>
    <cellStyle name="40% - Accent3 4 4 5 2" xfId="16457" xr:uid="{00000000-0005-0000-0000-000034380000}"/>
    <cellStyle name="40% - Accent3 4 4 5 2 2" xfId="29864" xr:uid="{00000000-0005-0000-0000-000035380000}"/>
    <cellStyle name="40% - Accent3 4 4 5 3" xfId="20959" xr:uid="{00000000-0005-0000-0000-000036380000}"/>
    <cellStyle name="40% - Accent3 4 4 6" xfId="9329" xr:uid="{00000000-0005-0000-0000-000037380000}"/>
    <cellStyle name="40% - Accent3 4 4 6 2" xfId="23804" xr:uid="{00000000-0005-0000-0000-000038380000}"/>
    <cellStyle name="40% - Accent3 4 4 7" xfId="20955" xr:uid="{00000000-0005-0000-0000-000039380000}"/>
    <cellStyle name="40% - Accent3 4 5" xfId="3634" xr:uid="{00000000-0005-0000-0000-00003A380000}"/>
    <cellStyle name="40% - Accent3 4 5 2" xfId="3635" xr:uid="{00000000-0005-0000-0000-00003B380000}"/>
    <cellStyle name="40% - Accent3 4 5 2 2" xfId="15225" xr:uid="{00000000-0005-0000-0000-00003C380000}"/>
    <cellStyle name="40% - Accent3 4 5 2 2 2" xfId="28774" xr:uid="{00000000-0005-0000-0000-00003D380000}"/>
    <cellStyle name="40% - Accent3 4 5 2 3" xfId="20961" xr:uid="{00000000-0005-0000-0000-00003E380000}"/>
    <cellStyle name="40% - Accent3 4 5 3" xfId="11049" xr:uid="{00000000-0005-0000-0000-00003F380000}"/>
    <cellStyle name="40% - Accent3 4 5 3 2" xfId="24991" xr:uid="{00000000-0005-0000-0000-000040380000}"/>
    <cellStyle name="40% - Accent3 4 5 4" xfId="20960" xr:uid="{00000000-0005-0000-0000-000041380000}"/>
    <cellStyle name="40% - Accent3 4 6" xfId="3636" xr:uid="{00000000-0005-0000-0000-000042380000}"/>
    <cellStyle name="40% - Accent3 4 6 2" xfId="11808" xr:uid="{00000000-0005-0000-0000-000043380000}"/>
    <cellStyle name="40% - Accent3 4 6 2 2" xfId="25523" xr:uid="{00000000-0005-0000-0000-000044380000}"/>
    <cellStyle name="40% - Accent3 4 6 3" xfId="20962" xr:uid="{00000000-0005-0000-0000-000045380000}"/>
    <cellStyle name="40% - Accent3 4 7" xfId="3637" xr:uid="{00000000-0005-0000-0000-000046380000}"/>
    <cellStyle name="40% - Accent3 4 7 2" xfId="12822" xr:uid="{00000000-0005-0000-0000-000047380000}"/>
    <cellStyle name="40% - Accent3 4 7 2 2" xfId="26534" xr:uid="{00000000-0005-0000-0000-000048380000}"/>
    <cellStyle name="40% - Accent3 4 7 3" xfId="20963" xr:uid="{00000000-0005-0000-0000-000049380000}"/>
    <cellStyle name="40% - Accent3 4 8" xfId="3638" xr:uid="{00000000-0005-0000-0000-00004A380000}"/>
    <cellStyle name="40% - Accent3 4 8 2" xfId="13409" xr:uid="{00000000-0005-0000-0000-00004B380000}"/>
    <cellStyle name="40% - Accent3 4 8 2 2" xfId="26958" xr:uid="{00000000-0005-0000-0000-00004C380000}"/>
    <cellStyle name="40% - Accent3 4 8 3" xfId="20964" xr:uid="{00000000-0005-0000-0000-00004D380000}"/>
    <cellStyle name="40% - Accent3 4 9" xfId="3639" xr:uid="{00000000-0005-0000-0000-00004E380000}"/>
    <cellStyle name="40% - Accent3 4 9 2" xfId="13990" xr:uid="{00000000-0005-0000-0000-00004F380000}"/>
    <cellStyle name="40% - Accent3 4 9 2 2" xfId="27539" xr:uid="{00000000-0005-0000-0000-000050380000}"/>
    <cellStyle name="40% - Accent3 4 9 3" xfId="20965" xr:uid="{00000000-0005-0000-0000-000051380000}"/>
    <cellStyle name="40% - Accent3 5" xfId="3640" xr:uid="{00000000-0005-0000-0000-000052380000}"/>
    <cellStyle name="40% - Accent3 5 10" xfId="3641" xr:uid="{00000000-0005-0000-0000-000053380000}"/>
    <cellStyle name="40% - Accent3 5 10 2" xfId="15226" xr:uid="{00000000-0005-0000-0000-000054380000}"/>
    <cellStyle name="40% - Accent3 5 10 2 2" xfId="28775" xr:uid="{00000000-0005-0000-0000-000055380000}"/>
    <cellStyle name="40% - Accent3 5 10 3" xfId="20967" xr:uid="{00000000-0005-0000-0000-000056380000}"/>
    <cellStyle name="40% - Accent3 5 11" xfId="3642" xr:uid="{00000000-0005-0000-0000-000057380000}"/>
    <cellStyle name="40% - Accent3 5 11 2" xfId="15859" xr:uid="{00000000-0005-0000-0000-000058380000}"/>
    <cellStyle name="40% - Accent3 5 11 2 2" xfId="29266" xr:uid="{00000000-0005-0000-0000-000059380000}"/>
    <cellStyle name="40% - Accent3 5 11 3" xfId="20968" xr:uid="{00000000-0005-0000-0000-00005A380000}"/>
    <cellStyle name="40% - Accent3 5 12" xfId="9330" xr:uid="{00000000-0005-0000-0000-00005B380000}"/>
    <cellStyle name="40% - Accent3 5 12 2" xfId="23805" xr:uid="{00000000-0005-0000-0000-00005C380000}"/>
    <cellStyle name="40% - Accent3 5 13" xfId="20966" xr:uid="{00000000-0005-0000-0000-00005D380000}"/>
    <cellStyle name="40% - Accent3 5 2" xfId="3643" xr:uid="{00000000-0005-0000-0000-00005E380000}"/>
    <cellStyle name="40% - Accent3 5 2 10" xfId="3644" xr:uid="{00000000-0005-0000-0000-00005F380000}"/>
    <cellStyle name="40% - Accent3 5 2 10 2" xfId="16002" xr:uid="{00000000-0005-0000-0000-000060380000}"/>
    <cellStyle name="40% - Accent3 5 2 10 2 2" xfId="29409" xr:uid="{00000000-0005-0000-0000-000061380000}"/>
    <cellStyle name="40% - Accent3 5 2 10 3" xfId="20970" xr:uid="{00000000-0005-0000-0000-000062380000}"/>
    <cellStyle name="40% - Accent3 5 2 11" xfId="9331" xr:uid="{00000000-0005-0000-0000-000063380000}"/>
    <cellStyle name="40% - Accent3 5 2 11 2" xfId="23806" xr:uid="{00000000-0005-0000-0000-000064380000}"/>
    <cellStyle name="40% - Accent3 5 2 12" xfId="20969" xr:uid="{00000000-0005-0000-0000-000065380000}"/>
    <cellStyle name="40% - Accent3 5 2 2" xfId="3645" xr:uid="{00000000-0005-0000-0000-000066380000}"/>
    <cellStyle name="40% - Accent3 5 2 2 10" xfId="9332" xr:uid="{00000000-0005-0000-0000-000067380000}"/>
    <cellStyle name="40% - Accent3 5 2 2 10 2" xfId="23807" xr:uid="{00000000-0005-0000-0000-000068380000}"/>
    <cellStyle name="40% - Accent3 5 2 2 11" xfId="20971" xr:uid="{00000000-0005-0000-0000-000069380000}"/>
    <cellStyle name="40% - Accent3 5 2 2 2" xfId="3646" xr:uid="{00000000-0005-0000-0000-00006A380000}"/>
    <cellStyle name="40% - Accent3 5 2 2 2 2" xfId="3647" xr:uid="{00000000-0005-0000-0000-00006B380000}"/>
    <cellStyle name="40% - Accent3 5 2 2 2 2 2" xfId="11060" xr:uid="{00000000-0005-0000-0000-00006C380000}"/>
    <cellStyle name="40% - Accent3 5 2 2 2 2 2 2" xfId="25002" xr:uid="{00000000-0005-0000-0000-00006D380000}"/>
    <cellStyle name="40% - Accent3 5 2 2 2 2 3" xfId="20973" xr:uid="{00000000-0005-0000-0000-00006E380000}"/>
    <cellStyle name="40% - Accent3 5 2 2 2 3" xfId="3648" xr:uid="{00000000-0005-0000-0000-00006F380000}"/>
    <cellStyle name="40% - Accent3 5 2 2 2 3 2" xfId="12833" xr:uid="{00000000-0005-0000-0000-000070380000}"/>
    <cellStyle name="40% - Accent3 5 2 2 2 3 2 2" xfId="26545" xr:uid="{00000000-0005-0000-0000-000071380000}"/>
    <cellStyle name="40% - Accent3 5 2 2 2 3 3" xfId="20974" xr:uid="{00000000-0005-0000-0000-000072380000}"/>
    <cellStyle name="40% - Accent3 5 2 2 2 4" xfId="3649" xr:uid="{00000000-0005-0000-0000-000073380000}"/>
    <cellStyle name="40% - Accent3 5 2 2 2 4 2" xfId="15229" xr:uid="{00000000-0005-0000-0000-000074380000}"/>
    <cellStyle name="40% - Accent3 5 2 2 2 4 2 2" xfId="28778" xr:uid="{00000000-0005-0000-0000-000075380000}"/>
    <cellStyle name="40% - Accent3 5 2 2 2 4 3" xfId="20975" xr:uid="{00000000-0005-0000-0000-000076380000}"/>
    <cellStyle name="40% - Accent3 5 2 2 2 5" xfId="3650" xr:uid="{00000000-0005-0000-0000-000077380000}"/>
    <cellStyle name="40% - Accent3 5 2 2 2 5 2" xfId="16872" xr:uid="{00000000-0005-0000-0000-000078380000}"/>
    <cellStyle name="40% - Accent3 5 2 2 2 5 2 2" xfId="30279" xr:uid="{00000000-0005-0000-0000-000079380000}"/>
    <cellStyle name="40% - Accent3 5 2 2 2 5 3" xfId="20976" xr:uid="{00000000-0005-0000-0000-00007A380000}"/>
    <cellStyle name="40% - Accent3 5 2 2 2 6" xfId="9333" xr:uid="{00000000-0005-0000-0000-00007B380000}"/>
    <cellStyle name="40% - Accent3 5 2 2 2 6 2" xfId="23808" xr:uid="{00000000-0005-0000-0000-00007C380000}"/>
    <cellStyle name="40% - Accent3 5 2 2 2 7" xfId="20972" xr:uid="{00000000-0005-0000-0000-00007D380000}"/>
    <cellStyle name="40% - Accent3 5 2 2 3" xfId="3651" xr:uid="{00000000-0005-0000-0000-00007E380000}"/>
    <cellStyle name="40% - Accent3 5 2 2 3 2" xfId="3652" xr:uid="{00000000-0005-0000-0000-00007F380000}"/>
    <cellStyle name="40% - Accent3 5 2 2 3 2 2" xfId="15230" xr:uid="{00000000-0005-0000-0000-000080380000}"/>
    <cellStyle name="40% - Accent3 5 2 2 3 2 2 2" xfId="28779" xr:uid="{00000000-0005-0000-0000-000081380000}"/>
    <cellStyle name="40% - Accent3 5 2 2 3 2 3" xfId="20978" xr:uid="{00000000-0005-0000-0000-000082380000}"/>
    <cellStyle name="40% - Accent3 5 2 2 3 3" xfId="11059" xr:uid="{00000000-0005-0000-0000-000083380000}"/>
    <cellStyle name="40% - Accent3 5 2 2 3 3 2" xfId="25001" xr:uid="{00000000-0005-0000-0000-000084380000}"/>
    <cellStyle name="40% - Accent3 5 2 2 3 4" xfId="20977" xr:uid="{00000000-0005-0000-0000-000085380000}"/>
    <cellStyle name="40% - Accent3 5 2 2 4" xfId="3653" xr:uid="{00000000-0005-0000-0000-000086380000}"/>
    <cellStyle name="40% - Accent3 5 2 2 4 2" xfId="12260" xr:uid="{00000000-0005-0000-0000-000087380000}"/>
    <cellStyle name="40% - Accent3 5 2 2 4 2 2" xfId="25972" xr:uid="{00000000-0005-0000-0000-000088380000}"/>
    <cellStyle name="40% - Accent3 5 2 2 4 3" xfId="20979" xr:uid="{00000000-0005-0000-0000-000089380000}"/>
    <cellStyle name="40% - Accent3 5 2 2 5" xfId="3654" xr:uid="{00000000-0005-0000-0000-00008A380000}"/>
    <cellStyle name="40% - Accent3 5 2 2 5 2" xfId="12832" xr:uid="{00000000-0005-0000-0000-00008B380000}"/>
    <cellStyle name="40% - Accent3 5 2 2 5 2 2" xfId="26544" xr:uid="{00000000-0005-0000-0000-00008C380000}"/>
    <cellStyle name="40% - Accent3 5 2 2 5 3" xfId="20980" xr:uid="{00000000-0005-0000-0000-00008D380000}"/>
    <cellStyle name="40% - Accent3 5 2 2 6" xfId="3655" xr:uid="{00000000-0005-0000-0000-00008E380000}"/>
    <cellStyle name="40% - Accent3 5 2 2 6 2" xfId="13824" xr:uid="{00000000-0005-0000-0000-00008F380000}"/>
    <cellStyle name="40% - Accent3 5 2 2 6 2 2" xfId="27373" xr:uid="{00000000-0005-0000-0000-000090380000}"/>
    <cellStyle name="40% - Accent3 5 2 2 6 3" xfId="20981" xr:uid="{00000000-0005-0000-0000-000091380000}"/>
    <cellStyle name="40% - Accent3 5 2 2 7" xfId="3656" xr:uid="{00000000-0005-0000-0000-000092380000}"/>
    <cellStyle name="40% - Accent3 5 2 2 7 2" xfId="14405" xr:uid="{00000000-0005-0000-0000-000093380000}"/>
    <cellStyle name="40% - Accent3 5 2 2 7 2 2" xfId="27954" xr:uid="{00000000-0005-0000-0000-000094380000}"/>
    <cellStyle name="40% - Accent3 5 2 2 7 3" xfId="20982" xr:uid="{00000000-0005-0000-0000-000095380000}"/>
    <cellStyle name="40% - Accent3 5 2 2 8" xfId="3657" xr:uid="{00000000-0005-0000-0000-000096380000}"/>
    <cellStyle name="40% - Accent3 5 2 2 8 2" xfId="15228" xr:uid="{00000000-0005-0000-0000-000097380000}"/>
    <cellStyle name="40% - Accent3 5 2 2 8 2 2" xfId="28777" xr:uid="{00000000-0005-0000-0000-000098380000}"/>
    <cellStyle name="40% - Accent3 5 2 2 8 3" xfId="20983" xr:uid="{00000000-0005-0000-0000-000099380000}"/>
    <cellStyle name="40% - Accent3 5 2 2 9" xfId="3658" xr:uid="{00000000-0005-0000-0000-00009A380000}"/>
    <cellStyle name="40% - Accent3 5 2 2 9 2" xfId="16291" xr:uid="{00000000-0005-0000-0000-00009B380000}"/>
    <cellStyle name="40% - Accent3 5 2 2 9 2 2" xfId="29698" xr:uid="{00000000-0005-0000-0000-00009C380000}"/>
    <cellStyle name="40% - Accent3 5 2 2 9 3" xfId="20984" xr:uid="{00000000-0005-0000-0000-00009D380000}"/>
    <cellStyle name="40% - Accent3 5 2 3" xfId="3659" xr:uid="{00000000-0005-0000-0000-00009E380000}"/>
    <cellStyle name="40% - Accent3 5 2 3 2" xfId="3660" xr:uid="{00000000-0005-0000-0000-00009F380000}"/>
    <cellStyle name="40% - Accent3 5 2 3 2 2" xfId="11061" xr:uid="{00000000-0005-0000-0000-0000A0380000}"/>
    <cellStyle name="40% - Accent3 5 2 3 2 2 2" xfId="25003" xr:uid="{00000000-0005-0000-0000-0000A1380000}"/>
    <cellStyle name="40% - Accent3 5 2 3 2 3" xfId="20986" xr:uid="{00000000-0005-0000-0000-0000A2380000}"/>
    <cellStyle name="40% - Accent3 5 2 3 3" xfId="3661" xr:uid="{00000000-0005-0000-0000-0000A3380000}"/>
    <cellStyle name="40% - Accent3 5 2 3 3 2" xfId="12834" xr:uid="{00000000-0005-0000-0000-0000A4380000}"/>
    <cellStyle name="40% - Accent3 5 2 3 3 2 2" xfId="26546" xr:uid="{00000000-0005-0000-0000-0000A5380000}"/>
    <cellStyle name="40% - Accent3 5 2 3 3 3" xfId="20987" xr:uid="{00000000-0005-0000-0000-0000A6380000}"/>
    <cellStyle name="40% - Accent3 5 2 3 4" xfId="3662" xr:uid="{00000000-0005-0000-0000-0000A7380000}"/>
    <cellStyle name="40% - Accent3 5 2 3 4 2" xfId="15231" xr:uid="{00000000-0005-0000-0000-0000A8380000}"/>
    <cellStyle name="40% - Accent3 5 2 3 4 2 2" xfId="28780" xr:uid="{00000000-0005-0000-0000-0000A9380000}"/>
    <cellStyle name="40% - Accent3 5 2 3 4 3" xfId="20988" xr:uid="{00000000-0005-0000-0000-0000AA380000}"/>
    <cellStyle name="40% - Accent3 5 2 3 5" xfId="3663" xr:uid="{00000000-0005-0000-0000-0000AB380000}"/>
    <cellStyle name="40% - Accent3 5 2 3 5 2" xfId="16583" xr:uid="{00000000-0005-0000-0000-0000AC380000}"/>
    <cellStyle name="40% - Accent3 5 2 3 5 2 2" xfId="29990" xr:uid="{00000000-0005-0000-0000-0000AD380000}"/>
    <cellStyle name="40% - Accent3 5 2 3 5 3" xfId="20989" xr:uid="{00000000-0005-0000-0000-0000AE380000}"/>
    <cellStyle name="40% - Accent3 5 2 3 6" xfId="9334" xr:uid="{00000000-0005-0000-0000-0000AF380000}"/>
    <cellStyle name="40% - Accent3 5 2 3 6 2" xfId="23809" xr:uid="{00000000-0005-0000-0000-0000B0380000}"/>
    <cellStyle name="40% - Accent3 5 2 3 7" xfId="20985" xr:uid="{00000000-0005-0000-0000-0000B1380000}"/>
    <cellStyle name="40% - Accent3 5 2 4" xfId="3664" xr:uid="{00000000-0005-0000-0000-0000B2380000}"/>
    <cellStyle name="40% - Accent3 5 2 4 2" xfId="3665" xr:uid="{00000000-0005-0000-0000-0000B3380000}"/>
    <cellStyle name="40% - Accent3 5 2 4 2 2" xfId="15232" xr:uid="{00000000-0005-0000-0000-0000B4380000}"/>
    <cellStyle name="40% - Accent3 5 2 4 2 2 2" xfId="28781" xr:uid="{00000000-0005-0000-0000-0000B5380000}"/>
    <cellStyle name="40% - Accent3 5 2 4 2 3" xfId="20991" xr:uid="{00000000-0005-0000-0000-0000B6380000}"/>
    <cellStyle name="40% - Accent3 5 2 4 3" xfId="11058" xr:uid="{00000000-0005-0000-0000-0000B7380000}"/>
    <cellStyle name="40% - Accent3 5 2 4 3 2" xfId="25000" xr:uid="{00000000-0005-0000-0000-0000B8380000}"/>
    <cellStyle name="40% - Accent3 5 2 4 4" xfId="20990" xr:uid="{00000000-0005-0000-0000-0000B9380000}"/>
    <cellStyle name="40% - Accent3 5 2 5" xfId="3666" xr:uid="{00000000-0005-0000-0000-0000BA380000}"/>
    <cellStyle name="40% - Accent3 5 2 5 2" xfId="11960" xr:uid="{00000000-0005-0000-0000-0000BB380000}"/>
    <cellStyle name="40% - Accent3 5 2 5 2 2" xfId="25675" xr:uid="{00000000-0005-0000-0000-0000BC380000}"/>
    <cellStyle name="40% - Accent3 5 2 5 3" xfId="20992" xr:uid="{00000000-0005-0000-0000-0000BD380000}"/>
    <cellStyle name="40% - Accent3 5 2 6" xfId="3667" xr:uid="{00000000-0005-0000-0000-0000BE380000}"/>
    <cellStyle name="40% - Accent3 5 2 6 2" xfId="12831" xr:uid="{00000000-0005-0000-0000-0000BF380000}"/>
    <cellStyle name="40% - Accent3 5 2 6 2 2" xfId="26543" xr:uid="{00000000-0005-0000-0000-0000C0380000}"/>
    <cellStyle name="40% - Accent3 5 2 6 3" xfId="20993" xr:uid="{00000000-0005-0000-0000-0000C1380000}"/>
    <cellStyle name="40% - Accent3 5 2 7" xfId="3668" xr:uid="{00000000-0005-0000-0000-0000C2380000}"/>
    <cellStyle name="40% - Accent3 5 2 7 2" xfId="13535" xr:uid="{00000000-0005-0000-0000-0000C3380000}"/>
    <cellStyle name="40% - Accent3 5 2 7 2 2" xfId="27084" xr:uid="{00000000-0005-0000-0000-0000C4380000}"/>
    <cellStyle name="40% - Accent3 5 2 7 3" xfId="20994" xr:uid="{00000000-0005-0000-0000-0000C5380000}"/>
    <cellStyle name="40% - Accent3 5 2 8" xfId="3669" xr:uid="{00000000-0005-0000-0000-0000C6380000}"/>
    <cellStyle name="40% - Accent3 5 2 8 2" xfId="14116" xr:uid="{00000000-0005-0000-0000-0000C7380000}"/>
    <cellStyle name="40% - Accent3 5 2 8 2 2" xfId="27665" xr:uid="{00000000-0005-0000-0000-0000C8380000}"/>
    <cellStyle name="40% - Accent3 5 2 8 3" xfId="20995" xr:uid="{00000000-0005-0000-0000-0000C9380000}"/>
    <cellStyle name="40% - Accent3 5 2 9" xfId="3670" xr:uid="{00000000-0005-0000-0000-0000CA380000}"/>
    <cellStyle name="40% - Accent3 5 2 9 2" xfId="15227" xr:uid="{00000000-0005-0000-0000-0000CB380000}"/>
    <cellStyle name="40% - Accent3 5 2 9 2 2" xfId="28776" xr:uid="{00000000-0005-0000-0000-0000CC380000}"/>
    <cellStyle name="40% - Accent3 5 2 9 3" xfId="20996" xr:uid="{00000000-0005-0000-0000-0000CD380000}"/>
    <cellStyle name="40% - Accent3 5 3" xfId="3671" xr:uid="{00000000-0005-0000-0000-0000CE380000}"/>
    <cellStyle name="40% - Accent3 5 3 10" xfId="9335" xr:uid="{00000000-0005-0000-0000-0000CF380000}"/>
    <cellStyle name="40% - Accent3 5 3 10 2" xfId="23810" xr:uid="{00000000-0005-0000-0000-0000D0380000}"/>
    <cellStyle name="40% - Accent3 5 3 11" xfId="20997" xr:uid="{00000000-0005-0000-0000-0000D1380000}"/>
    <cellStyle name="40% - Accent3 5 3 2" xfId="3672" xr:uid="{00000000-0005-0000-0000-0000D2380000}"/>
    <cellStyle name="40% - Accent3 5 3 2 2" xfId="3673" xr:uid="{00000000-0005-0000-0000-0000D3380000}"/>
    <cellStyle name="40% - Accent3 5 3 2 2 2" xfId="11063" xr:uid="{00000000-0005-0000-0000-0000D4380000}"/>
    <cellStyle name="40% - Accent3 5 3 2 2 2 2" xfId="25005" xr:uid="{00000000-0005-0000-0000-0000D5380000}"/>
    <cellStyle name="40% - Accent3 5 3 2 2 3" xfId="20999" xr:uid="{00000000-0005-0000-0000-0000D6380000}"/>
    <cellStyle name="40% - Accent3 5 3 2 3" xfId="3674" xr:uid="{00000000-0005-0000-0000-0000D7380000}"/>
    <cellStyle name="40% - Accent3 5 3 2 3 2" xfId="12836" xr:uid="{00000000-0005-0000-0000-0000D8380000}"/>
    <cellStyle name="40% - Accent3 5 3 2 3 2 2" xfId="26548" xr:uid="{00000000-0005-0000-0000-0000D9380000}"/>
    <cellStyle name="40% - Accent3 5 3 2 3 3" xfId="21000" xr:uid="{00000000-0005-0000-0000-0000DA380000}"/>
    <cellStyle name="40% - Accent3 5 3 2 4" xfId="3675" xr:uid="{00000000-0005-0000-0000-0000DB380000}"/>
    <cellStyle name="40% - Accent3 5 3 2 4 2" xfId="15234" xr:uid="{00000000-0005-0000-0000-0000DC380000}"/>
    <cellStyle name="40% - Accent3 5 3 2 4 2 2" xfId="28783" xr:uid="{00000000-0005-0000-0000-0000DD380000}"/>
    <cellStyle name="40% - Accent3 5 3 2 4 3" xfId="21001" xr:uid="{00000000-0005-0000-0000-0000DE380000}"/>
    <cellStyle name="40% - Accent3 5 3 2 5" xfId="3676" xr:uid="{00000000-0005-0000-0000-0000DF380000}"/>
    <cellStyle name="40% - Accent3 5 3 2 5 2" xfId="16732" xr:uid="{00000000-0005-0000-0000-0000E0380000}"/>
    <cellStyle name="40% - Accent3 5 3 2 5 2 2" xfId="30139" xr:uid="{00000000-0005-0000-0000-0000E1380000}"/>
    <cellStyle name="40% - Accent3 5 3 2 5 3" xfId="21002" xr:uid="{00000000-0005-0000-0000-0000E2380000}"/>
    <cellStyle name="40% - Accent3 5 3 2 6" xfId="9336" xr:uid="{00000000-0005-0000-0000-0000E3380000}"/>
    <cellStyle name="40% - Accent3 5 3 2 6 2" xfId="23811" xr:uid="{00000000-0005-0000-0000-0000E4380000}"/>
    <cellStyle name="40% - Accent3 5 3 2 7" xfId="20998" xr:uid="{00000000-0005-0000-0000-0000E5380000}"/>
    <cellStyle name="40% - Accent3 5 3 3" xfId="3677" xr:uid="{00000000-0005-0000-0000-0000E6380000}"/>
    <cellStyle name="40% - Accent3 5 3 3 2" xfId="3678" xr:uid="{00000000-0005-0000-0000-0000E7380000}"/>
    <cellStyle name="40% - Accent3 5 3 3 2 2" xfId="15235" xr:uid="{00000000-0005-0000-0000-0000E8380000}"/>
    <cellStyle name="40% - Accent3 5 3 3 2 2 2" xfId="28784" xr:uid="{00000000-0005-0000-0000-0000E9380000}"/>
    <cellStyle name="40% - Accent3 5 3 3 2 3" xfId="21004" xr:uid="{00000000-0005-0000-0000-0000EA380000}"/>
    <cellStyle name="40% - Accent3 5 3 3 3" xfId="11062" xr:uid="{00000000-0005-0000-0000-0000EB380000}"/>
    <cellStyle name="40% - Accent3 5 3 3 3 2" xfId="25004" xr:uid="{00000000-0005-0000-0000-0000EC380000}"/>
    <cellStyle name="40% - Accent3 5 3 3 4" xfId="21003" xr:uid="{00000000-0005-0000-0000-0000ED380000}"/>
    <cellStyle name="40% - Accent3 5 3 4" xfId="3679" xr:uid="{00000000-0005-0000-0000-0000EE380000}"/>
    <cellStyle name="40% - Accent3 5 3 4 2" xfId="12120" xr:uid="{00000000-0005-0000-0000-0000EF380000}"/>
    <cellStyle name="40% - Accent3 5 3 4 2 2" xfId="25832" xr:uid="{00000000-0005-0000-0000-0000F0380000}"/>
    <cellStyle name="40% - Accent3 5 3 4 3" xfId="21005" xr:uid="{00000000-0005-0000-0000-0000F1380000}"/>
    <cellStyle name="40% - Accent3 5 3 5" xfId="3680" xr:uid="{00000000-0005-0000-0000-0000F2380000}"/>
    <cellStyle name="40% - Accent3 5 3 5 2" xfId="12835" xr:uid="{00000000-0005-0000-0000-0000F3380000}"/>
    <cellStyle name="40% - Accent3 5 3 5 2 2" xfId="26547" xr:uid="{00000000-0005-0000-0000-0000F4380000}"/>
    <cellStyle name="40% - Accent3 5 3 5 3" xfId="21006" xr:uid="{00000000-0005-0000-0000-0000F5380000}"/>
    <cellStyle name="40% - Accent3 5 3 6" xfId="3681" xr:uid="{00000000-0005-0000-0000-0000F6380000}"/>
    <cellStyle name="40% - Accent3 5 3 6 2" xfId="13684" xr:uid="{00000000-0005-0000-0000-0000F7380000}"/>
    <cellStyle name="40% - Accent3 5 3 6 2 2" xfId="27233" xr:uid="{00000000-0005-0000-0000-0000F8380000}"/>
    <cellStyle name="40% - Accent3 5 3 6 3" xfId="21007" xr:uid="{00000000-0005-0000-0000-0000F9380000}"/>
    <cellStyle name="40% - Accent3 5 3 7" xfId="3682" xr:uid="{00000000-0005-0000-0000-0000FA380000}"/>
    <cellStyle name="40% - Accent3 5 3 7 2" xfId="14265" xr:uid="{00000000-0005-0000-0000-0000FB380000}"/>
    <cellStyle name="40% - Accent3 5 3 7 2 2" xfId="27814" xr:uid="{00000000-0005-0000-0000-0000FC380000}"/>
    <cellStyle name="40% - Accent3 5 3 7 3" xfId="21008" xr:uid="{00000000-0005-0000-0000-0000FD380000}"/>
    <cellStyle name="40% - Accent3 5 3 8" xfId="3683" xr:uid="{00000000-0005-0000-0000-0000FE380000}"/>
    <cellStyle name="40% - Accent3 5 3 8 2" xfId="15233" xr:uid="{00000000-0005-0000-0000-0000FF380000}"/>
    <cellStyle name="40% - Accent3 5 3 8 2 2" xfId="28782" xr:uid="{00000000-0005-0000-0000-000000390000}"/>
    <cellStyle name="40% - Accent3 5 3 8 3" xfId="21009" xr:uid="{00000000-0005-0000-0000-000001390000}"/>
    <cellStyle name="40% - Accent3 5 3 9" xfId="3684" xr:uid="{00000000-0005-0000-0000-000002390000}"/>
    <cellStyle name="40% - Accent3 5 3 9 2" xfId="16151" xr:uid="{00000000-0005-0000-0000-000003390000}"/>
    <cellStyle name="40% - Accent3 5 3 9 2 2" xfId="29558" xr:uid="{00000000-0005-0000-0000-000004390000}"/>
    <cellStyle name="40% - Accent3 5 3 9 3" xfId="21010" xr:uid="{00000000-0005-0000-0000-000005390000}"/>
    <cellStyle name="40% - Accent3 5 4" xfId="3685" xr:uid="{00000000-0005-0000-0000-000006390000}"/>
    <cellStyle name="40% - Accent3 5 4 2" xfId="3686" xr:uid="{00000000-0005-0000-0000-000007390000}"/>
    <cellStyle name="40% - Accent3 5 4 2 2" xfId="11064" xr:uid="{00000000-0005-0000-0000-000008390000}"/>
    <cellStyle name="40% - Accent3 5 4 2 2 2" xfId="25006" xr:uid="{00000000-0005-0000-0000-000009390000}"/>
    <cellStyle name="40% - Accent3 5 4 2 3" xfId="21012" xr:uid="{00000000-0005-0000-0000-00000A390000}"/>
    <cellStyle name="40% - Accent3 5 4 3" xfId="3687" xr:uid="{00000000-0005-0000-0000-00000B390000}"/>
    <cellStyle name="40% - Accent3 5 4 3 2" xfId="12837" xr:uid="{00000000-0005-0000-0000-00000C390000}"/>
    <cellStyle name="40% - Accent3 5 4 3 2 2" xfId="26549" xr:uid="{00000000-0005-0000-0000-00000D390000}"/>
    <cellStyle name="40% - Accent3 5 4 3 3" xfId="21013" xr:uid="{00000000-0005-0000-0000-00000E390000}"/>
    <cellStyle name="40% - Accent3 5 4 4" xfId="3688" xr:uid="{00000000-0005-0000-0000-00000F390000}"/>
    <cellStyle name="40% - Accent3 5 4 4 2" xfId="15236" xr:uid="{00000000-0005-0000-0000-000010390000}"/>
    <cellStyle name="40% - Accent3 5 4 4 2 2" xfId="28785" xr:uid="{00000000-0005-0000-0000-000011390000}"/>
    <cellStyle name="40% - Accent3 5 4 4 3" xfId="21014" xr:uid="{00000000-0005-0000-0000-000012390000}"/>
    <cellStyle name="40% - Accent3 5 4 5" xfId="3689" xr:uid="{00000000-0005-0000-0000-000013390000}"/>
    <cellStyle name="40% - Accent3 5 4 5 2" xfId="16440" xr:uid="{00000000-0005-0000-0000-000014390000}"/>
    <cellStyle name="40% - Accent3 5 4 5 2 2" xfId="29847" xr:uid="{00000000-0005-0000-0000-000015390000}"/>
    <cellStyle name="40% - Accent3 5 4 5 3" xfId="21015" xr:uid="{00000000-0005-0000-0000-000016390000}"/>
    <cellStyle name="40% - Accent3 5 4 6" xfId="9337" xr:uid="{00000000-0005-0000-0000-000017390000}"/>
    <cellStyle name="40% - Accent3 5 4 6 2" xfId="23812" xr:uid="{00000000-0005-0000-0000-000018390000}"/>
    <cellStyle name="40% - Accent3 5 4 7" xfId="21011" xr:uid="{00000000-0005-0000-0000-000019390000}"/>
    <cellStyle name="40% - Accent3 5 5" xfId="3690" xr:uid="{00000000-0005-0000-0000-00001A390000}"/>
    <cellStyle name="40% - Accent3 5 5 2" xfId="3691" xr:uid="{00000000-0005-0000-0000-00001B390000}"/>
    <cellStyle name="40% - Accent3 5 5 2 2" xfId="15237" xr:uid="{00000000-0005-0000-0000-00001C390000}"/>
    <cellStyle name="40% - Accent3 5 5 2 2 2" xfId="28786" xr:uid="{00000000-0005-0000-0000-00001D390000}"/>
    <cellStyle name="40% - Accent3 5 5 2 3" xfId="21017" xr:uid="{00000000-0005-0000-0000-00001E390000}"/>
    <cellStyle name="40% - Accent3 5 5 3" xfId="11057" xr:uid="{00000000-0005-0000-0000-00001F390000}"/>
    <cellStyle name="40% - Accent3 5 5 3 2" xfId="24999" xr:uid="{00000000-0005-0000-0000-000020390000}"/>
    <cellStyle name="40% - Accent3 5 5 4" xfId="21016" xr:uid="{00000000-0005-0000-0000-000021390000}"/>
    <cellStyle name="40% - Accent3 5 6" xfId="3692" xr:uid="{00000000-0005-0000-0000-000022390000}"/>
    <cellStyle name="40% - Accent3 5 6 2" xfId="11791" xr:uid="{00000000-0005-0000-0000-000023390000}"/>
    <cellStyle name="40% - Accent3 5 6 2 2" xfId="25506" xr:uid="{00000000-0005-0000-0000-000024390000}"/>
    <cellStyle name="40% - Accent3 5 6 3" xfId="21018" xr:uid="{00000000-0005-0000-0000-000025390000}"/>
    <cellStyle name="40% - Accent3 5 7" xfId="3693" xr:uid="{00000000-0005-0000-0000-000026390000}"/>
    <cellStyle name="40% - Accent3 5 7 2" xfId="12830" xr:uid="{00000000-0005-0000-0000-000027390000}"/>
    <cellStyle name="40% - Accent3 5 7 2 2" xfId="26542" xr:uid="{00000000-0005-0000-0000-000028390000}"/>
    <cellStyle name="40% - Accent3 5 7 3" xfId="21019" xr:uid="{00000000-0005-0000-0000-000029390000}"/>
    <cellStyle name="40% - Accent3 5 8" xfId="3694" xr:uid="{00000000-0005-0000-0000-00002A390000}"/>
    <cellStyle name="40% - Accent3 5 8 2" xfId="13392" xr:uid="{00000000-0005-0000-0000-00002B390000}"/>
    <cellStyle name="40% - Accent3 5 8 2 2" xfId="26941" xr:uid="{00000000-0005-0000-0000-00002C390000}"/>
    <cellStyle name="40% - Accent3 5 8 3" xfId="21020" xr:uid="{00000000-0005-0000-0000-00002D390000}"/>
    <cellStyle name="40% - Accent3 5 9" xfId="3695" xr:uid="{00000000-0005-0000-0000-00002E390000}"/>
    <cellStyle name="40% - Accent3 5 9 2" xfId="13973" xr:uid="{00000000-0005-0000-0000-00002F390000}"/>
    <cellStyle name="40% - Accent3 5 9 2 2" xfId="27522" xr:uid="{00000000-0005-0000-0000-000030390000}"/>
    <cellStyle name="40% - Accent3 5 9 3" xfId="21021" xr:uid="{00000000-0005-0000-0000-000031390000}"/>
    <cellStyle name="40% - Accent3 6" xfId="3696" xr:uid="{00000000-0005-0000-0000-000032390000}"/>
    <cellStyle name="40% - Accent3 6 10" xfId="3697" xr:uid="{00000000-0005-0000-0000-000033390000}"/>
    <cellStyle name="40% - Accent3 6 10 2" xfId="15238" xr:uid="{00000000-0005-0000-0000-000034390000}"/>
    <cellStyle name="40% - Accent3 6 10 2 2" xfId="28787" xr:uid="{00000000-0005-0000-0000-000035390000}"/>
    <cellStyle name="40% - Accent3 6 10 3" xfId="21023" xr:uid="{00000000-0005-0000-0000-000036390000}"/>
    <cellStyle name="40% - Accent3 6 11" xfId="3698" xr:uid="{00000000-0005-0000-0000-000037390000}"/>
    <cellStyle name="40% - Accent3 6 11 2" xfId="15965" xr:uid="{00000000-0005-0000-0000-000038390000}"/>
    <cellStyle name="40% - Accent3 6 11 2 2" xfId="29372" xr:uid="{00000000-0005-0000-0000-000039390000}"/>
    <cellStyle name="40% - Accent3 6 11 3" xfId="21024" xr:uid="{00000000-0005-0000-0000-00003A390000}"/>
    <cellStyle name="40% - Accent3 6 12" xfId="9338" xr:uid="{00000000-0005-0000-0000-00003B390000}"/>
    <cellStyle name="40% - Accent3 6 12 2" xfId="23813" xr:uid="{00000000-0005-0000-0000-00003C390000}"/>
    <cellStyle name="40% - Accent3 6 13" xfId="21022" xr:uid="{00000000-0005-0000-0000-00003D390000}"/>
    <cellStyle name="40% - Accent3 6 2" xfId="3699" xr:uid="{00000000-0005-0000-0000-00003E390000}"/>
    <cellStyle name="40% - Accent3 6 2 10" xfId="3700" xr:uid="{00000000-0005-0000-0000-00003F390000}"/>
    <cellStyle name="40% - Accent3 6 2 10 2" xfId="16108" xr:uid="{00000000-0005-0000-0000-000040390000}"/>
    <cellStyle name="40% - Accent3 6 2 10 2 2" xfId="29515" xr:uid="{00000000-0005-0000-0000-000041390000}"/>
    <cellStyle name="40% - Accent3 6 2 10 3" xfId="21026" xr:uid="{00000000-0005-0000-0000-000042390000}"/>
    <cellStyle name="40% - Accent3 6 2 11" xfId="9339" xr:uid="{00000000-0005-0000-0000-000043390000}"/>
    <cellStyle name="40% - Accent3 6 2 11 2" xfId="23814" xr:uid="{00000000-0005-0000-0000-000044390000}"/>
    <cellStyle name="40% - Accent3 6 2 12" xfId="21025" xr:uid="{00000000-0005-0000-0000-000045390000}"/>
    <cellStyle name="40% - Accent3 6 2 2" xfId="3701" xr:uid="{00000000-0005-0000-0000-000046390000}"/>
    <cellStyle name="40% - Accent3 6 2 2 10" xfId="9340" xr:uid="{00000000-0005-0000-0000-000047390000}"/>
    <cellStyle name="40% - Accent3 6 2 2 10 2" xfId="23815" xr:uid="{00000000-0005-0000-0000-000048390000}"/>
    <cellStyle name="40% - Accent3 6 2 2 11" xfId="21027" xr:uid="{00000000-0005-0000-0000-000049390000}"/>
    <cellStyle name="40% - Accent3 6 2 2 2" xfId="3702" xr:uid="{00000000-0005-0000-0000-00004A390000}"/>
    <cellStyle name="40% - Accent3 6 2 2 2 2" xfId="3703" xr:uid="{00000000-0005-0000-0000-00004B390000}"/>
    <cellStyle name="40% - Accent3 6 2 2 2 2 2" xfId="11068" xr:uid="{00000000-0005-0000-0000-00004C390000}"/>
    <cellStyle name="40% - Accent3 6 2 2 2 2 2 2" xfId="25010" xr:uid="{00000000-0005-0000-0000-00004D390000}"/>
    <cellStyle name="40% - Accent3 6 2 2 2 2 3" xfId="21029" xr:uid="{00000000-0005-0000-0000-00004E390000}"/>
    <cellStyle name="40% - Accent3 6 2 2 2 3" xfId="3704" xr:uid="{00000000-0005-0000-0000-00004F390000}"/>
    <cellStyle name="40% - Accent3 6 2 2 2 3 2" xfId="12841" xr:uid="{00000000-0005-0000-0000-000050390000}"/>
    <cellStyle name="40% - Accent3 6 2 2 2 3 2 2" xfId="26553" xr:uid="{00000000-0005-0000-0000-000051390000}"/>
    <cellStyle name="40% - Accent3 6 2 2 2 3 3" xfId="21030" xr:uid="{00000000-0005-0000-0000-000052390000}"/>
    <cellStyle name="40% - Accent3 6 2 2 2 4" xfId="3705" xr:uid="{00000000-0005-0000-0000-000053390000}"/>
    <cellStyle name="40% - Accent3 6 2 2 2 4 2" xfId="15241" xr:uid="{00000000-0005-0000-0000-000054390000}"/>
    <cellStyle name="40% - Accent3 6 2 2 2 4 2 2" xfId="28790" xr:uid="{00000000-0005-0000-0000-000055390000}"/>
    <cellStyle name="40% - Accent3 6 2 2 2 4 3" xfId="21031" xr:uid="{00000000-0005-0000-0000-000056390000}"/>
    <cellStyle name="40% - Accent3 6 2 2 2 5" xfId="3706" xr:uid="{00000000-0005-0000-0000-000057390000}"/>
    <cellStyle name="40% - Accent3 6 2 2 2 5 2" xfId="16978" xr:uid="{00000000-0005-0000-0000-000058390000}"/>
    <cellStyle name="40% - Accent3 6 2 2 2 5 2 2" xfId="30385" xr:uid="{00000000-0005-0000-0000-000059390000}"/>
    <cellStyle name="40% - Accent3 6 2 2 2 5 3" xfId="21032" xr:uid="{00000000-0005-0000-0000-00005A390000}"/>
    <cellStyle name="40% - Accent3 6 2 2 2 6" xfId="9341" xr:uid="{00000000-0005-0000-0000-00005B390000}"/>
    <cellStyle name="40% - Accent3 6 2 2 2 6 2" xfId="23816" xr:uid="{00000000-0005-0000-0000-00005C390000}"/>
    <cellStyle name="40% - Accent3 6 2 2 2 7" xfId="21028" xr:uid="{00000000-0005-0000-0000-00005D390000}"/>
    <cellStyle name="40% - Accent3 6 2 2 3" xfId="3707" xr:uid="{00000000-0005-0000-0000-00005E390000}"/>
    <cellStyle name="40% - Accent3 6 2 2 3 2" xfId="3708" xr:uid="{00000000-0005-0000-0000-00005F390000}"/>
    <cellStyle name="40% - Accent3 6 2 2 3 2 2" xfId="15242" xr:uid="{00000000-0005-0000-0000-000060390000}"/>
    <cellStyle name="40% - Accent3 6 2 2 3 2 2 2" xfId="28791" xr:uid="{00000000-0005-0000-0000-000061390000}"/>
    <cellStyle name="40% - Accent3 6 2 2 3 2 3" xfId="21034" xr:uid="{00000000-0005-0000-0000-000062390000}"/>
    <cellStyle name="40% - Accent3 6 2 2 3 3" xfId="11067" xr:uid="{00000000-0005-0000-0000-000063390000}"/>
    <cellStyle name="40% - Accent3 6 2 2 3 3 2" xfId="25009" xr:uid="{00000000-0005-0000-0000-000064390000}"/>
    <cellStyle name="40% - Accent3 6 2 2 3 4" xfId="21033" xr:uid="{00000000-0005-0000-0000-000065390000}"/>
    <cellStyle name="40% - Accent3 6 2 2 4" xfId="3709" xr:uid="{00000000-0005-0000-0000-000066390000}"/>
    <cellStyle name="40% - Accent3 6 2 2 4 2" xfId="12366" xr:uid="{00000000-0005-0000-0000-000067390000}"/>
    <cellStyle name="40% - Accent3 6 2 2 4 2 2" xfId="26078" xr:uid="{00000000-0005-0000-0000-000068390000}"/>
    <cellStyle name="40% - Accent3 6 2 2 4 3" xfId="21035" xr:uid="{00000000-0005-0000-0000-000069390000}"/>
    <cellStyle name="40% - Accent3 6 2 2 5" xfId="3710" xr:uid="{00000000-0005-0000-0000-00006A390000}"/>
    <cellStyle name="40% - Accent3 6 2 2 5 2" xfId="12840" xr:uid="{00000000-0005-0000-0000-00006B390000}"/>
    <cellStyle name="40% - Accent3 6 2 2 5 2 2" xfId="26552" xr:uid="{00000000-0005-0000-0000-00006C390000}"/>
    <cellStyle name="40% - Accent3 6 2 2 5 3" xfId="21036" xr:uid="{00000000-0005-0000-0000-00006D390000}"/>
    <cellStyle name="40% - Accent3 6 2 2 6" xfId="3711" xr:uid="{00000000-0005-0000-0000-00006E390000}"/>
    <cellStyle name="40% - Accent3 6 2 2 6 2" xfId="13930" xr:uid="{00000000-0005-0000-0000-00006F390000}"/>
    <cellStyle name="40% - Accent3 6 2 2 6 2 2" xfId="27479" xr:uid="{00000000-0005-0000-0000-000070390000}"/>
    <cellStyle name="40% - Accent3 6 2 2 6 3" xfId="21037" xr:uid="{00000000-0005-0000-0000-000071390000}"/>
    <cellStyle name="40% - Accent3 6 2 2 7" xfId="3712" xr:uid="{00000000-0005-0000-0000-000072390000}"/>
    <cellStyle name="40% - Accent3 6 2 2 7 2" xfId="14511" xr:uid="{00000000-0005-0000-0000-000073390000}"/>
    <cellStyle name="40% - Accent3 6 2 2 7 2 2" xfId="28060" xr:uid="{00000000-0005-0000-0000-000074390000}"/>
    <cellStyle name="40% - Accent3 6 2 2 7 3" xfId="21038" xr:uid="{00000000-0005-0000-0000-000075390000}"/>
    <cellStyle name="40% - Accent3 6 2 2 8" xfId="3713" xr:uid="{00000000-0005-0000-0000-000076390000}"/>
    <cellStyle name="40% - Accent3 6 2 2 8 2" xfId="15240" xr:uid="{00000000-0005-0000-0000-000077390000}"/>
    <cellStyle name="40% - Accent3 6 2 2 8 2 2" xfId="28789" xr:uid="{00000000-0005-0000-0000-000078390000}"/>
    <cellStyle name="40% - Accent3 6 2 2 8 3" xfId="21039" xr:uid="{00000000-0005-0000-0000-000079390000}"/>
    <cellStyle name="40% - Accent3 6 2 2 9" xfId="3714" xr:uid="{00000000-0005-0000-0000-00007A390000}"/>
    <cellStyle name="40% - Accent3 6 2 2 9 2" xfId="16397" xr:uid="{00000000-0005-0000-0000-00007B390000}"/>
    <cellStyle name="40% - Accent3 6 2 2 9 2 2" xfId="29804" xr:uid="{00000000-0005-0000-0000-00007C390000}"/>
    <cellStyle name="40% - Accent3 6 2 2 9 3" xfId="21040" xr:uid="{00000000-0005-0000-0000-00007D390000}"/>
    <cellStyle name="40% - Accent3 6 2 3" xfId="3715" xr:uid="{00000000-0005-0000-0000-00007E390000}"/>
    <cellStyle name="40% - Accent3 6 2 3 2" xfId="3716" xr:uid="{00000000-0005-0000-0000-00007F390000}"/>
    <cellStyle name="40% - Accent3 6 2 3 2 2" xfId="11069" xr:uid="{00000000-0005-0000-0000-000080390000}"/>
    <cellStyle name="40% - Accent3 6 2 3 2 2 2" xfId="25011" xr:uid="{00000000-0005-0000-0000-000081390000}"/>
    <cellStyle name="40% - Accent3 6 2 3 2 3" xfId="21042" xr:uid="{00000000-0005-0000-0000-000082390000}"/>
    <cellStyle name="40% - Accent3 6 2 3 3" xfId="3717" xr:uid="{00000000-0005-0000-0000-000083390000}"/>
    <cellStyle name="40% - Accent3 6 2 3 3 2" xfId="12842" xr:uid="{00000000-0005-0000-0000-000084390000}"/>
    <cellStyle name="40% - Accent3 6 2 3 3 2 2" xfId="26554" xr:uid="{00000000-0005-0000-0000-000085390000}"/>
    <cellStyle name="40% - Accent3 6 2 3 3 3" xfId="21043" xr:uid="{00000000-0005-0000-0000-000086390000}"/>
    <cellStyle name="40% - Accent3 6 2 3 4" xfId="3718" xr:uid="{00000000-0005-0000-0000-000087390000}"/>
    <cellStyle name="40% - Accent3 6 2 3 4 2" xfId="15243" xr:uid="{00000000-0005-0000-0000-000088390000}"/>
    <cellStyle name="40% - Accent3 6 2 3 4 2 2" xfId="28792" xr:uid="{00000000-0005-0000-0000-000089390000}"/>
    <cellStyle name="40% - Accent3 6 2 3 4 3" xfId="21044" xr:uid="{00000000-0005-0000-0000-00008A390000}"/>
    <cellStyle name="40% - Accent3 6 2 3 5" xfId="3719" xr:uid="{00000000-0005-0000-0000-00008B390000}"/>
    <cellStyle name="40% - Accent3 6 2 3 5 2" xfId="16689" xr:uid="{00000000-0005-0000-0000-00008C390000}"/>
    <cellStyle name="40% - Accent3 6 2 3 5 2 2" xfId="30096" xr:uid="{00000000-0005-0000-0000-00008D390000}"/>
    <cellStyle name="40% - Accent3 6 2 3 5 3" xfId="21045" xr:uid="{00000000-0005-0000-0000-00008E390000}"/>
    <cellStyle name="40% - Accent3 6 2 3 6" xfId="9342" xr:uid="{00000000-0005-0000-0000-00008F390000}"/>
    <cellStyle name="40% - Accent3 6 2 3 6 2" xfId="23817" xr:uid="{00000000-0005-0000-0000-000090390000}"/>
    <cellStyle name="40% - Accent3 6 2 3 7" xfId="21041" xr:uid="{00000000-0005-0000-0000-000091390000}"/>
    <cellStyle name="40% - Accent3 6 2 4" xfId="3720" xr:uid="{00000000-0005-0000-0000-000092390000}"/>
    <cellStyle name="40% - Accent3 6 2 4 2" xfId="3721" xr:uid="{00000000-0005-0000-0000-000093390000}"/>
    <cellStyle name="40% - Accent3 6 2 4 2 2" xfId="15244" xr:uid="{00000000-0005-0000-0000-000094390000}"/>
    <cellStyle name="40% - Accent3 6 2 4 2 2 2" xfId="28793" xr:uid="{00000000-0005-0000-0000-000095390000}"/>
    <cellStyle name="40% - Accent3 6 2 4 2 3" xfId="21047" xr:uid="{00000000-0005-0000-0000-000096390000}"/>
    <cellStyle name="40% - Accent3 6 2 4 3" xfId="11066" xr:uid="{00000000-0005-0000-0000-000097390000}"/>
    <cellStyle name="40% - Accent3 6 2 4 3 2" xfId="25008" xr:uid="{00000000-0005-0000-0000-000098390000}"/>
    <cellStyle name="40% - Accent3 6 2 4 4" xfId="21046" xr:uid="{00000000-0005-0000-0000-000099390000}"/>
    <cellStyle name="40% - Accent3 6 2 5" xfId="3722" xr:uid="{00000000-0005-0000-0000-00009A390000}"/>
    <cellStyle name="40% - Accent3 6 2 5 2" xfId="12066" xr:uid="{00000000-0005-0000-0000-00009B390000}"/>
    <cellStyle name="40% - Accent3 6 2 5 2 2" xfId="25781" xr:uid="{00000000-0005-0000-0000-00009C390000}"/>
    <cellStyle name="40% - Accent3 6 2 5 3" xfId="21048" xr:uid="{00000000-0005-0000-0000-00009D390000}"/>
    <cellStyle name="40% - Accent3 6 2 6" xfId="3723" xr:uid="{00000000-0005-0000-0000-00009E390000}"/>
    <cellStyle name="40% - Accent3 6 2 6 2" xfId="12839" xr:uid="{00000000-0005-0000-0000-00009F390000}"/>
    <cellStyle name="40% - Accent3 6 2 6 2 2" xfId="26551" xr:uid="{00000000-0005-0000-0000-0000A0390000}"/>
    <cellStyle name="40% - Accent3 6 2 6 3" xfId="21049" xr:uid="{00000000-0005-0000-0000-0000A1390000}"/>
    <cellStyle name="40% - Accent3 6 2 7" xfId="3724" xr:uid="{00000000-0005-0000-0000-0000A2390000}"/>
    <cellStyle name="40% - Accent3 6 2 7 2" xfId="13641" xr:uid="{00000000-0005-0000-0000-0000A3390000}"/>
    <cellStyle name="40% - Accent3 6 2 7 2 2" xfId="27190" xr:uid="{00000000-0005-0000-0000-0000A4390000}"/>
    <cellStyle name="40% - Accent3 6 2 7 3" xfId="21050" xr:uid="{00000000-0005-0000-0000-0000A5390000}"/>
    <cellStyle name="40% - Accent3 6 2 8" xfId="3725" xr:uid="{00000000-0005-0000-0000-0000A6390000}"/>
    <cellStyle name="40% - Accent3 6 2 8 2" xfId="14222" xr:uid="{00000000-0005-0000-0000-0000A7390000}"/>
    <cellStyle name="40% - Accent3 6 2 8 2 2" xfId="27771" xr:uid="{00000000-0005-0000-0000-0000A8390000}"/>
    <cellStyle name="40% - Accent3 6 2 8 3" xfId="21051" xr:uid="{00000000-0005-0000-0000-0000A9390000}"/>
    <cellStyle name="40% - Accent3 6 2 9" xfId="3726" xr:uid="{00000000-0005-0000-0000-0000AA390000}"/>
    <cellStyle name="40% - Accent3 6 2 9 2" xfId="15239" xr:uid="{00000000-0005-0000-0000-0000AB390000}"/>
    <cellStyle name="40% - Accent3 6 2 9 2 2" xfId="28788" xr:uid="{00000000-0005-0000-0000-0000AC390000}"/>
    <cellStyle name="40% - Accent3 6 2 9 3" xfId="21052" xr:uid="{00000000-0005-0000-0000-0000AD390000}"/>
    <cellStyle name="40% - Accent3 6 3" xfId="3727" xr:uid="{00000000-0005-0000-0000-0000AE390000}"/>
    <cellStyle name="40% - Accent3 6 3 10" xfId="9343" xr:uid="{00000000-0005-0000-0000-0000AF390000}"/>
    <cellStyle name="40% - Accent3 6 3 10 2" xfId="23818" xr:uid="{00000000-0005-0000-0000-0000B0390000}"/>
    <cellStyle name="40% - Accent3 6 3 11" xfId="21053" xr:uid="{00000000-0005-0000-0000-0000B1390000}"/>
    <cellStyle name="40% - Accent3 6 3 2" xfId="3728" xr:uid="{00000000-0005-0000-0000-0000B2390000}"/>
    <cellStyle name="40% - Accent3 6 3 2 2" xfId="3729" xr:uid="{00000000-0005-0000-0000-0000B3390000}"/>
    <cellStyle name="40% - Accent3 6 3 2 2 2" xfId="11071" xr:uid="{00000000-0005-0000-0000-0000B4390000}"/>
    <cellStyle name="40% - Accent3 6 3 2 2 2 2" xfId="25013" xr:uid="{00000000-0005-0000-0000-0000B5390000}"/>
    <cellStyle name="40% - Accent3 6 3 2 2 3" xfId="21055" xr:uid="{00000000-0005-0000-0000-0000B6390000}"/>
    <cellStyle name="40% - Accent3 6 3 2 3" xfId="3730" xr:uid="{00000000-0005-0000-0000-0000B7390000}"/>
    <cellStyle name="40% - Accent3 6 3 2 3 2" xfId="12844" xr:uid="{00000000-0005-0000-0000-0000B8390000}"/>
    <cellStyle name="40% - Accent3 6 3 2 3 2 2" xfId="26556" xr:uid="{00000000-0005-0000-0000-0000B9390000}"/>
    <cellStyle name="40% - Accent3 6 3 2 3 3" xfId="21056" xr:uid="{00000000-0005-0000-0000-0000BA390000}"/>
    <cellStyle name="40% - Accent3 6 3 2 4" xfId="3731" xr:uid="{00000000-0005-0000-0000-0000BB390000}"/>
    <cellStyle name="40% - Accent3 6 3 2 4 2" xfId="15246" xr:uid="{00000000-0005-0000-0000-0000BC390000}"/>
    <cellStyle name="40% - Accent3 6 3 2 4 2 2" xfId="28795" xr:uid="{00000000-0005-0000-0000-0000BD390000}"/>
    <cellStyle name="40% - Accent3 6 3 2 4 3" xfId="21057" xr:uid="{00000000-0005-0000-0000-0000BE390000}"/>
    <cellStyle name="40% - Accent3 6 3 2 5" xfId="3732" xr:uid="{00000000-0005-0000-0000-0000BF390000}"/>
    <cellStyle name="40% - Accent3 6 3 2 5 2" xfId="16835" xr:uid="{00000000-0005-0000-0000-0000C0390000}"/>
    <cellStyle name="40% - Accent3 6 3 2 5 2 2" xfId="30242" xr:uid="{00000000-0005-0000-0000-0000C1390000}"/>
    <cellStyle name="40% - Accent3 6 3 2 5 3" xfId="21058" xr:uid="{00000000-0005-0000-0000-0000C2390000}"/>
    <cellStyle name="40% - Accent3 6 3 2 6" xfId="9344" xr:uid="{00000000-0005-0000-0000-0000C3390000}"/>
    <cellStyle name="40% - Accent3 6 3 2 6 2" xfId="23819" xr:uid="{00000000-0005-0000-0000-0000C4390000}"/>
    <cellStyle name="40% - Accent3 6 3 2 7" xfId="21054" xr:uid="{00000000-0005-0000-0000-0000C5390000}"/>
    <cellStyle name="40% - Accent3 6 3 3" xfId="3733" xr:uid="{00000000-0005-0000-0000-0000C6390000}"/>
    <cellStyle name="40% - Accent3 6 3 3 2" xfId="3734" xr:uid="{00000000-0005-0000-0000-0000C7390000}"/>
    <cellStyle name="40% - Accent3 6 3 3 2 2" xfId="15247" xr:uid="{00000000-0005-0000-0000-0000C8390000}"/>
    <cellStyle name="40% - Accent3 6 3 3 2 2 2" xfId="28796" xr:uid="{00000000-0005-0000-0000-0000C9390000}"/>
    <cellStyle name="40% - Accent3 6 3 3 2 3" xfId="21060" xr:uid="{00000000-0005-0000-0000-0000CA390000}"/>
    <cellStyle name="40% - Accent3 6 3 3 3" xfId="11070" xr:uid="{00000000-0005-0000-0000-0000CB390000}"/>
    <cellStyle name="40% - Accent3 6 3 3 3 2" xfId="25012" xr:uid="{00000000-0005-0000-0000-0000CC390000}"/>
    <cellStyle name="40% - Accent3 6 3 3 4" xfId="21059" xr:uid="{00000000-0005-0000-0000-0000CD390000}"/>
    <cellStyle name="40% - Accent3 6 3 4" xfId="3735" xr:uid="{00000000-0005-0000-0000-0000CE390000}"/>
    <cellStyle name="40% - Accent3 6 3 4 2" xfId="12223" xr:uid="{00000000-0005-0000-0000-0000CF390000}"/>
    <cellStyle name="40% - Accent3 6 3 4 2 2" xfId="25935" xr:uid="{00000000-0005-0000-0000-0000D0390000}"/>
    <cellStyle name="40% - Accent3 6 3 4 3" xfId="21061" xr:uid="{00000000-0005-0000-0000-0000D1390000}"/>
    <cellStyle name="40% - Accent3 6 3 5" xfId="3736" xr:uid="{00000000-0005-0000-0000-0000D2390000}"/>
    <cellStyle name="40% - Accent3 6 3 5 2" xfId="12843" xr:uid="{00000000-0005-0000-0000-0000D3390000}"/>
    <cellStyle name="40% - Accent3 6 3 5 2 2" xfId="26555" xr:uid="{00000000-0005-0000-0000-0000D4390000}"/>
    <cellStyle name="40% - Accent3 6 3 5 3" xfId="21062" xr:uid="{00000000-0005-0000-0000-0000D5390000}"/>
    <cellStyle name="40% - Accent3 6 3 6" xfId="3737" xr:uid="{00000000-0005-0000-0000-0000D6390000}"/>
    <cellStyle name="40% - Accent3 6 3 6 2" xfId="13787" xr:uid="{00000000-0005-0000-0000-0000D7390000}"/>
    <cellStyle name="40% - Accent3 6 3 6 2 2" xfId="27336" xr:uid="{00000000-0005-0000-0000-0000D8390000}"/>
    <cellStyle name="40% - Accent3 6 3 6 3" xfId="21063" xr:uid="{00000000-0005-0000-0000-0000D9390000}"/>
    <cellStyle name="40% - Accent3 6 3 7" xfId="3738" xr:uid="{00000000-0005-0000-0000-0000DA390000}"/>
    <cellStyle name="40% - Accent3 6 3 7 2" xfId="14368" xr:uid="{00000000-0005-0000-0000-0000DB390000}"/>
    <cellStyle name="40% - Accent3 6 3 7 2 2" xfId="27917" xr:uid="{00000000-0005-0000-0000-0000DC390000}"/>
    <cellStyle name="40% - Accent3 6 3 7 3" xfId="21064" xr:uid="{00000000-0005-0000-0000-0000DD390000}"/>
    <cellStyle name="40% - Accent3 6 3 8" xfId="3739" xr:uid="{00000000-0005-0000-0000-0000DE390000}"/>
    <cellStyle name="40% - Accent3 6 3 8 2" xfId="15245" xr:uid="{00000000-0005-0000-0000-0000DF390000}"/>
    <cellStyle name="40% - Accent3 6 3 8 2 2" xfId="28794" xr:uid="{00000000-0005-0000-0000-0000E0390000}"/>
    <cellStyle name="40% - Accent3 6 3 8 3" xfId="21065" xr:uid="{00000000-0005-0000-0000-0000E1390000}"/>
    <cellStyle name="40% - Accent3 6 3 9" xfId="3740" xr:uid="{00000000-0005-0000-0000-0000E2390000}"/>
    <cellStyle name="40% - Accent3 6 3 9 2" xfId="16254" xr:uid="{00000000-0005-0000-0000-0000E3390000}"/>
    <cellStyle name="40% - Accent3 6 3 9 2 2" xfId="29661" xr:uid="{00000000-0005-0000-0000-0000E4390000}"/>
    <cellStyle name="40% - Accent3 6 3 9 3" xfId="21066" xr:uid="{00000000-0005-0000-0000-0000E5390000}"/>
    <cellStyle name="40% - Accent3 6 4" xfId="3741" xr:uid="{00000000-0005-0000-0000-0000E6390000}"/>
    <cellStyle name="40% - Accent3 6 4 2" xfId="3742" xr:uid="{00000000-0005-0000-0000-0000E7390000}"/>
    <cellStyle name="40% - Accent3 6 4 2 2" xfId="11072" xr:uid="{00000000-0005-0000-0000-0000E8390000}"/>
    <cellStyle name="40% - Accent3 6 4 2 2 2" xfId="25014" xr:uid="{00000000-0005-0000-0000-0000E9390000}"/>
    <cellStyle name="40% - Accent3 6 4 2 3" xfId="21068" xr:uid="{00000000-0005-0000-0000-0000EA390000}"/>
    <cellStyle name="40% - Accent3 6 4 3" xfId="3743" xr:uid="{00000000-0005-0000-0000-0000EB390000}"/>
    <cellStyle name="40% - Accent3 6 4 3 2" xfId="12845" xr:uid="{00000000-0005-0000-0000-0000EC390000}"/>
    <cellStyle name="40% - Accent3 6 4 3 2 2" xfId="26557" xr:uid="{00000000-0005-0000-0000-0000ED390000}"/>
    <cellStyle name="40% - Accent3 6 4 3 3" xfId="21069" xr:uid="{00000000-0005-0000-0000-0000EE390000}"/>
    <cellStyle name="40% - Accent3 6 4 4" xfId="3744" xr:uid="{00000000-0005-0000-0000-0000EF390000}"/>
    <cellStyle name="40% - Accent3 6 4 4 2" xfId="15248" xr:uid="{00000000-0005-0000-0000-0000F0390000}"/>
    <cellStyle name="40% - Accent3 6 4 4 2 2" xfId="28797" xr:uid="{00000000-0005-0000-0000-0000F1390000}"/>
    <cellStyle name="40% - Accent3 6 4 4 3" xfId="21070" xr:uid="{00000000-0005-0000-0000-0000F2390000}"/>
    <cellStyle name="40% - Accent3 6 4 5" xfId="3745" xr:uid="{00000000-0005-0000-0000-0000F3390000}"/>
    <cellStyle name="40% - Accent3 6 4 5 2" xfId="16546" xr:uid="{00000000-0005-0000-0000-0000F4390000}"/>
    <cellStyle name="40% - Accent3 6 4 5 2 2" xfId="29953" xr:uid="{00000000-0005-0000-0000-0000F5390000}"/>
    <cellStyle name="40% - Accent3 6 4 5 3" xfId="21071" xr:uid="{00000000-0005-0000-0000-0000F6390000}"/>
    <cellStyle name="40% - Accent3 6 4 6" xfId="9345" xr:uid="{00000000-0005-0000-0000-0000F7390000}"/>
    <cellStyle name="40% - Accent3 6 4 6 2" xfId="23820" xr:uid="{00000000-0005-0000-0000-0000F8390000}"/>
    <cellStyle name="40% - Accent3 6 4 7" xfId="21067" xr:uid="{00000000-0005-0000-0000-0000F9390000}"/>
    <cellStyle name="40% - Accent3 6 5" xfId="3746" xr:uid="{00000000-0005-0000-0000-0000FA390000}"/>
    <cellStyle name="40% - Accent3 6 5 2" xfId="3747" xr:uid="{00000000-0005-0000-0000-0000FB390000}"/>
    <cellStyle name="40% - Accent3 6 5 2 2" xfId="15249" xr:uid="{00000000-0005-0000-0000-0000FC390000}"/>
    <cellStyle name="40% - Accent3 6 5 2 2 2" xfId="28798" xr:uid="{00000000-0005-0000-0000-0000FD390000}"/>
    <cellStyle name="40% - Accent3 6 5 2 3" xfId="21073" xr:uid="{00000000-0005-0000-0000-0000FE390000}"/>
    <cellStyle name="40% - Accent3 6 5 3" xfId="11065" xr:uid="{00000000-0005-0000-0000-0000FF390000}"/>
    <cellStyle name="40% - Accent3 6 5 3 2" xfId="25007" xr:uid="{00000000-0005-0000-0000-0000003A0000}"/>
    <cellStyle name="40% - Accent3 6 5 4" xfId="21072" xr:uid="{00000000-0005-0000-0000-0000013A0000}"/>
    <cellStyle name="40% - Accent3 6 6" xfId="3748" xr:uid="{00000000-0005-0000-0000-0000023A0000}"/>
    <cellStyle name="40% - Accent3 6 6 2" xfId="11921" xr:uid="{00000000-0005-0000-0000-0000033A0000}"/>
    <cellStyle name="40% - Accent3 6 6 2 2" xfId="25636" xr:uid="{00000000-0005-0000-0000-0000043A0000}"/>
    <cellStyle name="40% - Accent3 6 6 3" xfId="21074" xr:uid="{00000000-0005-0000-0000-0000053A0000}"/>
    <cellStyle name="40% - Accent3 6 7" xfId="3749" xr:uid="{00000000-0005-0000-0000-0000063A0000}"/>
    <cellStyle name="40% - Accent3 6 7 2" xfId="12838" xr:uid="{00000000-0005-0000-0000-0000073A0000}"/>
    <cellStyle name="40% - Accent3 6 7 2 2" xfId="26550" xr:uid="{00000000-0005-0000-0000-0000083A0000}"/>
    <cellStyle name="40% - Accent3 6 7 3" xfId="21075" xr:uid="{00000000-0005-0000-0000-0000093A0000}"/>
    <cellStyle name="40% - Accent3 6 8" xfId="3750" xr:uid="{00000000-0005-0000-0000-00000A3A0000}"/>
    <cellStyle name="40% - Accent3 6 8 2" xfId="13498" xr:uid="{00000000-0005-0000-0000-00000B3A0000}"/>
    <cellStyle name="40% - Accent3 6 8 2 2" xfId="27047" xr:uid="{00000000-0005-0000-0000-00000C3A0000}"/>
    <cellStyle name="40% - Accent3 6 8 3" xfId="21076" xr:uid="{00000000-0005-0000-0000-00000D3A0000}"/>
    <cellStyle name="40% - Accent3 6 9" xfId="3751" xr:uid="{00000000-0005-0000-0000-00000E3A0000}"/>
    <cellStyle name="40% - Accent3 6 9 2" xfId="14079" xr:uid="{00000000-0005-0000-0000-00000F3A0000}"/>
    <cellStyle name="40% - Accent3 6 9 2 2" xfId="27628" xr:uid="{00000000-0005-0000-0000-0000103A0000}"/>
    <cellStyle name="40% - Accent3 6 9 3" xfId="21077" xr:uid="{00000000-0005-0000-0000-0000113A0000}"/>
    <cellStyle name="40% - Accent3 7" xfId="3752" xr:uid="{00000000-0005-0000-0000-0000123A0000}"/>
    <cellStyle name="40% - Accent3 7 10" xfId="3753" xr:uid="{00000000-0005-0000-0000-0000133A0000}"/>
    <cellStyle name="40% - Accent3 7 10 2" xfId="15982" xr:uid="{00000000-0005-0000-0000-0000143A0000}"/>
    <cellStyle name="40% - Accent3 7 10 2 2" xfId="29389" xr:uid="{00000000-0005-0000-0000-0000153A0000}"/>
    <cellStyle name="40% - Accent3 7 10 3" xfId="21079" xr:uid="{00000000-0005-0000-0000-0000163A0000}"/>
    <cellStyle name="40% - Accent3 7 11" xfId="9346" xr:uid="{00000000-0005-0000-0000-0000173A0000}"/>
    <cellStyle name="40% - Accent3 7 11 2" xfId="23821" xr:uid="{00000000-0005-0000-0000-0000183A0000}"/>
    <cellStyle name="40% - Accent3 7 12" xfId="21078" xr:uid="{00000000-0005-0000-0000-0000193A0000}"/>
    <cellStyle name="40% - Accent3 7 2" xfId="3754" xr:uid="{00000000-0005-0000-0000-00001A3A0000}"/>
    <cellStyle name="40% - Accent3 7 2 10" xfId="9347" xr:uid="{00000000-0005-0000-0000-00001B3A0000}"/>
    <cellStyle name="40% - Accent3 7 2 10 2" xfId="23822" xr:uid="{00000000-0005-0000-0000-00001C3A0000}"/>
    <cellStyle name="40% - Accent3 7 2 11" xfId="21080" xr:uid="{00000000-0005-0000-0000-00001D3A0000}"/>
    <cellStyle name="40% - Accent3 7 2 2" xfId="3755" xr:uid="{00000000-0005-0000-0000-00001E3A0000}"/>
    <cellStyle name="40% - Accent3 7 2 2 2" xfId="3756" xr:uid="{00000000-0005-0000-0000-00001F3A0000}"/>
    <cellStyle name="40% - Accent3 7 2 2 2 2" xfId="11075" xr:uid="{00000000-0005-0000-0000-0000203A0000}"/>
    <cellStyle name="40% - Accent3 7 2 2 2 2 2" xfId="25017" xr:uid="{00000000-0005-0000-0000-0000213A0000}"/>
    <cellStyle name="40% - Accent3 7 2 2 2 3" xfId="21082" xr:uid="{00000000-0005-0000-0000-0000223A0000}"/>
    <cellStyle name="40% - Accent3 7 2 2 3" xfId="3757" xr:uid="{00000000-0005-0000-0000-0000233A0000}"/>
    <cellStyle name="40% - Accent3 7 2 2 3 2" xfId="12848" xr:uid="{00000000-0005-0000-0000-0000243A0000}"/>
    <cellStyle name="40% - Accent3 7 2 2 3 2 2" xfId="26560" xr:uid="{00000000-0005-0000-0000-0000253A0000}"/>
    <cellStyle name="40% - Accent3 7 2 2 3 3" xfId="21083" xr:uid="{00000000-0005-0000-0000-0000263A0000}"/>
    <cellStyle name="40% - Accent3 7 2 2 4" xfId="3758" xr:uid="{00000000-0005-0000-0000-0000273A0000}"/>
    <cellStyle name="40% - Accent3 7 2 2 4 2" xfId="15252" xr:uid="{00000000-0005-0000-0000-0000283A0000}"/>
    <cellStyle name="40% - Accent3 7 2 2 4 2 2" xfId="28801" xr:uid="{00000000-0005-0000-0000-0000293A0000}"/>
    <cellStyle name="40% - Accent3 7 2 2 4 3" xfId="21084" xr:uid="{00000000-0005-0000-0000-00002A3A0000}"/>
    <cellStyle name="40% - Accent3 7 2 2 5" xfId="3759" xr:uid="{00000000-0005-0000-0000-00002B3A0000}"/>
    <cellStyle name="40% - Accent3 7 2 2 5 2" xfId="16852" xr:uid="{00000000-0005-0000-0000-00002C3A0000}"/>
    <cellStyle name="40% - Accent3 7 2 2 5 2 2" xfId="30259" xr:uid="{00000000-0005-0000-0000-00002D3A0000}"/>
    <cellStyle name="40% - Accent3 7 2 2 5 3" xfId="21085" xr:uid="{00000000-0005-0000-0000-00002E3A0000}"/>
    <cellStyle name="40% - Accent3 7 2 2 6" xfId="9348" xr:uid="{00000000-0005-0000-0000-00002F3A0000}"/>
    <cellStyle name="40% - Accent3 7 2 2 6 2" xfId="23823" xr:uid="{00000000-0005-0000-0000-0000303A0000}"/>
    <cellStyle name="40% - Accent3 7 2 2 7" xfId="21081" xr:uid="{00000000-0005-0000-0000-0000313A0000}"/>
    <cellStyle name="40% - Accent3 7 2 3" xfId="3760" xr:uid="{00000000-0005-0000-0000-0000323A0000}"/>
    <cellStyle name="40% - Accent3 7 2 3 2" xfId="3761" xr:uid="{00000000-0005-0000-0000-0000333A0000}"/>
    <cellStyle name="40% - Accent3 7 2 3 2 2" xfId="15253" xr:uid="{00000000-0005-0000-0000-0000343A0000}"/>
    <cellStyle name="40% - Accent3 7 2 3 2 2 2" xfId="28802" xr:uid="{00000000-0005-0000-0000-0000353A0000}"/>
    <cellStyle name="40% - Accent3 7 2 3 2 3" xfId="21087" xr:uid="{00000000-0005-0000-0000-0000363A0000}"/>
    <cellStyle name="40% - Accent3 7 2 3 3" xfId="11074" xr:uid="{00000000-0005-0000-0000-0000373A0000}"/>
    <cellStyle name="40% - Accent3 7 2 3 3 2" xfId="25016" xr:uid="{00000000-0005-0000-0000-0000383A0000}"/>
    <cellStyle name="40% - Accent3 7 2 3 4" xfId="21086" xr:uid="{00000000-0005-0000-0000-0000393A0000}"/>
    <cellStyle name="40% - Accent3 7 2 4" xfId="3762" xr:uid="{00000000-0005-0000-0000-00003A3A0000}"/>
    <cellStyle name="40% - Accent3 7 2 4 2" xfId="12240" xr:uid="{00000000-0005-0000-0000-00003B3A0000}"/>
    <cellStyle name="40% - Accent3 7 2 4 2 2" xfId="25952" xr:uid="{00000000-0005-0000-0000-00003C3A0000}"/>
    <cellStyle name="40% - Accent3 7 2 4 3" xfId="21088" xr:uid="{00000000-0005-0000-0000-00003D3A0000}"/>
    <cellStyle name="40% - Accent3 7 2 5" xfId="3763" xr:uid="{00000000-0005-0000-0000-00003E3A0000}"/>
    <cellStyle name="40% - Accent3 7 2 5 2" xfId="12847" xr:uid="{00000000-0005-0000-0000-00003F3A0000}"/>
    <cellStyle name="40% - Accent3 7 2 5 2 2" xfId="26559" xr:uid="{00000000-0005-0000-0000-0000403A0000}"/>
    <cellStyle name="40% - Accent3 7 2 5 3" xfId="21089" xr:uid="{00000000-0005-0000-0000-0000413A0000}"/>
    <cellStyle name="40% - Accent3 7 2 6" xfId="3764" xr:uid="{00000000-0005-0000-0000-0000423A0000}"/>
    <cellStyle name="40% - Accent3 7 2 6 2" xfId="13804" xr:uid="{00000000-0005-0000-0000-0000433A0000}"/>
    <cellStyle name="40% - Accent3 7 2 6 2 2" xfId="27353" xr:uid="{00000000-0005-0000-0000-0000443A0000}"/>
    <cellStyle name="40% - Accent3 7 2 6 3" xfId="21090" xr:uid="{00000000-0005-0000-0000-0000453A0000}"/>
    <cellStyle name="40% - Accent3 7 2 7" xfId="3765" xr:uid="{00000000-0005-0000-0000-0000463A0000}"/>
    <cellStyle name="40% - Accent3 7 2 7 2" xfId="14385" xr:uid="{00000000-0005-0000-0000-0000473A0000}"/>
    <cellStyle name="40% - Accent3 7 2 7 2 2" xfId="27934" xr:uid="{00000000-0005-0000-0000-0000483A0000}"/>
    <cellStyle name="40% - Accent3 7 2 7 3" xfId="21091" xr:uid="{00000000-0005-0000-0000-0000493A0000}"/>
    <cellStyle name="40% - Accent3 7 2 8" xfId="3766" xr:uid="{00000000-0005-0000-0000-00004A3A0000}"/>
    <cellStyle name="40% - Accent3 7 2 8 2" xfId="15251" xr:uid="{00000000-0005-0000-0000-00004B3A0000}"/>
    <cellStyle name="40% - Accent3 7 2 8 2 2" xfId="28800" xr:uid="{00000000-0005-0000-0000-00004C3A0000}"/>
    <cellStyle name="40% - Accent3 7 2 8 3" xfId="21092" xr:uid="{00000000-0005-0000-0000-00004D3A0000}"/>
    <cellStyle name="40% - Accent3 7 2 9" xfId="3767" xr:uid="{00000000-0005-0000-0000-00004E3A0000}"/>
    <cellStyle name="40% - Accent3 7 2 9 2" xfId="16271" xr:uid="{00000000-0005-0000-0000-00004F3A0000}"/>
    <cellStyle name="40% - Accent3 7 2 9 2 2" xfId="29678" xr:uid="{00000000-0005-0000-0000-0000503A0000}"/>
    <cellStyle name="40% - Accent3 7 2 9 3" xfId="21093" xr:uid="{00000000-0005-0000-0000-0000513A0000}"/>
    <cellStyle name="40% - Accent3 7 3" xfId="3768" xr:uid="{00000000-0005-0000-0000-0000523A0000}"/>
    <cellStyle name="40% - Accent3 7 3 2" xfId="3769" xr:uid="{00000000-0005-0000-0000-0000533A0000}"/>
    <cellStyle name="40% - Accent3 7 3 2 2" xfId="11076" xr:uid="{00000000-0005-0000-0000-0000543A0000}"/>
    <cellStyle name="40% - Accent3 7 3 2 2 2" xfId="25018" xr:uid="{00000000-0005-0000-0000-0000553A0000}"/>
    <cellStyle name="40% - Accent3 7 3 2 3" xfId="21095" xr:uid="{00000000-0005-0000-0000-0000563A0000}"/>
    <cellStyle name="40% - Accent3 7 3 3" xfId="3770" xr:uid="{00000000-0005-0000-0000-0000573A0000}"/>
    <cellStyle name="40% - Accent3 7 3 3 2" xfId="12849" xr:uid="{00000000-0005-0000-0000-0000583A0000}"/>
    <cellStyle name="40% - Accent3 7 3 3 2 2" xfId="26561" xr:uid="{00000000-0005-0000-0000-0000593A0000}"/>
    <cellStyle name="40% - Accent3 7 3 3 3" xfId="21096" xr:uid="{00000000-0005-0000-0000-00005A3A0000}"/>
    <cellStyle name="40% - Accent3 7 3 4" xfId="3771" xr:uid="{00000000-0005-0000-0000-00005B3A0000}"/>
    <cellStyle name="40% - Accent3 7 3 4 2" xfId="15254" xr:uid="{00000000-0005-0000-0000-00005C3A0000}"/>
    <cellStyle name="40% - Accent3 7 3 4 2 2" xfId="28803" xr:uid="{00000000-0005-0000-0000-00005D3A0000}"/>
    <cellStyle name="40% - Accent3 7 3 4 3" xfId="21097" xr:uid="{00000000-0005-0000-0000-00005E3A0000}"/>
    <cellStyle name="40% - Accent3 7 3 5" xfId="3772" xr:uid="{00000000-0005-0000-0000-00005F3A0000}"/>
    <cellStyle name="40% - Accent3 7 3 5 2" xfId="16563" xr:uid="{00000000-0005-0000-0000-0000603A0000}"/>
    <cellStyle name="40% - Accent3 7 3 5 2 2" xfId="29970" xr:uid="{00000000-0005-0000-0000-0000613A0000}"/>
    <cellStyle name="40% - Accent3 7 3 5 3" xfId="21098" xr:uid="{00000000-0005-0000-0000-0000623A0000}"/>
    <cellStyle name="40% - Accent3 7 3 6" xfId="9349" xr:uid="{00000000-0005-0000-0000-0000633A0000}"/>
    <cellStyle name="40% - Accent3 7 3 6 2" xfId="23824" xr:uid="{00000000-0005-0000-0000-0000643A0000}"/>
    <cellStyle name="40% - Accent3 7 3 7" xfId="21094" xr:uid="{00000000-0005-0000-0000-0000653A0000}"/>
    <cellStyle name="40% - Accent3 7 4" xfId="3773" xr:uid="{00000000-0005-0000-0000-0000663A0000}"/>
    <cellStyle name="40% - Accent3 7 4 2" xfId="3774" xr:uid="{00000000-0005-0000-0000-0000673A0000}"/>
    <cellStyle name="40% - Accent3 7 4 2 2" xfId="15255" xr:uid="{00000000-0005-0000-0000-0000683A0000}"/>
    <cellStyle name="40% - Accent3 7 4 2 2 2" xfId="28804" xr:uid="{00000000-0005-0000-0000-0000693A0000}"/>
    <cellStyle name="40% - Accent3 7 4 2 3" xfId="21100" xr:uid="{00000000-0005-0000-0000-00006A3A0000}"/>
    <cellStyle name="40% - Accent3 7 4 3" xfId="11073" xr:uid="{00000000-0005-0000-0000-00006B3A0000}"/>
    <cellStyle name="40% - Accent3 7 4 3 2" xfId="25015" xr:uid="{00000000-0005-0000-0000-00006C3A0000}"/>
    <cellStyle name="40% - Accent3 7 4 4" xfId="21099" xr:uid="{00000000-0005-0000-0000-00006D3A0000}"/>
    <cellStyle name="40% - Accent3 7 5" xfId="3775" xr:uid="{00000000-0005-0000-0000-00006E3A0000}"/>
    <cellStyle name="40% - Accent3 7 5 2" xfId="11938" xr:uid="{00000000-0005-0000-0000-00006F3A0000}"/>
    <cellStyle name="40% - Accent3 7 5 2 2" xfId="25653" xr:uid="{00000000-0005-0000-0000-0000703A0000}"/>
    <cellStyle name="40% - Accent3 7 5 3" xfId="21101" xr:uid="{00000000-0005-0000-0000-0000713A0000}"/>
    <cellStyle name="40% - Accent3 7 6" xfId="3776" xr:uid="{00000000-0005-0000-0000-0000723A0000}"/>
    <cellStyle name="40% - Accent3 7 6 2" xfId="12846" xr:uid="{00000000-0005-0000-0000-0000733A0000}"/>
    <cellStyle name="40% - Accent3 7 6 2 2" xfId="26558" xr:uid="{00000000-0005-0000-0000-0000743A0000}"/>
    <cellStyle name="40% - Accent3 7 6 3" xfId="21102" xr:uid="{00000000-0005-0000-0000-0000753A0000}"/>
    <cellStyle name="40% - Accent3 7 7" xfId="3777" xr:uid="{00000000-0005-0000-0000-0000763A0000}"/>
    <cellStyle name="40% - Accent3 7 7 2" xfId="13515" xr:uid="{00000000-0005-0000-0000-0000773A0000}"/>
    <cellStyle name="40% - Accent3 7 7 2 2" xfId="27064" xr:uid="{00000000-0005-0000-0000-0000783A0000}"/>
    <cellStyle name="40% - Accent3 7 7 3" xfId="21103" xr:uid="{00000000-0005-0000-0000-0000793A0000}"/>
    <cellStyle name="40% - Accent3 7 8" xfId="3778" xr:uid="{00000000-0005-0000-0000-00007A3A0000}"/>
    <cellStyle name="40% - Accent3 7 8 2" xfId="14096" xr:uid="{00000000-0005-0000-0000-00007B3A0000}"/>
    <cellStyle name="40% - Accent3 7 8 2 2" xfId="27645" xr:uid="{00000000-0005-0000-0000-00007C3A0000}"/>
    <cellStyle name="40% - Accent3 7 8 3" xfId="21104" xr:uid="{00000000-0005-0000-0000-00007D3A0000}"/>
    <cellStyle name="40% - Accent3 7 9" xfId="3779" xr:uid="{00000000-0005-0000-0000-00007E3A0000}"/>
    <cellStyle name="40% - Accent3 7 9 2" xfId="15250" xr:uid="{00000000-0005-0000-0000-00007F3A0000}"/>
    <cellStyle name="40% - Accent3 7 9 2 2" xfId="28799" xr:uid="{00000000-0005-0000-0000-0000803A0000}"/>
    <cellStyle name="40% - Accent3 7 9 3" xfId="21105" xr:uid="{00000000-0005-0000-0000-0000813A0000}"/>
    <cellStyle name="40% - Accent3 8" xfId="3780" xr:uid="{00000000-0005-0000-0000-0000823A0000}"/>
    <cellStyle name="40% - Accent3 8 10" xfId="9350" xr:uid="{00000000-0005-0000-0000-0000833A0000}"/>
    <cellStyle name="40% - Accent3 8 10 2" xfId="23825" xr:uid="{00000000-0005-0000-0000-0000843A0000}"/>
    <cellStyle name="40% - Accent3 8 11" xfId="21106" xr:uid="{00000000-0005-0000-0000-0000853A0000}"/>
    <cellStyle name="40% - Accent3 8 2" xfId="3781" xr:uid="{00000000-0005-0000-0000-0000863A0000}"/>
    <cellStyle name="40% - Accent3 8 2 2" xfId="3782" xr:uid="{00000000-0005-0000-0000-0000873A0000}"/>
    <cellStyle name="40% - Accent3 8 2 2 2" xfId="11078" xr:uid="{00000000-0005-0000-0000-0000883A0000}"/>
    <cellStyle name="40% - Accent3 8 2 2 2 2" xfId="25020" xr:uid="{00000000-0005-0000-0000-0000893A0000}"/>
    <cellStyle name="40% - Accent3 8 2 2 3" xfId="21108" xr:uid="{00000000-0005-0000-0000-00008A3A0000}"/>
    <cellStyle name="40% - Accent3 8 2 3" xfId="3783" xr:uid="{00000000-0005-0000-0000-00008B3A0000}"/>
    <cellStyle name="40% - Accent3 8 2 3 2" xfId="12851" xr:uid="{00000000-0005-0000-0000-00008C3A0000}"/>
    <cellStyle name="40% - Accent3 8 2 3 2 2" xfId="26563" xr:uid="{00000000-0005-0000-0000-00008D3A0000}"/>
    <cellStyle name="40% - Accent3 8 2 3 3" xfId="21109" xr:uid="{00000000-0005-0000-0000-00008E3A0000}"/>
    <cellStyle name="40% - Accent3 8 2 4" xfId="3784" xr:uid="{00000000-0005-0000-0000-00008F3A0000}"/>
    <cellStyle name="40% - Accent3 8 2 4 2" xfId="15257" xr:uid="{00000000-0005-0000-0000-0000903A0000}"/>
    <cellStyle name="40% - Accent3 8 2 4 2 2" xfId="28806" xr:uid="{00000000-0005-0000-0000-0000913A0000}"/>
    <cellStyle name="40% - Accent3 8 2 4 3" xfId="21110" xr:uid="{00000000-0005-0000-0000-0000923A0000}"/>
    <cellStyle name="40% - Accent3 8 2 5" xfId="3785" xr:uid="{00000000-0005-0000-0000-0000933A0000}"/>
    <cellStyle name="40% - Accent3 8 2 5 2" xfId="16709" xr:uid="{00000000-0005-0000-0000-0000943A0000}"/>
    <cellStyle name="40% - Accent3 8 2 5 2 2" xfId="30116" xr:uid="{00000000-0005-0000-0000-0000953A0000}"/>
    <cellStyle name="40% - Accent3 8 2 5 3" xfId="21111" xr:uid="{00000000-0005-0000-0000-0000963A0000}"/>
    <cellStyle name="40% - Accent3 8 2 6" xfId="9351" xr:uid="{00000000-0005-0000-0000-0000973A0000}"/>
    <cellStyle name="40% - Accent3 8 2 6 2" xfId="23826" xr:uid="{00000000-0005-0000-0000-0000983A0000}"/>
    <cellStyle name="40% - Accent3 8 2 7" xfId="21107" xr:uid="{00000000-0005-0000-0000-0000993A0000}"/>
    <cellStyle name="40% - Accent3 8 3" xfId="3786" xr:uid="{00000000-0005-0000-0000-00009A3A0000}"/>
    <cellStyle name="40% - Accent3 8 3 2" xfId="3787" xr:uid="{00000000-0005-0000-0000-00009B3A0000}"/>
    <cellStyle name="40% - Accent3 8 3 2 2" xfId="15258" xr:uid="{00000000-0005-0000-0000-00009C3A0000}"/>
    <cellStyle name="40% - Accent3 8 3 2 2 2" xfId="28807" xr:uid="{00000000-0005-0000-0000-00009D3A0000}"/>
    <cellStyle name="40% - Accent3 8 3 2 3" xfId="21113" xr:uid="{00000000-0005-0000-0000-00009E3A0000}"/>
    <cellStyle name="40% - Accent3 8 3 3" xfId="11077" xr:uid="{00000000-0005-0000-0000-00009F3A0000}"/>
    <cellStyle name="40% - Accent3 8 3 3 2" xfId="25019" xr:uid="{00000000-0005-0000-0000-0000A03A0000}"/>
    <cellStyle name="40% - Accent3 8 3 4" xfId="21112" xr:uid="{00000000-0005-0000-0000-0000A13A0000}"/>
    <cellStyle name="40% - Accent3 8 4" xfId="3788" xr:uid="{00000000-0005-0000-0000-0000A23A0000}"/>
    <cellStyle name="40% - Accent3 8 4 2" xfId="12087" xr:uid="{00000000-0005-0000-0000-0000A33A0000}"/>
    <cellStyle name="40% - Accent3 8 4 2 2" xfId="25801" xr:uid="{00000000-0005-0000-0000-0000A43A0000}"/>
    <cellStyle name="40% - Accent3 8 4 3" xfId="21114" xr:uid="{00000000-0005-0000-0000-0000A53A0000}"/>
    <cellStyle name="40% - Accent3 8 5" xfId="3789" xr:uid="{00000000-0005-0000-0000-0000A63A0000}"/>
    <cellStyle name="40% - Accent3 8 5 2" xfId="12850" xr:uid="{00000000-0005-0000-0000-0000A73A0000}"/>
    <cellStyle name="40% - Accent3 8 5 2 2" xfId="26562" xr:uid="{00000000-0005-0000-0000-0000A83A0000}"/>
    <cellStyle name="40% - Accent3 8 5 3" xfId="21115" xr:uid="{00000000-0005-0000-0000-0000A93A0000}"/>
    <cellStyle name="40% - Accent3 8 6" xfId="3790" xr:uid="{00000000-0005-0000-0000-0000AA3A0000}"/>
    <cellStyle name="40% - Accent3 8 6 2" xfId="13661" xr:uid="{00000000-0005-0000-0000-0000AB3A0000}"/>
    <cellStyle name="40% - Accent3 8 6 2 2" xfId="27210" xr:uid="{00000000-0005-0000-0000-0000AC3A0000}"/>
    <cellStyle name="40% - Accent3 8 6 3" xfId="21116" xr:uid="{00000000-0005-0000-0000-0000AD3A0000}"/>
    <cellStyle name="40% - Accent3 8 7" xfId="3791" xr:uid="{00000000-0005-0000-0000-0000AE3A0000}"/>
    <cellStyle name="40% - Accent3 8 7 2" xfId="14242" xr:uid="{00000000-0005-0000-0000-0000AF3A0000}"/>
    <cellStyle name="40% - Accent3 8 7 2 2" xfId="27791" xr:uid="{00000000-0005-0000-0000-0000B03A0000}"/>
    <cellStyle name="40% - Accent3 8 7 3" xfId="21117" xr:uid="{00000000-0005-0000-0000-0000B13A0000}"/>
    <cellStyle name="40% - Accent3 8 8" xfId="3792" xr:uid="{00000000-0005-0000-0000-0000B23A0000}"/>
    <cellStyle name="40% - Accent3 8 8 2" xfId="15256" xr:uid="{00000000-0005-0000-0000-0000B33A0000}"/>
    <cellStyle name="40% - Accent3 8 8 2 2" xfId="28805" xr:uid="{00000000-0005-0000-0000-0000B43A0000}"/>
    <cellStyle name="40% - Accent3 8 8 3" xfId="21118" xr:uid="{00000000-0005-0000-0000-0000B53A0000}"/>
    <cellStyle name="40% - Accent3 8 9" xfId="3793" xr:uid="{00000000-0005-0000-0000-0000B63A0000}"/>
    <cellStyle name="40% - Accent3 8 9 2" xfId="16128" xr:uid="{00000000-0005-0000-0000-0000B73A0000}"/>
    <cellStyle name="40% - Accent3 8 9 2 2" xfId="29535" xr:uid="{00000000-0005-0000-0000-0000B83A0000}"/>
    <cellStyle name="40% - Accent3 8 9 3" xfId="21119" xr:uid="{00000000-0005-0000-0000-0000B93A0000}"/>
    <cellStyle name="40% - Accent3 9" xfId="3794" xr:uid="{00000000-0005-0000-0000-0000BA3A0000}"/>
    <cellStyle name="40% - Accent3 9 2" xfId="3795" xr:uid="{00000000-0005-0000-0000-0000BB3A0000}"/>
    <cellStyle name="40% - Accent3 9 2 2" xfId="11079" xr:uid="{00000000-0005-0000-0000-0000BC3A0000}"/>
    <cellStyle name="40% - Accent3 9 2 2 2" xfId="25021" xr:uid="{00000000-0005-0000-0000-0000BD3A0000}"/>
    <cellStyle name="40% - Accent3 9 2 3" xfId="21121" xr:uid="{00000000-0005-0000-0000-0000BE3A0000}"/>
    <cellStyle name="40% - Accent3 9 3" xfId="3796" xr:uid="{00000000-0005-0000-0000-0000BF3A0000}"/>
    <cellStyle name="40% - Accent3 9 3 2" xfId="12852" xr:uid="{00000000-0005-0000-0000-0000C03A0000}"/>
    <cellStyle name="40% - Accent3 9 3 2 2" xfId="26564" xr:uid="{00000000-0005-0000-0000-0000C13A0000}"/>
    <cellStyle name="40% - Accent3 9 3 3" xfId="21122" xr:uid="{00000000-0005-0000-0000-0000C23A0000}"/>
    <cellStyle name="40% - Accent3 9 4" xfId="3797" xr:uid="{00000000-0005-0000-0000-0000C33A0000}"/>
    <cellStyle name="40% - Accent3 9 4 2" xfId="15259" xr:uid="{00000000-0005-0000-0000-0000C43A0000}"/>
    <cellStyle name="40% - Accent3 9 4 2 2" xfId="28808" xr:uid="{00000000-0005-0000-0000-0000C53A0000}"/>
    <cellStyle name="40% - Accent3 9 4 3" xfId="21123" xr:uid="{00000000-0005-0000-0000-0000C63A0000}"/>
    <cellStyle name="40% - Accent3 9 5" xfId="3798" xr:uid="{00000000-0005-0000-0000-0000C73A0000}"/>
    <cellStyle name="40% - Accent3 9 5 2" xfId="17093" xr:uid="{00000000-0005-0000-0000-0000C83A0000}"/>
    <cellStyle name="40% - Accent3 9 5 2 2" xfId="30452" xr:uid="{00000000-0005-0000-0000-0000C93A0000}"/>
    <cellStyle name="40% - Accent3 9 5 3" xfId="21124" xr:uid="{00000000-0005-0000-0000-0000CA3A0000}"/>
    <cellStyle name="40% - Accent3 9 6" xfId="9352" xr:uid="{00000000-0005-0000-0000-0000CB3A0000}"/>
    <cellStyle name="40% - Accent3 9 6 2" xfId="23827" xr:uid="{00000000-0005-0000-0000-0000CC3A0000}"/>
    <cellStyle name="40% - Accent3 9 7" xfId="21120" xr:uid="{00000000-0005-0000-0000-0000CD3A0000}"/>
    <cellStyle name="40% - Accent4" xfId="31" builtinId="43" customBuiltin="1"/>
    <cellStyle name="40% - Accent4 10" xfId="3799" xr:uid="{00000000-0005-0000-0000-0000CF3A0000}"/>
    <cellStyle name="40% - Accent4 10 2" xfId="3800" xr:uid="{00000000-0005-0000-0000-0000D03A0000}"/>
    <cellStyle name="40% - Accent4 10 2 2" xfId="3801" xr:uid="{00000000-0005-0000-0000-0000D13A0000}"/>
    <cellStyle name="40% - Accent4 10 2 2 2" xfId="12855" xr:uid="{00000000-0005-0000-0000-0000D23A0000}"/>
    <cellStyle name="40% - Accent4 10 2 2 2 2" xfId="26567" xr:uid="{00000000-0005-0000-0000-0000D33A0000}"/>
    <cellStyle name="40% - Accent4 10 2 2 3" xfId="21127" xr:uid="{00000000-0005-0000-0000-0000D43A0000}"/>
    <cellStyle name="40% - Accent4 10 2 3" xfId="3802" xr:uid="{00000000-0005-0000-0000-0000D53A0000}"/>
    <cellStyle name="40% - Accent4 10 2 3 2" xfId="15262" xr:uid="{00000000-0005-0000-0000-0000D63A0000}"/>
    <cellStyle name="40% - Accent4 10 2 3 2 2" xfId="28811" xr:uid="{00000000-0005-0000-0000-0000D73A0000}"/>
    <cellStyle name="40% - Accent4 10 2 3 3" xfId="21128" xr:uid="{00000000-0005-0000-0000-0000D83A0000}"/>
    <cellStyle name="40% - Accent4 10 2 4" xfId="11081" xr:uid="{00000000-0005-0000-0000-0000D93A0000}"/>
    <cellStyle name="40% - Accent4 10 2 4 2" xfId="25023" xr:uid="{00000000-0005-0000-0000-0000DA3A0000}"/>
    <cellStyle name="40% - Accent4 10 2 5" xfId="21126" xr:uid="{00000000-0005-0000-0000-0000DB3A0000}"/>
    <cellStyle name="40% - Accent4 10 3" xfId="3803" xr:uid="{00000000-0005-0000-0000-0000DC3A0000}"/>
    <cellStyle name="40% - Accent4 10 3 2" xfId="12854" xr:uid="{00000000-0005-0000-0000-0000DD3A0000}"/>
    <cellStyle name="40% - Accent4 10 3 2 2" xfId="26566" xr:uid="{00000000-0005-0000-0000-0000DE3A0000}"/>
    <cellStyle name="40% - Accent4 10 3 3" xfId="21129" xr:uid="{00000000-0005-0000-0000-0000DF3A0000}"/>
    <cellStyle name="40% - Accent4 10 4" xfId="3804" xr:uid="{00000000-0005-0000-0000-0000E03A0000}"/>
    <cellStyle name="40% - Accent4 10 4 2" xfId="15261" xr:uid="{00000000-0005-0000-0000-0000E13A0000}"/>
    <cellStyle name="40% - Accent4 10 4 2 2" xfId="28810" xr:uid="{00000000-0005-0000-0000-0000E23A0000}"/>
    <cellStyle name="40% - Accent4 10 4 3" xfId="21130" xr:uid="{00000000-0005-0000-0000-0000E33A0000}"/>
    <cellStyle name="40% - Accent4 10 5" xfId="3805" xr:uid="{00000000-0005-0000-0000-0000E43A0000}"/>
    <cellStyle name="40% - Accent4 10 5 2" xfId="17183" xr:uid="{00000000-0005-0000-0000-0000E53A0000}"/>
    <cellStyle name="40% - Accent4 10 5 2 2" xfId="30542" xr:uid="{00000000-0005-0000-0000-0000E63A0000}"/>
    <cellStyle name="40% - Accent4 10 5 3" xfId="21131" xr:uid="{00000000-0005-0000-0000-0000E73A0000}"/>
    <cellStyle name="40% - Accent4 10 6" xfId="9354" xr:uid="{00000000-0005-0000-0000-0000E83A0000}"/>
    <cellStyle name="40% - Accent4 10 6 2" xfId="23829" xr:uid="{00000000-0005-0000-0000-0000E93A0000}"/>
    <cellStyle name="40% - Accent4 10 7" xfId="21125" xr:uid="{00000000-0005-0000-0000-0000EA3A0000}"/>
    <cellStyle name="40% - Accent4 11" xfId="3806" xr:uid="{00000000-0005-0000-0000-0000EB3A0000}"/>
    <cellStyle name="40% - Accent4 11 2" xfId="3807" xr:uid="{00000000-0005-0000-0000-0000EC3A0000}"/>
    <cellStyle name="40% - Accent4 11 2 2" xfId="11082" xr:uid="{00000000-0005-0000-0000-0000ED3A0000}"/>
    <cellStyle name="40% - Accent4 11 2 2 2" xfId="25024" xr:uid="{00000000-0005-0000-0000-0000EE3A0000}"/>
    <cellStyle name="40% - Accent4 11 2 3" xfId="21133" xr:uid="{00000000-0005-0000-0000-0000EF3A0000}"/>
    <cellStyle name="40% - Accent4 11 3" xfId="3808" xr:uid="{00000000-0005-0000-0000-0000F03A0000}"/>
    <cellStyle name="40% - Accent4 11 3 2" xfId="12856" xr:uid="{00000000-0005-0000-0000-0000F13A0000}"/>
    <cellStyle name="40% - Accent4 11 3 2 2" xfId="26568" xr:uid="{00000000-0005-0000-0000-0000F23A0000}"/>
    <cellStyle name="40% - Accent4 11 3 3" xfId="21134" xr:uid="{00000000-0005-0000-0000-0000F33A0000}"/>
    <cellStyle name="40% - Accent4 11 4" xfId="3809" xr:uid="{00000000-0005-0000-0000-0000F43A0000}"/>
    <cellStyle name="40% - Accent4 11 4 2" xfId="15263" xr:uid="{00000000-0005-0000-0000-0000F53A0000}"/>
    <cellStyle name="40% - Accent4 11 4 2 2" xfId="28812" xr:uid="{00000000-0005-0000-0000-0000F63A0000}"/>
    <cellStyle name="40% - Accent4 11 4 3" xfId="21135" xr:uid="{00000000-0005-0000-0000-0000F73A0000}"/>
    <cellStyle name="40% - Accent4 11 5" xfId="3810" xr:uid="{00000000-0005-0000-0000-0000F83A0000}"/>
    <cellStyle name="40% - Accent4 11 5 2" xfId="17272" xr:uid="{00000000-0005-0000-0000-0000F93A0000}"/>
    <cellStyle name="40% - Accent4 11 5 2 2" xfId="30631" xr:uid="{00000000-0005-0000-0000-0000FA3A0000}"/>
    <cellStyle name="40% - Accent4 11 5 3" xfId="21136" xr:uid="{00000000-0005-0000-0000-0000FB3A0000}"/>
    <cellStyle name="40% - Accent4 11 6" xfId="9355" xr:uid="{00000000-0005-0000-0000-0000FC3A0000}"/>
    <cellStyle name="40% - Accent4 11 6 2" xfId="23830" xr:uid="{00000000-0005-0000-0000-0000FD3A0000}"/>
    <cellStyle name="40% - Accent4 11 7" xfId="21132" xr:uid="{00000000-0005-0000-0000-0000FE3A0000}"/>
    <cellStyle name="40% - Accent4 12" xfId="3811" xr:uid="{00000000-0005-0000-0000-0000FF3A0000}"/>
    <cellStyle name="40% - Accent4 12 2" xfId="3812" xr:uid="{00000000-0005-0000-0000-0000003B0000}"/>
    <cellStyle name="40% - Accent4 12 2 2" xfId="3813" xr:uid="{00000000-0005-0000-0000-0000013B0000}"/>
    <cellStyle name="40% - Accent4 12 2 2 2" xfId="11084" xr:uid="{00000000-0005-0000-0000-0000023B0000}"/>
    <cellStyle name="40% - Accent4 12 2 2 2 2" xfId="25026" xr:uid="{00000000-0005-0000-0000-0000033B0000}"/>
    <cellStyle name="40% - Accent4 12 2 2 3" xfId="21139" xr:uid="{00000000-0005-0000-0000-0000043B0000}"/>
    <cellStyle name="40% - Accent4 12 2 3" xfId="3814" xr:uid="{00000000-0005-0000-0000-0000053B0000}"/>
    <cellStyle name="40% - Accent4 12 2 3 2" xfId="12858" xr:uid="{00000000-0005-0000-0000-0000063B0000}"/>
    <cellStyle name="40% - Accent4 12 2 3 2 2" xfId="26570" xr:uid="{00000000-0005-0000-0000-0000073B0000}"/>
    <cellStyle name="40% - Accent4 12 2 3 3" xfId="21140" xr:uid="{00000000-0005-0000-0000-0000083B0000}"/>
    <cellStyle name="40% - Accent4 12 2 4" xfId="3815" xr:uid="{00000000-0005-0000-0000-0000093B0000}"/>
    <cellStyle name="40% - Accent4 12 2 4 2" xfId="15265" xr:uid="{00000000-0005-0000-0000-00000A3B0000}"/>
    <cellStyle name="40% - Accent4 12 2 4 2 2" xfId="28814" xr:uid="{00000000-0005-0000-0000-00000B3B0000}"/>
    <cellStyle name="40% - Accent4 12 2 4 3" xfId="21141" xr:uid="{00000000-0005-0000-0000-00000C3B0000}"/>
    <cellStyle name="40% - Accent4 12 2 5" xfId="9357" xr:uid="{00000000-0005-0000-0000-00000D3B0000}"/>
    <cellStyle name="40% - Accent4 12 2 5 2" xfId="23832" xr:uid="{00000000-0005-0000-0000-00000E3B0000}"/>
    <cellStyle name="40% - Accent4 12 2 6" xfId="21138" xr:uid="{00000000-0005-0000-0000-00000F3B0000}"/>
    <cellStyle name="40% - Accent4 12 3" xfId="3816" xr:uid="{00000000-0005-0000-0000-0000103B0000}"/>
    <cellStyle name="40% - Accent4 12 3 2" xfId="11083" xr:uid="{00000000-0005-0000-0000-0000113B0000}"/>
    <cellStyle name="40% - Accent4 12 3 2 2" xfId="25025" xr:uid="{00000000-0005-0000-0000-0000123B0000}"/>
    <cellStyle name="40% - Accent4 12 3 3" xfId="21142" xr:uid="{00000000-0005-0000-0000-0000133B0000}"/>
    <cellStyle name="40% - Accent4 12 4" xfId="3817" xr:uid="{00000000-0005-0000-0000-0000143B0000}"/>
    <cellStyle name="40% - Accent4 12 4 2" xfId="12857" xr:uid="{00000000-0005-0000-0000-0000153B0000}"/>
    <cellStyle name="40% - Accent4 12 4 2 2" xfId="26569" xr:uid="{00000000-0005-0000-0000-0000163B0000}"/>
    <cellStyle name="40% - Accent4 12 4 3" xfId="21143" xr:uid="{00000000-0005-0000-0000-0000173B0000}"/>
    <cellStyle name="40% - Accent4 12 5" xfId="3818" xr:uid="{00000000-0005-0000-0000-0000183B0000}"/>
    <cellStyle name="40% - Accent4 12 5 2" xfId="15264" xr:uid="{00000000-0005-0000-0000-0000193B0000}"/>
    <cellStyle name="40% - Accent4 12 5 2 2" xfId="28813" xr:uid="{00000000-0005-0000-0000-00001A3B0000}"/>
    <cellStyle name="40% - Accent4 12 5 3" xfId="21144" xr:uid="{00000000-0005-0000-0000-00001B3B0000}"/>
    <cellStyle name="40% - Accent4 12 6" xfId="3819" xr:uid="{00000000-0005-0000-0000-00001C3B0000}"/>
    <cellStyle name="40% - Accent4 12 6 2" xfId="16424" xr:uid="{00000000-0005-0000-0000-00001D3B0000}"/>
    <cellStyle name="40% - Accent4 12 6 2 2" xfId="29831" xr:uid="{00000000-0005-0000-0000-00001E3B0000}"/>
    <cellStyle name="40% - Accent4 12 6 3" xfId="21145" xr:uid="{00000000-0005-0000-0000-00001F3B0000}"/>
    <cellStyle name="40% - Accent4 12 7" xfId="9356" xr:uid="{00000000-0005-0000-0000-0000203B0000}"/>
    <cellStyle name="40% - Accent4 12 7 2" xfId="23831" xr:uid="{00000000-0005-0000-0000-0000213B0000}"/>
    <cellStyle name="40% - Accent4 12 8" xfId="21137" xr:uid="{00000000-0005-0000-0000-0000223B0000}"/>
    <cellStyle name="40% - Accent4 13" xfId="3820" xr:uid="{00000000-0005-0000-0000-0000233B0000}"/>
    <cellStyle name="40% - Accent4 13 2" xfId="3821" xr:uid="{00000000-0005-0000-0000-0000243B0000}"/>
    <cellStyle name="40% - Accent4 13 2 2" xfId="11085" xr:uid="{00000000-0005-0000-0000-0000253B0000}"/>
    <cellStyle name="40% - Accent4 13 2 2 2" xfId="25027" xr:uid="{00000000-0005-0000-0000-0000263B0000}"/>
    <cellStyle name="40% - Accent4 13 2 3" xfId="21147" xr:uid="{00000000-0005-0000-0000-0000273B0000}"/>
    <cellStyle name="40% - Accent4 13 3" xfId="3822" xr:uid="{00000000-0005-0000-0000-0000283B0000}"/>
    <cellStyle name="40% - Accent4 13 3 2" xfId="12859" xr:uid="{00000000-0005-0000-0000-0000293B0000}"/>
    <cellStyle name="40% - Accent4 13 3 2 2" xfId="26571" xr:uid="{00000000-0005-0000-0000-00002A3B0000}"/>
    <cellStyle name="40% - Accent4 13 3 3" xfId="21148" xr:uid="{00000000-0005-0000-0000-00002B3B0000}"/>
    <cellStyle name="40% - Accent4 13 4" xfId="3823" xr:uid="{00000000-0005-0000-0000-00002C3B0000}"/>
    <cellStyle name="40% - Accent4 13 4 2" xfId="15266" xr:uid="{00000000-0005-0000-0000-00002D3B0000}"/>
    <cellStyle name="40% - Accent4 13 4 2 2" xfId="28815" xr:uid="{00000000-0005-0000-0000-00002E3B0000}"/>
    <cellStyle name="40% - Accent4 13 4 3" xfId="21149" xr:uid="{00000000-0005-0000-0000-00002F3B0000}"/>
    <cellStyle name="40% - Accent4 13 5" xfId="9358" xr:uid="{00000000-0005-0000-0000-0000303B0000}"/>
    <cellStyle name="40% - Accent4 13 5 2" xfId="23833" xr:uid="{00000000-0005-0000-0000-0000313B0000}"/>
    <cellStyle name="40% - Accent4 13 6" xfId="21146" xr:uid="{00000000-0005-0000-0000-0000323B0000}"/>
    <cellStyle name="40% - Accent4 14" xfId="3824" xr:uid="{00000000-0005-0000-0000-0000333B0000}"/>
    <cellStyle name="40% - Accent4 14 2" xfId="3825" xr:uid="{00000000-0005-0000-0000-0000343B0000}"/>
    <cellStyle name="40% - Accent4 14 2 2" xfId="11086" xr:uid="{00000000-0005-0000-0000-0000353B0000}"/>
    <cellStyle name="40% - Accent4 14 2 2 2" xfId="25028" xr:uid="{00000000-0005-0000-0000-0000363B0000}"/>
    <cellStyle name="40% - Accent4 14 2 3" xfId="21151" xr:uid="{00000000-0005-0000-0000-0000373B0000}"/>
    <cellStyle name="40% - Accent4 14 3" xfId="3826" xr:uid="{00000000-0005-0000-0000-0000383B0000}"/>
    <cellStyle name="40% - Accent4 14 3 2" xfId="12860" xr:uid="{00000000-0005-0000-0000-0000393B0000}"/>
    <cellStyle name="40% - Accent4 14 3 2 2" xfId="26572" xr:uid="{00000000-0005-0000-0000-00003A3B0000}"/>
    <cellStyle name="40% - Accent4 14 3 3" xfId="21152" xr:uid="{00000000-0005-0000-0000-00003B3B0000}"/>
    <cellStyle name="40% - Accent4 14 4" xfId="3827" xr:uid="{00000000-0005-0000-0000-00003C3B0000}"/>
    <cellStyle name="40% - Accent4 14 4 2" xfId="15267" xr:uid="{00000000-0005-0000-0000-00003D3B0000}"/>
    <cellStyle name="40% - Accent4 14 4 2 2" xfId="28816" xr:uid="{00000000-0005-0000-0000-00003E3B0000}"/>
    <cellStyle name="40% - Accent4 14 4 3" xfId="21153" xr:uid="{00000000-0005-0000-0000-00003F3B0000}"/>
    <cellStyle name="40% - Accent4 14 5" xfId="9359" xr:uid="{00000000-0005-0000-0000-0000403B0000}"/>
    <cellStyle name="40% - Accent4 14 5 2" xfId="23834" xr:uid="{00000000-0005-0000-0000-0000413B0000}"/>
    <cellStyle name="40% - Accent4 14 6" xfId="21150" xr:uid="{00000000-0005-0000-0000-0000423B0000}"/>
    <cellStyle name="40% - Accent4 15" xfId="3828" xr:uid="{00000000-0005-0000-0000-0000433B0000}"/>
    <cellStyle name="40% - Accent4 15 2" xfId="3829" xr:uid="{00000000-0005-0000-0000-0000443B0000}"/>
    <cellStyle name="40% - Accent4 15 2 2" xfId="11087" xr:uid="{00000000-0005-0000-0000-0000453B0000}"/>
    <cellStyle name="40% - Accent4 15 2 2 2" xfId="25029" xr:uid="{00000000-0005-0000-0000-0000463B0000}"/>
    <cellStyle name="40% - Accent4 15 2 3" xfId="21155" xr:uid="{00000000-0005-0000-0000-0000473B0000}"/>
    <cellStyle name="40% - Accent4 15 3" xfId="3830" xr:uid="{00000000-0005-0000-0000-0000483B0000}"/>
    <cellStyle name="40% - Accent4 15 3 2" xfId="12861" xr:uid="{00000000-0005-0000-0000-0000493B0000}"/>
    <cellStyle name="40% - Accent4 15 3 2 2" xfId="26573" xr:uid="{00000000-0005-0000-0000-00004A3B0000}"/>
    <cellStyle name="40% - Accent4 15 3 3" xfId="21156" xr:uid="{00000000-0005-0000-0000-00004B3B0000}"/>
    <cellStyle name="40% - Accent4 15 4" xfId="3831" xr:uid="{00000000-0005-0000-0000-00004C3B0000}"/>
    <cellStyle name="40% - Accent4 15 4 2" xfId="15268" xr:uid="{00000000-0005-0000-0000-00004D3B0000}"/>
    <cellStyle name="40% - Accent4 15 4 2 2" xfId="28817" xr:uid="{00000000-0005-0000-0000-00004E3B0000}"/>
    <cellStyle name="40% - Accent4 15 4 3" xfId="21157" xr:uid="{00000000-0005-0000-0000-00004F3B0000}"/>
    <cellStyle name="40% - Accent4 15 5" xfId="9360" xr:uid="{00000000-0005-0000-0000-0000503B0000}"/>
    <cellStyle name="40% - Accent4 15 5 2" xfId="23835" xr:uid="{00000000-0005-0000-0000-0000513B0000}"/>
    <cellStyle name="40% - Accent4 15 6" xfId="21154" xr:uid="{00000000-0005-0000-0000-0000523B0000}"/>
    <cellStyle name="40% - Accent4 16" xfId="3832" xr:uid="{00000000-0005-0000-0000-0000533B0000}"/>
    <cellStyle name="40% - Accent4 16 2" xfId="3833" xr:uid="{00000000-0005-0000-0000-0000543B0000}"/>
    <cellStyle name="40% - Accent4 16 2 2" xfId="11088" xr:uid="{00000000-0005-0000-0000-0000553B0000}"/>
    <cellStyle name="40% - Accent4 16 2 2 2" xfId="25030" xr:uid="{00000000-0005-0000-0000-0000563B0000}"/>
    <cellStyle name="40% - Accent4 16 2 3" xfId="21159" xr:uid="{00000000-0005-0000-0000-0000573B0000}"/>
    <cellStyle name="40% - Accent4 16 3" xfId="3834" xr:uid="{00000000-0005-0000-0000-0000583B0000}"/>
    <cellStyle name="40% - Accent4 16 3 2" xfId="12862" xr:uid="{00000000-0005-0000-0000-0000593B0000}"/>
    <cellStyle name="40% - Accent4 16 3 2 2" xfId="26574" xr:uid="{00000000-0005-0000-0000-00005A3B0000}"/>
    <cellStyle name="40% - Accent4 16 3 3" xfId="21160" xr:uid="{00000000-0005-0000-0000-00005B3B0000}"/>
    <cellStyle name="40% - Accent4 16 4" xfId="3835" xr:uid="{00000000-0005-0000-0000-00005C3B0000}"/>
    <cellStyle name="40% - Accent4 16 4 2" xfId="15269" xr:uid="{00000000-0005-0000-0000-00005D3B0000}"/>
    <cellStyle name="40% - Accent4 16 4 2 2" xfId="28818" xr:uid="{00000000-0005-0000-0000-00005E3B0000}"/>
    <cellStyle name="40% - Accent4 16 4 3" xfId="21161" xr:uid="{00000000-0005-0000-0000-00005F3B0000}"/>
    <cellStyle name="40% - Accent4 16 5" xfId="9361" xr:uid="{00000000-0005-0000-0000-0000603B0000}"/>
    <cellStyle name="40% - Accent4 16 5 2" xfId="23836" xr:uid="{00000000-0005-0000-0000-0000613B0000}"/>
    <cellStyle name="40% - Accent4 16 6" xfId="21158" xr:uid="{00000000-0005-0000-0000-0000623B0000}"/>
    <cellStyle name="40% - Accent4 17" xfId="3836" xr:uid="{00000000-0005-0000-0000-0000633B0000}"/>
    <cellStyle name="40% - Accent4 17 2" xfId="3837" xr:uid="{00000000-0005-0000-0000-0000643B0000}"/>
    <cellStyle name="40% - Accent4 17 2 2" xfId="11089" xr:uid="{00000000-0005-0000-0000-0000653B0000}"/>
    <cellStyle name="40% - Accent4 17 2 2 2" xfId="25031" xr:uid="{00000000-0005-0000-0000-0000663B0000}"/>
    <cellStyle name="40% - Accent4 17 2 3" xfId="21163" xr:uid="{00000000-0005-0000-0000-0000673B0000}"/>
    <cellStyle name="40% - Accent4 17 3" xfId="3838" xr:uid="{00000000-0005-0000-0000-0000683B0000}"/>
    <cellStyle name="40% - Accent4 17 3 2" xfId="12863" xr:uid="{00000000-0005-0000-0000-0000693B0000}"/>
    <cellStyle name="40% - Accent4 17 3 2 2" xfId="26575" xr:uid="{00000000-0005-0000-0000-00006A3B0000}"/>
    <cellStyle name="40% - Accent4 17 3 3" xfId="21164" xr:uid="{00000000-0005-0000-0000-00006B3B0000}"/>
    <cellStyle name="40% - Accent4 17 4" xfId="3839" xr:uid="{00000000-0005-0000-0000-00006C3B0000}"/>
    <cellStyle name="40% - Accent4 17 4 2" xfId="15270" xr:uid="{00000000-0005-0000-0000-00006D3B0000}"/>
    <cellStyle name="40% - Accent4 17 4 2 2" xfId="28819" xr:uid="{00000000-0005-0000-0000-00006E3B0000}"/>
    <cellStyle name="40% - Accent4 17 4 3" xfId="21165" xr:uid="{00000000-0005-0000-0000-00006F3B0000}"/>
    <cellStyle name="40% - Accent4 17 5" xfId="9362" xr:uid="{00000000-0005-0000-0000-0000703B0000}"/>
    <cellStyle name="40% - Accent4 17 5 2" xfId="23837" xr:uid="{00000000-0005-0000-0000-0000713B0000}"/>
    <cellStyle name="40% - Accent4 17 6" xfId="21162" xr:uid="{00000000-0005-0000-0000-0000723B0000}"/>
    <cellStyle name="40% - Accent4 18" xfId="3840" xr:uid="{00000000-0005-0000-0000-0000733B0000}"/>
    <cellStyle name="40% - Accent4 18 2" xfId="3841" xr:uid="{00000000-0005-0000-0000-0000743B0000}"/>
    <cellStyle name="40% - Accent4 18 2 2" xfId="11090" xr:uid="{00000000-0005-0000-0000-0000753B0000}"/>
    <cellStyle name="40% - Accent4 18 2 2 2" xfId="25032" xr:uid="{00000000-0005-0000-0000-0000763B0000}"/>
    <cellStyle name="40% - Accent4 18 2 3" xfId="21167" xr:uid="{00000000-0005-0000-0000-0000773B0000}"/>
    <cellStyle name="40% - Accent4 18 3" xfId="3842" xr:uid="{00000000-0005-0000-0000-0000783B0000}"/>
    <cellStyle name="40% - Accent4 18 3 2" xfId="12864" xr:uid="{00000000-0005-0000-0000-0000793B0000}"/>
    <cellStyle name="40% - Accent4 18 3 2 2" xfId="26576" xr:uid="{00000000-0005-0000-0000-00007A3B0000}"/>
    <cellStyle name="40% - Accent4 18 3 3" xfId="21168" xr:uid="{00000000-0005-0000-0000-00007B3B0000}"/>
    <cellStyle name="40% - Accent4 18 4" xfId="3843" xr:uid="{00000000-0005-0000-0000-00007C3B0000}"/>
    <cellStyle name="40% - Accent4 18 4 2" xfId="15271" xr:uid="{00000000-0005-0000-0000-00007D3B0000}"/>
    <cellStyle name="40% - Accent4 18 4 2 2" xfId="28820" xr:uid="{00000000-0005-0000-0000-00007E3B0000}"/>
    <cellStyle name="40% - Accent4 18 4 3" xfId="21169" xr:uid="{00000000-0005-0000-0000-00007F3B0000}"/>
    <cellStyle name="40% - Accent4 18 5" xfId="9363" xr:uid="{00000000-0005-0000-0000-0000803B0000}"/>
    <cellStyle name="40% - Accent4 18 5 2" xfId="23838" xr:uid="{00000000-0005-0000-0000-0000813B0000}"/>
    <cellStyle name="40% - Accent4 18 6" xfId="21166" xr:uid="{00000000-0005-0000-0000-0000823B0000}"/>
    <cellStyle name="40% - Accent4 19" xfId="3844" xr:uid="{00000000-0005-0000-0000-0000833B0000}"/>
    <cellStyle name="40% - Accent4 19 2" xfId="3845" xr:uid="{00000000-0005-0000-0000-0000843B0000}"/>
    <cellStyle name="40% - Accent4 19 2 2" xfId="11708" xr:uid="{00000000-0005-0000-0000-0000853B0000}"/>
    <cellStyle name="40% - Accent4 19 2 2 2" xfId="25428" xr:uid="{00000000-0005-0000-0000-0000863B0000}"/>
    <cellStyle name="40% - Accent4 19 2 3" xfId="21171" xr:uid="{00000000-0005-0000-0000-0000873B0000}"/>
    <cellStyle name="40% - Accent4 19 3" xfId="3846" xr:uid="{00000000-0005-0000-0000-0000883B0000}"/>
    <cellStyle name="40% - Accent4 19 3 2" xfId="12865" xr:uid="{00000000-0005-0000-0000-0000893B0000}"/>
    <cellStyle name="40% - Accent4 19 3 2 2" xfId="26577" xr:uid="{00000000-0005-0000-0000-00008A3B0000}"/>
    <cellStyle name="40% - Accent4 19 3 3" xfId="21172" xr:uid="{00000000-0005-0000-0000-00008B3B0000}"/>
    <cellStyle name="40% - Accent4 19 4" xfId="3847" xr:uid="{00000000-0005-0000-0000-00008C3B0000}"/>
    <cellStyle name="40% - Accent4 19 4 2" xfId="15272" xr:uid="{00000000-0005-0000-0000-00008D3B0000}"/>
    <cellStyle name="40% - Accent4 19 4 2 2" xfId="28821" xr:uid="{00000000-0005-0000-0000-00008E3B0000}"/>
    <cellStyle name="40% - Accent4 19 4 3" xfId="21173" xr:uid="{00000000-0005-0000-0000-00008F3B0000}"/>
    <cellStyle name="40% - Accent4 19 5" xfId="10460" xr:uid="{00000000-0005-0000-0000-0000903B0000}"/>
    <cellStyle name="40% - Accent4 19 5 2" xfId="24419" xr:uid="{00000000-0005-0000-0000-0000913B0000}"/>
    <cellStyle name="40% - Accent4 19 6" xfId="21170" xr:uid="{00000000-0005-0000-0000-0000923B0000}"/>
    <cellStyle name="40% - Accent4 2" xfId="3848" xr:uid="{00000000-0005-0000-0000-0000933B0000}"/>
    <cellStyle name="40% - Accent4 2 10" xfId="3849" xr:uid="{00000000-0005-0000-0000-0000943B0000}"/>
    <cellStyle name="40% - Accent4 2 10 2" xfId="3850" xr:uid="{00000000-0005-0000-0000-0000953B0000}"/>
    <cellStyle name="40% - Accent4 2 10 2 2" xfId="15274" xr:uid="{00000000-0005-0000-0000-0000963B0000}"/>
    <cellStyle name="40% - Accent4 2 10 2 2 2" xfId="28823" xr:uid="{00000000-0005-0000-0000-0000973B0000}"/>
    <cellStyle name="40% - Accent4 2 10 2 3" xfId="21176" xr:uid="{00000000-0005-0000-0000-0000983B0000}"/>
    <cellStyle name="40% - Accent4 2 10 3" xfId="11832" xr:uid="{00000000-0005-0000-0000-0000993B0000}"/>
    <cellStyle name="40% - Accent4 2 10 3 2" xfId="25547" xr:uid="{00000000-0005-0000-0000-00009A3B0000}"/>
    <cellStyle name="40% - Accent4 2 10 4" xfId="21175" xr:uid="{00000000-0005-0000-0000-00009B3B0000}"/>
    <cellStyle name="40% - Accent4 2 11" xfId="3851" xr:uid="{00000000-0005-0000-0000-00009C3B0000}"/>
    <cellStyle name="40% - Accent4 2 11 2" xfId="12866" xr:uid="{00000000-0005-0000-0000-00009D3B0000}"/>
    <cellStyle name="40% - Accent4 2 11 2 2" xfId="26578" xr:uid="{00000000-0005-0000-0000-00009E3B0000}"/>
    <cellStyle name="40% - Accent4 2 11 3" xfId="21177" xr:uid="{00000000-0005-0000-0000-00009F3B0000}"/>
    <cellStyle name="40% - Accent4 2 12" xfId="3852" xr:uid="{00000000-0005-0000-0000-0000A03B0000}"/>
    <cellStyle name="40% - Accent4 2 12 2" xfId="13431" xr:uid="{00000000-0005-0000-0000-0000A13B0000}"/>
    <cellStyle name="40% - Accent4 2 12 2 2" xfId="26980" xr:uid="{00000000-0005-0000-0000-0000A23B0000}"/>
    <cellStyle name="40% - Accent4 2 12 3" xfId="21178" xr:uid="{00000000-0005-0000-0000-0000A33B0000}"/>
    <cellStyle name="40% - Accent4 2 13" xfId="3853" xr:uid="{00000000-0005-0000-0000-0000A43B0000}"/>
    <cellStyle name="40% - Accent4 2 13 2" xfId="14012" xr:uid="{00000000-0005-0000-0000-0000A53B0000}"/>
    <cellStyle name="40% - Accent4 2 13 2 2" xfId="27561" xr:uid="{00000000-0005-0000-0000-0000A63B0000}"/>
    <cellStyle name="40% - Accent4 2 13 3" xfId="21179" xr:uid="{00000000-0005-0000-0000-0000A73B0000}"/>
    <cellStyle name="40% - Accent4 2 14" xfId="3854" xr:uid="{00000000-0005-0000-0000-0000A83B0000}"/>
    <cellStyle name="40% - Accent4 2 14 2" xfId="15273" xr:uid="{00000000-0005-0000-0000-0000A93B0000}"/>
    <cellStyle name="40% - Accent4 2 14 2 2" xfId="28822" xr:uid="{00000000-0005-0000-0000-0000AA3B0000}"/>
    <cellStyle name="40% - Accent4 2 14 3" xfId="21180" xr:uid="{00000000-0005-0000-0000-0000AB3B0000}"/>
    <cellStyle name="40% - Accent4 2 15" xfId="3855" xr:uid="{00000000-0005-0000-0000-0000AC3B0000}"/>
    <cellStyle name="40% - Accent4 2 15 2" xfId="15898" xr:uid="{00000000-0005-0000-0000-0000AD3B0000}"/>
    <cellStyle name="40% - Accent4 2 15 2 2" xfId="29305" xr:uid="{00000000-0005-0000-0000-0000AE3B0000}"/>
    <cellStyle name="40% - Accent4 2 15 3" xfId="21181" xr:uid="{00000000-0005-0000-0000-0000AF3B0000}"/>
    <cellStyle name="40% - Accent4 2 16" xfId="9364" xr:uid="{00000000-0005-0000-0000-0000B03B0000}"/>
    <cellStyle name="40% - Accent4 2 16 2" xfId="23839" xr:uid="{00000000-0005-0000-0000-0000B13B0000}"/>
    <cellStyle name="40% - Accent4 2 17" xfId="21174" xr:uid="{00000000-0005-0000-0000-0000B23B0000}"/>
    <cellStyle name="40% - Accent4 2 2" xfId="3856" xr:uid="{00000000-0005-0000-0000-0000B33B0000}"/>
    <cellStyle name="40% - Accent4 2 2 10" xfId="3857" xr:uid="{00000000-0005-0000-0000-0000B43B0000}"/>
    <cellStyle name="40% - Accent4 2 2 10 2" xfId="15275" xr:uid="{00000000-0005-0000-0000-0000B53B0000}"/>
    <cellStyle name="40% - Accent4 2 2 10 2 2" xfId="28824" xr:uid="{00000000-0005-0000-0000-0000B63B0000}"/>
    <cellStyle name="40% - Accent4 2 2 10 3" xfId="21183" xr:uid="{00000000-0005-0000-0000-0000B73B0000}"/>
    <cellStyle name="40% - Accent4 2 2 11" xfId="3858" xr:uid="{00000000-0005-0000-0000-0000B83B0000}"/>
    <cellStyle name="40% - Accent4 2 2 11 2" xfId="15944" xr:uid="{00000000-0005-0000-0000-0000B93B0000}"/>
    <cellStyle name="40% - Accent4 2 2 11 2 2" xfId="29351" xr:uid="{00000000-0005-0000-0000-0000BA3B0000}"/>
    <cellStyle name="40% - Accent4 2 2 11 3" xfId="21184" xr:uid="{00000000-0005-0000-0000-0000BB3B0000}"/>
    <cellStyle name="40% - Accent4 2 2 12" xfId="9365" xr:uid="{00000000-0005-0000-0000-0000BC3B0000}"/>
    <cellStyle name="40% - Accent4 2 2 12 2" xfId="23840" xr:uid="{00000000-0005-0000-0000-0000BD3B0000}"/>
    <cellStyle name="40% - Accent4 2 2 13" xfId="21182" xr:uid="{00000000-0005-0000-0000-0000BE3B0000}"/>
    <cellStyle name="40% - Accent4 2 2 2" xfId="3859" xr:uid="{00000000-0005-0000-0000-0000BF3B0000}"/>
    <cellStyle name="40% - Accent4 2 2 2 10" xfId="3860" xr:uid="{00000000-0005-0000-0000-0000C03B0000}"/>
    <cellStyle name="40% - Accent4 2 2 2 10 2" xfId="16087" xr:uid="{00000000-0005-0000-0000-0000C13B0000}"/>
    <cellStyle name="40% - Accent4 2 2 2 10 2 2" xfId="29494" xr:uid="{00000000-0005-0000-0000-0000C23B0000}"/>
    <cellStyle name="40% - Accent4 2 2 2 10 3" xfId="21186" xr:uid="{00000000-0005-0000-0000-0000C33B0000}"/>
    <cellStyle name="40% - Accent4 2 2 2 11" xfId="9366" xr:uid="{00000000-0005-0000-0000-0000C43B0000}"/>
    <cellStyle name="40% - Accent4 2 2 2 11 2" xfId="23841" xr:uid="{00000000-0005-0000-0000-0000C53B0000}"/>
    <cellStyle name="40% - Accent4 2 2 2 12" xfId="21185" xr:uid="{00000000-0005-0000-0000-0000C63B0000}"/>
    <cellStyle name="40% - Accent4 2 2 2 2" xfId="3861" xr:uid="{00000000-0005-0000-0000-0000C73B0000}"/>
    <cellStyle name="40% - Accent4 2 2 2 2 10" xfId="9367" xr:uid="{00000000-0005-0000-0000-0000C83B0000}"/>
    <cellStyle name="40% - Accent4 2 2 2 2 10 2" xfId="23842" xr:uid="{00000000-0005-0000-0000-0000C93B0000}"/>
    <cellStyle name="40% - Accent4 2 2 2 2 11" xfId="21187" xr:uid="{00000000-0005-0000-0000-0000CA3B0000}"/>
    <cellStyle name="40% - Accent4 2 2 2 2 2" xfId="3862" xr:uid="{00000000-0005-0000-0000-0000CB3B0000}"/>
    <cellStyle name="40% - Accent4 2 2 2 2 2 2" xfId="3863" xr:uid="{00000000-0005-0000-0000-0000CC3B0000}"/>
    <cellStyle name="40% - Accent4 2 2 2 2 2 2 2" xfId="11095" xr:uid="{00000000-0005-0000-0000-0000CD3B0000}"/>
    <cellStyle name="40% - Accent4 2 2 2 2 2 2 2 2" xfId="25037" xr:uid="{00000000-0005-0000-0000-0000CE3B0000}"/>
    <cellStyle name="40% - Accent4 2 2 2 2 2 2 3" xfId="21189" xr:uid="{00000000-0005-0000-0000-0000CF3B0000}"/>
    <cellStyle name="40% - Accent4 2 2 2 2 2 3" xfId="3864" xr:uid="{00000000-0005-0000-0000-0000D03B0000}"/>
    <cellStyle name="40% - Accent4 2 2 2 2 2 3 2" xfId="12870" xr:uid="{00000000-0005-0000-0000-0000D13B0000}"/>
    <cellStyle name="40% - Accent4 2 2 2 2 2 3 2 2" xfId="26582" xr:uid="{00000000-0005-0000-0000-0000D23B0000}"/>
    <cellStyle name="40% - Accent4 2 2 2 2 2 3 3" xfId="21190" xr:uid="{00000000-0005-0000-0000-0000D33B0000}"/>
    <cellStyle name="40% - Accent4 2 2 2 2 2 4" xfId="3865" xr:uid="{00000000-0005-0000-0000-0000D43B0000}"/>
    <cellStyle name="40% - Accent4 2 2 2 2 2 4 2" xfId="15278" xr:uid="{00000000-0005-0000-0000-0000D53B0000}"/>
    <cellStyle name="40% - Accent4 2 2 2 2 2 4 2 2" xfId="28827" xr:uid="{00000000-0005-0000-0000-0000D63B0000}"/>
    <cellStyle name="40% - Accent4 2 2 2 2 2 4 3" xfId="21191" xr:uid="{00000000-0005-0000-0000-0000D73B0000}"/>
    <cellStyle name="40% - Accent4 2 2 2 2 2 5" xfId="3866" xr:uid="{00000000-0005-0000-0000-0000D83B0000}"/>
    <cellStyle name="40% - Accent4 2 2 2 2 2 5 2" xfId="16957" xr:uid="{00000000-0005-0000-0000-0000D93B0000}"/>
    <cellStyle name="40% - Accent4 2 2 2 2 2 5 2 2" xfId="30364" xr:uid="{00000000-0005-0000-0000-0000DA3B0000}"/>
    <cellStyle name="40% - Accent4 2 2 2 2 2 5 3" xfId="21192" xr:uid="{00000000-0005-0000-0000-0000DB3B0000}"/>
    <cellStyle name="40% - Accent4 2 2 2 2 2 6" xfId="9368" xr:uid="{00000000-0005-0000-0000-0000DC3B0000}"/>
    <cellStyle name="40% - Accent4 2 2 2 2 2 6 2" xfId="23843" xr:uid="{00000000-0005-0000-0000-0000DD3B0000}"/>
    <cellStyle name="40% - Accent4 2 2 2 2 2 7" xfId="21188" xr:uid="{00000000-0005-0000-0000-0000DE3B0000}"/>
    <cellStyle name="40% - Accent4 2 2 2 2 3" xfId="3867" xr:uid="{00000000-0005-0000-0000-0000DF3B0000}"/>
    <cellStyle name="40% - Accent4 2 2 2 2 3 2" xfId="3868" xr:uid="{00000000-0005-0000-0000-0000E03B0000}"/>
    <cellStyle name="40% - Accent4 2 2 2 2 3 2 2" xfId="15279" xr:uid="{00000000-0005-0000-0000-0000E13B0000}"/>
    <cellStyle name="40% - Accent4 2 2 2 2 3 2 2 2" xfId="28828" xr:uid="{00000000-0005-0000-0000-0000E23B0000}"/>
    <cellStyle name="40% - Accent4 2 2 2 2 3 2 3" xfId="21194" xr:uid="{00000000-0005-0000-0000-0000E33B0000}"/>
    <cellStyle name="40% - Accent4 2 2 2 2 3 3" xfId="11094" xr:uid="{00000000-0005-0000-0000-0000E43B0000}"/>
    <cellStyle name="40% - Accent4 2 2 2 2 3 3 2" xfId="25036" xr:uid="{00000000-0005-0000-0000-0000E53B0000}"/>
    <cellStyle name="40% - Accent4 2 2 2 2 3 4" xfId="21193" xr:uid="{00000000-0005-0000-0000-0000E63B0000}"/>
    <cellStyle name="40% - Accent4 2 2 2 2 4" xfId="3869" xr:uid="{00000000-0005-0000-0000-0000E73B0000}"/>
    <cellStyle name="40% - Accent4 2 2 2 2 4 2" xfId="12345" xr:uid="{00000000-0005-0000-0000-0000E83B0000}"/>
    <cellStyle name="40% - Accent4 2 2 2 2 4 2 2" xfId="26057" xr:uid="{00000000-0005-0000-0000-0000E93B0000}"/>
    <cellStyle name="40% - Accent4 2 2 2 2 4 3" xfId="21195" xr:uid="{00000000-0005-0000-0000-0000EA3B0000}"/>
    <cellStyle name="40% - Accent4 2 2 2 2 5" xfId="3870" xr:uid="{00000000-0005-0000-0000-0000EB3B0000}"/>
    <cellStyle name="40% - Accent4 2 2 2 2 5 2" xfId="12869" xr:uid="{00000000-0005-0000-0000-0000EC3B0000}"/>
    <cellStyle name="40% - Accent4 2 2 2 2 5 2 2" xfId="26581" xr:uid="{00000000-0005-0000-0000-0000ED3B0000}"/>
    <cellStyle name="40% - Accent4 2 2 2 2 5 3" xfId="21196" xr:uid="{00000000-0005-0000-0000-0000EE3B0000}"/>
    <cellStyle name="40% - Accent4 2 2 2 2 6" xfId="3871" xr:uid="{00000000-0005-0000-0000-0000EF3B0000}"/>
    <cellStyle name="40% - Accent4 2 2 2 2 6 2" xfId="13909" xr:uid="{00000000-0005-0000-0000-0000F03B0000}"/>
    <cellStyle name="40% - Accent4 2 2 2 2 6 2 2" xfId="27458" xr:uid="{00000000-0005-0000-0000-0000F13B0000}"/>
    <cellStyle name="40% - Accent4 2 2 2 2 6 3" xfId="21197" xr:uid="{00000000-0005-0000-0000-0000F23B0000}"/>
    <cellStyle name="40% - Accent4 2 2 2 2 7" xfId="3872" xr:uid="{00000000-0005-0000-0000-0000F33B0000}"/>
    <cellStyle name="40% - Accent4 2 2 2 2 7 2" xfId="14490" xr:uid="{00000000-0005-0000-0000-0000F43B0000}"/>
    <cellStyle name="40% - Accent4 2 2 2 2 7 2 2" xfId="28039" xr:uid="{00000000-0005-0000-0000-0000F53B0000}"/>
    <cellStyle name="40% - Accent4 2 2 2 2 7 3" xfId="21198" xr:uid="{00000000-0005-0000-0000-0000F63B0000}"/>
    <cellStyle name="40% - Accent4 2 2 2 2 8" xfId="3873" xr:uid="{00000000-0005-0000-0000-0000F73B0000}"/>
    <cellStyle name="40% - Accent4 2 2 2 2 8 2" xfId="15277" xr:uid="{00000000-0005-0000-0000-0000F83B0000}"/>
    <cellStyle name="40% - Accent4 2 2 2 2 8 2 2" xfId="28826" xr:uid="{00000000-0005-0000-0000-0000F93B0000}"/>
    <cellStyle name="40% - Accent4 2 2 2 2 8 3" xfId="21199" xr:uid="{00000000-0005-0000-0000-0000FA3B0000}"/>
    <cellStyle name="40% - Accent4 2 2 2 2 9" xfId="3874" xr:uid="{00000000-0005-0000-0000-0000FB3B0000}"/>
    <cellStyle name="40% - Accent4 2 2 2 2 9 2" xfId="16376" xr:uid="{00000000-0005-0000-0000-0000FC3B0000}"/>
    <cellStyle name="40% - Accent4 2 2 2 2 9 2 2" xfId="29783" xr:uid="{00000000-0005-0000-0000-0000FD3B0000}"/>
    <cellStyle name="40% - Accent4 2 2 2 2 9 3" xfId="21200" xr:uid="{00000000-0005-0000-0000-0000FE3B0000}"/>
    <cellStyle name="40% - Accent4 2 2 2 3" xfId="3875" xr:uid="{00000000-0005-0000-0000-0000FF3B0000}"/>
    <cellStyle name="40% - Accent4 2 2 2 3 2" xfId="3876" xr:uid="{00000000-0005-0000-0000-0000003C0000}"/>
    <cellStyle name="40% - Accent4 2 2 2 3 2 2" xfId="11096" xr:uid="{00000000-0005-0000-0000-0000013C0000}"/>
    <cellStyle name="40% - Accent4 2 2 2 3 2 2 2" xfId="25038" xr:uid="{00000000-0005-0000-0000-0000023C0000}"/>
    <cellStyle name="40% - Accent4 2 2 2 3 2 3" xfId="21202" xr:uid="{00000000-0005-0000-0000-0000033C0000}"/>
    <cellStyle name="40% - Accent4 2 2 2 3 3" xfId="3877" xr:uid="{00000000-0005-0000-0000-0000043C0000}"/>
    <cellStyle name="40% - Accent4 2 2 2 3 3 2" xfId="12871" xr:uid="{00000000-0005-0000-0000-0000053C0000}"/>
    <cellStyle name="40% - Accent4 2 2 2 3 3 2 2" xfId="26583" xr:uid="{00000000-0005-0000-0000-0000063C0000}"/>
    <cellStyle name="40% - Accent4 2 2 2 3 3 3" xfId="21203" xr:uid="{00000000-0005-0000-0000-0000073C0000}"/>
    <cellStyle name="40% - Accent4 2 2 2 3 4" xfId="3878" xr:uid="{00000000-0005-0000-0000-0000083C0000}"/>
    <cellStyle name="40% - Accent4 2 2 2 3 4 2" xfId="15280" xr:uid="{00000000-0005-0000-0000-0000093C0000}"/>
    <cellStyle name="40% - Accent4 2 2 2 3 4 2 2" xfId="28829" xr:uid="{00000000-0005-0000-0000-00000A3C0000}"/>
    <cellStyle name="40% - Accent4 2 2 2 3 4 3" xfId="21204" xr:uid="{00000000-0005-0000-0000-00000B3C0000}"/>
    <cellStyle name="40% - Accent4 2 2 2 3 5" xfId="3879" xr:uid="{00000000-0005-0000-0000-00000C3C0000}"/>
    <cellStyle name="40% - Accent4 2 2 2 3 5 2" xfId="16668" xr:uid="{00000000-0005-0000-0000-00000D3C0000}"/>
    <cellStyle name="40% - Accent4 2 2 2 3 5 2 2" xfId="30075" xr:uid="{00000000-0005-0000-0000-00000E3C0000}"/>
    <cellStyle name="40% - Accent4 2 2 2 3 5 3" xfId="21205" xr:uid="{00000000-0005-0000-0000-00000F3C0000}"/>
    <cellStyle name="40% - Accent4 2 2 2 3 6" xfId="9369" xr:uid="{00000000-0005-0000-0000-0000103C0000}"/>
    <cellStyle name="40% - Accent4 2 2 2 3 6 2" xfId="23844" xr:uid="{00000000-0005-0000-0000-0000113C0000}"/>
    <cellStyle name="40% - Accent4 2 2 2 3 7" xfId="21201" xr:uid="{00000000-0005-0000-0000-0000123C0000}"/>
    <cellStyle name="40% - Accent4 2 2 2 4" xfId="3880" xr:uid="{00000000-0005-0000-0000-0000133C0000}"/>
    <cellStyle name="40% - Accent4 2 2 2 4 2" xfId="3881" xr:uid="{00000000-0005-0000-0000-0000143C0000}"/>
    <cellStyle name="40% - Accent4 2 2 2 4 2 2" xfId="15281" xr:uid="{00000000-0005-0000-0000-0000153C0000}"/>
    <cellStyle name="40% - Accent4 2 2 2 4 2 2 2" xfId="28830" xr:uid="{00000000-0005-0000-0000-0000163C0000}"/>
    <cellStyle name="40% - Accent4 2 2 2 4 2 3" xfId="21207" xr:uid="{00000000-0005-0000-0000-0000173C0000}"/>
    <cellStyle name="40% - Accent4 2 2 2 4 3" xfId="11093" xr:uid="{00000000-0005-0000-0000-0000183C0000}"/>
    <cellStyle name="40% - Accent4 2 2 2 4 3 2" xfId="25035" xr:uid="{00000000-0005-0000-0000-0000193C0000}"/>
    <cellStyle name="40% - Accent4 2 2 2 4 4" xfId="21206" xr:uid="{00000000-0005-0000-0000-00001A3C0000}"/>
    <cellStyle name="40% - Accent4 2 2 2 5" xfId="3882" xr:uid="{00000000-0005-0000-0000-00001B3C0000}"/>
    <cellStyle name="40% - Accent4 2 2 2 5 2" xfId="12045" xr:uid="{00000000-0005-0000-0000-00001C3C0000}"/>
    <cellStyle name="40% - Accent4 2 2 2 5 2 2" xfId="25760" xr:uid="{00000000-0005-0000-0000-00001D3C0000}"/>
    <cellStyle name="40% - Accent4 2 2 2 5 3" xfId="21208" xr:uid="{00000000-0005-0000-0000-00001E3C0000}"/>
    <cellStyle name="40% - Accent4 2 2 2 6" xfId="3883" xr:uid="{00000000-0005-0000-0000-00001F3C0000}"/>
    <cellStyle name="40% - Accent4 2 2 2 6 2" xfId="12868" xr:uid="{00000000-0005-0000-0000-0000203C0000}"/>
    <cellStyle name="40% - Accent4 2 2 2 6 2 2" xfId="26580" xr:uid="{00000000-0005-0000-0000-0000213C0000}"/>
    <cellStyle name="40% - Accent4 2 2 2 6 3" xfId="21209" xr:uid="{00000000-0005-0000-0000-0000223C0000}"/>
    <cellStyle name="40% - Accent4 2 2 2 7" xfId="3884" xr:uid="{00000000-0005-0000-0000-0000233C0000}"/>
    <cellStyle name="40% - Accent4 2 2 2 7 2" xfId="13620" xr:uid="{00000000-0005-0000-0000-0000243C0000}"/>
    <cellStyle name="40% - Accent4 2 2 2 7 2 2" xfId="27169" xr:uid="{00000000-0005-0000-0000-0000253C0000}"/>
    <cellStyle name="40% - Accent4 2 2 2 7 3" xfId="21210" xr:uid="{00000000-0005-0000-0000-0000263C0000}"/>
    <cellStyle name="40% - Accent4 2 2 2 8" xfId="3885" xr:uid="{00000000-0005-0000-0000-0000273C0000}"/>
    <cellStyle name="40% - Accent4 2 2 2 8 2" xfId="14201" xr:uid="{00000000-0005-0000-0000-0000283C0000}"/>
    <cellStyle name="40% - Accent4 2 2 2 8 2 2" xfId="27750" xr:uid="{00000000-0005-0000-0000-0000293C0000}"/>
    <cellStyle name="40% - Accent4 2 2 2 8 3" xfId="21211" xr:uid="{00000000-0005-0000-0000-00002A3C0000}"/>
    <cellStyle name="40% - Accent4 2 2 2 9" xfId="3886" xr:uid="{00000000-0005-0000-0000-00002B3C0000}"/>
    <cellStyle name="40% - Accent4 2 2 2 9 2" xfId="15276" xr:uid="{00000000-0005-0000-0000-00002C3C0000}"/>
    <cellStyle name="40% - Accent4 2 2 2 9 2 2" xfId="28825" xr:uid="{00000000-0005-0000-0000-00002D3C0000}"/>
    <cellStyle name="40% - Accent4 2 2 2 9 3" xfId="21212" xr:uid="{00000000-0005-0000-0000-00002E3C0000}"/>
    <cellStyle name="40% - Accent4 2 2 3" xfId="3887" xr:uid="{00000000-0005-0000-0000-00002F3C0000}"/>
    <cellStyle name="40% - Accent4 2 2 3 10" xfId="9370" xr:uid="{00000000-0005-0000-0000-0000303C0000}"/>
    <cellStyle name="40% - Accent4 2 2 3 10 2" xfId="23845" xr:uid="{00000000-0005-0000-0000-0000313C0000}"/>
    <cellStyle name="40% - Accent4 2 2 3 11" xfId="21213" xr:uid="{00000000-0005-0000-0000-0000323C0000}"/>
    <cellStyle name="40% - Accent4 2 2 3 2" xfId="3888" xr:uid="{00000000-0005-0000-0000-0000333C0000}"/>
    <cellStyle name="40% - Accent4 2 2 3 2 2" xfId="3889" xr:uid="{00000000-0005-0000-0000-0000343C0000}"/>
    <cellStyle name="40% - Accent4 2 2 3 2 2 2" xfId="11098" xr:uid="{00000000-0005-0000-0000-0000353C0000}"/>
    <cellStyle name="40% - Accent4 2 2 3 2 2 2 2" xfId="25040" xr:uid="{00000000-0005-0000-0000-0000363C0000}"/>
    <cellStyle name="40% - Accent4 2 2 3 2 2 3" xfId="21215" xr:uid="{00000000-0005-0000-0000-0000373C0000}"/>
    <cellStyle name="40% - Accent4 2 2 3 2 3" xfId="3890" xr:uid="{00000000-0005-0000-0000-0000383C0000}"/>
    <cellStyle name="40% - Accent4 2 2 3 2 3 2" xfId="12873" xr:uid="{00000000-0005-0000-0000-0000393C0000}"/>
    <cellStyle name="40% - Accent4 2 2 3 2 3 2 2" xfId="26585" xr:uid="{00000000-0005-0000-0000-00003A3C0000}"/>
    <cellStyle name="40% - Accent4 2 2 3 2 3 3" xfId="21216" xr:uid="{00000000-0005-0000-0000-00003B3C0000}"/>
    <cellStyle name="40% - Accent4 2 2 3 2 4" xfId="3891" xr:uid="{00000000-0005-0000-0000-00003C3C0000}"/>
    <cellStyle name="40% - Accent4 2 2 3 2 4 2" xfId="15283" xr:uid="{00000000-0005-0000-0000-00003D3C0000}"/>
    <cellStyle name="40% - Accent4 2 2 3 2 4 2 2" xfId="28832" xr:uid="{00000000-0005-0000-0000-00003E3C0000}"/>
    <cellStyle name="40% - Accent4 2 2 3 2 4 3" xfId="21217" xr:uid="{00000000-0005-0000-0000-00003F3C0000}"/>
    <cellStyle name="40% - Accent4 2 2 3 2 5" xfId="3892" xr:uid="{00000000-0005-0000-0000-0000403C0000}"/>
    <cellStyle name="40% - Accent4 2 2 3 2 5 2" xfId="16814" xr:uid="{00000000-0005-0000-0000-0000413C0000}"/>
    <cellStyle name="40% - Accent4 2 2 3 2 5 2 2" xfId="30221" xr:uid="{00000000-0005-0000-0000-0000423C0000}"/>
    <cellStyle name="40% - Accent4 2 2 3 2 5 3" xfId="21218" xr:uid="{00000000-0005-0000-0000-0000433C0000}"/>
    <cellStyle name="40% - Accent4 2 2 3 2 6" xfId="9371" xr:uid="{00000000-0005-0000-0000-0000443C0000}"/>
    <cellStyle name="40% - Accent4 2 2 3 2 6 2" xfId="23846" xr:uid="{00000000-0005-0000-0000-0000453C0000}"/>
    <cellStyle name="40% - Accent4 2 2 3 2 7" xfId="21214" xr:uid="{00000000-0005-0000-0000-0000463C0000}"/>
    <cellStyle name="40% - Accent4 2 2 3 3" xfId="3893" xr:uid="{00000000-0005-0000-0000-0000473C0000}"/>
    <cellStyle name="40% - Accent4 2 2 3 3 2" xfId="3894" xr:uid="{00000000-0005-0000-0000-0000483C0000}"/>
    <cellStyle name="40% - Accent4 2 2 3 3 2 2" xfId="15284" xr:uid="{00000000-0005-0000-0000-0000493C0000}"/>
    <cellStyle name="40% - Accent4 2 2 3 3 2 2 2" xfId="28833" xr:uid="{00000000-0005-0000-0000-00004A3C0000}"/>
    <cellStyle name="40% - Accent4 2 2 3 3 2 3" xfId="21220" xr:uid="{00000000-0005-0000-0000-00004B3C0000}"/>
    <cellStyle name="40% - Accent4 2 2 3 3 3" xfId="11097" xr:uid="{00000000-0005-0000-0000-00004C3C0000}"/>
    <cellStyle name="40% - Accent4 2 2 3 3 3 2" xfId="25039" xr:uid="{00000000-0005-0000-0000-00004D3C0000}"/>
    <cellStyle name="40% - Accent4 2 2 3 3 4" xfId="21219" xr:uid="{00000000-0005-0000-0000-00004E3C0000}"/>
    <cellStyle name="40% - Accent4 2 2 3 4" xfId="3895" xr:uid="{00000000-0005-0000-0000-00004F3C0000}"/>
    <cellStyle name="40% - Accent4 2 2 3 4 2" xfId="12202" xr:uid="{00000000-0005-0000-0000-0000503C0000}"/>
    <cellStyle name="40% - Accent4 2 2 3 4 2 2" xfId="25914" xr:uid="{00000000-0005-0000-0000-0000513C0000}"/>
    <cellStyle name="40% - Accent4 2 2 3 4 3" xfId="21221" xr:uid="{00000000-0005-0000-0000-0000523C0000}"/>
    <cellStyle name="40% - Accent4 2 2 3 5" xfId="3896" xr:uid="{00000000-0005-0000-0000-0000533C0000}"/>
    <cellStyle name="40% - Accent4 2 2 3 5 2" xfId="12872" xr:uid="{00000000-0005-0000-0000-0000543C0000}"/>
    <cellStyle name="40% - Accent4 2 2 3 5 2 2" xfId="26584" xr:uid="{00000000-0005-0000-0000-0000553C0000}"/>
    <cellStyle name="40% - Accent4 2 2 3 5 3" xfId="21222" xr:uid="{00000000-0005-0000-0000-0000563C0000}"/>
    <cellStyle name="40% - Accent4 2 2 3 6" xfId="3897" xr:uid="{00000000-0005-0000-0000-0000573C0000}"/>
    <cellStyle name="40% - Accent4 2 2 3 6 2" xfId="13766" xr:uid="{00000000-0005-0000-0000-0000583C0000}"/>
    <cellStyle name="40% - Accent4 2 2 3 6 2 2" xfId="27315" xr:uid="{00000000-0005-0000-0000-0000593C0000}"/>
    <cellStyle name="40% - Accent4 2 2 3 6 3" xfId="21223" xr:uid="{00000000-0005-0000-0000-00005A3C0000}"/>
    <cellStyle name="40% - Accent4 2 2 3 7" xfId="3898" xr:uid="{00000000-0005-0000-0000-00005B3C0000}"/>
    <cellStyle name="40% - Accent4 2 2 3 7 2" xfId="14347" xr:uid="{00000000-0005-0000-0000-00005C3C0000}"/>
    <cellStyle name="40% - Accent4 2 2 3 7 2 2" xfId="27896" xr:uid="{00000000-0005-0000-0000-00005D3C0000}"/>
    <cellStyle name="40% - Accent4 2 2 3 7 3" xfId="21224" xr:uid="{00000000-0005-0000-0000-00005E3C0000}"/>
    <cellStyle name="40% - Accent4 2 2 3 8" xfId="3899" xr:uid="{00000000-0005-0000-0000-00005F3C0000}"/>
    <cellStyle name="40% - Accent4 2 2 3 8 2" xfId="15282" xr:uid="{00000000-0005-0000-0000-0000603C0000}"/>
    <cellStyle name="40% - Accent4 2 2 3 8 2 2" xfId="28831" xr:uid="{00000000-0005-0000-0000-0000613C0000}"/>
    <cellStyle name="40% - Accent4 2 2 3 8 3" xfId="21225" xr:uid="{00000000-0005-0000-0000-0000623C0000}"/>
    <cellStyle name="40% - Accent4 2 2 3 9" xfId="3900" xr:uid="{00000000-0005-0000-0000-0000633C0000}"/>
    <cellStyle name="40% - Accent4 2 2 3 9 2" xfId="16233" xr:uid="{00000000-0005-0000-0000-0000643C0000}"/>
    <cellStyle name="40% - Accent4 2 2 3 9 2 2" xfId="29640" xr:uid="{00000000-0005-0000-0000-0000653C0000}"/>
    <cellStyle name="40% - Accent4 2 2 3 9 3" xfId="21226" xr:uid="{00000000-0005-0000-0000-0000663C0000}"/>
    <cellStyle name="40% - Accent4 2 2 4" xfId="3901" xr:uid="{00000000-0005-0000-0000-0000673C0000}"/>
    <cellStyle name="40% - Accent4 2 2 4 2" xfId="3902" xr:uid="{00000000-0005-0000-0000-0000683C0000}"/>
    <cellStyle name="40% - Accent4 2 2 4 2 2" xfId="11099" xr:uid="{00000000-0005-0000-0000-0000693C0000}"/>
    <cellStyle name="40% - Accent4 2 2 4 2 2 2" xfId="25041" xr:uid="{00000000-0005-0000-0000-00006A3C0000}"/>
    <cellStyle name="40% - Accent4 2 2 4 2 3" xfId="21228" xr:uid="{00000000-0005-0000-0000-00006B3C0000}"/>
    <cellStyle name="40% - Accent4 2 2 4 3" xfId="3903" xr:uid="{00000000-0005-0000-0000-00006C3C0000}"/>
    <cellStyle name="40% - Accent4 2 2 4 3 2" xfId="12874" xr:uid="{00000000-0005-0000-0000-00006D3C0000}"/>
    <cellStyle name="40% - Accent4 2 2 4 3 2 2" xfId="26586" xr:uid="{00000000-0005-0000-0000-00006E3C0000}"/>
    <cellStyle name="40% - Accent4 2 2 4 3 3" xfId="21229" xr:uid="{00000000-0005-0000-0000-00006F3C0000}"/>
    <cellStyle name="40% - Accent4 2 2 4 4" xfId="3904" xr:uid="{00000000-0005-0000-0000-0000703C0000}"/>
    <cellStyle name="40% - Accent4 2 2 4 4 2" xfId="15285" xr:uid="{00000000-0005-0000-0000-0000713C0000}"/>
    <cellStyle name="40% - Accent4 2 2 4 4 2 2" xfId="28834" xr:uid="{00000000-0005-0000-0000-0000723C0000}"/>
    <cellStyle name="40% - Accent4 2 2 4 4 3" xfId="21230" xr:uid="{00000000-0005-0000-0000-0000733C0000}"/>
    <cellStyle name="40% - Accent4 2 2 4 5" xfId="3905" xr:uid="{00000000-0005-0000-0000-0000743C0000}"/>
    <cellStyle name="40% - Accent4 2 2 4 5 2" xfId="17161" xr:uid="{00000000-0005-0000-0000-0000753C0000}"/>
    <cellStyle name="40% - Accent4 2 2 4 5 2 2" xfId="30520" xr:uid="{00000000-0005-0000-0000-0000763C0000}"/>
    <cellStyle name="40% - Accent4 2 2 4 5 3" xfId="21231" xr:uid="{00000000-0005-0000-0000-0000773C0000}"/>
    <cellStyle name="40% - Accent4 2 2 4 6" xfId="9372" xr:uid="{00000000-0005-0000-0000-0000783C0000}"/>
    <cellStyle name="40% - Accent4 2 2 4 6 2" xfId="23847" xr:uid="{00000000-0005-0000-0000-0000793C0000}"/>
    <cellStyle name="40% - Accent4 2 2 4 7" xfId="21227" xr:uid="{00000000-0005-0000-0000-00007A3C0000}"/>
    <cellStyle name="40% - Accent4 2 2 5" xfId="3906" xr:uid="{00000000-0005-0000-0000-00007B3C0000}"/>
    <cellStyle name="40% - Accent4 2 2 5 2" xfId="3907" xr:uid="{00000000-0005-0000-0000-00007C3C0000}"/>
    <cellStyle name="40% - Accent4 2 2 5 2 2" xfId="15286" xr:uid="{00000000-0005-0000-0000-00007D3C0000}"/>
    <cellStyle name="40% - Accent4 2 2 5 2 2 2" xfId="28835" xr:uid="{00000000-0005-0000-0000-00007E3C0000}"/>
    <cellStyle name="40% - Accent4 2 2 5 2 3" xfId="21233" xr:uid="{00000000-0005-0000-0000-00007F3C0000}"/>
    <cellStyle name="40% - Accent4 2 2 5 3" xfId="3908" xr:uid="{00000000-0005-0000-0000-0000803C0000}"/>
    <cellStyle name="40% - Accent4 2 2 5 3 2" xfId="17250" xr:uid="{00000000-0005-0000-0000-0000813C0000}"/>
    <cellStyle name="40% - Accent4 2 2 5 3 2 2" xfId="30609" xr:uid="{00000000-0005-0000-0000-0000823C0000}"/>
    <cellStyle name="40% - Accent4 2 2 5 3 3" xfId="21234" xr:uid="{00000000-0005-0000-0000-0000833C0000}"/>
    <cellStyle name="40% - Accent4 2 2 5 4" xfId="11092" xr:uid="{00000000-0005-0000-0000-0000843C0000}"/>
    <cellStyle name="40% - Accent4 2 2 5 4 2" xfId="25034" xr:uid="{00000000-0005-0000-0000-0000853C0000}"/>
    <cellStyle name="40% - Accent4 2 2 5 5" xfId="21232" xr:uid="{00000000-0005-0000-0000-0000863C0000}"/>
    <cellStyle name="40% - Accent4 2 2 6" xfId="3909" xr:uid="{00000000-0005-0000-0000-0000873C0000}"/>
    <cellStyle name="40% - Accent4 2 2 6 2" xfId="3910" xr:uid="{00000000-0005-0000-0000-0000883C0000}"/>
    <cellStyle name="40% - Accent4 2 2 6 2 2" xfId="16525" xr:uid="{00000000-0005-0000-0000-0000893C0000}"/>
    <cellStyle name="40% - Accent4 2 2 6 2 2 2" xfId="29932" xr:uid="{00000000-0005-0000-0000-00008A3C0000}"/>
    <cellStyle name="40% - Accent4 2 2 6 2 3" xfId="21236" xr:uid="{00000000-0005-0000-0000-00008B3C0000}"/>
    <cellStyle name="40% - Accent4 2 2 6 3" xfId="11900" xr:uid="{00000000-0005-0000-0000-00008C3C0000}"/>
    <cellStyle name="40% - Accent4 2 2 6 3 2" xfId="25615" xr:uid="{00000000-0005-0000-0000-00008D3C0000}"/>
    <cellStyle name="40% - Accent4 2 2 6 4" xfId="21235" xr:uid="{00000000-0005-0000-0000-00008E3C0000}"/>
    <cellStyle name="40% - Accent4 2 2 7" xfId="3911" xr:uid="{00000000-0005-0000-0000-00008F3C0000}"/>
    <cellStyle name="40% - Accent4 2 2 7 2" xfId="12867" xr:uid="{00000000-0005-0000-0000-0000903C0000}"/>
    <cellStyle name="40% - Accent4 2 2 7 2 2" xfId="26579" xr:uid="{00000000-0005-0000-0000-0000913C0000}"/>
    <cellStyle name="40% - Accent4 2 2 7 3" xfId="21237" xr:uid="{00000000-0005-0000-0000-0000923C0000}"/>
    <cellStyle name="40% - Accent4 2 2 8" xfId="3912" xr:uid="{00000000-0005-0000-0000-0000933C0000}"/>
    <cellStyle name="40% - Accent4 2 2 8 2" xfId="13477" xr:uid="{00000000-0005-0000-0000-0000943C0000}"/>
    <cellStyle name="40% - Accent4 2 2 8 2 2" xfId="27026" xr:uid="{00000000-0005-0000-0000-0000953C0000}"/>
    <cellStyle name="40% - Accent4 2 2 8 3" xfId="21238" xr:uid="{00000000-0005-0000-0000-0000963C0000}"/>
    <cellStyle name="40% - Accent4 2 2 9" xfId="3913" xr:uid="{00000000-0005-0000-0000-0000973C0000}"/>
    <cellStyle name="40% - Accent4 2 2 9 2" xfId="14058" xr:uid="{00000000-0005-0000-0000-0000983C0000}"/>
    <cellStyle name="40% - Accent4 2 2 9 2 2" xfId="27607" xr:uid="{00000000-0005-0000-0000-0000993C0000}"/>
    <cellStyle name="40% - Accent4 2 2 9 3" xfId="21239" xr:uid="{00000000-0005-0000-0000-00009A3C0000}"/>
    <cellStyle name="40% - Accent4 2 3" xfId="3914" xr:uid="{00000000-0005-0000-0000-00009B3C0000}"/>
    <cellStyle name="40% - Accent4 2 3 10" xfId="3915" xr:uid="{00000000-0005-0000-0000-00009C3C0000}"/>
    <cellStyle name="40% - Accent4 2 3 10 2" xfId="16041" xr:uid="{00000000-0005-0000-0000-00009D3C0000}"/>
    <cellStyle name="40% - Accent4 2 3 10 2 2" xfId="29448" xr:uid="{00000000-0005-0000-0000-00009E3C0000}"/>
    <cellStyle name="40% - Accent4 2 3 10 3" xfId="21241" xr:uid="{00000000-0005-0000-0000-00009F3C0000}"/>
    <cellStyle name="40% - Accent4 2 3 11" xfId="9373" xr:uid="{00000000-0005-0000-0000-0000A03C0000}"/>
    <cellStyle name="40% - Accent4 2 3 11 2" xfId="23848" xr:uid="{00000000-0005-0000-0000-0000A13C0000}"/>
    <cellStyle name="40% - Accent4 2 3 12" xfId="21240" xr:uid="{00000000-0005-0000-0000-0000A23C0000}"/>
    <cellStyle name="40% - Accent4 2 3 2" xfId="3916" xr:uid="{00000000-0005-0000-0000-0000A33C0000}"/>
    <cellStyle name="40% - Accent4 2 3 2 10" xfId="9374" xr:uid="{00000000-0005-0000-0000-0000A43C0000}"/>
    <cellStyle name="40% - Accent4 2 3 2 10 2" xfId="23849" xr:uid="{00000000-0005-0000-0000-0000A53C0000}"/>
    <cellStyle name="40% - Accent4 2 3 2 11" xfId="21242" xr:uid="{00000000-0005-0000-0000-0000A63C0000}"/>
    <cellStyle name="40% - Accent4 2 3 2 2" xfId="3917" xr:uid="{00000000-0005-0000-0000-0000A73C0000}"/>
    <cellStyle name="40% - Accent4 2 3 2 2 2" xfId="3918" xr:uid="{00000000-0005-0000-0000-0000A83C0000}"/>
    <cellStyle name="40% - Accent4 2 3 2 2 2 2" xfId="11102" xr:uid="{00000000-0005-0000-0000-0000A93C0000}"/>
    <cellStyle name="40% - Accent4 2 3 2 2 2 2 2" xfId="25044" xr:uid="{00000000-0005-0000-0000-0000AA3C0000}"/>
    <cellStyle name="40% - Accent4 2 3 2 2 2 3" xfId="21244" xr:uid="{00000000-0005-0000-0000-0000AB3C0000}"/>
    <cellStyle name="40% - Accent4 2 3 2 2 3" xfId="3919" xr:uid="{00000000-0005-0000-0000-0000AC3C0000}"/>
    <cellStyle name="40% - Accent4 2 3 2 2 3 2" xfId="12877" xr:uid="{00000000-0005-0000-0000-0000AD3C0000}"/>
    <cellStyle name="40% - Accent4 2 3 2 2 3 2 2" xfId="26589" xr:uid="{00000000-0005-0000-0000-0000AE3C0000}"/>
    <cellStyle name="40% - Accent4 2 3 2 2 3 3" xfId="21245" xr:uid="{00000000-0005-0000-0000-0000AF3C0000}"/>
    <cellStyle name="40% - Accent4 2 3 2 2 4" xfId="3920" xr:uid="{00000000-0005-0000-0000-0000B03C0000}"/>
    <cellStyle name="40% - Accent4 2 3 2 2 4 2" xfId="15289" xr:uid="{00000000-0005-0000-0000-0000B13C0000}"/>
    <cellStyle name="40% - Accent4 2 3 2 2 4 2 2" xfId="28838" xr:uid="{00000000-0005-0000-0000-0000B23C0000}"/>
    <cellStyle name="40% - Accent4 2 3 2 2 4 3" xfId="21246" xr:uid="{00000000-0005-0000-0000-0000B33C0000}"/>
    <cellStyle name="40% - Accent4 2 3 2 2 5" xfId="3921" xr:uid="{00000000-0005-0000-0000-0000B43C0000}"/>
    <cellStyle name="40% - Accent4 2 3 2 2 5 2" xfId="16911" xr:uid="{00000000-0005-0000-0000-0000B53C0000}"/>
    <cellStyle name="40% - Accent4 2 3 2 2 5 2 2" xfId="30318" xr:uid="{00000000-0005-0000-0000-0000B63C0000}"/>
    <cellStyle name="40% - Accent4 2 3 2 2 5 3" xfId="21247" xr:uid="{00000000-0005-0000-0000-0000B73C0000}"/>
    <cellStyle name="40% - Accent4 2 3 2 2 6" xfId="9375" xr:uid="{00000000-0005-0000-0000-0000B83C0000}"/>
    <cellStyle name="40% - Accent4 2 3 2 2 6 2" xfId="23850" xr:uid="{00000000-0005-0000-0000-0000B93C0000}"/>
    <cellStyle name="40% - Accent4 2 3 2 2 7" xfId="21243" xr:uid="{00000000-0005-0000-0000-0000BA3C0000}"/>
    <cellStyle name="40% - Accent4 2 3 2 3" xfId="3922" xr:uid="{00000000-0005-0000-0000-0000BB3C0000}"/>
    <cellStyle name="40% - Accent4 2 3 2 3 2" xfId="3923" xr:uid="{00000000-0005-0000-0000-0000BC3C0000}"/>
    <cellStyle name="40% - Accent4 2 3 2 3 2 2" xfId="15290" xr:uid="{00000000-0005-0000-0000-0000BD3C0000}"/>
    <cellStyle name="40% - Accent4 2 3 2 3 2 2 2" xfId="28839" xr:uid="{00000000-0005-0000-0000-0000BE3C0000}"/>
    <cellStyle name="40% - Accent4 2 3 2 3 2 3" xfId="21249" xr:uid="{00000000-0005-0000-0000-0000BF3C0000}"/>
    <cellStyle name="40% - Accent4 2 3 2 3 3" xfId="11101" xr:uid="{00000000-0005-0000-0000-0000C03C0000}"/>
    <cellStyle name="40% - Accent4 2 3 2 3 3 2" xfId="25043" xr:uid="{00000000-0005-0000-0000-0000C13C0000}"/>
    <cellStyle name="40% - Accent4 2 3 2 3 4" xfId="21248" xr:uid="{00000000-0005-0000-0000-0000C23C0000}"/>
    <cellStyle name="40% - Accent4 2 3 2 4" xfId="3924" xr:uid="{00000000-0005-0000-0000-0000C33C0000}"/>
    <cellStyle name="40% - Accent4 2 3 2 4 2" xfId="12299" xr:uid="{00000000-0005-0000-0000-0000C43C0000}"/>
    <cellStyle name="40% - Accent4 2 3 2 4 2 2" xfId="26011" xr:uid="{00000000-0005-0000-0000-0000C53C0000}"/>
    <cellStyle name="40% - Accent4 2 3 2 4 3" xfId="21250" xr:uid="{00000000-0005-0000-0000-0000C63C0000}"/>
    <cellStyle name="40% - Accent4 2 3 2 5" xfId="3925" xr:uid="{00000000-0005-0000-0000-0000C73C0000}"/>
    <cellStyle name="40% - Accent4 2 3 2 5 2" xfId="12876" xr:uid="{00000000-0005-0000-0000-0000C83C0000}"/>
    <cellStyle name="40% - Accent4 2 3 2 5 2 2" xfId="26588" xr:uid="{00000000-0005-0000-0000-0000C93C0000}"/>
    <cellStyle name="40% - Accent4 2 3 2 5 3" xfId="21251" xr:uid="{00000000-0005-0000-0000-0000CA3C0000}"/>
    <cellStyle name="40% - Accent4 2 3 2 6" xfId="3926" xr:uid="{00000000-0005-0000-0000-0000CB3C0000}"/>
    <cellStyle name="40% - Accent4 2 3 2 6 2" xfId="13863" xr:uid="{00000000-0005-0000-0000-0000CC3C0000}"/>
    <cellStyle name="40% - Accent4 2 3 2 6 2 2" xfId="27412" xr:uid="{00000000-0005-0000-0000-0000CD3C0000}"/>
    <cellStyle name="40% - Accent4 2 3 2 6 3" xfId="21252" xr:uid="{00000000-0005-0000-0000-0000CE3C0000}"/>
    <cellStyle name="40% - Accent4 2 3 2 7" xfId="3927" xr:uid="{00000000-0005-0000-0000-0000CF3C0000}"/>
    <cellStyle name="40% - Accent4 2 3 2 7 2" xfId="14444" xr:uid="{00000000-0005-0000-0000-0000D03C0000}"/>
    <cellStyle name="40% - Accent4 2 3 2 7 2 2" xfId="27993" xr:uid="{00000000-0005-0000-0000-0000D13C0000}"/>
    <cellStyle name="40% - Accent4 2 3 2 7 3" xfId="21253" xr:uid="{00000000-0005-0000-0000-0000D23C0000}"/>
    <cellStyle name="40% - Accent4 2 3 2 8" xfId="3928" xr:uid="{00000000-0005-0000-0000-0000D33C0000}"/>
    <cellStyle name="40% - Accent4 2 3 2 8 2" xfId="15288" xr:uid="{00000000-0005-0000-0000-0000D43C0000}"/>
    <cellStyle name="40% - Accent4 2 3 2 8 2 2" xfId="28837" xr:uid="{00000000-0005-0000-0000-0000D53C0000}"/>
    <cellStyle name="40% - Accent4 2 3 2 8 3" xfId="21254" xr:uid="{00000000-0005-0000-0000-0000D63C0000}"/>
    <cellStyle name="40% - Accent4 2 3 2 9" xfId="3929" xr:uid="{00000000-0005-0000-0000-0000D73C0000}"/>
    <cellStyle name="40% - Accent4 2 3 2 9 2" xfId="16330" xr:uid="{00000000-0005-0000-0000-0000D83C0000}"/>
    <cellStyle name="40% - Accent4 2 3 2 9 2 2" xfId="29737" xr:uid="{00000000-0005-0000-0000-0000D93C0000}"/>
    <cellStyle name="40% - Accent4 2 3 2 9 3" xfId="21255" xr:uid="{00000000-0005-0000-0000-0000DA3C0000}"/>
    <cellStyle name="40% - Accent4 2 3 3" xfId="3930" xr:uid="{00000000-0005-0000-0000-0000DB3C0000}"/>
    <cellStyle name="40% - Accent4 2 3 3 2" xfId="3931" xr:uid="{00000000-0005-0000-0000-0000DC3C0000}"/>
    <cellStyle name="40% - Accent4 2 3 3 2 2" xfId="11103" xr:uid="{00000000-0005-0000-0000-0000DD3C0000}"/>
    <cellStyle name="40% - Accent4 2 3 3 2 2 2" xfId="25045" xr:uid="{00000000-0005-0000-0000-0000DE3C0000}"/>
    <cellStyle name="40% - Accent4 2 3 3 2 3" xfId="21257" xr:uid="{00000000-0005-0000-0000-0000DF3C0000}"/>
    <cellStyle name="40% - Accent4 2 3 3 3" xfId="3932" xr:uid="{00000000-0005-0000-0000-0000E03C0000}"/>
    <cellStyle name="40% - Accent4 2 3 3 3 2" xfId="12878" xr:uid="{00000000-0005-0000-0000-0000E13C0000}"/>
    <cellStyle name="40% - Accent4 2 3 3 3 2 2" xfId="26590" xr:uid="{00000000-0005-0000-0000-0000E23C0000}"/>
    <cellStyle name="40% - Accent4 2 3 3 3 3" xfId="21258" xr:uid="{00000000-0005-0000-0000-0000E33C0000}"/>
    <cellStyle name="40% - Accent4 2 3 3 4" xfId="3933" xr:uid="{00000000-0005-0000-0000-0000E43C0000}"/>
    <cellStyle name="40% - Accent4 2 3 3 4 2" xfId="15291" xr:uid="{00000000-0005-0000-0000-0000E53C0000}"/>
    <cellStyle name="40% - Accent4 2 3 3 4 2 2" xfId="28840" xr:uid="{00000000-0005-0000-0000-0000E63C0000}"/>
    <cellStyle name="40% - Accent4 2 3 3 4 3" xfId="21259" xr:uid="{00000000-0005-0000-0000-0000E73C0000}"/>
    <cellStyle name="40% - Accent4 2 3 3 5" xfId="3934" xr:uid="{00000000-0005-0000-0000-0000E83C0000}"/>
    <cellStyle name="40% - Accent4 2 3 3 5 2" xfId="16622" xr:uid="{00000000-0005-0000-0000-0000E93C0000}"/>
    <cellStyle name="40% - Accent4 2 3 3 5 2 2" xfId="30029" xr:uid="{00000000-0005-0000-0000-0000EA3C0000}"/>
    <cellStyle name="40% - Accent4 2 3 3 5 3" xfId="21260" xr:uid="{00000000-0005-0000-0000-0000EB3C0000}"/>
    <cellStyle name="40% - Accent4 2 3 3 6" xfId="9376" xr:uid="{00000000-0005-0000-0000-0000EC3C0000}"/>
    <cellStyle name="40% - Accent4 2 3 3 6 2" xfId="23851" xr:uid="{00000000-0005-0000-0000-0000ED3C0000}"/>
    <cellStyle name="40% - Accent4 2 3 3 7" xfId="21256" xr:uid="{00000000-0005-0000-0000-0000EE3C0000}"/>
    <cellStyle name="40% - Accent4 2 3 4" xfId="3935" xr:uid="{00000000-0005-0000-0000-0000EF3C0000}"/>
    <cellStyle name="40% - Accent4 2 3 4 2" xfId="3936" xr:uid="{00000000-0005-0000-0000-0000F03C0000}"/>
    <cellStyle name="40% - Accent4 2 3 4 2 2" xfId="15292" xr:uid="{00000000-0005-0000-0000-0000F13C0000}"/>
    <cellStyle name="40% - Accent4 2 3 4 2 2 2" xfId="28841" xr:uid="{00000000-0005-0000-0000-0000F23C0000}"/>
    <cellStyle name="40% - Accent4 2 3 4 2 3" xfId="21262" xr:uid="{00000000-0005-0000-0000-0000F33C0000}"/>
    <cellStyle name="40% - Accent4 2 3 4 3" xfId="11100" xr:uid="{00000000-0005-0000-0000-0000F43C0000}"/>
    <cellStyle name="40% - Accent4 2 3 4 3 2" xfId="25042" xr:uid="{00000000-0005-0000-0000-0000F53C0000}"/>
    <cellStyle name="40% - Accent4 2 3 4 4" xfId="21261" xr:uid="{00000000-0005-0000-0000-0000F63C0000}"/>
    <cellStyle name="40% - Accent4 2 3 5" xfId="3937" xr:uid="{00000000-0005-0000-0000-0000F73C0000}"/>
    <cellStyle name="40% - Accent4 2 3 5 2" xfId="11999" xr:uid="{00000000-0005-0000-0000-0000F83C0000}"/>
    <cellStyle name="40% - Accent4 2 3 5 2 2" xfId="25714" xr:uid="{00000000-0005-0000-0000-0000F93C0000}"/>
    <cellStyle name="40% - Accent4 2 3 5 3" xfId="21263" xr:uid="{00000000-0005-0000-0000-0000FA3C0000}"/>
    <cellStyle name="40% - Accent4 2 3 6" xfId="3938" xr:uid="{00000000-0005-0000-0000-0000FB3C0000}"/>
    <cellStyle name="40% - Accent4 2 3 6 2" xfId="12875" xr:uid="{00000000-0005-0000-0000-0000FC3C0000}"/>
    <cellStyle name="40% - Accent4 2 3 6 2 2" xfId="26587" xr:uid="{00000000-0005-0000-0000-0000FD3C0000}"/>
    <cellStyle name="40% - Accent4 2 3 6 3" xfId="21264" xr:uid="{00000000-0005-0000-0000-0000FE3C0000}"/>
    <cellStyle name="40% - Accent4 2 3 7" xfId="3939" xr:uid="{00000000-0005-0000-0000-0000FF3C0000}"/>
    <cellStyle name="40% - Accent4 2 3 7 2" xfId="13574" xr:uid="{00000000-0005-0000-0000-0000003D0000}"/>
    <cellStyle name="40% - Accent4 2 3 7 2 2" xfId="27123" xr:uid="{00000000-0005-0000-0000-0000013D0000}"/>
    <cellStyle name="40% - Accent4 2 3 7 3" xfId="21265" xr:uid="{00000000-0005-0000-0000-0000023D0000}"/>
    <cellStyle name="40% - Accent4 2 3 8" xfId="3940" xr:uid="{00000000-0005-0000-0000-0000033D0000}"/>
    <cellStyle name="40% - Accent4 2 3 8 2" xfId="14155" xr:uid="{00000000-0005-0000-0000-0000043D0000}"/>
    <cellStyle name="40% - Accent4 2 3 8 2 2" xfId="27704" xr:uid="{00000000-0005-0000-0000-0000053D0000}"/>
    <cellStyle name="40% - Accent4 2 3 8 3" xfId="21266" xr:uid="{00000000-0005-0000-0000-0000063D0000}"/>
    <cellStyle name="40% - Accent4 2 3 9" xfId="3941" xr:uid="{00000000-0005-0000-0000-0000073D0000}"/>
    <cellStyle name="40% - Accent4 2 3 9 2" xfId="15287" xr:uid="{00000000-0005-0000-0000-0000083D0000}"/>
    <cellStyle name="40% - Accent4 2 3 9 2 2" xfId="28836" xr:uid="{00000000-0005-0000-0000-0000093D0000}"/>
    <cellStyle name="40% - Accent4 2 3 9 3" xfId="21267" xr:uid="{00000000-0005-0000-0000-00000A3D0000}"/>
    <cellStyle name="40% - Accent4 2 4" xfId="3942" xr:uid="{00000000-0005-0000-0000-00000B3D0000}"/>
    <cellStyle name="40% - Accent4 2 4 10" xfId="9377" xr:uid="{00000000-0005-0000-0000-00000C3D0000}"/>
    <cellStyle name="40% - Accent4 2 4 10 2" xfId="23852" xr:uid="{00000000-0005-0000-0000-00000D3D0000}"/>
    <cellStyle name="40% - Accent4 2 4 11" xfId="21268" xr:uid="{00000000-0005-0000-0000-00000E3D0000}"/>
    <cellStyle name="40% - Accent4 2 4 2" xfId="3943" xr:uid="{00000000-0005-0000-0000-00000F3D0000}"/>
    <cellStyle name="40% - Accent4 2 4 2 2" xfId="3944" xr:uid="{00000000-0005-0000-0000-0000103D0000}"/>
    <cellStyle name="40% - Accent4 2 4 2 2 2" xfId="11105" xr:uid="{00000000-0005-0000-0000-0000113D0000}"/>
    <cellStyle name="40% - Accent4 2 4 2 2 2 2" xfId="25047" xr:uid="{00000000-0005-0000-0000-0000123D0000}"/>
    <cellStyle name="40% - Accent4 2 4 2 2 3" xfId="21270" xr:uid="{00000000-0005-0000-0000-0000133D0000}"/>
    <cellStyle name="40% - Accent4 2 4 2 3" xfId="3945" xr:uid="{00000000-0005-0000-0000-0000143D0000}"/>
    <cellStyle name="40% - Accent4 2 4 2 3 2" xfId="12880" xr:uid="{00000000-0005-0000-0000-0000153D0000}"/>
    <cellStyle name="40% - Accent4 2 4 2 3 2 2" xfId="26592" xr:uid="{00000000-0005-0000-0000-0000163D0000}"/>
    <cellStyle name="40% - Accent4 2 4 2 3 3" xfId="21271" xr:uid="{00000000-0005-0000-0000-0000173D0000}"/>
    <cellStyle name="40% - Accent4 2 4 2 4" xfId="3946" xr:uid="{00000000-0005-0000-0000-0000183D0000}"/>
    <cellStyle name="40% - Accent4 2 4 2 4 2" xfId="15294" xr:uid="{00000000-0005-0000-0000-0000193D0000}"/>
    <cellStyle name="40% - Accent4 2 4 2 4 2 2" xfId="28843" xr:uid="{00000000-0005-0000-0000-00001A3D0000}"/>
    <cellStyle name="40% - Accent4 2 4 2 4 3" xfId="21272" xr:uid="{00000000-0005-0000-0000-00001B3D0000}"/>
    <cellStyle name="40% - Accent4 2 4 2 5" xfId="3947" xr:uid="{00000000-0005-0000-0000-00001C3D0000}"/>
    <cellStyle name="40% - Accent4 2 4 2 5 2" xfId="16768" xr:uid="{00000000-0005-0000-0000-00001D3D0000}"/>
    <cellStyle name="40% - Accent4 2 4 2 5 2 2" xfId="30175" xr:uid="{00000000-0005-0000-0000-00001E3D0000}"/>
    <cellStyle name="40% - Accent4 2 4 2 5 3" xfId="21273" xr:uid="{00000000-0005-0000-0000-00001F3D0000}"/>
    <cellStyle name="40% - Accent4 2 4 2 6" xfId="9378" xr:uid="{00000000-0005-0000-0000-0000203D0000}"/>
    <cellStyle name="40% - Accent4 2 4 2 6 2" xfId="23853" xr:uid="{00000000-0005-0000-0000-0000213D0000}"/>
    <cellStyle name="40% - Accent4 2 4 2 7" xfId="21269" xr:uid="{00000000-0005-0000-0000-0000223D0000}"/>
    <cellStyle name="40% - Accent4 2 4 3" xfId="3948" xr:uid="{00000000-0005-0000-0000-0000233D0000}"/>
    <cellStyle name="40% - Accent4 2 4 3 2" xfId="3949" xr:uid="{00000000-0005-0000-0000-0000243D0000}"/>
    <cellStyle name="40% - Accent4 2 4 3 2 2" xfId="15295" xr:uid="{00000000-0005-0000-0000-0000253D0000}"/>
    <cellStyle name="40% - Accent4 2 4 3 2 2 2" xfId="28844" xr:uid="{00000000-0005-0000-0000-0000263D0000}"/>
    <cellStyle name="40% - Accent4 2 4 3 2 3" xfId="21275" xr:uid="{00000000-0005-0000-0000-0000273D0000}"/>
    <cellStyle name="40% - Accent4 2 4 3 3" xfId="11104" xr:uid="{00000000-0005-0000-0000-0000283D0000}"/>
    <cellStyle name="40% - Accent4 2 4 3 3 2" xfId="25046" xr:uid="{00000000-0005-0000-0000-0000293D0000}"/>
    <cellStyle name="40% - Accent4 2 4 3 4" xfId="21274" xr:uid="{00000000-0005-0000-0000-00002A3D0000}"/>
    <cellStyle name="40% - Accent4 2 4 4" xfId="3950" xr:uid="{00000000-0005-0000-0000-00002B3D0000}"/>
    <cellStyle name="40% - Accent4 2 4 4 2" xfId="12156" xr:uid="{00000000-0005-0000-0000-00002C3D0000}"/>
    <cellStyle name="40% - Accent4 2 4 4 2 2" xfId="25868" xr:uid="{00000000-0005-0000-0000-00002D3D0000}"/>
    <cellStyle name="40% - Accent4 2 4 4 3" xfId="21276" xr:uid="{00000000-0005-0000-0000-00002E3D0000}"/>
    <cellStyle name="40% - Accent4 2 4 5" xfId="3951" xr:uid="{00000000-0005-0000-0000-00002F3D0000}"/>
    <cellStyle name="40% - Accent4 2 4 5 2" xfId="12879" xr:uid="{00000000-0005-0000-0000-0000303D0000}"/>
    <cellStyle name="40% - Accent4 2 4 5 2 2" xfId="26591" xr:uid="{00000000-0005-0000-0000-0000313D0000}"/>
    <cellStyle name="40% - Accent4 2 4 5 3" xfId="21277" xr:uid="{00000000-0005-0000-0000-0000323D0000}"/>
    <cellStyle name="40% - Accent4 2 4 6" xfId="3952" xr:uid="{00000000-0005-0000-0000-0000333D0000}"/>
    <cellStyle name="40% - Accent4 2 4 6 2" xfId="13720" xr:uid="{00000000-0005-0000-0000-0000343D0000}"/>
    <cellStyle name="40% - Accent4 2 4 6 2 2" xfId="27269" xr:uid="{00000000-0005-0000-0000-0000353D0000}"/>
    <cellStyle name="40% - Accent4 2 4 6 3" xfId="21278" xr:uid="{00000000-0005-0000-0000-0000363D0000}"/>
    <cellStyle name="40% - Accent4 2 4 7" xfId="3953" xr:uid="{00000000-0005-0000-0000-0000373D0000}"/>
    <cellStyle name="40% - Accent4 2 4 7 2" xfId="14301" xr:uid="{00000000-0005-0000-0000-0000383D0000}"/>
    <cellStyle name="40% - Accent4 2 4 7 2 2" xfId="27850" xr:uid="{00000000-0005-0000-0000-0000393D0000}"/>
    <cellStyle name="40% - Accent4 2 4 7 3" xfId="21279" xr:uid="{00000000-0005-0000-0000-00003A3D0000}"/>
    <cellStyle name="40% - Accent4 2 4 8" xfId="3954" xr:uid="{00000000-0005-0000-0000-00003B3D0000}"/>
    <cellStyle name="40% - Accent4 2 4 8 2" xfId="15293" xr:uid="{00000000-0005-0000-0000-00003C3D0000}"/>
    <cellStyle name="40% - Accent4 2 4 8 2 2" xfId="28842" xr:uid="{00000000-0005-0000-0000-00003D3D0000}"/>
    <cellStyle name="40% - Accent4 2 4 8 3" xfId="21280" xr:uid="{00000000-0005-0000-0000-00003E3D0000}"/>
    <cellStyle name="40% - Accent4 2 4 9" xfId="3955" xr:uid="{00000000-0005-0000-0000-00003F3D0000}"/>
    <cellStyle name="40% - Accent4 2 4 9 2" xfId="16187" xr:uid="{00000000-0005-0000-0000-0000403D0000}"/>
    <cellStyle name="40% - Accent4 2 4 9 2 2" xfId="29594" xr:uid="{00000000-0005-0000-0000-0000413D0000}"/>
    <cellStyle name="40% - Accent4 2 4 9 3" xfId="21281" xr:uid="{00000000-0005-0000-0000-0000423D0000}"/>
    <cellStyle name="40% - Accent4 2 5" xfId="3956" xr:uid="{00000000-0005-0000-0000-0000433D0000}"/>
    <cellStyle name="40% - Accent4 2 5 2" xfId="3957" xr:uid="{00000000-0005-0000-0000-0000443D0000}"/>
    <cellStyle name="40% - Accent4 2 5 2 2" xfId="3958" xr:uid="{00000000-0005-0000-0000-0000453D0000}"/>
    <cellStyle name="40% - Accent4 2 5 2 2 2" xfId="11107" xr:uid="{00000000-0005-0000-0000-0000463D0000}"/>
    <cellStyle name="40% - Accent4 2 5 2 2 2 2" xfId="25049" xr:uid="{00000000-0005-0000-0000-0000473D0000}"/>
    <cellStyle name="40% - Accent4 2 5 2 2 3" xfId="21284" xr:uid="{00000000-0005-0000-0000-0000483D0000}"/>
    <cellStyle name="40% - Accent4 2 5 2 3" xfId="3959" xr:uid="{00000000-0005-0000-0000-0000493D0000}"/>
    <cellStyle name="40% - Accent4 2 5 2 3 2" xfId="12882" xr:uid="{00000000-0005-0000-0000-00004A3D0000}"/>
    <cellStyle name="40% - Accent4 2 5 2 3 2 2" xfId="26594" xr:uid="{00000000-0005-0000-0000-00004B3D0000}"/>
    <cellStyle name="40% - Accent4 2 5 2 3 3" xfId="21285" xr:uid="{00000000-0005-0000-0000-00004C3D0000}"/>
    <cellStyle name="40% - Accent4 2 5 2 4" xfId="3960" xr:uid="{00000000-0005-0000-0000-00004D3D0000}"/>
    <cellStyle name="40% - Accent4 2 5 2 4 2" xfId="15297" xr:uid="{00000000-0005-0000-0000-00004E3D0000}"/>
    <cellStyle name="40% - Accent4 2 5 2 4 2 2" xfId="28846" xr:uid="{00000000-0005-0000-0000-00004F3D0000}"/>
    <cellStyle name="40% - Accent4 2 5 2 4 3" xfId="21286" xr:uid="{00000000-0005-0000-0000-0000503D0000}"/>
    <cellStyle name="40% - Accent4 2 5 2 5" xfId="9380" xr:uid="{00000000-0005-0000-0000-0000513D0000}"/>
    <cellStyle name="40% - Accent4 2 5 2 5 2" xfId="23855" xr:uid="{00000000-0005-0000-0000-0000523D0000}"/>
    <cellStyle name="40% - Accent4 2 5 2 6" xfId="21283" xr:uid="{00000000-0005-0000-0000-0000533D0000}"/>
    <cellStyle name="40% - Accent4 2 5 3" xfId="3961" xr:uid="{00000000-0005-0000-0000-0000543D0000}"/>
    <cellStyle name="40% - Accent4 2 5 3 2" xfId="11106" xr:uid="{00000000-0005-0000-0000-0000553D0000}"/>
    <cellStyle name="40% - Accent4 2 5 3 2 2" xfId="25048" xr:uid="{00000000-0005-0000-0000-0000563D0000}"/>
    <cellStyle name="40% - Accent4 2 5 3 3" xfId="21287" xr:uid="{00000000-0005-0000-0000-0000573D0000}"/>
    <cellStyle name="40% - Accent4 2 5 4" xfId="3962" xr:uid="{00000000-0005-0000-0000-0000583D0000}"/>
    <cellStyle name="40% - Accent4 2 5 4 2" xfId="12881" xr:uid="{00000000-0005-0000-0000-0000593D0000}"/>
    <cellStyle name="40% - Accent4 2 5 4 2 2" xfId="26593" xr:uid="{00000000-0005-0000-0000-00005A3D0000}"/>
    <cellStyle name="40% - Accent4 2 5 4 3" xfId="21288" xr:uid="{00000000-0005-0000-0000-00005B3D0000}"/>
    <cellStyle name="40% - Accent4 2 5 5" xfId="3963" xr:uid="{00000000-0005-0000-0000-00005C3D0000}"/>
    <cellStyle name="40% - Accent4 2 5 5 2" xfId="15296" xr:uid="{00000000-0005-0000-0000-00005D3D0000}"/>
    <cellStyle name="40% - Accent4 2 5 5 2 2" xfId="28845" xr:uid="{00000000-0005-0000-0000-00005E3D0000}"/>
    <cellStyle name="40% - Accent4 2 5 5 3" xfId="21289" xr:uid="{00000000-0005-0000-0000-00005F3D0000}"/>
    <cellStyle name="40% - Accent4 2 5 6" xfId="3964" xr:uid="{00000000-0005-0000-0000-0000603D0000}"/>
    <cellStyle name="40% - Accent4 2 5 6 2" xfId="17005" xr:uid="{00000000-0005-0000-0000-0000613D0000}"/>
    <cellStyle name="40% - Accent4 2 5 6 2 2" xfId="30412" xr:uid="{00000000-0005-0000-0000-0000623D0000}"/>
    <cellStyle name="40% - Accent4 2 5 6 3" xfId="21290" xr:uid="{00000000-0005-0000-0000-0000633D0000}"/>
    <cellStyle name="40% - Accent4 2 5 7" xfId="9379" xr:uid="{00000000-0005-0000-0000-0000643D0000}"/>
    <cellStyle name="40% - Accent4 2 5 7 2" xfId="23854" xr:uid="{00000000-0005-0000-0000-0000653D0000}"/>
    <cellStyle name="40% - Accent4 2 5 8" xfId="21282" xr:uid="{00000000-0005-0000-0000-0000663D0000}"/>
    <cellStyle name="40% - Accent4 2 6" xfId="3965" xr:uid="{00000000-0005-0000-0000-0000673D0000}"/>
    <cellStyle name="40% - Accent4 2 6 2" xfId="3966" xr:uid="{00000000-0005-0000-0000-0000683D0000}"/>
    <cellStyle name="40% - Accent4 2 6 2 2" xfId="11108" xr:uid="{00000000-0005-0000-0000-0000693D0000}"/>
    <cellStyle name="40% - Accent4 2 6 2 2 2" xfId="25050" xr:uid="{00000000-0005-0000-0000-00006A3D0000}"/>
    <cellStyle name="40% - Accent4 2 6 2 3" xfId="21292" xr:uid="{00000000-0005-0000-0000-00006B3D0000}"/>
    <cellStyle name="40% - Accent4 2 6 3" xfId="3967" xr:uid="{00000000-0005-0000-0000-00006C3D0000}"/>
    <cellStyle name="40% - Accent4 2 6 3 2" xfId="12883" xr:uid="{00000000-0005-0000-0000-00006D3D0000}"/>
    <cellStyle name="40% - Accent4 2 6 3 2 2" xfId="26595" xr:uid="{00000000-0005-0000-0000-00006E3D0000}"/>
    <cellStyle name="40% - Accent4 2 6 3 3" xfId="21293" xr:uid="{00000000-0005-0000-0000-00006F3D0000}"/>
    <cellStyle name="40% - Accent4 2 6 4" xfId="3968" xr:uid="{00000000-0005-0000-0000-0000703D0000}"/>
    <cellStyle name="40% - Accent4 2 6 4 2" xfId="15298" xr:uid="{00000000-0005-0000-0000-0000713D0000}"/>
    <cellStyle name="40% - Accent4 2 6 4 2 2" xfId="28847" xr:uid="{00000000-0005-0000-0000-0000723D0000}"/>
    <cellStyle name="40% - Accent4 2 6 4 3" xfId="21294" xr:uid="{00000000-0005-0000-0000-0000733D0000}"/>
    <cellStyle name="40% - Accent4 2 6 5" xfId="3969" xr:uid="{00000000-0005-0000-0000-0000743D0000}"/>
    <cellStyle name="40% - Accent4 2 6 5 2" xfId="17115" xr:uid="{00000000-0005-0000-0000-0000753D0000}"/>
    <cellStyle name="40% - Accent4 2 6 5 2 2" xfId="30474" xr:uid="{00000000-0005-0000-0000-0000763D0000}"/>
    <cellStyle name="40% - Accent4 2 6 5 3" xfId="21295" xr:uid="{00000000-0005-0000-0000-0000773D0000}"/>
    <cellStyle name="40% - Accent4 2 6 6" xfId="9381" xr:uid="{00000000-0005-0000-0000-0000783D0000}"/>
    <cellStyle name="40% - Accent4 2 6 6 2" xfId="23856" xr:uid="{00000000-0005-0000-0000-0000793D0000}"/>
    <cellStyle name="40% - Accent4 2 6 7" xfId="21291" xr:uid="{00000000-0005-0000-0000-00007A3D0000}"/>
    <cellStyle name="40% - Accent4 2 7" xfId="3970" xr:uid="{00000000-0005-0000-0000-00007B3D0000}"/>
    <cellStyle name="40% - Accent4 2 7 2" xfId="3971" xr:uid="{00000000-0005-0000-0000-00007C3D0000}"/>
    <cellStyle name="40% - Accent4 2 7 2 2" xfId="11109" xr:uid="{00000000-0005-0000-0000-00007D3D0000}"/>
    <cellStyle name="40% - Accent4 2 7 2 2 2" xfId="25051" xr:uid="{00000000-0005-0000-0000-00007E3D0000}"/>
    <cellStyle name="40% - Accent4 2 7 2 3" xfId="21297" xr:uid="{00000000-0005-0000-0000-00007F3D0000}"/>
    <cellStyle name="40% - Accent4 2 7 3" xfId="3972" xr:uid="{00000000-0005-0000-0000-0000803D0000}"/>
    <cellStyle name="40% - Accent4 2 7 3 2" xfId="12884" xr:uid="{00000000-0005-0000-0000-0000813D0000}"/>
    <cellStyle name="40% - Accent4 2 7 3 2 2" xfId="26596" xr:uid="{00000000-0005-0000-0000-0000823D0000}"/>
    <cellStyle name="40% - Accent4 2 7 3 3" xfId="21298" xr:uid="{00000000-0005-0000-0000-0000833D0000}"/>
    <cellStyle name="40% - Accent4 2 7 4" xfId="3973" xr:uid="{00000000-0005-0000-0000-0000843D0000}"/>
    <cellStyle name="40% - Accent4 2 7 4 2" xfId="15299" xr:uid="{00000000-0005-0000-0000-0000853D0000}"/>
    <cellStyle name="40% - Accent4 2 7 4 2 2" xfId="28848" xr:uid="{00000000-0005-0000-0000-0000863D0000}"/>
    <cellStyle name="40% - Accent4 2 7 4 3" xfId="21299" xr:uid="{00000000-0005-0000-0000-0000873D0000}"/>
    <cellStyle name="40% - Accent4 2 7 5" xfId="3974" xr:uid="{00000000-0005-0000-0000-0000883D0000}"/>
    <cellStyle name="40% - Accent4 2 7 5 2" xfId="17204" xr:uid="{00000000-0005-0000-0000-0000893D0000}"/>
    <cellStyle name="40% - Accent4 2 7 5 2 2" xfId="30563" xr:uid="{00000000-0005-0000-0000-00008A3D0000}"/>
    <cellStyle name="40% - Accent4 2 7 5 3" xfId="21300" xr:uid="{00000000-0005-0000-0000-00008B3D0000}"/>
    <cellStyle name="40% - Accent4 2 7 6" xfId="9382" xr:uid="{00000000-0005-0000-0000-00008C3D0000}"/>
    <cellStyle name="40% - Accent4 2 7 6 2" xfId="23857" xr:uid="{00000000-0005-0000-0000-00008D3D0000}"/>
    <cellStyle name="40% - Accent4 2 7 7" xfId="21296" xr:uid="{00000000-0005-0000-0000-00008E3D0000}"/>
    <cellStyle name="40% - Accent4 2 8" xfId="3975" xr:uid="{00000000-0005-0000-0000-00008F3D0000}"/>
    <cellStyle name="40% - Accent4 2 8 2" xfId="3976" xr:uid="{00000000-0005-0000-0000-0000903D0000}"/>
    <cellStyle name="40% - Accent4 2 8 2 2" xfId="12885" xr:uid="{00000000-0005-0000-0000-0000913D0000}"/>
    <cellStyle name="40% - Accent4 2 8 2 2 2" xfId="26597" xr:uid="{00000000-0005-0000-0000-0000923D0000}"/>
    <cellStyle name="40% - Accent4 2 8 2 3" xfId="21302" xr:uid="{00000000-0005-0000-0000-0000933D0000}"/>
    <cellStyle name="40% - Accent4 2 8 3" xfId="3977" xr:uid="{00000000-0005-0000-0000-0000943D0000}"/>
    <cellStyle name="40% - Accent4 2 8 3 2" xfId="15300" xr:uid="{00000000-0005-0000-0000-0000953D0000}"/>
    <cellStyle name="40% - Accent4 2 8 3 2 2" xfId="28849" xr:uid="{00000000-0005-0000-0000-0000963D0000}"/>
    <cellStyle name="40% - Accent4 2 8 3 3" xfId="21303" xr:uid="{00000000-0005-0000-0000-0000973D0000}"/>
    <cellStyle name="40% - Accent4 2 8 4" xfId="3978" xr:uid="{00000000-0005-0000-0000-0000983D0000}"/>
    <cellStyle name="40% - Accent4 2 8 4 2" xfId="16479" xr:uid="{00000000-0005-0000-0000-0000993D0000}"/>
    <cellStyle name="40% - Accent4 2 8 4 2 2" xfId="29886" xr:uid="{00000000-0005-0000-0000-00009A3D0000}"/>
    <cellStyle name="40% - Accent4 2 8 4 3" xfId="21304" xr:uid="{00000000-0005-0000-0000-00009B3D0000}"/>
    <cellStyle name="40% - Accent4 2 8 5" xfId="10526" xr:uid="{00000000-0005-0000-0000-00009C3D0000}"/>
    <cellStyle name="40% - Accent4 2 8 5 2" xfId="24468" xr:uid="{00000000-0005-0000-0000-00009D3D0000}"/>
    <cellStyle name="40% - Accent4 2 8 6" xfId="21301" xr:uid="{00000000-0005-0000-0000-00009E3D0000}"/>
    <cellStyle name="40% - Accent4 2 9" xfId="3979" xr:uid="{00000000-0005-0000-0000-00009F3D0000}"/>
    <cellStyle name="40% - Accent4 2 9 2" xfId="3980" xr:uid="{00000000-0005-0000-0000-0000A03D0000}"/>
    <cellStyle name="40% - Accent4 2 9 2 2" xfId="12886" xr:uid="{00000000-0005-0000-0000-0000A13D0000}"/>
    <cellStyle name="40% - Accent4 2 9 2 2 2" xfId="26598" xr:uid="{00000000-0005-0000-0000-0000A23D0000}"/>
    <cellStyle name="40% - Accent4 2 9 2 3" xfId="21306" xr:uid="{00000000-0005-0000-0000-0000A33D0000}"/>
    <cellStyle name="40% - Accent4 2 9 3" xfId="3981" xr:uid="{00000000-0005-0000-0000-0000A43D0000}"/>
    <cellStyle name="40% - Accent4 2 9 3 2" xfId="15301" xr:uid="{00000000-0005-0000-0000-0000A53D0000}"/>
    <cellStyle name="40% - Accent4 2 9 3 2 2" xfId="28850" xr:uid="{00000000-0005-0000-0000-0000A63D0000}"/>
    <cellStyle name="40% - Accent4 2 9 3 3" xfId="21307" xr:uid="{00000000-0005-0000-0000-0000A73D0000}"/>
    <cellStyle name="40% - Accent4 2 9 4" xfId="11091" xr:uid="{00000000-0005-0000-0000-0000A83D0000}"/>
    <cellStyle name="40% - Accent4 2 9 4 2" xfId="25033" xr:uid="{00000000-0005-0000-0000-0000A93D0000}"/>
    <cellStyle name="40% - Accent4 2 9 5" xfId="21305" xr:uid="{00000000-0005-0000-0000-0000AA3D0000}"/>
    <cellStyle name="40% - Accent4 20" xfId="3982" xr:uid="{00000000-0005-0000-0000-0000AB3D0000}"/>
    <cellStyle name="40% - Accent4 20 2" xfId="3983" xr:uid="{00000000-0005-0000-0000-0000AC3D0000}"/>
    <cellStyle name="40% - Accent4 20 2 2" xfId="12887" xr:uid="{00000000-0005-0000-0000-0000AD3D0000}"/>
    <cellStyle name="40% - Accent4 20 2 2 2" xfId="26599" xr:uid="{00000000-0005-0000-0000-0000AE3D0000}"/>
    <cellStyle name="40% - Accent4 20 2 3" xfId="21309" xr:uid="{00000000-0005-0000-0000-0000AF3D0000}"/>
    <cellStyle name="40% - Accent4 20 3" xfId="3984" xr:uid="{00000000-0005-0000-0000-0000B03D0000}"/>
    <cellStyle name="40% - Accent4 20 3 2" xfId="15302" xr:uid="{00000000-0005-0000-0000-0000B13D0000}"/>
    <cellStyle name="40% - Accent4 20 3 2 2" xfId="28851" xr:uid="{00000000-0005-0000-0000-0000B23D0000}"/>
    <cellStyle name="40% - Accent4 20 3 3" xfId="21310" xr:uid="{00000000-0005-0000-0000-0000B33D0000}"/>
    <cellStyle name="40% - Accent4 20 4" xfId="10501" xr:uid="{00000000-0005-0000-0000-0000B43D0000}"/>
    <cellStyle name="40% - Accent4 20 4 2" xfId="24449" xr:uid="{00000000-0005-0000-0000-0000B53D0000}"/>
    <cellStyle name="40% - Accent4 20 5" xfId="21308" xr:uid="{00000000-0005-0000-0000-0000B63D0000}"/>
    <cellStyle name="40% - Accent4 21" xfId="3985" xr:uid="{00000000-0005-0000-0000-0000B73D0000}"/>
    <cellStyle name="40% - Accent4 21 2" xfId="3986" xr:uid="{00000000-0005-0000-0000-0000B83D0000}"/>
    <cellStyle name="40% - Accent4 21 2 2" xfId="12888" xr:uid="{00000000-0005-0000-0000-0000B93D0000}"/>
    <cellStyle name="40% - Accent4 21 2 2 2" xfId="26600" xr:uid="{00000000-0005-0000-0000-0000BA3D0000}"/>
    <cellStyle name="40% - Accent4 21 2 3" xfId="21312" xr:uid="{00000000-0005-0000-0000-0000BB3D0000}"/>
    <cellStyle name="40% - Accent4 21 3" xfId="3987" xr:uid="{00000000-0005-0000-0000-0000BC3D0000}"/>
    <cellStyle name="40% - Accent4 21 3 2" xfId="15303" xr:uid="{00000000-0005-0000-0000-0000BD3D0000}"/>
    <cellStyle name="40% - Accent4 21 3 2 2" xfId="28852" xr:uid="{00000000-0005-0000-0000-0000BE3D0000}"/>
    <cellStyle name="40% - Accent4 21 3 3" xfId="21313" xr:uid="{00000000-0005-0000-0000-0000BF3D0000}"/>
    <cellStyle name="40% - Accent4 21 4" xfId="11080" xr:uid="{00000000-0005-0000-0000-0000C03D0000}"/>
    <cellStyle name="40% - Accent4 21 4 2" xfId="25022" xr:uid="{00000000-0005-0000-0000-0000C13D0000}"/>
    <cellStyle name="40% - Accent4 21 5" xfId="21311" xr:uid="{00000000-0005-0000-0000-0000C23D0000}"/>
    <cellStyle name="40% - Accent4 22" xfId="3988" xr:uid="{00000000-0005-0000-0000-0000C33D0000}"/>
    <cellStyle name="40% - Accent4 22 2" xfId="11737" xr:uid="{00000000-0005-0000-0000-0000C43D0000}"/>
    <cellStyle name="40% - Accent4 22 2 2" xfId="25452" xr:uid="{00000000-0005-0000-0000-0000C53D0000}"/>
    <cellStyle name="40% - Accent4 22 3" xfId="21314" xr:uid="{00000000-0005-0000-0000-0000C63D0000}"/>
    <cellStyle name="40% - Accent4 23" xfId="3989" xr:uid="{00000000-0005-0000-0000-0000C73D0000}"/>
    <cellStyle name="40% - Accent4 23 2" xfId="12853" xr:uid="{00000000-0005-0000-0000-0000C83D0000}"/>
    <cellStyle name="40% - Accent4 23 2 2" xfId="26565" xr:uid="{00000000-0005-0000-0000-0000C93D0000}"/>
    <cellStyle name="40% - Accent4 23 3" xfId="21315" xr:uid="{00000000-0005-0000-0000-0000CA3D0000}"/>
    <cellStyle name="40% - Accent4 24" xfId="3990" xr:uid="{00000000-0005-0000-0000-0000CB3D0000}"/>
    <cellStyle name="40% - Accent4 24 2" xfId="13376" xr:uid="{00000000-0005-0000-0000-0000CC3D0000}"/>
    <cellStyle name="40% - Accent4 24 2 2" xfId="26925" xr:uid="{00000000-0005-0000-0000-0000CD3D0000}"/>
    <cellStyle name="40% - Accent4 24 3" xfId="21316" xr:uid="{00000000-0005-0000-0000-0000CE3D0000}"/>
    <cellStyle name="40% - Accent4 25" xfId="3991" xr:uid="{00000000-0005-0000-0000-0000CF3D0000}"/>
    <cellStyle name="40% - Accent4 25 2" xfId="13957" xr:uid="{00000000-0005-0000-0000-0000D03D0000}"/>
    <cellStyle name="40% - Accent4 25 2 2" xfId="27506" xr:uid="{00000000-0005-0000-0000-0000D13D0000}"/>
    <cellStyle name="40% - Accent4 25 3" xfId="21317" xr:uid="{00000000-0005-0000-0000-0000D23D0000}"/>
    <cellStyle name="40% - Accent4 26" xfId="3992" xr:uid="{00000000-0005-0000-0000-0000D33D0000}"/>
    <cellStyle name="40% - Accent4 26 2" xfId="15260" xr:uid="{00000000-0005-0000-0000-0000D43D0000}"/>
    <cellStyle name="40% - Accent4 26 2 2" xfId="28809" xr:uid="{00000000-0005-0000-0000-0000D53D0000}"/>
    <cellStyle name="40% - Accent4 26 3" xfId="21318" xr:uid="{00000000-0005-0000-0000-0000D63D0000}"/>
    <cellStyle name="40% - Accent4 27" xfId="3993" xr:uid="{00000000-0005-0000-0000-0000D73D0000}"/>
    <cellStyle name="40% - Accent4 27 2" xfId="15821" xr:uid="{00000000-0005-0000-0000-0000D83D0000}"/>
    <cellStyle name="40% - Accent4 27 2 2" xfId="29228" xr:uid="{00000000-0005-0000-0000-0000D93D0000}"/>
    <cellStyle name="40% - Accent4 27 3" xfId="21319" xr:uid="{00000000-0005-0000-0000-0000DA3D0000}"/>
    <cellStyle name="40% - Accent4 28" xfId="3994" xr:uid="{00000000-0005-0000-0000-0000DB3D0000}"/>
    <cellStyle name="40% - Accent4 28 2" xfId="15843" xr:uid="{00000000-0005-0000-0000-0000DC3D0000}"/>
    <cellStyle name="40% - Accent4 28 2 2" xfId="29250" xr:uid="{00000000-0005-0000-0000-0000DD3D0000}"/>
    <cellStyle name="40% - Accent4 28 3" xfId="21320" xr:uid="{00000000-0005-0000-0000-0000DE3D0000}"/>
    <cellStyle name="40% - Accent4 29" xfId="3995" xr:uid="{00000000-0005-0000-0000-0000DF3D0000}"/>
    <cellStyle name="40% - Accent4 29 2" xfId="9353" xr:uid="{00000000-0005-0000-0000-0000E03D0000}"/>
    <cellStyle name="40% - Accent4 29 2 2" xfId="23828" xr:uid="{00000000-0005-0000-0000-0000E13D0000}"/>
    <cellStyle name="40% - Accent4 29 3" xfId="21321" xr:uid="{00000000-0005-0000-0000-0000E23D0000}"/>
    <cellStyle name="40% - Accent4 3" xfId="3996" xr:uid="{00000000-0005-0000-0000-0000E33D0000}"/>
    <cellStyle name="40% - Accent4 3 10" xfId="3997" xr:uid="{00000000-0005-0000-0000-0000E43D0000}"/>
    <cellStyle name="40% - Accent4 3 10 2" xfId="14035" xr:uid="{00000000-0005-0000-0000-0000E53D0000}"/>
    <cellStyle name="40% - Accent4 3 10 2 2" xfId="27584" xr:uid="{00000000-0005-0000-0000-0000E63D0000}"/>
    <cellStyle name="40% - Accent4 3 10 3" xfId="21323" xr:uid="{00000000-0005-0000-0000-0000E73D0000}"/>
    <cellStyle name="40% - Accent4 3 11" xfId="3998" xr:uid="{00000000-0005-0000-0000-0000E83D0000}"/>
    <cellStyle name="40% - Accent4 3 11 2" xfId="15304" xr:uid="{00000000-0005-0000-0000-0000E93D0000}"/>
    <cellStyle name="40% - Accent4 3 11 2 2" xfId="28853" xr:uid="{00000000-0005-0000-0000-0000EA3D0000}"/>
    <cellStyle name="40% - Accent4 3 11 3" xfId="21324" xr:uid="{00000000-0005-0000-0000-0000EB3D0000}"/>
    <cellStyle name="40% - Accent4 3 12" xfId="3999" xr:uid="{00000000-0005-0000-0000-0000EC3D0000}"/>
    <cellStyle name="40% - Accent4 3 12 2" xfId="15921" xr:uid="{00000000-0005-0000-0000-0000ED3D0000}"/>
    <cellStyle name="40% - Accent4 3 12 2 2" xfId="29328" xr:uid="{00000000-0005-0000-0000-0000EE3D0000}"/>
    <cellStyle name="40% - Accent4 3 12 3" xfId="21325" xr:uid="{00000000-0005-0000-0000-0000EF3D0000}"/>
    <cellStyle name="40% - Accent4 3 13" xfId="9383" xr:uid="{00000000-0005-0000-0000-0000F03D0000}"/>
    <cellStyle name="40% - Accent4 3 13 2" xfId="23858" xr:uid="{00000000-0005-0000-0000-0000F13D0000}"/>
    <cellStyle name="40% - Accent4 3 14" xfId="21322" xr:uid="{00000000-0005-0000-0000-0000F23D0000}"/>
    <cellStyle name="40% - Accent4 3 2" xfId="4000" xr:uid="{00000000-0005-0000-0000-0000F33D0000}"/>
    <cellStyle name="40% - Accent4 3 2 10" xfId="4001" xr:uid="{00000000-0005-0000-0000-0000F43D0000}"/>
    <cellStyle name="40% - Accent4 3 2 10 2" xfId="16064" xr:uid="{00000000-0005-0000-0000-0000F53D0000}"/>
    <cellStyle name="40% - Accent4 3 2 10 2 2" xfId="29471" xr:uid="{00000000-0005-0000-0000-0000F63D0000}"/>
    <cellStyle name="40% - Accent4 3 2 10 3" xfId="21327" xr:uid="{00000000-0005-0000-0000-0000F73D0000}"/>
    <cellStyle name="40% - Accent4 3 2 11" xfId="9384" xr:uid="{00000000-0005-0000-0000-0000F83D0000}"/>
    <cellStyle name="40% - Accent4 3 2 11 2" xfId="23859" xr:uid="{00000000-0005-0000-0000-0000F93D0000}"/>
    <cellStyle name="40% - Accent4 3 2 12" xfId="21326" xr:uid="{00000000-0005-0000-0000-0000FA3D0000}"/>
    <cellStyle name="40% - Accent4 3 2 2" xfId="4002" xr:uid="{00000000-0005-0000-0000-0000FB3D0000}"/>
    <cellStyle name="40% - Accent4 3 2 2 10" xfId="9385" xr:uid="{00000000-0005-0000-0000-0000FC3D0000}"/>
    <cellStyle name="40% - Accent4 3 2 2 10 2" xfId="23860" xr:uid="{00000000-0005-0000-0000-0000FD3D0000}"/>
    <cellStyle name="40% - Accent4 3 2 2 11" xfId="21328" xr:uid="{00000000-0005-0000-0000-0000FE3D0000}"/>
    <cellStyle name="40% - Accent4 3 2 2 2" xfId="4003" xr:uid="{00000000-0005-0000-0000-0000FF3D0000}"/>
    <cellStyle name="40% - Accent4 3 2 2 2 2" xfId="4004" xr:uid="{00000000-0005-0000-0000-0000003E0000}"/>
    <cellStyle name="40% - Accent4 3 2 2 2 2 2" xfId="11113" xr:uid="{00000000-0005-0000-0000-0000013E0000}"/>
    <cellStyle name="40% - Accent4 3 2 2 2 2 2 2" xfId="25055" xr:uid="{00000000-0005-0000-0000-0000023E0000}"/>
    <cellStyle name="40% - Accent4 3 2 2 2 2 3" xfId="21330" xr:uid="{00000000-0005-0000-0000-0000033E0000}"/>
    <cellStyle name="40% - Accent4 3 2 2 2 3" xfId="4005" xr:uid="{00000000-0005-0000-0000-0000043E0000}"/>
    <cellStyle name="40% - Accent4 3 2 2 2 3 2" xfId="12892" xr:uid="{00000000-0005-0000-0000-0000053E0000}"/>
    <cellStyle name="40% - Accent4 3 2 2 2 3 2 2" xfId="26604" xr:uid="{00000000-0005-0000-0000-0000063E0000}"/>
    <cellStyle name="40% - Accent4 3 2 2 2 3 3" xfId="21331" xr:uid="{00000000-0005-0000-0000-0000073E0000}"/>
    <cellStyle name="40% - Accent4 3 2 2 2 4" xfId="4006" xr:uid="{00000000-0005-0000-0000-0000083E0000}"/>
    <cellStyle name="40% - Accent4 3 2 2 2 4 2" xfId="15307" xr:uid="{00000000-0005-0000-0000-0000093E0000}"/>
    <cellStyle name="40% - Accent4 3 2 2 2 4 2 2" xfId="28856" xr:uid="{00000000-0005-0000-0000-00000A3E0000}"/>
    <cellStyle name="40% - Accent4 3 2 2 2 4 3" xfId="21332" xr:uid="{00000000-0005-0000-0000-00000B3E0000}"/>
    <cellStyle name="40% - Accent4 3 2 2 2 5" xfId="4007" xr:uid="{00000000-0005-0000-0000-00000C3E0000}"/>
    <cellStyle name="40% - Accent4 3 2 2 2 5 2" xfId="16934" xr:uid="{00000000-0005-0000-0000-00000D3E0000}"/>
    <cellStyle name="40% - Accent4 3 2 2 2 5 2 2" xfId="30341" xr:uid="{00000000-0005-0000-0000-00000E3E0000}"/>
    <cellStyle name="40% - Accent4 3 2 2 2 5 3" xfId="21333" xr:uid="{00000000-0005-0000-0000-00000F3E0000}"/>
    <cellStyle name="40% - Accent4 3 2 2 2 6" xfId="9386" xr:uid="{00000000-0005-0000-0000-0000103E0000}"/>
    <cellStyle name="40% - Accent4 3 2 2 2 6 2" xfId="23861" xr:uid="{00000000-0005-0000-0000-0000113E0000}"/>
    <cellStyle name="40% - Accent4 3 2 2 2 7" xfId="21329" xr:uid="{00000000-0005-0000-0000-0000123E0000}"/>
    <cellStyle name="40% - Accent4 3 2 2 3" xfId="4008" xr:uid="{00000000-0005-0000-0000-0000133E0000}"/>
    <cellStyle name="40% - Accent4 3 2 2 3 2" xfId="4009" xr:uid="{00000000-0005-0000-0000-0000143E0000}"/>
    <cellStyle name="40% - Accent4 3 2 2 3 2 2" xfId="15308" xr:uid="{00000000-0005-0000-0000-0000153E0000}"/>
    <cellStyle name="40% - Accent4 3 2 2 3 2 2 2" xfId="28857" xr:uid="{00000000-0005-0000-0000-0000163E0000}"/>
    <cellStyle name="40% - Accent4 3 2 2 3 2 3" xfId="21335" xr:uid="{00000000-0005-0000-0000-0000173E0000}"/>
    <cellStyle name="40% - Accent4 3 2 2 3 3" xfId="11112" xr:uid="{00000000-0005-0000-0000-0000183E0000}"/>
    <cellStyle name="40% - Accent4 3 2 2 3 3 2" xfId="25054" xr:uid="{00000000-0005-0000-0000-0000193E0000}"/>
    <cellStyle name="40% - Accent4 3 2 2 3 4" xfId="21334" xr:uid="{00000000-0005-0000-0000-00001A3E0000}"/>
    <cellStyle name="40% - Accent4 3 2 2 4" xfId="4010" xr:uid="{00000000-0005-0000-0000-00001B3E0000}"/>
    <cellStyle name="40% - Accent4 3 2 2 4 2" xfId="12322" xr:uid="{00000000-0005-0000-0000-00001C3E0000}"/>
    <cellStyle name="40% - Accent4 3 2 2 4 2 2" xfId="26034" xr:uid="{00000000-0005-0000-0000-00001D3E0000}"/>
    <cellStyle name="40% - Accent4 3 2 2 4 3" xfId="21336" xr:uid="{00000000-0005-0000-0000-00001E3E0000}"/>
    <cellStyle name="40% - Accent4 3 2 2 5" xfId="4011" xr:uid="{00000000-0005-0000-0000-00001F3E0000}"/>
    <cellStyle name="40% - Accent4 3 2 2 5 2" xfId="12891" xr:uid="{00000000-0005-0000-0000-0000203E0000}"/>
    <cellStyle name="40% - Accent4 3 2 2 5 2 2" xfId="26603" xr:uid="{00000000-0005-0000-0000-0000213E0000}"/>
    <cellStyle name="40% - Accent4 3 2 2 5 3" xfId="21337" xr:uid="{00000000-0005-0000-0000-0000223E0000}"/>
    <cellStyle name="40% - Accent4 3 2 2 6" xfId="4012" xr:uid="{00000000-0005-0000-0000-0000233E0000}"/>
    <cellStyle name="40% - Accent4 3 2 2 6 2" xfId="13886" xr:uid="{00000000-0005-0000-0000-0000243E0000}"/>
    <cellStyle name="40% - Accent4 3 2 2 6 2 2" xfId="27435" xr:uid="{00000000-0005-0000-0000-0000253E0000}"/>
    <cellStyle name="40% - Accent4 3 2 2 6 3" xfId="21338" xr:uid="{00000000-0005-0000-0000-0000263E0000}"/>
    <cellStyle name="40% - Accent4 3 2 2 7" xfId="4013" xr:uid="{00000000-0005-0000-0000-0000273E0000}"/>
    <cellStyle name="40% - Accent4 3 2 2 7 2" xfId="14467" xr:uid="{00000000-0005-0000-0000-0000283E0000}"/>
    <cellStyle name="40% - Accent4 3 2 2 7 2 2" xfId="28016" xr:uid="{00000000-0005-0000-0000-0000293E0000}"/>
    <cellStyle name="40% - Accent4 3 2 2 7 3" xfId="21339" xr:uid="{00000000-0005-0000-0000-00002A3E0000}"/>
    <cellStyle name="40% - Accent4 3 2 2 8" xfId="4014" xr:uid="{00000000-0005-0000-0000-00002B3E0000}"/>
    <cellStyle name="40% - Accent4 3 2 2 8 2" xfId="15306" xr:uid="{00000000-0005-0000-0000-00002C3E0000}"/>
    <cellStyle name="40% - Accent4 3 2 2 8 2 2" xfId="28855" xr:uid="{00000000-0005-0000-0000-00002D3E0000}"/>
    <cellStyle name="40% - Accent4 3 2 2 8 3" xfId="21340" xr:uid="{00000000-0005-0000-0000-00002E3E0000}"/>
    <cellStyle name="40% - Accent4 3 2 2 9" xfId="4015" xr:uid="{00000000-0005-0000-0000-00002F3E0000}"/>
    <cellStyle name="40% - Accent4 3 2 2 9 2" xfId="16353" xr:uid="{00000000-0005-0000-0000-0000303E0000}"/>
    <cellStyle name="40% - Accent4 3 2 2 9 2 2" xfId="29760" xr:uid="{00000000-0005-0000-0000-0000313E0000}"/>
    <cellStyle name="40% - Accent4 3 2 2 9 3" xfId="21341" xr:uid="{00000000-0005-0000-0000-0000323E0000}"/>
    <cellStyle name="40% - Accent4 3 2 3" xfId="4016" xr:uid="{00000000-0005-0000-0000-0000333E0000}"/>
    <cellStyle name="40% - Accent4 3 2 3 2" xfId="4017" xr:uid="{00000000-0005-0000-0000-0000343E0000}"/>
    <cellStyle name="40% - Accent4 3 2 3 2 2" xfId="11114" xr:uid="{00000000-0005-0000-0000-0000353E0000}"/>
    <cellStyle name="40% - Accent4 3 2 3 2 2 2" xfId="25056" xr:uid="{00000000-0005-0000-0000-0000363E0000}"/>
    <cellStyle name="40% - Accent4 3 2 3 2 3" xfId="21343" xr:uid="{00000000-0005-0000-0000-0000373E0000}"/>
    <cellStyle name="40% - Accent4 3 2 3 3" xfId="4018" xr:uid="{00000000-0005-0000-0000-0000383E0000}"/>
    <cellStyle name="40% - Accent4 3 2 3 3 2" xfId="12893" xr:uid="{00000000-0005-0000-0000-0000393E0000}"/>
    <cellStyle name="40% - Accent4 3 2 3 3 2 2" xfId="26605" xr:uid="{00000000-0005-0000-0000-00003A3E0000}"/>
    <cellStyle name="40% - Accent4 3 2 3 3 3" xfId="21344" xr:uid="{00000000-0005-0000-0000-00003B3E0000}"/>
    <cellStyle name="40% - Accent4 3 2 3 4" xfId="4019" xr:uid="{00000000-0005-0000-0000-00003C3E0000}"/>
    <cellStyle name="40% - Accent4 3 2 3 4 2" xfId="15309" xr:uid="{00000000-0005-0000-0000-00003D3E0000}"/>
    <cellStyle name="40% - Accent4 3 2 3 4 2 2" xfId="28858" xr:uid="{00000000-0005-0000-0000-00003E3E0000}"/>
    <cellStyle name="40% - Accent4 3 2 3 4 3" xfId="21345" xr:uid="{00000000-0005-0000-0000-00003F3E0000}"/>
    <cellStyle name="40% - Accent4 3 2 3 5" xfId="4020" xr:uid="{00000000-0005-0000-0000-0000403E0000}"/>
    <cellStyle name="40% - Accent4 3 2 3 5 2" xfId="16645" xr:uid="{00000000-0005-0000-0000-0000413E0000}"/>
    <cellStyle name="40% - Accent4 3 2 3 5 2 2" xfId="30052" xr:uid="{00000000-0005-0000-0000-0000423E0000}"/>
    <cellStyle name="40% - Accent4 3 2 3 5 3" xfId="21346" xr:uid="{00000000-0005-0000-0000-0000433E0000}"/>
    <cellStyle name="40% - Accent4 3 2 3 6" xfId="9387" xr:uid="{00000000-0005-0000-0000-0000443E0000}"/>
    <cellStyle name="40% - Accent4 3 2 3 6 2" xfId="23862" xr:uid="{00000000-0005-0000-0000-0000453E0000}"/>
    <cellStyle name="40% - Accent4 3 2 3 7" xfId="21342" xr:uid="{00000000-0005-0000-0000-0000463E0000}"/>
    <cellStyle name="40% - Accent4 3 2 4" xfId="4021" xr:uid="{00000000-0005-0000-0000-0000473E0000}"/>
    <cellStyle name="40% - Accent4 3 2 4 2" xfId="4022" xr:uid="{00000000-0005-0000-0000-0000483E0000}"/>
    <cellStyle name="40% - Accent4 3 2 4 2 2" xfId="15310" xr:uid="{00000000-0005-0000-0000-0000493E0000}"/>
    <cellStyle name="40% - Accent4 3 2 4 2 2 2" xfId="28859" xr:uid="{00000000-0005-0000-0000-00004A3E0000}"/>
    <cellStyle name="40% - Accent4 3 2 4 2 3" xfId="21348" xr:uid="{00000000-0005-0000-0000-00004B3E0000}"/>
    <cellStyle name="40% - Accent4 3 2 4 3" xfId="11111" xr:uid="{00000000-0005-0000-0000-00004C3E0000}"/>
    <cellStyle name="40% - Accent4 3 2 4 3 2" xfId="25053" xr:uid="{00000000-0005-0000-0000-00004D3E0000}"/>
    <cellStyle name="40% - Accent4 3 2 4 4" xfId="21347" xr:uid="{00000000-0005-0000-0000-00004E3E0000}"/>
    <cellStyle name="40% - Accent4 3 2 5" xfId="4023" xr:uid="{00000000-0005-0000-0000-00004F3E0000}"/>
    <cellStyle name="40% - Accent4 3 2 5 2" xfId="12022" xr:uid="{00000000-0005-0000-0000-0000503E0000}"/>
    <cellStyle name="40% - Accent4 3 2 5 2 2" xfId="25737" xr:uid="{00000000-0005-0000-0000-0000513E0000}"/>
    <cellStyle name="40% - Accent4 3 2 5 3" xfId="21349" xr:uid="{00000000-0005-0000-0000-0000523E0000}"/>
    <cellStyle name="40% - Accent4 3 2 6" xfId="4024" xr:uid="{00000000-0005-0000-0000-0000533E0000}"/>
    <cellStyle name="40% - Accent4 3 2 6 2" xfId="12890" xr:uid="{00000000-0005-0000-0000-0000543E0000}"/>
    <cellStyle name="40% - Accent4 3 2 6 2 2" xfId="26602" xr:uid="{00000000-0005-0000-0000-0000553E0000}"/>
    <cellStyle name="40% - Accent4 3 2 6 3" xfId="21350" xr:uid="{00000000-0005-0000-0000-0000563E0000}"/>
    <cellStyle name="40% - Accent4 3 2 7" xfId="4025" xr:uid="{00000000-0005-0000-0000-0000573E0000}"/>
    <cellStyle name="40% - Accent4 3 2 7 2" xfId="13597" xr:uid="{00000000-0005-0000-0000-0000583E0000}"/>
    <cellStyle name="40% - Accent4 3 2 7 2 2" xfId="27146" xr:uid="{00000000-0005-0000-0000-0000593E0000}"/>
    <cellStyle name="40% - Accent4 3 2 7 3" xfId="21351" xr:uid="{00000000-0005-0000-0000-00005A3E0000}"/>
    <cellStyle name="40% - Accent4 3 2 8" xfId="4026" xr:uid="{00000000-0005-0000-0000-00005B3E0000}"/>
    <cellStyle name="40% - Accent4 3 2 8 2" xfId="14178" xr:uid="{00000000-0005-0000-0000-00005C3E0000}"/>
    <cellStyle name="40% - Accent4 3 2 8 2 2" xfId="27727" xr:uid="{00000000-0005-0000-0000-00005D3E0000}"/>
    <cellStyle name="40% - Accent4 3 2 8 3" xfId="21352" xr:uid="{00000000-0005-0000-0000-00005E3E0000}"/>
    <cellStyle name="40% - Accent4 3 2 9" xfId="4027" xr:uid="{00000000-0005-0000-0000-00005F3E0000}"/>
    <cellStyle name="40% - Accent4 3 2 9 2" xfId="15305" xr:uid="{00000000-0005-0000-0000-0000603E0000}"/>
    <cellStyle name="40% - Accent4 3 2 9 2 2" xfId="28854" xr:uid="{00000000-0005-0000-0000-0000613E0000}"/>
    <cellStyle name="40% - Accent4 3 2 9 3" xfId="21353" xr:uid="{00000000-0005-0000-0000-0000623E0000}"/>
    <cellStyle name="40% - Accent4 3 3" xfId="4028" xr:uid="{00000000-0005-0000-0000-0000633E0000}"/>
    <cellStyle name="40% - Accent4 3 3 10" xfId="9388" xr:uid="{00000000-0005-0000-0000-0000643E0000}"/>
    <cellStyle name="40% - Accent4 3 3 10 2" xfId="23863" xr:uid="{00000000-0005-0000-0000-0000653E0000}"/>
    <cellStyle name="40% - Accent4 3 3 11" xfId="21354" xr:uid="{00000000-0005-0000-0000-0000663E0000}"/>
    <cellStyle name="40% - Accent4 3 3 2" xfId="4029" xr:uid="{00000000-0005-0000-0000-0000673E0000}"/>
    <cellStyle name="40% - Accent4 3 3 2 2" xfId="4030" xr:uid="{00000000-0005-0000-0000-0000683E0000}"/>
    <cellStyle name="40% - Accent4 3 3 2 2 2" xfId="11116" xr:uid="{00000000-0005-0000-0000-0000693E0000}"/>
    <cellStyle name="40% - Accent4 3 3 2 2 2 2" xfId="25058" xr:uid="{00000000-0005-0000-0000-00006A3E0000}"/>
    <cellStyle name="40% - Accent4 3 3 2 2 3" xfId="21356" xr:uid="{00000000-0005-0000-0000-00006B3E0000}"/>
    <cellStyle name="40% - Accent4 3 3 2 3" xfId="4031" xr:uid="{00000000-0005-0000-0000-00006C3E0000}"/>
    <cellStyle name="40% - Accent4 3 3 2 3 2" xfId="12895" xr:uid="{00000000-0005-0000-0000-00006D3E0000}"/>
    <cellStyle name="40% - Accent4 3 3 2 3 2 2" xfId="26607" xr:uid="{00000000-0005-0000-0000-00006E3E0000}"/>
    <cellStyle name="40% - Accent4 3 3 2 3 3" xfId="21357" xr:uid="{00000000-0005-0000-0000-00006F3E0000}"/>
    <cellStyle name="40% - Accent4 3 3 2 4" xfId="4032" xr:uid="{00000000-0005-0000-0000-0000703E0000}"/>
    <cellStyle name="40% - Accent4 3 3 2 4 2" xfId="15312" xr:uid="{00000000-0005-0000-0000-0000713E0000}"/>
    <cellStyle name="40% - Accent4 3 3 2 4 2 2" xfId="28861" xr:uid="{00000000-0005-0000-0000-0000723E0000}"/>
    <cellStyle name="40% - Accent4 3 3 2 4 3" xfId="21358" xr:uid="{00000000-0005-0000-0000-0000733E0000}"/>
    <cellStyle name="40% - Accent4 3 3 2 5" xfId="4033" xr:uid="{00000000-0005-0000-0000-0000743E0000}"/>
    <cellStyle name="40% - Accent4 3 3 2 5 2" xfId="16791" xr:uid="{00000000-0005-0000-0000-0000753E0000}"/>
    <cellStyle name="40% - Accent4 3 3 2 5 2 2" xfId="30198" xr:uid="{00000000-0005-0000-0000-0000763E0000}"/>
    <cellStyle name="40% - Accent4 3 3 2 5 3" xfId="21359" xr:uid="{00000000-0005-0000-0000-0000773E0000}"/>
    <cellStyle name="40% - Accent4 3 3 2 6" xfId="9389" xr:uid="{00000000-0005-0000-0000-0000783E0000}"/>
    <cellStyle name="40% - Accent4 3 3 2 6 2" xfId="23864" xr:uid="{00000000-0005-0000-0000-0000793E0000}"/>
    <cellStyle name="40% - Accent4 3 3 2 7" xfId="21355" xr:uid="{00000000-0005-0000-0000-00007A3E0000}"/>
    <cellStyle name="40% - Accent4 3 3 3" xfId="4034" xr:uid="{00000000-0005-0000-0000-00007B3E0000}"/>
    <cellStyle name="40% - Accent4 3 3 3 2" xfId="4035" xr:uid="{00000000-0005-0000-0000-00007C3E0000}"/>
    <cellStyle name="40% - Accent4 3 3 3 2 2" xfId="15313" xr:uid="{00000000-0005-0000-0000-00007D3E0000}"/>
    <cellStyle name="40% - Accent4 3 3 3 2 2 2" xfId="28862" xr:uid="{00000000-0005-0000-0000-00007E3E0000}"/>
    <cellStyle name="40% - Accent4 3 3 3 2 3" xfId="21361" xr:uid="{00000000-0005-0000-0000-00007F3E0000}"/>
    <cellStyle name="40% - Accent4 3 3 3 3" xfId="11115" xr:uid="{00000000-0005-0000-0000-0000803E0000}"/>
    <cellStyle name="40% - Accent4 3 3 3 3 2" xfId="25057" xr:uid="{00000000-0005-0000-0000-0000813E0000}"/>
    <cellStyle name="40% - Accent4 3 3 3 4" xfId="21360" xr:uid="{00000000-0005-0000-0000-0000823E0000}"/>
    <cellStyle name="40% - Accent4 3 3 4" xfId="4036" xr:uid="{00000000-0005-0000-0000-0000833E0000}"/>
    <cellStyle name="40% - Accent4 3 3 4 2" xfId="12179" xr:uid="{00000000-0005-0000-0000-0000843E0000}"/>
    <cellStyle name="40% - Accent4 3 3 4 2 2" xfId="25891" xr:uid="{00000000-0005-0000-0000-0000853E0000}"/>
    <cellStyle name="40% - Accent4 3 3 4 3" xfId="21362" xr:uid="{00000000-0005-0000-0000-0000863E0000}"/>
    <cellStyle name="40% - Accent4 3 3 5" xfId="4037" xr:uid="{00000000-0005-0000-0000-0000873E0000}"/>
    <cellStyle name="40% - Accent4 3 3 5 2" xfId="12894" xr:uid="{00000000-0005-0000-0000-0000883E0000}"/>
    <cellStyle name="40% - Accent4 3 3 5 2 2" xfId="26606" xr:uid="{00000000-0005-0000-0000-0000893E0000}"/>
    <cellStyle name="40% - Accent4 3 3 5 3" xfId="21363" xr:uid="{00000000-0005-0000-0000-00008A3E0000}"/>
    <cellStyle name="40% - Accent4 3 3 6" xfId="4038" xr:uid="{00000000-0005-0000-0000-00008B3E0000}"/>
    <cellStyle name="40% - Accent4 3 3 6 2" xfId="13743" xr:uid="{00000000-0005-0000-0000-00008C3E0000}"/>
    <cellStyle name="40% - Accent4 3 3 6 2 2" xfId="27292" xr:uid="{00000000-0005-0000-0000-00008D3E0000}"/>
    <cellStyle name="40% - Accent4 3 3 6 3" xfId="21364" xr:uid="{00000000-0005-0000-0000-00008E3E0000}"/>
    <cellStyle name="40% - Accent4 3 3 7" xfId="4039" xr:uid="{00000000-0005-0000-0000-00008F3E0000}"/>
    <cellStyle name="40% - Accent4 3 3 7 2" xfId="14324" xr:uid="{00000000-0005-0000-0000-0000903E0000}"/>
    <cellStyle name="40% - Accent4 3 3 7 2 2" xfId="27873" xr:uid="{00000000-0005-0000-0000-0000913E0000}"/>
    <cellStyle name="40% - Accent4 3 3 7 3" xfId="21365" xr:uid="{00000000-0005-0000-0000-0000923E0000}"/>
    <cellStyle name="40% - Accent4 3 3 8" xfId="4040" xr:uid="{00000000-0005-0000-0000-0000933E0000}"/>
    <cellStyle name="40% - Accent4 3 3 8 2" xfId="15311" xr:uid="{00000000-0005-0000-0000-0000943E0000}"/>
    <cellStyle name="40% - Accent4 3 3 8 2 2" xfId="28860" xr:uid="{00000000-0005-0000-0000-0000953E0000}"/>
    <cellStyle name="40% - Accent4 3 3 8 3" xfId="21366" xr:uid="{00000000-0005-0000-0000-0000963E0000}"/>
    <cellStyle name="40% - Accent4 3 3 9" xfId="4041" xr:uid="{00000000-0005-0000-0000-0000973E0000}"/>
    <cellStyle name="40% - Accent4 3 3 9 2" xfId="16210" xr:uid="{00000000-0005-0000-0000-0000983E0000}"/>
    <cellStyle name="40% - Accent4 3 3 9 2 2" xfId="29617" xr:uid="{00000000-0005-0000-0000-0000993E0000}"/>
    <cellStyle name="40% - Accent4 3 3 9 3" xfId="21367" xr:uid="{00000000-0005-0000-0000-00009A3E0000}"/>
    <cellStyle name="40% - Accent4 3 4" xfId="4042" xr:uid="{00000000-0005-0000-0000-00009B3E0000}"/>
    <cellStyle name="40% - Accent4 3 4 2" xfId="4043" xr:uid="{00000000-0005-0000-0000-00009C3E0000}"/>
    <cellStyle name="40% - Accent4 3 4 2 2" xfId="11117" xr:uid="{00000000-0005-0000-0000-00009D3E0000}"/>
    <cellStyle name="40% - Accent4 3 4 2 2 2" xfId="25059" xr:uid="{00000000-0005-0000-0000-00009E3E0000}"/>
    <cellStyle name="40% - Accent4 3 4 2 3" xfId="21369" xr:uid="{00000000-0005-0000-0000-00009F3E0000}"/>
    <cellStyle name="40% - Accent4 3 4 3" xfId="4044" xr:uid="{00000000-0005-0000-0000-0000A03E0000}"/>
    <cellStyle name="40% - Accent4 3 4 3 2" xfId="12896" xr:uid="{00000000-0005-0000-0000-0000A13E0000}"/>
    <cellStyle name="40% - Accent4 3 4 3 2 2" xfId="26608" xr:uid="{00000000-0005-0000-0000-0000A23E0000}"/>
    <cellStyle name="40% - Accent4 3 4 3 3" xfId="21370" xr:uid="{00000000-0005-0000-0000-0000A33E0000}"/>
    <cellStyle name="40% - Accent4 3 4 4" xfId="4045" xr:uid="{00000000-0005-0000-0000-0000A43E0000}"/>
    <cellStyle name="40% - Accent4 3 4 4 2" xfId="15314" xr:uid="{00000000-0005-0000-0000-0000A53E0000}"/>
    <cellStyle name="40% - Accent4 3 4 4 2 2" xfId="28863" xr:uid="{00000000-0005-0000-0000-0000A63E0000}"/>
    <cellStyle name="40% - Accent4 3 4 4 3" xfId="21371" xr:uid="{00000000-0005-0000-0000-0000A73E0000}"/>
    <cellStyle name="40% - Accent4 3 4 5" xfId="4046" xr:uid="{00000000-0005-0000-0000-0000A83E0000}"/>
    <cellStyle name="40% - Accent4 3 4 5 2" xfId="17138" xr:uid="{00000000-0005-0000-0000-0000A93E0000}"/>
    <cellStyle name="40% - Accent4 3 4 5 2 2" xfId="30497" xr:uid="{00000000-0005-0000-0000-0000AA3E0000}"/>
    <cellStyle name="40% - Accent4 3 4 5 3" xfId="21372" xr:uid="{00000000-0005-0000-0000-0000AB3E0000}"/>
    <cellStyle name="40% - Accent4 3 4 6" xfId="9390" xr:uid="{00000000-0005-0000-0000-0000AC3E0000}"/>
    <cellStyle name="40% - Accent4 3 4 6 2" xfId="23865" xr:uid="{00000000-0005-0000-0000-0000AD3E0000}"/>
    <cellStyle name="40% - Accent4 3 4 7" xfId="21368" xr:uid="{00000000-0005-0000-0000-0000AE3E0000}"/>
    <cellStyle name="40% - Accent4 3 5" xfId="4047" xr:uid="{00000000-0005-0000-0000-0000AF3E0000}"/>
    <cellStyle name="40% - Accent4 3 5 2" xfId="4048" xr:uid="{00000000-0005-0000-0000-0000B03E0000}"/>
    <cellStyle name="40% - Accent4 3 5 2 2" xfId="11118" xr:uid="{00000000-0005-0000-0000-0000B13E0000}"/>
    <cellStyle name="40% - Accent4 3 5 2 2 2" xfId="25060" xr:uid="{00000000-0005-0000-0000-0000B23E0000}"/>
    <cellStyle name="40% - Accent4 3 5 2 3" xfId="21374" xr:uid="{00000000-0005-0000-0000-0000B33E0000}"/>
    <cellStyle name="40% - Accent4 3 5 3" xfId="4049" xr:uid="{00000000-0005-0000-0000-0000B43E0000}"/>
    <cellStyle name="40% - Accent4 3 5 3 2" xfId="12897" xr:uid="{00000000-0005-0000-0000-0000B53E0000}"/>
    <cellStyle name="40% - Accent4 3 5 3 2 2" xfId="26609" xr:uid="{00000000-0005-0000-0000-0000B63E0000}"/>
    <cellStyle name="40% - Accent4 3 5 3 3" xfId="21375" xr:uid="{00000000-0005-0000-0000-0000B73E0000}"/>
    <cellStyle name="40% - Accent4 3 5 4" xfId="4050" xr:uid="{00000000-0005-0000-0000-0000B83E0000}"/>
    <cellStyle name="40% - Accent4 3 5 4 2" xfId="15315" xr:uid="{00000000-0005-0000-0000-0000B93E0000}"/>
    <cellStyle name="40% - Accent4 3 5 4 2 2" xfId="28864" xr:uid="{00000000-0005-0000-0000-0000BA3E0000}"/>
    <cellStyle name="40% - Accent4 3 5 4 3" xfId="21376" xr:uid="{00000000-0005-0000-0000-0000BB3E0000}"/>
    <cellStyle name="40% - Accent4 3 5 5" xfId="4051" xr:uid="{00000000-0005-0000-0000-0000BC3E0000}"/>
    <cellStyle name="40% - Accent4 3 5 5 2" xfId="17227" xr:uid="{00000000-0005-0000-0000-0000BD3E0000}"/>
    <cellStyle name="40% - Accent4 3 5 5 2 2" xfId="30586" xr:uid="{00000000-0005-0000-0000-0000BE3E0000}"/>
    <cellStyle name="40% - Accent4 3 5 5 3" xfId="21377" xr:uid="{00000000-0005-0000-0000-0000BF3E0000}"/>
    <cellStyle name="40% - Accent4 3 5 6" xfId="9391" xr:uid="{00000000-0005-0000-0000-0000C03E0000}"/>
    <cellStyle name="40% - Accent4 3 5 6 2" xfId="23866" xr:uid="{00000000-0005-0000-0000-0000C13E0000}"/>
    <cellStyle name="40% - Accent4 3 5 7" xfId="21373" xr:uid="{00000000-0005-0000-0000-0000C23E0000}"/>
    <cellStyle name="40% - Accent4 3 6" xfId="4052" xr:uid="{00000000-0005-0000-0000-0000C33E0000}"/>
    <cellStyle name="40% - Accent4 3 6 2" xfId="4053" xr:uid="{00000000-0005-0000-0000-0000C43E0000}"/>
    <cellStyle name="40% - Accent4 3 6 2 2" xfId="15316" xr:uid="{00000000-0005-0000-0000-0000C53E0000}"/>
    <cellStyle name="40% - Accent4 3 6 2 2 2" xfId="28865" xr:uid="{00000000-0005-0000-0000-0000C63E0000}"/>
    <cellStyle name="40% - Accent4 3 6 2 3" xfId="21379" xr:uid="{00000000-0005-0000-0000-0000C73E0000}"/>
    <cellStyle name="40% - Accent4 3 6 3" xfId="4054" xr:uid="{00000000-0005-0000-0000-0000C83E0000}"/>
    <cellStyle name="40% - Accent4 3 6 3 2" xfId="16502" xr:uid="{00000000-0005-0000-0000-0000C93E0000}"/>
    <cellStyle name="40% - Accent4 3 6 3 2 2" xfId="29909" xr:uid="{00000000-0005-0000-0000-0000CA3E0000}"/>
    <cellStyle name="40% - Accent4 3 6 3 3" xfId="21380" xr:uid="{00000000-0005-0000-0000-0000CB3E0000}"/>
    <cellStyle name="40% - Accent4 3 6 4" xfId="11110" xr:uid="{00000000-0005-0000-0000-0000CC3E0000}"/>
    <cellStyle name="40% - Accent4 3 6 4 2" xfId="25052" xr:uid="{00000000-0005-0000-0000-0000CD3E0000}"/>
    <cellStyle name="40% - Accent4 3 6 5" xfId="21378" xr:uid="{00000000-0005-0000-0000-0000CE3E0000}"/>
    <cellStyle name="40% - Accent4 3 7" xfId="4055" xr:uid="{00000000-0005-0000-0000-0000CF3E0000}"/>
    <cellStyle name="40% - Accent4 3 7 2" xfId="11874" xr:uid="{00000000-0005-0000-0000-0000D03E0000}"/>
    <cellStyle name="40% - Accent4 3 7 2 2" xfId="25589" xr:uid="{00000000-0005-0000-0000-0000D13E0000}"/>
    <cellStyle name="40% - Accent4 3 7 3" xfId="21381" xr:uid="{00000000-0005-0000-0000-0000D23E0000}"/>
    <cellStyle name="40% - Accent4 3 8" xfId="4056" xr:uid="{00000000-0005-0000-0000-0000D33E0000}"/>
    <cellStyle name="40% - Accent4 3 8 2" xfId="12889" xr:uid="{00000000-0005-0000-0000-0000D43E0000}"/>
    <cellStyle name="40% - Accent4 3 8 2 2" xfId="26601" xr:uid="{00000000-0005-0000-0000-0000D53E0000}"/>
    <cellStyle name="40% - Accent4 3 8 3" xfId="21382" xr:uid="{00000000-0005-0000-0000-0000D63E0000}"/>
    <cellStyle name="40% - Accent4 3 9" xfId="4057" xr:uid="{00000000-0005-0000-0000-0000D73E0000}"/>
    <cellStyle name="40% - Accent4 3 9 2" xfId="13454" xr:uid="{00000000-0005-0000-0000-0000D83E0000}"/>
    <cellStyle name="40% - Accent4 3 9 2 2" xfId="27003" xr:uid="{00000000-0005-0000-0000-0000D93E0000}"/>
    <cellStyle name="40% - Accent4 3 9 3" xfId="21383" xr:uid="{00000000-0005-0000-0000-0000DA3E0000}"/>
    <cellStyle name="40% - Accent4 30" xfId="23247" xr:uid="{00000000-0005-0000-0000-0000DB3E0000}"/>
    <cellStyle name="40% - Accent4 4" xfId="4058" xr:uid="{00000000-0005-0000-0000-0000DC3E0000}"/>
    <cellStyle name="40% - Accent4 4 10" xfId="4059" xr:uid="{00000000-0005-0000-0000-0000DD3E0000}"/>
    <cellStyle name="40% - Accent4 4 10 2" xfId="15317" xr:uid="{00000000-0005-0000-0000-0000DE3E0000}"/>
    <cellStyle name="40% - Accent4 4 10 2 2" xfId="28866" xr:uid="{00000000-0005-0000-0000-0000DF3E0000}"/>
    <cellStyle name="40% - Accent4 4 10 3" xfId="21385" xr:uid="{00000000-0005-0000-0000-0000E03E0000}"/>
    <cellStyle name="40% - Accent4 4 11" xfId="4060" xr:uid="{00000000-0005-0000-0000-0000E13E0000}"/>
    <cellStyle name="40% - Accent4 4 11 2" xfId="15877" xr:uid="{00000000-0005-0000-0000-0000E23E0000}"/>
    <cellStyle name="40% - Accent4 4 11 2 2" xfId="29284" xr:uid="{00000000-0005-0000-0000-0000E33E0000}"/>
    <cellStyle name="40% - Accent4 4 11 3" xfId="21386" xr:uid="{00000000-0005-0000-0000-0000E43E0000}"/>
    <cellStyle name="40% - Accent4 4 12" xfId="9392" xr:uid="{00000000-0005-0000-0000-0000E53E0000}"/>
    <cellStyle name="40% - Accent4 4 12 2" xfId="23867" xr:uid="{00000000-0005-0000-0000-0000E63E0000}"/>
    <cellStyle name="40% - Accent4 4 13" xfId="21384" xr:uid="{00000000-0005-0000-0000-0000E73E0000}"/>
    <cellStyle name="40% - Accent4 4 2" xfId="4061" xr:uid="{00000000-0005-0000-0000-0000E83E0000}"/>
    <cellStyle name="40% - Accent4 4 2 10" xfId="4062" xr:uid="{00000000-0005-0000-0000-0000E93E0000}"/>
    <cellStyle name="40% - Accent4 4 2 10 2" xfId="16020" xr:uid="{00000000-0005-0000-0000-0000EA3E0000}"/>
    <cellStyle name="40% - Accent4 4 2 10 2 2" xfId="29427" xr:uid="{00000000-0005-0000-0000-0000EB3E0000}"/>
    <cellStyle name="40% - Accent4 4 2 10 3" xfId="21388" xr:uid="{00000000-0005-0000-0000-0000EC3E0000}"/>
    <cellStyle name="40% - Accent4 4 2 11" xfId="9393" xr:uid="{00000000-0005-0000-0000-0000ED3E0000}"/>
    <cellStyle name="40% - Accent4 4 2 11 2" xfId="23868" xr:uid="{00000000-0005-0000-0000-0000EE3E0000}"/>
    <cellStyle name="40% - Accent4 4 2 12" xfId="21387" xr:uid="{00000000-0005-0000-0000-0000EF3E0000}"/>
    <cellStyle name="40% - Accent4 4 2 2" xfId="4063" xr:uid="{00000000-0005-0000-0000-0000F03E0000}"/>
    <cellStyle name="40% - Accent4 4 2 2 10" xfId="9394" xr:uid="{00000000-0005-0000-0000-0000F13E0000}"/>
    <cellStyle name="40% - Accent4 4 2 2 10 2" xfId="23869" xr:uid="{00000000-0005-0000-0000-0000F23E0000}"/>
    <cellStyle name="40% - Accent4 4 2 2 11" xfId="21389" xr:uid="{00000000-0005-0000-0000-0000F33E0000}"/>
    <cellStyle name="40% - Accent4 4 2 2 2" xfId="4064" xr:uid="{00000000-0005-0000-0000-0000F43E0000}"/>
    <cellStyle name="40% - Accent4 4 2 2 2 2" xfId="4065" xr:uid="{00000000-0005-0000-0000-0000F53E0000}"/>
    <cellStyle name="40% - Accent4 4 2 2 2 2 2" xfId="11122" xr:uid="{00000000-0005-0000-0000-0000F63E0000}"/>
    <cellStyle name="40% - Accent4 4 2 2 2 2 2 2" xfId="25064" xr:uid="{00000000-0005-0000-0000-0000F73E0000}"/>
    <cellStyle name="40% - Accent4 4 2 2 2 2 3" xfId="23189" xr:uid="{00000000-0005-0000-0000-0000F83E0000}"/>
    <cellStyle name="40% - Accent4 4 2 2 2 3" xfId="4066" xr:uid="{00000000-0005-0000-0000-0000F93E0000}"/>
    <cellStyle name="40% - Accent4 4 2 2 2 3 2" xfId="12901" xr:uid="{00000000-0005-0000-0000-0000FA3E0000}"/>
    <cellStyle name="40% - Accent4 4 2 2 2 3 2 2" xfId="26613" xr:uid="{00000000-0005-0000-0000-0000FB3E0000}"/>
    <cellStyle name="40% - Accent4 4 2 2 2 3 3" xfId="24304" xr:uid="{00000000-0005-0000-0000-0000FC3E0000}"/>
    <cellStyle name="40% - Accent4 4 2 2 2 4" xfId="4067" xr:uid="{00000000-0005-0000-0000-0000FD3E0000}"/>
    <cellStyle name="40% - Accent4 4 2 2 2 4 2" xfId="15320" xr:uid="{00000000-0005-0000-0000-0000FE3E0000}"/>
    <cellStyle name="40% - Accent4 4 2 2 2 4 2 2" xfId="28869" xr:uid="{00000000-0005-0000-0000-0000FF3E0000}"/>
    <cellStyle name="40% - Accent4 4 2 2 2 4 3" xfId="23188" xr:uid="{00000000-0005-0000-0000-0000003F0000}"/>
    <cellStyle name="40% - Accent4 4 2 2 2 5" xfId="4068" xr:uid="{00000000-0005-0000-0000-0000013F0000}"/>
    <cellStyle name="40% - Accent4 4 2 2 2 5 2" xfId="16890" xr:uid="{00000000-0005-0000-0000-0000023F0000}"/>
    <cellStyle name="40% - Accent4 4 2 2 2 5 2 2" xfId="30297" xr:uid="{00000000-0005-0000-0000-0000033F0000}"/>
    <cellStyle name="40% - Accent4 4 2 2 2 5 3" xfId="23187" xr:uid="{00000000-0005-0000-0000-0000043F0000}"/>
    <cellStyle name="40% - Accent4 4 2 2 2 6" xfId="9395" xr:uid="{00000000-0005-0000-0000-0000053F0000}"/>
    <cellStyle name="40% - Accent4 4 2 2 2 6 2" xfId="23870" xr:uid="{00000000-0005-0000-0000-0000063F0000}"/>
    <cellStyle name="40% - Accent4 4 2 2 2 7" xfId="21390" xr:uid="{00000000-0005-0000-0000-0000073F0000}"/>
    <cellStyle name="40% - Accent4 4 2 2 3" xfId="4069" xr:uid="{00000000-0005-0000-0000-0000083F0000}"/>
    <cellStyle name="40% - Accent4 4 2 2 3 2" xfId="4070" xr:uid="{00000000-0005-0000-0000-0000093F0000}"/>
    <cellStyle name="40% - Accent4 4 2 2 3 2 2" xfId="15321" xr:uid="{00000000-0005-0000-0000-00000A3F0000}"/>
    <cellStyle name="40% - Accent4 4 2 2 3 2 2 2" xfId="28870" xr:uid="{00000000-0005-0000-0000-00000B3F0000}"/>
    <cellStyle name="40% - Accent4 4 2 2 3 2 3" xfId="23186" xr:uid="{00000000-0005-0000-0000-00000C3F0000}"/>
    <cellStyle name="40% - Accent4 4 2 2 3 3" xfId="11121" xr:uid="{00000000-0005-0000-0000-00000D3F0000}"/>
    <cellStyle name="40% - Accent4 4 2 2 3 3 2" xfId="25063" xr:uid="{00000000-0005-0000-0000-00000E3F0000}"/>
    <cellStyle name="40% - Accent4 4 2 2 3 4" xfId="26865" xr:uid="{00000000-0005-0000-0000-00000F3F0000}"/>
    <cellStyle name="40% - Accent4 4 2 2 4" xfId="4071" xr:uid="{00000000-0005-0000-0000-0000103F0000}"/>
    <cellStyle name="40% - Accent4 4 2 2 4 2" xfId="12278" xr:uid="{00000000-0005-0000-0000-0000113F0000}"/>
    <cellStyle name="40% - Accent4 4 2 2 4 2 2" xfId="25990" xr:uid="{00000000-0005-0000-0000-0000123F0000}"/>
    <cellStyle name="40% - Accent4 4 2 2 4 3" xfId="23185" xr:uid="{00000000-0005-0000-0000-0000133F0000}"/>
    <cellStyle name="40% - Accent4 4 2 2 5" xfId="4072" xr:uid="{00000000-0005-0000-0000-0000143F0000}"/>
    <cellStyle name="40% - Accent4 4 2 2 5 2" xfId="12900" xr:uid="{00000000-0005-0000-0000-0000153F0000}"/>
    <cellStyle name="40% - Accent4 4 2 2 5 2 2" xfId="26612" xr:uid="{00000000-0005-0000-0000-0000163F0000}"/>
    <cellStyle name="40% - Accent4 4 2 2 5 3" xfId="24303" xr:uid="{00000000-0005-0000-0000-0000173F0000}"/>
    <cellStyle name="40% - Accent4 4 2 2 6" xfId="4073" xr:uid="{00000000-0005-0000-0000-0000183F0000}"/>
    <cellStyle name="40% - Accent4 4 2 2 6 2" xfId="13842" xr:uid="{00000000-0005-0000-0000-0000193F0000}"/>
    <cellStyle name="40% - Accent4 4 2 2 6 2 2" xfId="27391" xr:uid="{00000000-0005-0000-0000-00001A3F0000}"/>
    <cellStyle name="40% - Accent4 4 2 2 6 3" xfId="23184" xr:uid="{00000000-0005-0000-0000-00001B3F0000}"/>
    <cellStyle name="40% - Accent4 4 2 2 7" xfId="4074" xr:uid="{00000000-0005-0000-0000-00001C3F0000}"/>
    <cellStyle name="40% - Accent4 4 2 2 7 2" xfId="14423" xr:uid="{00000000-0005-0000-0000-00001D3F0000}"/>
    <cellStyle name="40% - Accent4 4 2 2 7 2 2" xfId="27972" xr:uid="{00000000-0005-0000-0000-00001E3F0000}"/>
    <cellStyle name="40% - Accent4 4 2 2 7 3" xfId="26863" xr:uid="{00000000-0005-0000-0000-00001F3F0000}"/>
    <cellStyle name="40% - Accent4 4 2 2 8" xfId="4075" xr:uid="{00000000-0005-0000-0000-0000203F0000}"/>
    <cellStyle name="40% - Accent4 4 2 2 8 2" xfId="15319" xr:uid="{00000000-0005-0000-0000-0000213F0000}"/>
    <cellStyle name="40% - Accent4 4 2 2 8 2 2" xfId="28868" xr:uid="{00000000-0005-0000-0000-0000223F0000}"/>
    <cellStyle name="40% - Accent4 4 2 2 8 3" xfId="23183" xr:uid="{00000000-0005-0000-0000-0000233F0000}"/>
    <cellStyle name="40% - Accent4 4 2 2 9" xfId="4076" xr:uid="{00000000-0005-0000-0000-0000243F0000}"/>
    <cellStyle name="40% - Accent4 4 2 2 9 2" xfId="16309" xr:uid="{00000000-0005-0000-0000-0000253F0000}"/>
    <cellStyle name="40% - Accent4 4 2 2 9 2 2" xfId="29716" xr:uid="{00000000-0005-0000-0000-0000263F0000}"/>
    <cellStyle name="40% - Accent4 4 2 2 9 3" xfId="23182" xr:uid="{00000000-0005-0000-0000-0000273F0000}"/>
    <cellStyle name="40% - Accent4 4 2 3" xfId="4077" xr:uid="{00000000-0005-0000-0000-0000283F0000}"/>
    <cellStyle name="40% - Accent4 4 2 3 2" xfId="4078" xr:uid="{00000000-0005-0000-0000-0000293F0000}"/>
    <cellStyle name="40% - Accent4 4 2 3 2 2" xfId="11123" xr:uid="{00000000-0005-0000-0000-00002A3F0000}"/>
    <cellStyle name="40% - Accent4 4 2 3 2 2 2" xfId="25065" xr:uid="{00000000-0005-0000-0000-00002B3F0000}"/>
    <cellStyle name="40% - Accent4 4 2 3 2 3" xfId="23181" xr:uid="{00000000-0005-0000-0000-00002C3F0000}"/>
    <cellStyle name="40% - Accent4 4 2 3 3" xfId="4079" xr:uid="{00000000-0005-0000-0000-00002D3F0000}"/>
    <cellStyle name="40% - Accent4 4 2 3 3 2" xfId="12902" xr:uid="{00000000-0005-0000-0000-00002E3F0000}"/>
    <cellStyle name="40% - Accent4 4 2 3 3 2 2" xfId="26614" xr:uid="{00000000-0005-0000-0000-00002F3F0000}"/>
    <cellStyle name="40% - Accent4 4 2 3 3 3" xfId="23180" xr:uid="{00000000-0005-0000-0000-0000303F0000}"/>
    <cellStyle name="40% - Accent4 4 2 3 4" xfId="4080" xr:uid="{00000000-0005-0000-0000-0000313F0000}"/>
    <cellStyle name="40% - Accent4 4 2 3 4 2" xfId="15322" xr:uid="{00000000-0005-0000-0000-0000323F0000}"/>
    <cellStyle name="40% - Accent4 4 2 3 4 2 2" xfId="28871" xr:uid="{00000000-0005-0000-0000-0000333F0000}"/>
    <cellStyle name="40% - Accent4 4 2 3 4 3" xfId="30645" xr:uid="{00000000-0005-0000-0000-0000343F0000}"/>
    <cellStyle name="40% - Accent4 4 2 3 5" xfId="4081" xr:uid="{00000000-0005-0000-0000-0000353F0000}"/>
    <cellStyle name="40% - Accent4 4 2 3 5 2" xfId="16601" xr:uid="{00000000-0005-0000-0000-0000363F0000}"/>
    <cellStyle name="40% - Accent4 4 2 3 5 2 2" xfId="30008" xr:uid="{00000000-0005-0000-0000-0000373F0000}"/>
    <cellStyle name="40% - Accent4 4 2 3 5 3" xfId="24300" xr:uid="{00000000-0005-0000-0000-0000383F0000}"/>
    <cellStyle name="40% - Accent4 4 2 3 6" xfId="9396" xr:uid="{00000000-0005-0000-0000-0000393F0000}"/>
    <cellStyle name="40% - Accent4 4 2 3 6 2" xfId="23871" xr:uid="{00000000-0005-0000-0000-00003A3F0000}"/>
    <cellStyle name="40% - Accent4 4 2 3 7" xfId="24302" xr:uid="{00000000-0005-0000-0000-00003B3F0000}"/>
    <cellStyle name="40% - Accent4 4 2 4" xfId="4082" xr:uid="{00000000-0005-0000-0000-00003C3F0000}"/>
    <cellStyle name="40% - Accent4 4 2 4 2" xfId="4083" xr:uid="{00000000-0005-0000-0000-00003D3F0000}"/>
    <cellStyle name="40% - Accent4 4 2 4 2 2" xfId="15323" xr:uid="{00000000-0005-0000-0000-00003E3F0000}"/>
    <cellStyle name="40% - Accent4 4 2 4 2 2 2" xfId="28872" xr:uid="{00000000-0005-0000-0000-00003F3F0000}"/>
    <cellStyle name="40% - Accent4 4 2 4 2 3" xfId="24453" xr:uid="{00000000-0005-0000-0000-0000403F0000}"/>
    <cellStyle name="40% - Accent4 4 2 4 3" xfId="11120" xr:uid="{00000000-0005-0000-0000-0000413F0000}"/>
    <cellStyle name="40% - Accent4 4 2 4 3 2" xfId="25062" xr:uid="{00000000-0005-0000-0000-0000423F0000}"/>
    <cellStyle name="40% - Accent4 4 2 4 4" xfId="23191" xr:uid="{00000000-0005-0000-0000-0000433F0000}"/>
    <cellStyle name="40% - Accent4 4 2 5" xfId="4084" xr:uid="{00000000-0005-0000-0000-0000443F0000}"/>
    <cellStyle name="40% - Accent4 4 2 5 2" xfId="11978" xr:uid="{00000000-0005-0000-0000-0000453F0000}"/>
    <cellStyle name="40% - Accent4 4 2 5 2 2" xfId="25693" xr:uid="{00000000-0005-0000-0000-0000463F0000}"/>
    <cellStyle name="40% - Accent4 4 2 5 3" xfId="23229" xr:uid="{00000000-0005-0000-0000-0000473F0000}"/>
    <cellStyle name="40% - Accent4 4 2 6" xfId="4085" xr:uid="{00000000-0005-0000-0000-0000483F0000}"/>
    <cellStyle name="40% - Accent4 4 2 6 2" xfId="12899" xr:uid="{00000000-0005-0000-0000-0000493F0000}"/>
    <cellStyle name="40% - Accent4 4 2 6 2 2" xfId="26611" xr:uid="{00000000-0005-0000-0000-00004A3F0000}"/>
    <cellStyle name="40% - Accent4 4 2 6 3" xfId="30674" xr:uid="{00000000-0005-0000-0000-00004B3F0000}"/>
    <cellStyle name="40% - Accent4 4 2 7" xfId="4086" xr:uid="{00000000-0005-0000-0000-00004C3F0000}"/>
    <cellStyle name="40% - Accent4 4 2 7 2" xfId="13553" xr:uid="{00000000-0005-0000-0000-00004D3F0000}"/>
    <cellStyle name="40% - Accent4 4 2 7 2 2" xfId="27102" xr:uid="{00000000-0005-0000-0000-00004E3F0000}"/>
    <cellStyle name="40% - Accent4 4 2 7 3" xfId="23179" xr:uid="{00000000-0005-0000-0000-00004F3F0000}"/>
    <cellStyle name="40% - Accent4 4 2 8" xfId="4087" xr:uid="{00000000-0005-0000-0000-0000503F0000}"/>
    <cellStyle name="40% - Accent4 4 2 8 2" xfId="14134" xr:uid="{00000000-0005-0000-0000-0000513F0000}"/>
    <cellStyle name="40% - Accent4 4 2 8 2 2" xfId="27683" xr:uid="{00000000-0005-0000-0000-0000523F0000}"/>
    <cellStyle name="40% - Accent4 4 2 8 3" xfId="23178" xr:uid="{00000000-0005-0000-0000-0000533F0000}"/>
    <cellStyle name="40% - Accent4 4 2 9" xfId="4088" xr:uid="{00000000-0005-0000-0000-0000543F0000}"/>
    <cellStyle name="40% - Accent4 4 2 9 2" xfId="15318" xr:uid="{00000000-0005-0000-0000-0000553F0000}"/>
    <cellStyle name="40% - Accent4 4 2 9 2 2" xfId="28867" xr:uid="{00000000-0005-0000-0000-0000563F0000}"/>
    <cellStyle name="40% - Accent4 4 2 9 3" xfId="26862" xr:uid="{00000000-0005-0000-0000-0000573F0000}"/>
    <cellStyle name="40% - Accent4 4 3" xfId="4089" xr:uid="{00000000-0005-0000-0000-0000583F0000}"/>
    <cellStyle name="40% - Accent4 4 3 10" xfId="9397" xr:uid="{00000000-0005-0000-0000-0000593F0000}"/>
    <cellStyle name="40% - Accent4 4 3 10 2" xfId="23872" xr:uid="{00000000-0005-0000-0000-00005A3F0000}"/>
    <cellStyle name="40% - Accent4 4 3 11" xfId="23177" xr:uid="{00000000-0005-0000-0000-00005B3F0000}"/>
    <cellStyle name="40% - Accent4 4 3 2" xfId="4090" xr:uid="{00000000-0005-0000-0000-00005C3F0000}"/>
    <cellStyle name="40% - Accent4 4 3 2 2" xfId="4091" xr:uid="{00000000-0005-0000-0000-00005D3F0000}"/>
    <cellStyle name="40% - Accent4 4 3 2 2 2" xfId="11125" xr:uid="{00000000-0005-0000-0000-00005E3F0000}"/>
    <cellStyle name="40% - Accent4 4 3 2 2 2 2" xfId="25067" xr:uid="{00000000-0005-0000-0000-00005F3F0000}"/>
    <cellStyle name="40% - Accent4 4 3 2 2 3" xfId="23198" xr:uid="{00000000-0005-0000-0000-0000603F0000}"/>
    <cellStyle name="40% - Accent4 4 3 2 3" xfId="4092" xr:uid="{00000000-0005-0000-0000-0000613F0000}"/>
    <cellStyle name="40% - Accent4 4 3 2 3 2" xfId="12904" xr:uid="{00000000-0005-0000-0000-0000623F0000}"/>
    <cellStyle name="40% - Accent4 4 3 2 3 2 2" xfId="26616" xr:uid="{00000000-0005-0000-0000-0000633F0000}"/>
    <cellStyle name="40% - Accent4 4 3 2 3 3" xfId="23175" xr:uid="{00000000-0005-0000-0000-0000643F0000}"/>
    <cellStyle name="40% - Accent4 4 3 2 4" xfId="4093" xr:uid="{00000000-0005-0000-0000-0000653F0000}"/>
    <cellStyle name="40% - Accent4 4 3 2 4 2" xfId="15325" xr:uid="{00000000-0005-0000-0000-0000663F0000}"/>
    <cellStyle name="40% - Accent4 4 3 2 4 2 2" xfId="28874" xr:uid="{00000000-0005-0000-0000-0000673F0000}"/>
    <cellStyle name="40% - Accent4 4 3 2 4 3" xfId="26861" xr:uid="{00000000-0005-0000-0000-0000683F0000}"/>
    <cellStyle name="40% - Accent4 4 3 2 5" xfId="4094" xr:uid="{00000000-0005-0000-0000-0000693F0000}"/>
    <cellStyle name="40% - Accent4 4 3 2 5 2" xfId="16750" xr:uid="{00000000-0005-0000-0000-00006A3F0000}"/>
    <cellStyle name="40% - Accent4 4 3 2 5 2 2" xfId="30157" xr:uid="{00000000-0005-0000-0000-00006B3F0000}"/>
    <cellStyle name="40% - Accent4 4 3 2 5 3" xfId="23174" xr:uid="{00000000-0005-0000-0000-00006C3F0000}"/>
    <cellStyle name="40% - Accent4 4 3 2 6" xfId="9398" xr:uid="{00000000-0005-0000-0000-00006D3F0000}"/>
    <cellStyle name="40% - Accent4 4 3 2 6 2" xfId="23873" xr:uid="{00000000-0005-0000-0000-00006E3F0000}"/>
    <cellStyle name="40% - Accent4 4 3 2 7" xfId="23176" xr:uid="{00000000-0005-0000-0000-00006F3F0000}"/>
    <cellStyle name="40% - Accent4 4 3 3" xfId="4095" xr:uid="{00000000-0005-0000-0000-0000703F0000}"/>
    <cellStyle name="40% - Accent4 4 3 3 2" xfId="4096" xr:uid="{00000000-0005-0000-0000-0000713F0000}"/>
    <cellStyle name="40% - Accent4 4 3 3 2 2" xfId="15326" xr:uid="{00000000-0005-0000-0000-0000723F0000}"/>
    <cellStyle name="40% - Accent4 4 3 3 2 2 2" xfId="28875" xr:uid="{00000000-0005-0000-0000-0000733F0000}"/>
    <cellStyle name="40% - Accent4 4 3 3 2 3" xfId="23173" xr:uid="{00000000-0005-0000-0000-0000743F0000}"/>
    <cellStyle name="40% - Accent4 4 3 3 3" xfId="11124" xr:uid="{00000000-0005-0000-0000-0000753F0000}"/>
    <cellStyle name="40% - Accent4 4 3 3 3 2" xfId="25066" xr:uid="{00000000-0005-0000-0000-0000763F0000}"/>
    <cellStyle name="40% - Accent4 4 3 3 4" xfId="24301" xr:uid="{00000000-0005-0000-0000-0000773F0000}"/>
    <cellStyle name="40% - Accent4 4 3 4" xfId="4097" xr:uid="{00000000-0005-0000-0000-0000783F0000}"/>
    <cellStyle name="40% - Accent4 4 3 4 2" xfId="12138" xr:uid="{00000000-0005-0000-0000-0000793F0000}"/>
    <cellStyle name="40% - Accent4 4 3 4 2 2" xfId="25850" xr:uid="{00000000-0005-0000-0000-00007A3F0000}"/>
    <cellStyle name="40% - Accent4 4 3 4 3" xfId="23172" xr:uid="{00000000-0005-0000-0000-00007B3F0000}"/>
    <cellStyle name="40% - Accent4 4 3 5" xfId="4098" xr:uid="{00000000-0005-0000-0000-00007C3F0000}"/>
    <cellStyle name="40% - Accent4 4 3 5 2" xfId="12903" xr:uid="{00000000-0005-0000-0000-00007D3F0000}"/>
    <cellStyle name="40% - Accent4 4 3 5 2 2" xfId="26615" xr:uid="{00000000-0005-0000-0000-00007E3F0000}"/>
    <cellStyle name="40% - Accent4 4 3 5 3" xfId="23171" xr:uid="{00000000-0005-0000-0000-00007F3F0000}"/>
    <cellStyle name="40% - Accent4 4 3 6" xfId="4099" xr:uid="{00000000-0005-0000-0000-0000803F0000}"/>
    <cellStyle name="40% - Accent4 4 3 6 2" xfId="13702" xr:uid="{00000000-0005-0000-0000-0000813F0000}"/>
    <cellStyle name="40% - Accent4 4 3 6 2 2" xfId="27251" xr:uid="{00000000-0005-0000-0000-0000823F0000}"/>
    <cellStyle name="40% - Accent4 4 3 6 3" xfId="26860" xr:uid="{00000000-0005-0000-0000-0000833F0000}"/>
    <cellStyle name="40% - Accent4 4 3 7" xfId="4100" xr:uid="{00000000-0005-0000-0000-0000843F0000}"/>
    <cellStyle name="40% - Accent4 4 3 7 2" xfId="14283" xr:uid="{00000000-0005-0000-0000-0000853F0000}"/>
    <cellStyle name="40% - Accent4 4 3 7 2 2" xfId="27832" xr:uid="{00000000-0005-0000-0000-0000863F0000}"/>
    <cellStyle name="40% - Accent4 4 3 7 3" xfId="23170" xr:uid="{00000000-0005-0000-0000-0000873F0000}"/>
    <cellStyle name="40% - Accent4 4 3 8" xfId="4101" xr:uid="{00000000-0005-0000-0000-0000883F0000}"/>
    <cellStyle name="40% - Accent4 4 3 8 2" xfId="15324" xr:uid="{00000000-0005-0000-0000-0000893F0000}"/>
    <cellStyle name="40% - Accent4 4 3 8 2 2" xfId="28873" xr:uid="{00000000-0005-0000-0000-00008A3F0000}"/>
    <cellStyle name="40% - Accent4 4 3 8 3" xfId="24298" xr:uid="{00000000-0005-0000-0000-00008B3F0000}"/>
    <cellStyle name="40% - Accent4 4 3 9" xfId="4102" xr:uid="{00000000-0005-0000-0000-00008C3F0000}"/>
    <cellStyle name="40% - Accent4 4 3 9 2" xfId="16169" xr:uid="{00000000-0005-0000-0000-00008D3F0000}"/>
    <cellStyle name="40% - Accent4 4 3 9 2 2" xfId="29576" xr:uid="{00000000-0005-0000-0000-00008E3F0000}"/>
    <cellStyle name="40% - Accent4 4 3 9 3" xfId="26859" xr:uid="{00000000-0005-0000-0000-00008F3F0000}"/>
    <cellStyle name="40% - Accent4 4 4" xfId="4103" xr:uid="{00000000-0005-0000-0000-0000903F0000}"/>
    <cellStyle name="40% - Accent4 4 4 2" xfId="4104" xr:uid="{00000000-0005-0000-0000-0000913F0000}"/>
    <cellStyle name="40% - Accent4 4 4 2 2" xfId="11126" xr:uid="{00000000-0005-0000-0000-0000923F0000}"/>
    <cellStyle name="40% - Accent4 4 4 2 2 2" xfId="25068" xr:uid="{00000000-0005-0000-0000-0000933F0000}"/>
    <cellStyle name="40% - Accent4 4 4 2 3" xfId="24299" xr:uid="{00000000-0005-0000-0000-0000943F0000}"/>
    <cellStyle name="40% - Accent4 4 4 3" xfId="4105" xr:uid="{00000000-0005-0000-0000-0000953F0000}"/>
    <cellStyle name="40% - Accent4 4 4 3 2" xfId="12905" xr:uid="{00000000-0005-0000-0000-0000963F0000}"/>
    <cellStyle name="40% - Accent4 4 4 3 2 2" xfId="26617" xr:uid="{00000000-0005-0000-0000-0000973F0000}"/>
    <cellStyle name="40% - Accent4 4 4 3 3" xfId="23168" xr:uid="{00000000-0005-0000-0000-0000983F0000}"/>
    <cellStyle name="40% - Accent4 4 4 4" xfId="4106" xr:uid="{00000000-0005-0000-0000-0000993F0000}"/>
    <cellStyle name="40% - Accent4 4 4 4 2" xfId="15327" xr:uid="{00000000-0005-0000-0000-00009A3F0000}"/>
    <cellStyle name="40% - Accent4 4 4 4 2 2" xfId="28876" xr:uid="{00000000-0005-0000-0000-00009B3F0000}"/>
    <cellStyle name="40% - Accent4 4 4 4 3" xfId="23167" xr:uid="{00000000-0005-0000-0000-00009C3F0000}"/>
    <cellStyle name="40% - Accent4 4 4 5" xfId="4107" xr:uid="{00000000-0005-0000-0000-00009D3F0000}"/>
    <cellStyle name="40% - Accent4 4 4 5 2" xfId="16458" xr:uid="{00000000-0005-0000-0000-00009E3F0000}"/>
    <cellStyle name="40% - Accent4 4 4 5 2 2" xfId="29865" xr:uid="{00000000-0005-0000-0000-00009F3F0000}"/>
    <cellStyle name="40% - Accent4 4 4 5 3" xfId="24297" xr:uid="{00000000-0005-0000-0000-0000A03F0000}"/>
    <cellStyle name="40% - Accent4 4 4 6" xfId="9399" xr:uid="{00000000-0005-0000-0000-0000A13F0000}"/>
    <cellStyle name="40% - Accent4 4 4 6 2" xfId="23874" xr:uid="{00000000-0005-0000-0000-0000A23F0000}"/>
    <cellStyle name="40% - Accent4 4 4 7" xfId="23169" xr:uid="{00000000-0005-0000-0000-0000A33F0000}"/>
    <cellStyle name="40% - Accent4 4 5" xfId="4108" xr:uid="{00000000-0005-0000-0000-0000A43F0000}"/>
    <cellStyle name="40% - Accent4 4 5 2" xfId="4109" xr:uid="{00000000-0005-0000-0000-0000A53F0000}"/>
    <cellStyle name="40% - Accent4 4 5 2 2" xfId="15328" xr:uid="{00000000-0005-0000-0000-0000A63F0000}"/>
    <cellStyle name="40% - Accent4 4 5 2 2 2" xfId="28877" xr:uid="{00000000-0005-0000-0000-0000A73F0000}"/>
    <cellStyle name="40% - Accent4 4 5 2 3" xfId="23194" xr:uid="{00000000-0005-0000-0000-0000A83F0000}"/>
    <cellStyle name="40% - Accent4 4 5 3" xfId="11119" xr:uid="{00000000-0005-0000-0000-0000A93F0000}"/>
    <cellStyle name="40% - Accent4 4 5 3 2" xfId="25061" xr:uid="{00000000-0005-0000-0000-0000AA3F0000}"/>
    <cellStyle name="40% - Accent4 4 5 4" xfId="23166" xr:uid="{00000000-0005-0000-0000-0000AB3F0000}"/>
    <cellStyle name="40% - Accent4 4 6" xfId="4110" xr:uid="{00000000-0005-0000-0000-0000AC3F0000}"/>
    <cellStyle name="40% - Accent4 4 6 2" xfId="11809" xr:uid="{00000000-0005-0000-0000-0000AD3F0000}"/>
    <cellStyle name="40% - Accent4 4 6 2 2" xfId="25524" xr:uid="{00000000-0005-0000-0000-0000AE3F0000}"/>
    <cellStyle name="40% - Accent4 4 6 3" xfId="24296" xr:uid="{00000000-0005-0000-0000-0000AF3F0000}"/>
    <cellStyle name="40% - Accent4 4 7" xfId="4111" xr:uid="{00000000-0005-0000-0000-0000B03F0000}"/>
    <cellStyle name="40% - Accent4 4 7 2" xfId="12898" xr:uid="{00000000-0005-0000-0000-0000B13F0000}"/>
    <cellStyle name="40% - Accent4 4 7 2 2" xfId="26610" xr:uid="{00000000-0005-0000-0000-0000B23F0000}"/>
    <cellStyle name="40% - Accent4 4 7 3" xfId="30643" xr:uid="{00000000-0005-0000-0000-0000B33F0000}"/>
    <cellStyle name="40% - Accent4 4 8" xfId="4112" xr:uid="{00000000-0005-0000-0000-0000B43F0000}"/>
    <cellStyle name="40% - Accent4 4 8 2" xfId="13410" xr:uid="{00000000-0005-0000-0000-0000B53F0000}"/>
    <cellStyle name="40% - Accent4 4 8 2 2" xfId="26959" xr:uid="{00000000-0005-0000-0000-0000B63F0000}"/>
    <cellStyle name="40% - Accent4 4 8 3" xfId="30673" xr:uid="{00000000-0005-0000-0000-0000B73F0000}"/>
    <cellStyle name="40% - Accent4 4 9" xfId="4113" xr:uid="{00000000-0005-0000-0000-0000B83F0000}"/>
    <cellStyle name="40% - Accent4 4 9 2" xfId="13991" xr:uid="{00000000-0005-0000-0000-0000B93F0000}"/>
    <cellStyle name="40% - Accent4 4 9 2 2" xfId="27540" xr:uid="{00000000-0005-0000-0000-0000BA3F0000}"/>
    <cellStyle name="40% - Accent4 4 9 3" xfId="23228" xr:uid="{00000000-0005-0000-0000-0000BB3F0000}"/>
    <cellStyle name="40% - Accent4 5" xfId="4114" xr:uid="{00000000-0005-0000-0000-0000BC3F0000}"/>
    <cellStyle name="40% - Accent4 5 10" xfId="4115" xr:uid="{00000000-0005-0000-0000-0000BD3F0000}"/>
    <cellStyle name="40% - Accent4 5 10 2" xfId="15329" xr:uid="{00000000-0005-0000-0000-0000BE3F0000}"/>
    <cellStyle name="40% - Accent4 5 10 2 2" xfId="28878" xr:uid="{00000000-0005-0000-0000-0000BF3F0000}"/>
    <cellStyle name="40% - Accent4 5 10 3" xfId="23196" xr:uid="{00000000-0005-0000-0000-0000C03F0000}"/>
    <cellStyle name="40% - Accent4 5 11" xfId="4116" xr:uid="{00000000-0005-0000-0000-0000C13F0000}"/>
    <cellStyle name="40% - Accent4 5 11 2" xfId="15860" xr:uid="{00000000-0005-0000-0000-0000C23F0000}"/>
    <cellStyle name="40% - Accent4 5 11 2 2" xfId="29267" xr:uid="{00000000-0005-0000-0000-0000C33F0000}"/>
    <cellStyle name="40% - Accent4 5 11 3" xfId="30420" xr:uid="{00000000-0005-0000-0000-0000C43F0000}"/>
    <cellStyle name="40% - Accent4 5 12" xfId="9400" xr:uid="{00000000-0005-0000-0000-0000C53F0000}"/>
    <cellStyle name="40% - Accent4 5 12 2" xfId="23875" xr:uid="{00000000-0005-0000-0000-0000C63F0000}"/>
    <cellStyle name="40% - Accent4 5 13" xfId="23165" xr:uid="{00000000-0005-0000-0000-0000C73F0000}"/>
    <cellStyle name="40% - Accent4 5 2" xfId="4117" xr:uid="{00000000-0005-0000-0000-0000C83F0000}"/>
    <cellStyle name="40% - Accent4 5 2 10" xfId="4118" xr:uid="{00000000-0005-0000-0000-0000C93F0000}"/>
    <cellStyle name="40% - Accent4 5 2 10 2" xfId="16003" xr:uid="{00000000-0005-0000-0000-0000CA3F0000}"/>
    <cellStyle name="40% - Accent4 5 2 10 2 2" xfId="29410" xr:uid="{00000000-0005-0000-0000-0000CB3F0000}"/>
    <cellStyle name="40% - Accent4 5 2 10 3" xfId="23163" xr:uid="{00000000-0005-0000-0000-0000CC3F0000}"/>
    <cellStyle name="40% - Accent4 5 2 11" xfId="9401" xr:uid="{00000000-0005-0000-0000-0000CD3F0000}"/>
    <cellStyle name="40% - Accent4 5 2 11 2" xfId="23876" xr:uid="{00000000-0005-0000-0000-0000CE3F0000}"/>
    <cellStyle name="40% - Accent4 5 2 12" xfId="23164" xr:uid="{00000000-0005-0000-0000-0000CF3F0000}"/>
    <cellStyle name="40% - Accent4 5 2 2" xfId="4119" xr:uid="{00000000-0005-0000-0000-0000D03F0000}"/>
    <cellStyle name="40% - Accent4 5 2 2 10" xfId="9402" xr:uid="{00000000-0005-0000-0000-0000D13F0000}"/>
    <cellStyle name="40% - Accent4 5 2 2 10 2" xfId="23877" xr:uid="{00000000-0005-0000-0000-0000D23F0000}"/>
    <cellStyle name="40% - Accent4 5 2 2 11" xfId="23162" xr:uid="{00000000-0005-0000-0000-0000D33F0000}"/>
    <cellStyle name="40% - Accent4 5 2 2 2" xfId="4120" xr:uid="{00000000-0005-0000-0000-0000D43F0000}"/>
    <cellStyle name="40% - Accent4 5 2 2 2 2" xfId="4121" xr:uid="{00000000-0005-0000-0000-0000D53F0000}"/>
    <cellStyle name="40% - Accent4 5 2 2 2 2 2" xfId="11130" xr:uid="{00000000-0005-0000-0000-0000D63F0000}"/>
    <cellStyle name="40% - Accent4 5 2 2 2 2 2 2" xfId="25072" xr:uid="{00000000-0005-0000-0000-0000D73F0000}"/>
    <cellStyle name="40% - Accent4 5 2 2 2 2 3" xfId="26858" xr:uid="{00000000-0005-0000-0000-0000D83F0000}"/>
    <cellStyle name="40% - Accent4 5 2 2 2 3" xfId="4122" xr:uid="{00000000-0005-0000-0000-0000D93F0000}"/>
    <cellStyle name="40% - Accent4 5 2 2 2 3 2" xfId="12909" xr:uid="{00000000-0005-0000-0000-0000DA3F0000}"/>
    <cellStyle name="40% - Accent4 5 2 2 2 3 2 2" xfId="26621" xr:uid="{00000000-0005-0000-0000-0000DB3F0000}"/>
    <cellStyle name="40% - Accent4 5 2 2 2 3 3" xfId="23161" xr:uid="{00000000-0005-0000-0000-0000DC3F0000}"/>
    <cellStyle name="40% - Accent4 5 2 2 2 4" xfId="4123" xr:uid="{00000000-0005-0000-0000-0000DD3F0000}"/>
    <cellStyle name="40% - Accent4 5 2 2 2 4 2" xfId="15332" xr:uid="{00000000-0005-0000-0000-0000DE3F0000}"/>
    <cellStyle name="40% - Accent4 5 2 2 2 4 2 2" xfId="28881" xr:uid="{00000000-0005-0000-0000-0000DF3F0000}"/>
    <cellStyle name="40% - Accent4 5 2 2 2 4 3" xfId="25286" xr:uid="{00000000-0005-0000-0000-0000E03F0000}"/>
    <cellStyle name="40% - Accent4 5 2 2 2 5" xfId="4124" xr:uid="{00000000-0005-0000-0000-0000E13F0000}"/>
    <cellStyle name="40% - Accent4 5 2 2 2 5 2" xfId="16873" xr:uid="{00000000-0005-0000-0000-0000E23F0000}"/>
    <cellStyle name="40% - Accent4 5 2 2 2 5 2 2" xfId="30280" xr:uid="{00000000-0005-0000-0000-0000E33F0000}"/>
    <cellStyle name="40% - Accent4 5 2 2 2 5 3" xfId="23160" xr:uid="{00000000-0005-0000-0000-0000E43F0000}"/>
    <cellStyle name="40% - Accent4 5 2 2 2 6" xfId="9403" xr:uid="{00000000-0005-0000-0000-0000E53F0000}"/>
    <cellStyle name="40% - Accent4 5 2 2 2 6 2" xfId="23878" xr:uid="{00000000-0005-0000-0000-0000E63F0000}"/>
    <cellStyle name="40% - Accent4 5 2 2 2 7" xfId="24294" xr:uid="{00000000-0005-0000-0000-0000E73F0000}"/>
    <cellStyle name="40% - Accent4 5 2 2 3" xfId="4125" xr:uid="{00000000-0005-0000-0000-0000E83F0000}"/>
    <cellStyle name="40% - Accent4 5 2 2 3 2" xfId="4126" xr:uid="{00000000-0005-0000-0000-0000E93F0000}"/>
    <cellStyle name="40% - Accent4 5 2 2 3 2 2" xfId="15333" xr:uid="{00000000-0005-0000-0000-0000EA3F0000}"/>
    <cellStyle name="40% - Accent4 5 2 2 3 2 2 2" xfId="28882" xr:uid="{00000000-0005-0000-0000-0000EB3F0000}"/>
    <cellStyle name="40% - Accent4 5 2 2 3 2 3" xfId="25287" xr:uid="{00000000-0005-0000-0000-0000EC3F0000}"/>
    <cellStyle name="40% - Accent4 5 2 2 3 3" xfId="11129" xr:uid="{00000000-0005-0000-0000-0000ED3F0000}"/>
    <cellStyle name="40% - Accent4 5 2 2 3 3 2" xfId="25071" xr:uid="{00000000-0005-0000-0000-0000EE3F0000}"/>
    <cellStyle name="40% - Accent4 5 2 2 3 4" xfId="24295" xr:uid="{00000000-0005-0000-0000-0000EF3F0000}"/>
    <cellStyle name="40% - Accent4 5 2 2 4" xfId="4127" xr:uid="{00000000-0005-0000-0000-0000F03F0000}"/>
    <cellStyle name="40% - Accent4 5 2 2 4 2" xfId="12261" xr:uid="{00000000-0005-0000-0000-0000F13F0000}"/>
    <cellStyle name="40% - Accent4 5 2 2 4 2 2" xfId="25973" xr:uid="{00000000-0005-0000-0000-0000F23F0000}"/>
    <cellStyle name="40% - Accent4 5 2 2 4 3" xfId="23159" xr:uid="{00000000-0005-0000-0000-0000F33F0000}"/>
    <cellStyle name="40% - Accent4 5 2 2 5" xfId="4128" xr:uid="{00000000-0005-0000-0000-0000F43F0000}"/>
    <cellStyle name="40% - Accent4 5 2 2 5 2" xfId="12908" xr:uid="{00000000-0005-0000-0000-0000F53F0000}"/>
    <cellStyle name="40% - Accent4 5 2 2 5 2 2" xfId="26620" xr:uid="{00000000-0005-0000-0000-0000F63F0000}"/>
    <cellStyle name="40% - Accent4 5 2 2 5 3" xfId="23158" xr:uid="{00000000-0005-0000-0000-0000F73F0000}"/>
    <cellStyle name="40% - Accent4 5 2 2 6" xfId="4129" xr:uid="{00000000-0005-0000-0000-0000F83F0000}"/>
    <cellStyle name="40% - Accent4 5 2 2 6 2" xfId="13825" xr:uid="{00000000-0005-0000-0000-0000F93F0000}"/>
    <cellStyle name="40% - Accent4 5 2 2 6 2 2" xfId="27374" xr:uid="{00000000-0005-0000-0000-0000FA3F0000}"/>
    <cellStyle name="40% - Accent4 5 2 2 6 3" xfId="23157" xr:uid="{00000000-0005-0000-0000-0000FB3F0000}"/>
    <cellStyle name="40% - Accent4 5 2 2 7" xfId="4130" xr:uid="{00000000-0005-0000-0000-0000FC3F0000}"/>
    <cellStyle name="40% - Accent4 5 2 2 7 2" xfId="14406" xr:uid="{00000000-0005-0000-0000-0000FD3F0000}"/>
    <cellStyle name="40% - Accent4 5 2 2 7 2 2" xfId="27955" xr:uid="{00000000-0005-0000-0000-0000FE3F0000}"/>
    <cellStyle name="40% - Accent4 5 2 2 7 3" xfId="24292" xr:uid="{00000000-0005-0000-0000-0000FF3F0000}"/>
    <cellStyle name="40% - Accent4 5 2 2 8" xfId="4131" xr:uid="{00000000-0005-0000-0000-000000400000}"/>
    <cellStyle name="40% - Accent4 5 2 2 8 2" xfId="15331" xr:uid="{00000000-0005-0000-0000-000001400000}"/>
    <cellStyle name="40% - Accent4 5 2 2 8 2 2" xfId="28880" xr:uid="{00000000-0005-0000-0000-000002400000}"/>
    <cellStyle name="40% - Accent4 5 2 2 8 3" xfId="26857" xr:uid="{00000000-0005-0000-0000-000003400000}"/>
    <cellStyle name="40% - Accent4 5 2 2 9" xfId="4132" xr:uid="{00000000-0005-0000-0000-000004400000}"/>
    <cellStyle name="40% - Accent4 5 2 2 9 2" xfId="16292" xr:uid="{00000000-0005-0000-0000-000005400000}"/>
    <cellStyle name="40% - Accent4 5 2 2 9 2 2" xfId="29699" xr:uid="{00000000-0005-0000-0000-000006400000}"/>
    <cellStyle name="40% - Accent4 5 2 2 9 3" xfId="23156" xr:uid="{00000000-0005-0000-0000-000007400000}"/>
    <cellStyle name="40% - Accent4 5 2 3" xfId="4133" xr:uid="{00000000-0005-0000-0000-000008400000}"/>
    <cellStyle name="40% - Accent4 5 2 3 2" xfId="4134" xr:uid="{00000000-0005-0000-0000-000009400000}"/>
    <cellStyle name="40% - Accent4 5 2 3 2 2" xfId="11131" xr:uid="{00000000-0005-0000-0000-00000A400000}"/>
    <cellStyle name="40% - Accent4 5 2 3 2 2 2" xfId="25073" xr:uid="{00000000-0005-0000-0000-00000B400000}"/>
    <cellStyle name="40% - Accent4 5 2 3 2 3" xfId="23155" xr:uid="{00000000-0005-0000-0000-00000C400000}"/>
    <cellStyle name="40% - Accent4 5 2 3 3" xfId="4135" xr:uid="{00000000-0005-0000-0000-00000D400000}"/>
    <cellStyle name="40% - Accent4 5 2 3 3 2" xfId="12910" xr:uid="{00000000-0005-0000-0000-00000E400000}"/>
    <cellStyle name="40% - Accent4 5 2 3 3 2 2" xfId="26622" xr:uid="{00000000-0005-0000-0000-00000F400000}"/>
    <cellStyle name="40% - Accent4 5 2 3 3 3" xfId="23154" xr:uid="{00000000-0005-0000-0000-000010400000}"/>
    <cellStyle name="40% - Accent4 5 2 3 4" xfId="4136" xr:uid="{00000000-0005-0000-0000-000011400000}"/>
    <cellStyle name="40% - Accent4 5 2 3 4 2" xfId="15334" xr:uid="{00000000-0005-0000-0000-000012400000}"/>
    <cellStyle name="40% - Accent4 5 2 3 4 2 2" xfId="28883" xr:uid="{00000000-0005-0000-0000-000013400000}"/>
    <cellStyle name="40% - Accent4 5 2 3 4 3" xfId="24291" xr:uid="{00000000-0005-0000-0000-000014400000}"/>
    <cellStyle name="40% - Accent4 5 2 3 5" xfId="4137" xr:uid="{00000000-0005-0000-0000-000015400000}"/>
    <cellStyle name="40% - Accent4 5 2 3 5 2" xfId="16584" xr:uid="{00000000-0005-0000-0000-000016400000}"/>
    <cellStyle name="40% - Accent4 5 2 3 5 2 2" xfId="29991" xr:uid="{00000000-0005-0000-0000-000017400000}"/>
    <cellStyle name="40% - Accent4 5 2 3 5 3" xfId="23153" xr:uid="{00000000-0005-0000-0000-000018400000}"/>
    <cellStyle name="40% - Accent4 5 2 3 6" xfId="9404" xr:uid="{00000000-0005-0000-0000-000019400000}"/>
    <cellStyle name="40% - Accent4 5 2 3 6 2" xfId="23879" xr:uid="{00000000-0005-0000-0000-00001A400000}"/>
    <cellStyle name="40% - Accent4 5 2 3 7" xfId="24293" xr:uid="{00000000-0005-0000-0000-00001B400000}"/>
    <cellStyle name="40% - Accent4 5 2 4" xfId="4138" xr:uid="{00000000-0005-0000-0000-00001C400000}"/>
    <cellStyle name="40% - Accent4 5 2 4 2" xfId="4139" xr:uid="{00000000-0005-0000-0000-00001D400000}"/>
    <cellStyle name="40% - Accent4 5 2 4 2 2" xfId="15335" xr:uid="{00000000-0005-0000-0000-00001E400000}"/>
    <cellStyle name="40% - Accent4 5 2 4 2 2 2" xfId="28884" xr:uid="{00000000-0005-0000-0000-00001F400000}"/>
    <cellStyle name="40% - Accent4 5 2 4 2 3" xfId="24290" xr:uid="{00000000-0005-0000-0000-000020400000}"/>
    <cellStyle name="40% - Accent4 5 2 4 3" xfId="11128" xr:uid="{00000000-0005-0000-0000-000021400000}"/>
    <cellStyle name="40% - Accent4 5 2 4 3 2" xfId="25070" xr:uid="{00000000-0005-0000-0000-000022400000}"/>
    <cellStyle name="40% - Accent4 5 2 4 4" xfId="23152" xr:uid="{00000000-0005-0000-0000-000023400000}"/>
    <cellStyle name="40% - Accent4 5 2 5" xfId="4140" xr:uid="{00000000-0005-0000-0000-000024400000}"/>
    <cellStyle name="40% - Accent4 5 2 5 2" xfId="11961" xr:uid="{00000000-0005-0000-0000-000025400000}"/>
    <cellStyle name="40% - Accent4 5 2 5 2 2" xfId="25676" xr:uid="{00000000-0005-0000-0000-000026400000}"/>
    <cellStyle name="40% - Accent4 5 2 5 3" xfId="23151" xr:uid="{00000000-0005-0000-0000-000027400000}"/>
    <cellStyle name="40% - Accent4 5 2 6" xfId="4141" xr:uid="{00000000-0005-0000-0000-000028400000}"/>
    <cellStyle name="40% - Accent4 5 2 6 2" xfId="12907" xr:uid="{00000000-0005-0000-0000-000029400000}"/>
    <cellStyle name="40% - Accent4 5 2 6 2 2" xfId="26619" xr:uid="{00000000-0005-0000-0000-00002A400000}"/>
    <cellStyle name="40% - Accent4 5 2 6 3" xfId="23150" xr:uid="{00000000-0005-0000-0000-00002B400000}"/>
    <cellStyle name="40% - Accent4 5 2 7" xfId="4142" xr:uid="{00000000-0005-0000-0000-00002C400000}"/>
    <cellStyle name="40% - Accent4 5 2 7 2" xfId="13536" xr:uid="{00000000-0005-0000-0000-00002D400000}"/>
    <cellStyle name="40% - Accent4 5 2 7 2 2" xfId="27085" xr:uid="{00000000-0005-0000-0000-00002E400000}"/>
    <cellStyle name="40% - Accent4 5 2 7 3" xfId="23227" xr:uid="{00000000-0005-0000-0000-00002F400000}"/>
    <cellStyle name="40% - Accent4 5 2 8" xfId="4143" xr:uid="{00000000-0005-0000-0000-000030400000}"/>
    <cellStyle name="40% - Accent4 5 2 8 2" xfId="14117" xr:uid="{00000000-0005-0000-0000-000031400000}"/>
    <cellStyle name="40% - Accent4 5 2 8 2 2" xfId="27666" xr:uid="{00000000-0005-0000-0000-000032400000}"/>
    <cellStyle name="40% - Accent4 5 2 8 3" xfId="30672" xr:uid="{00000000-0005-0000-0000-000033400000}"/>
    <cellStyle name="40% - Accent4 5 2 9" xfId="4144" xr:uid="{00000000-0005-0000-0000-000034400000}"/>
    <cellStyle name="40% - Accent4 5 2 9 2" xfId="15330" xr:uid="{00000000-0005-0000-0000-000035400000}"/>
    <cellStyle name="40% - Accent4 5 2 9 2 2" xfId="28879" xr:uid="{00000000-0005-0000-0000-000036400000}"/>
    <cellStyle name="40% - Accent4 5 2 9 3" xfId="23149" xr:uid="{00000000-0005-0000-0000-000037400000}"/>
    <cellStyle name="40% - Accent4 5 3" xfId="4145" xr:uid="{00000000-0005-0000-0000-000038400000}"/>
    <cellStyle name="40% - Accent4 5 3 10" xfId="9405" xr:uid="{00000000-0005-0000-0000-000039400000}"/>
    <cellStyle name="40% - Accent4 5 3 10 2" xfId="23880" xr:uid="{00000000-0005-0000-0000-00003A400000}"/>
    <cellStyle name="40% - Accent4 5 3 11" xfId="23148" xr:uid="{00000000-0005-0000-0000-00003B400000}"/>
    <cellStyle name="40% - Accent4 5 3 2" xfId="4146" xr:uid="{00000000-0005-0000-0000-00003C400000}"/>
    <cellStyle name="40% - Accent4 5 3 2 2" xfId="4147" xr:uid="{00000000-0005-0000-0000-00003D400000}"/>
    <cellStyle name="40% - Accent4 5 3 2 2 2" xfId="11133" xr:uid="{00000000-0005-0000-0000-00003E400000}"/>
    <cellStyle name="40% - Accent4 5 3 2 2 2 2" xfId="25075" xr:uid="{00000000-0005-0000-0000-00003F400000}"/>
    <cellStyle name="40% - Accent4 5 3 2 2 3" xfId="23195" xr:uid="{00000000-0005-0000-0000-000040400000}"/>
    <cellStyle name="40% - Accent4 5 3 2 3" xfId="4148" xr:uid="{00000000-0005-0000-0000-000041400000}"/>
    <cellStyle name="40% - Accent4 5 3 2 3 2" xfId="12912" xr:uid="{00000000-0005-0000-0000-000042400000}"/>
    <cellStyle name="40% - Accent4 5 3 2 3 2 2" xfId="26624" xr:uid="{00000000-0005-0000-0000-000043400000}"/>
    <cellStyle name="40% - Accent4 5 3 2 3 3" xfId="24288" xr:uid="{00000000-0005-0000-0000-000044400000}"/>
    <cellStyle name="40% - Accent4 5 3 2 4" xfId="4149" xr:uid="{00000000-0005-0000-0000-000045400000}"/>
    <cellStyle name="40% - Accent4 5 3 2 4 2" xfId="15337" xr:uid="{00000000-0005-0000-0000-000046400000}"/>
    <cellStyle name="40% - Accent4 5 3 2 4 2 2" xfId="28886" xr:uid="{00000000-0005-0000-0000-000047400000}"/>
    <cellStyle name="40% - Accent4 5 3 2 4 3" xfId="23146" xr:uid="{00000000-0005-0000-0000-000048400000}"/>
    <cellStyle name="40% - Accent4 5 3 2 5" xfId="4150" xr:uid="{00000000-0005-0000-0000-000049400000}"/>
    <cellStyle name="40% - Accent4 5 3 2 5 2" xfId="16733" xr:uid="{00000000-0005-0000-0000-00004A400000}"/>
    <cellStyle name="40% - Accent4 5 3 2 5 2 2" xfId="30140" xr:uid="{00000000-0005-0000-0000-00004B400000}"/>
    <cellStyle name="40% - Accent4 5 3 2 5 3" xfId="26856" xr:uid="{00000000-0005-0000-0000-00004C400000}"/>
    <cellStyle name="40% - Accent4 5 3 2 6" xfId="9406" xr:uid="{00000000-0005-0000-0000-00004D400000}"/>
    <cellStyle name="40% - Accent4 5 3 2 6 2" xfId="23881" xr:uid="{00000000-0005-0000-0000-00004E400000}"/>
    <cellStyle name="40% - Accent4 5 3 2 7" xfId="23147" xr:uid="{00000000-0005-0000-0000-00004F400000}"/>
    <cellStyle name="40% - Accent4 5 3 3" xfId="4151" xr:uid="{00000000-0005-0000-0000-000050400000}"/>
    <cellStyle name="40% - Accent4 5 3 3 2" xfId="4152" xr:uid="{00000000-0005-0000-0000-000051400000}"/>
    <cellStyle name="40% - Accent4 5 3 3 2 2" xfId="15338" xr:uid="{00000000-0005-0000-0000-000052400000}"/>
    <cellStyle name="40% - Accent4 5 3 3 2 2 2" xfId="28887" xr:uid="{00000000-0005-0000-0000-000053400000}"/>
    <cellStyle name="40% - Accent4 5 3 3 2 3" xfId="24289" xr:uid="{00000000-0005-0000-0000-000054400000}"/>
    <cellStyle name="40% - Accent4 5 3 3 3" xfId="11132" xr:uid="{00000000-0005-0000-0000-000055400000}"/>
    <cellStyle name="40% - Accent4 5 3 3 3 2" xfId="25074" xr:uid="{00000000-0005-0000-0000-000056400000}"/>
    <cellStyle name="40% - Accent4 5 3 3 4" xfId="23145" xr:uid="{00000000-0005-0000-0000-000057400000}"/>
    <cellStyle name="40% - Accent4 5 3 4" xfId="4153" xr:uid="{00000000-0005-0000-0000-000058400000}"/>
    <cellStyle name="40% - Accent4 5 3 4 2" xfId="12121" xr:uid="{00000000-0005-0000-0000-000059400000}"/>
    <cellStyle name="40% - Accent4 5 3 4 2 2" xfId="25833" xr:uid="{00000000-0005-0000-0000-00005A400000}"/>
    <cellStyle name="40% - Accent4 5 3 4 3" xfId="23144" xr:uid="{00000000-0005-0000-0000-00005B400000}"/>
    <cellStyle name="40% - Accent4 5 3 5" xfId="4154" xr:uid="{00000000-0005-0000-0000-00005C400000}"/>
    <cellStyle name="40% - Accent4 5 3 5 2" xfId="12911" xr:uid="{00000000-0005-0000-0000-00005D400000}"/>
    <cellStyle name="40% - Accent4 5 3 5 2 2" xfId="26623" xr:uid="{00000000-0005-0000-0000-00005E400000}"/>
    <cellStyle name="40% - Accent4 5 3 5 3" xfId="23143" xr:uid="{00000000-0005-0000-0000-00005F400000}"/>
    <cellStyle name="40% - Accent4 5 3 6" xfId="4155" xr:uid="{00000000-0005-0000-0000-000060400000}"/>
    <cellStyle name="40% - Accent4 5 3 6 2" xfId="13685" xr:uid="{00000000-0005-0000-0000-000061400000}"/>
    <cellStyle name="40% - Accent4 5 3 6 2 2" xfId="27234" xr:uid="{00000000-0005-0000-0000-000062400000}"/>
    <cellStyle name="40% - Accent4 5 3 6 3" xfId="24286" xr:uid="{00000000-0005-0000-0000-000063400000}"/>
    <cellStyle name="40% - Accent4 5 3 7" xfId="4156" xr:uid="{00000000-0005-0000-0000-000064400000}"/>
    <cellStyle name="40% - Accent4 5 3 7 2" xfId="14266" xr:uid="{00000000-0005-0000-0000-000065400000}"/>
    <cellStyle name="40% - Accent4 5 3 7 2 2" xfId="27815" xr:uid="{00000000-0005-0000-0000-000066400000}"/>
    <cellStyle name="40% - Accent4 5 3 7 3" xfId="23142" xr:uid="{00000000-0005-0000-0000-000067400000}"/>
    <cellStyle name="40% - Accent4 5 3 8" xfId="4157" xr:uid="{00000000-0005-0000-0000-000068400000}"/>
    <cellStyle name="40% - Accent4 5 3 8 2" xfId="15336" xr:uid="{00000000-0005-0000-0000-000069400000}"/>
    <cellStyle name="40% - Accent4 5 3 8 2 2" xfId="28885" xr:uid="{00000000-0005-0000-0000-00006A400000}"/>
    <cellStyle name="40% - Accent4 5 3 8 3" xfId="23141" xr:uid="{00000000-0005-0000-0000-00006B400000}"/>
    <cellStyle name="40% - Accent4 5 3 9" xfId="4158" xr:uid="{00000000-0005-0000-0000-00006C400000}"/>
    <cellStyle name="40% - Accent4 5 3 9 2" xfId="16152" xr:uid="{00000000-0005-0000-0000-00006D400000}"/>
    <cellStyle name="40% - Accent4 5 3 9 2 2" xfId="29559" xr:uid="{00000000-0005-0000-0000-00006E400000}"/>
    <cellStyle name="40% - Accent4 5 3 9 3" xfId="29161" xr:uid="{00000000-0005-0000-0000-00006F400000}"/>
    <cellStyle name="40% - Accent4 5 4" xfId="4159" xr:uid="{00000000-0005-0000-0000-000070400000}"/>
    <cellStyle name="40% - Accent4 5 4 2" xfId="4160" xr:uid="{00000000-0005-0000-0000-000071400000}"/>
    <cellStyle name="40% - Accent4 5 4 2 2" xfId="11134" xr:uid="{00000000-0005-0000-0000-000072400000}"/>
    <cellStyle name="40% - Accent4 5 4 2 2 2" xfId="25076" xr:uid="{00000000-0005-0000-0000-000073400000}"/>
    <cellStyle name="40% - Accent4 5 4 2 3" xfId="23139" xr:uid="{00000000-0005-0000-0000-000074400000}"/>
    <cellStyle name="40% - Accent4 5 4 3" xfId="4161" xr:uid="{00000000-0005-0000-0000-000075400000}"/>
    <cellStyle name="40% - Accent4 5 4 3 2" xfId="12913" xr:uid="{00000000-0005-0000-0000-000076400000}"/>
    <cellStyle name="40% - Accent4 5 4 3 2 2" xfId="26625" xr:uid="{00000000-0005-0000-0000-000077400000}"/>
    <cellStyle name="40% - Accent4 5 4 3 3" xfId="26855" xr:uid="{00000000-0005-0000-0000-000078400000}"/>
    <cellStyle name="40% - Accent4 5 4 4" xfId="4162" xr:uid="{00000000-0005-0000-0000-000079400000}"/>
    <cellStyle name="40% - Accent4 5 4 4 2" xfId="15339" xr:uid="{00000000-0005-0000-0000-00007A400000}"/>
    <cellStyle name="40% - Accent4 5 4 4 2 2" xfId="28888" xr:uid="{00000000-0005-0000-0000-00007B400000}"/>
    <cellStyle name="40% - Accent4 5 4 4 3" xfId="23138" xr:uid="{00000000-0005-0000-0000-00007C400000}"/>
    <cellStyle name="40% - Accent4 5 4 5" xfId="4163" xr:uid="{00000000-0005-0000-0000-00007D400000}"/>
    <cellStyle name="40% - Accent4 5 4 5 2" xfId="16441" xr:uid="{00000000-0005-0000-0000-00007E400000}"/>
    <cellStyle name="40% - Accent4 5 4 5 2 2" xfId="29848" xr:uid="{00000000-0005-0000-0000-00007F400000}"/>
    <cellStyle name="40% - Accent4 5 4 5 3" xfId="23137" xr:uid="{00000000-0005-0000-0000-000080400000}"/>
    <cellStyle name="40% - Accent4 5 4 6" xfId="9407" xr:uid="{00000000-0005-0000-0000-000081400000}"/>
    <cellStyle name="40% - Accent4 5 4 6 2" xfId="23882" xr:uid="{00000000-0005-0000-0000-000082400000}"/>
    <cellStyle name="40% - Accent4 5 4 7" xfId="23140" xr:uid="{00000000-0005-0000-0000-000083400000}"/>
    <cellStyle name="40% - Accent4 5 5" xfId="4164" xr:uid="{00000000-0005-0000-0000-000084400000}"/>
    <cellStyle name="40% - Accent4 5 5 2" xfId="4165" xr:uid="{00000000-0005-0000-0000-000085400000}"/>
    <cellStyle name="40% - Accent4 5 5 2 2" xfId="15340" xr:uid="{00000000-0005-0000-0000-000086400000}"/>
    <cellStyle name="40% - Accent4 5 5 2 2 2" xfId="28889" xr:uid="{00000000-0005-0000-0000-000087400000}"/>
    <cellStyle name="40% - Accent4 5 5 2 3" xfId="23136" xr:uid="{00000000-0005-0000-0000-000088400000}"/>
    <cellStyle name="40% - Accent4 5 5 3" xfId="11127" xr:uid="{00000000-0005-0000-0000-000089400000}"/>
    <cellStyle name="40% - Accent4 5 5 3 2" xfId="25069" xr:uid="{00000000-0005-0000-0000-00008A400000}"/>
    <cellStyle name="40% - Accent4 5 5 4" xfId="24287" xr:uid="{00000000-0005-0000-0000-00008B400000}"/>
    <cellStyle name="40% - Accent4 5 6" xfId="4166" xr:uid="{00000000-0005-0000-0000-00008C400000}"/>
    <cellStyle name="40% - Accent4 5 6 2" xfId="11792" xr:uid="{00000000-0005-0000-0000-00008D400000}"/>
    <cellStyle name="40% - Accent4 5 6 2 2" xfId="25507" xr:uid="{00000000-0005-0000-0000-00008E400000}"/>
    <cellStyle name="40% - Accent4 5 6 3" xfId="25285" xr:uid="{00000000-0005-0000-0000-00008F400000}"/>
    <cellStyle name="40% - Accent4 5 7" xfId="4167" xr:uid="{00000000-0005-0000-0000-000090400000}"/>
    <cellStyle name="40% - Accent4 5 7 2" xfId="12906" xr:uid="{00000000-0005-0000-0000-000091400000}"/>
    <cellStyle name="40% - Accent4 5 7 2 2" xfId="26618" xr:uid="{00000000-0005-0000-0000-000092400000}"/>
    <cellStyle name="40% - Accent4 5 7 3" xfId="23135" xr:uid="{00000000-0005-0000-0000-000093400000}"/>
    <cellStyle name="40% - Accent4 5 8" xfId="4168" xr:uid="{00000000-0005-0000-0000-000094400000}"/>
    <cellStyle name="40% - Accent4 5 8 2" xfId="13393" xr:uid="{00000000-0005-0000-0000-000095400000}"/>
    <cellStyle name="40% - Accent4 5 8 2 2" xfId="26942" xr:uid="{00000000-0005-0000-0000-000096400000}"/>
    <cellStyle name="40% - Accent4 5 8 3" xfId="23134" xr:uid="{00000000-0005-0000-0000-000097400000}"/>
    <cellStyle name="40% - Accent4 5 9" xfId="4169" xr:uid="{00000000-0005-0000-0000-000098400000}"/>
    <cellStyle name="40% - Accent4 5 9 2" xfId="13974" xr:uid="{00000000-0005-0000-0000-000099400000}"/>
    <cellStyle name="40% - Accent4 5 9 2 2" xfId="27523" xr:uid="{00000000-0005-0000-0000-00009A400000}"/>
    <cellStyle name="40% - Accent4 5 9 3" xfId="23133" xr:uid="{00000000-0005-0000-0000-00009B400000}"/>
    <cellStyle name="40% - Accent4 6" xfId="4170" xr:uid="{00000000-0005-0000-0000-00009C400000}"/>
    <cellStyle name="40% - Accent4 6 10" xfId="4171" xr:uid="{00000000-0005-0000-0000-00009D400000}"/>
    <cellStyle name="40% - Accent4 6 10 2" xfId="15341" xr:uid="{00000000-0005-0000-0000-00009E400000}"/>
    <cellStyle name="40% - Accent4 6 10 2 2" xfId="28890" xr:uid="{00000000-0005-0000-0000-00009F400000}"/>
    <cellStyle name="40% - Accent4 6 10 3" xfId="23132" xr:uid="{00000000-0005-0000-0000-0000A0400000}"/>
    <cellStyle name="40% - Accent4 6 11" xfId="4172" xr:uid="{00000000-0005-0000-0000-0000A1400000}"/>
    <cellStyle name="40% - Accent4 6 11 2" xfId="15966" xr:uid="{00000000-0005-0000-0000-0000A2400000}"/>
    <cellStyle name="40% - Accent4 6 11 2 2" xfId="29373" xr:uid="{00000000-0005-0000-0000-0000A3400000}"/>
    <cellStyle name="40% - Accent4 6 11 3" xfId="23131" xr:uid="{00000000-0005-0000-0000-0000A4400000}"/>
    <cellStyle name="40% - Accent4 6 12" xfId="9408" xr:uid="{00000000-0005-0000-0000-0000A5400000}"/>
    <cellStyle name="40% - Accent4 6 12 2" xfId="23883" xr:uid="{00000000-0005-0000-0000-0000A6400000}"/>
    <cellStyle name="40% - Accent4 6 13" xfId="24284" xr:uid="{00000000-0005-0000-0000-0000A7400000}"/>
    <cellStyle name="40% - Accent4 6 2" xfId="4173" xr:uid="{00000000-0005-0000-0000-0000A8400000}"/>
    <cellStyle name="40% - Accent4 6 2 10" xfId="4174" xr:uid="{00000000-0005-0000-0000-0000A9400000}"/>
    <cellStyle name="40% - Accent4 6 2 10 2" xfId="16109" xr:uid="{00000000-0005-0000-0000-0000AA400000}"/>
    <cellStyle name="40% - Accent4 6 2 10 2 2" xfId="29516" xr:uid="{00000000-0005-0000-0000-0000AB400000}"/>
    <cellStyle name="40% - Accent4 6 2 10 3" xfId="23130" xr:uid="{00000000-0005-0000-0000-0000AC400000}"/>
    <cellStyle name="40% - Accent4 6 2 11" xfId="9409" xr:uid="{00000000-0005-0000-0000-0000AD400000}"/>
    <cellStyle name="40% - Accent4 6 2 11 2" xfId="23884" xr:uid="{00000000-0005-0000-0000-0000AE400000}"/>
    <cellStyle name="40% - Accent4 6 2 12" xfId="29160" xr:uid="{00000000-0005-0000-0000-0000AF400000}"/>
    <cellStyle name="40% - Accent4 6 2 2" xfId="4175" xr:uid="{00000000-0005-0000-0000-0000B0400000}"/>
    <cellStyle name="40% - Accent4 6 2 2 10" xfId="9410" xr:uid="{00000000-0005-0000-0000-0000B1400000}"/>
    <cellStyle name="40% - Accent4 6 2 2 10 2" xfId="23885" xr:uid="{00000000-0005-0000-0000-0000B2400000}"/>
    <cellStyle name="40% - Accent4 6 2 2 11" xfId="23129" xr:uid="{00000000-0005-0000-0000-0000B3400000}"/>
    <cellStyle name="40% - Accent4 6 2 2 2" xfId="4176" xr:uid="{00000000-0005-0000-0000-0000B4400000}"/>
    <cellStyle name="40% - Accent4 6 2 2 2 2" xfId="4177" xr:uid="{00000000-0005-0000-0000-0000B5400000}"/>
    <cellStyle name="40% - Accent4 6 2 2 2 2 2" xfId="11138" xr:uid="{00000000-0005-0000-0000-0000B6400000}"/>
    <cellStyle name="40% - Accent4 6 2 2 2 2 2 2" xfId="25080" xr:uid="{00000000-0005-0000-0000-0000B7400000}"/>
    <cellStyle name="40% - Accent4 6 2 2 2 2 3" xfId="23128" xr:uid="{00000000-0005-0000-0000-0000B8400000}"/>
    <cellStyle name="40% - Accent4 6 2 2 2 3" xfId="4178" xr:uid="{00000000-0005-0000-0000-0000B9400000}"/>
    <cellStyle name="40% - Accent4 6 2 2 2 3 2" xfId="12917" xr:uid="{00000000-0005-0000-0000-0000BA400000}"/>
    <cellStyle name="40% - Accent4 6 2 2 2 3 2 2" xfId="26629" xr:uid="{00000000-0005-0000-0000-0000BB400000}"/>
    <cellStyle name="40% - Accent4 6 2 2 2 3 3" xfId="23127" xr:uid="{00000000-0005-0000-0000-0000BC400000}"/>
    <cellStyle name="40% - Accent4 6 2 2 2 4" xfId="4179" xr:uid="{00000000-0005-0000-0000-0000BD400000}"/>
    <cellStyle name="40% - Accent4 6 2 2 2 4 2" xfId="15344" xr:uid="{00000000-0005-0000-0000-0000BE400000}"/>
    <cellStyle name="40% - Accent4 6 2 2 2 4 2 2" xfId="28893" xr:uid="{00000000-0005-0000-0000-0000BF400000}"/>
    <cellStyle name="40% - Accent4 6 2 2 2 4 3" xfId="24285" xr:uid="{00000000-0005-0000-0000-0000C0400000}"/>
    <cellStyle name="40% - Accent4 6 2 2 2 5" xfId="4180" xr:uid="{00000000-0005-0000-0000-0000C1400000}"/>
    <cellStyle name="40% - Accent4 6 2 2 2 5 2" xfId="16979" xr:uid="{00000000-0005-0000-0000-0000C2400000}"/>
    <cellStyle name="40% - Accent4 6 2 2 2 5 2 2" xfId="30386" xr:uid="{00000000-0005-0000-0000-0000C3400000}"/>
    <cellStyle name="40% - Accent4 6 2 2 2 5 3" xfId="23126" xr:uid="{00000000-0005-0000-0000-0000C4400000}"/>
    <cellStyle name="40% - Accent4 6 2 2 2 6" xfId="9411" xr:uid="{00000000-0005-0000-0000-0000C5400000}"/>
    <cellStyle name="40% - Accent4 6 2 2 2 6 2" xfId="23886" xr:uid="{00000000-0005-0000-0000-0000C6400000}"/>
    <cellStyle name="40% - Accent4 6 2 2 2 7" xfId="26854" xr:uid="{00000000-0005-0000-0000-0000C7400000}"/>
    <cellStyle name="40% - Accent4 6 2 2 3" xfId="4181" xr:uid="{00000000-0005-0000-0000-0000C8400000}"/>
    <cellStyle name="40% - Accent4 6 2 2 3 2" xfId="4182" xr:uid="{00000000-0005-0000-0000-0000C9400000}"/>
    <cellStyle name="40% - Accent4 6 2 2 3 2 2" xfId="15345" xr:uid="{00000000-0005-0000-0000-0000CA400000}"/>
    <cellStyle name="40% - Accent4 6 2 2 3 2 2 2" xfId="28894" xr:uid="{00000000-0005-0000-0000-0000CB400000}"/>
    <cellStyle name="40% - Accent4 6 2 2 3 2 3" xfId="23125" xr:uid="{00000000-0005-0000-0000-0000CC400000}"/>
    <cellStyle name="40% - Accent4 6 2 2 3 3" xfId="11137" xr:uid="{00000000-0005-0000-0000-0000CD400000}"/>
    <cellStyle name="40% - Accent4 6 2 2 3 3 2" xfId="25079" xr:uid="{00000000-0005-0000-0000-0000CE400000}"/>
    <cellStyle name="40% - Accent4 6 2 2 3 4" xfId="25284" xr:uid="{00000000-0005-0000-0000-0000CF400000}"/>
    <cellStyle name="40% - Accent4 6 2 2 4" xfId="4183" xr:uid="{00000000-0005-0000-0000-0000D0400000}"/>
    <cellStyle name="40% - Accent4 6 2 2 4 2" xfId="12367" xr:uid="{00000000-0005-0000-0000-0000D1400000}"/>
    <cellStyle name="40% - Accent4 6 2 2 4 2 2" xfId="26079" xr:uid="{00000000-0005-0000-0000-0000D2400000}"/>
    <cellStyle name="40% - Accent4 6 2 2 4 3" xfId="23124" xr:uid="{00000000-0005-0000-0000-0000D3400000}"/>
    <cellStyle name="40% - Accent4 6 2 2 5" xfId="4184" xr:uid="{00000000-0005-0000-0000-0000D4400000}"/>
    <cellStyle name="40% - Accent4 6 2 2 5 2" xfId="12916" xr:uid="{00000000-0005-0000-0000-0000D5400000}"/>
    <cellStyle name="40% - Accent4 6 2 2 5 2 2" xfId="26628" xr:uid="{00000000-0005-0000-0000-0000D6400000}"/>
    <cellStyle name="40% - Accent4 6 2 2 5 3" xfId="23123" xr:uid="{00000000-0005-0000-0000-0000D7400000}"/>
    <cellStyle name="40% - Accent4 6 2 2 6" xfId="4185" xr:uid="{00000000-0005-0000-0000-0000D8400000}"/>
    <cellStyle name="40% - Accent4 6 2 2 6 2" xfId="13931" xr:uid="{00000000-0005-0000-0000-0000D9400000}"/>
    <cellStyle name="40% - Accent4 6 2 2 6 2 2" xfId="27480" xr:uid="{00000000-0005-0000-0000-0000DA400000}"/>
    <cellStyle name="40% - Accent4 6 2 2 6 3" xfId="24280" xr:uid="{00000000-0005-0000-0000-0000DB400000}"/>
    <cellStyle name="40% - Accent4 6 2 2 7" xfId="4186" xr:uid="{00000000-0005-0000-0000-0000DC400000}"/>
    <cellStyle name="40% - Accent4 6 2 2 7 2" xfId="14512" xr:uid="{00000000-0005-0000-0000-0000DD400000}"/>
    <cellStyle name="40% - Accent4 6 2 2 7 2 2" xfId="28061" xr:uid="{00000000-0005-0000-0000-0000DE400000}"/>
    <cellStyle name="40% - Accent4 6 2 2 7 3" xfId="23122" xr:uid="{00000000-0005-0000-0000-0000DF400000}"/>
    <cellStyle name="40% - Accent4 6 2 2 8" xfId="4187" xr:uid="{00000000-0005-0000-0000-0000E0400000}"/>
    <cellStyle name="40% - Accent4 6 2 2 8 2" xfId="15343" xr:uid="{00000000-0005-0000-0000-0000E1400000}"/>
    <cellStyle name="40% - Accent4 6 2 2 8 2 2" xfId="28892" xr:uid="{00000000-0005-0000-0000-0000E2400000}"/>
    <cellStyle name="40% - Accent4 6 2 2 8 3" xfId="23121" xr:uid="{00000000-0005-0000-0000-0000E3400000}"/>
    <cellStyle name="40% - Accent4 6 2 2 9" xfId="4188" xr:uid="{00000000-0005-0000-0000-0000E4400000}"/>
    <cellStyle name="40% - Accent4 6 2 2 9 2" xfId="16398" xr:uid="{00000000-0005-0000-0000-0000E5400000}"/>
    <cellStyle name="40% - Accent4 6 2 2 9 2 2" xfId="29805" xr:uid="{00000000-0005-0000-0000-0000E6400000}"/>
    <cellStyle name="40% - Accent4 6 2 2 9 3" xfId="29159" xr:uid="{00000000-0005-0000-0000-0000E7400000}"/>
    <cellStyle name="40% - Accent4 6 2 3" xfId="4189" xr:uid="{00000000-0005-0000-0000-0000E8400000}"/>
    <cellStyle name="40% - Accent4 6 2 3 2" xfId="4190" xr:uid="{00000000-0005-0000-0000-0000E9400000}"/>
    <cellStyle name="40% - Accent4 6 2 3 2 2" xfId="11139" xr:uid="{00000000-0005-0000-0000-0000EA400000}"/>
    <cellStyle name="40% - Accent4 6 2 3 2 2 2" xfId="25081" xr:uid="{00000000-0005-0000-0000-0000EB400000}"/>
    <cellStyle name="40% - Accent4 6 2 3 2 3" xfId="23119" xr:uid="{00000000-0005-0000-0000-0000EC400000}"/>
    <cellStyle name="40% - Accent4 6 2 3 3" xfId="4191" xr:uid="{00000000-0005-0000-0000-0000ED400000}"/>
    <cellStyle name="40% - Accent4 6 2 3 3 2" xfId="12918" xr:uid="{00000000-0005-0000-0000-0000EE400000}"/>
    <cellStyle name="40% - Accent4 6 2 3 3 2 2" xfId="26630" xr:uid="{00000000-0005-0000-0000-0000EF400000}"/>
    <cellStyle name="40% - Accent4 6 2 3 3 3" xfId="26853" xr:uid="{00000000-0005-0000-0000-0000F0400000}"/>
    <cellStyle name="40% - Accent4 6 2 3 4" xfId="4192" xr:uid="{00000000-0005-0000-0000-0000F1400000}"/>
    <cellStyle name="40% - Accent4 6 2 3 4 2" xfId="15346" xr:uid="{00000000-0005-0000-0000-0000F2400000}"/>
    <cellStyle name="40% - Accent4 6 2 3 4 2 2" xfId="28895" xr:uid="{00000000-0005-0000-0000-0000F3400000}"/>
    <cellStyle name="40% - Accent4 6 2 3 4 3" xfId="23118" xr:uid="{00000000-0005-0000-0000-0000F4400000}"/>
    <cellStyle name="40% - Accent4 6 2 3 5" xfId="4193" xr:uid="{00000000-0005-0000-0000-0000F5400000}"/>
    <cellStyle name="40% - Accent4 6 2 3 5 2" xfId="16690" xr:uid="{00000000-0005-0000-0000-0000F6400000}"/>
    <cellStyle name="40% - Accent4 6 2 3 5 2 2" xfId="30097" xr:uid="{00000000-0005-0000-0000-0000F7400000}"/>
    <cellStyle name="40% - Accent4 6 2 3 5 3" xfId="23117" xr:uid="{00000000-0005-0000-0000-0000F8400000}"/>
    <cellStyle name="40% - Accent4 6 2 3 6" xfId="9412" xr:uid="{00000000-0005-0000-0000-0000F9400000}"/>
    <cellStyle name="40% - Accent4 6 2 3 6 2" xfId="23887" xr:uid="{00000000-0005-0000-0000-0000FA400000}"/>
    <cellStyle name="40% - Accent4 6 2 3 7" xfId="23120" xr:uid="{00000000-0005-0000-0000-0000FB400000}"/>
    <cellStyle name="40% - Accent4 6 2 4" xfId="4194" xr:uid="{00000000-0005-0000-0000-0000FC400000}"/>
    <cellStyle name="40% - Accent4 6 2 4 2" xfId="4195" xr:uid="{00000000-0005-0000-0000-0000FD400000}"/>
    <cellStyle name="40% - Accent4 6 2 4 2 2" xfId="15347" xr:uid="{00000000-0005-0000-0000-0000FE400000}"/>
    <cellStyle name="40% - Accent4 6 2 4 2 2 2" xfId="28896" xr:uid="{00000000-0005-0000-0000-0000FF400000}"/>
    <cellStyle name="40% - Accent4 6 2 4 2 3" xfId="23116" xr:uid="{00000000-0005-0000-0000-000000410000}"/>
    <cellStyle name="40% - Accent4 6 2 4 3" xfId="11136" xr:uid="{00000000-0005-0000-0000-000001410000}"/>
    <cellStyle name="40% - Accent4 6 2 4 3 2" xfId="25078" xr:uid="{00000000-0005-0000-0000-000002410000}"/>
    <cellStyle name="40% - Accent4 6 2 4 4" xfId="24283" xr:uid="{00000000-0005-0000-0000-000003410000}"/>
    <cellStyle name="40% - Accent4 6 2 5" xfId="4196" xr:uid="{00000000-0005-0000-0000-000004410000}"/>
    <cellStyle name="40% - Accent4 6 2 5 2" xfId="12067" xr:uid="{00000000-0005-0000-0000-000005410000}"/>
    <cellStyle name="40% - Accent4 6 2 5 2 2" xfId="25782" xr:uid="{00000000-0005-0000-0000-000006410000}"/>
    <cellStyle name="40% - Accent4 6 2 5 3" xfId="25283" xr:uid="{00000000-0005-0000-0000-000007410000}"/>
    <cellStyle name="40% - Accent4 6 2 6" xfId="4197" xr:uid="{00000000-0005-0000-0000-000008410000}"/>
    <cellStyle name="40% - Accent4 6 2 6 2" xfId="12915" xr:uid="{00000000-0005-0000-0000-000009410000}"/>
    <cellStyle name="40% - Accent4 6 2 6 2 2" xfId="26627" xr:uid="{00000000-0005-0000-0000-00000A410000}"/>
    <cellStyle name="40% - Accent4 6 2 6 3" xfId="23115" xr:uid="{00000000-0005-0000-0000-00000B410000}"/>
    <cellStyle name="40% - Accent4 6 2 7" xfId="4198" xr:uid="{00000000-0005-0000-0000-00000C410000}"/>
    <cellStyle name="40% - Accent4 6 2 7 2" xfId="13642" xr:uid="{00000000-0005-0000-0000-00000D410000}"/>
    <cellStyle name="40% - Accent4 6 2 7 2 2" xfId="27191" xr:uid="{00000000-0005-0000-0000-00000E410000}"/>
    <cellStyle name="40% - Accent4 6 2 7 3" xfId="23114" xr:uid="{00000000-0005-0000-0000-00000F410000}"/>
    <cellStyle name="40% - Accent4 6 2 8" xfId="4199" xr:uid="{00000000-0005-0000-0000-000010410000}"/>
    <cellStyle name="40% - Accent4 6 2 8 2" xfId="14223" xr:uid="{00000000-0005-0000-0000-000011410000}"/>
    <cellStyle name="40% - Accent4 6 2 8 2 2" xfId="27772" xr:uid="{00000000-0005-0000-0000-000012410000}"/>
    <cellStyle name="40% - Accent4 6 2 8 3" xfId="24281" xr:uid="{00000000-0005-0000-0000-000013410000}"/>
    <cellStyle name="40% - Accent4 6 2 9" xfId="4200" xr:uid="{00000000-0005-0000-0000-000014410000}"/>
    <cellStyle name="40% - Accent4 6 2 9 2" xfId="15342" xr:uid="{00000000-0005-0000-0000-000015410000}"/>
    <cellStyle name="40% - Accent4 6 2 9 2 2" xfId="28891" xr:uid="{00000000-0005-0000-0000-000016410000}"/>
    <cellStyle name="40% - Accent4 6 2 9 3" xfId="23113" xr:uid="{00000000-0005-0000-0000-000017410000}"/>
    <cellStyle name="40% - Accent4 6 3" xfId="4201" xr:uid="{00000000-0005-0000-0000-000018410000}"/>
    <cellStyle name="40% - Accent4 6 3 10" xfId="9413" xr:uid="{00000000-0005-0000-0000-000019410000}"/>
    <cellStyle name="40% - Accent4 6 3 10 2" xfId="23888" xr:uid="{00000000-0005-0000-0000-00001A410000}"/>
    <cellStyle name="40% - Accent4 6 3 11" xfId="23112" xr:uid="{00000000-0005-0000-0000-00001B410000}"/>
    <cellStyle name="40% - Accent4 6 3 2" xfId="4202" xr:uid="{00000000-0005-0000-0000-00001C410000}"/>
    <cellStyle name="40% - Accent4 6 3 2 2" xfId="4203" xr:uid="{00000000-0005-0000-0000-00001D410000}"/>
    <cellStyle name="40% - Accent4 6 3 2 2 2" xfId="11141" xr:uid="{00000000-0005-0000-0000-00001E410000}"/>
    <cellStyle name="40% - Accent4 6 3 2 2 2 2" xfId="25083" xr:uid="{00000000-0005-0000-0000-00001F410000}"/>
    <cellStyle name="40% - Accent4 6 3 2 2 3" xfId="23111" xr:uid="{00000000-0005-0000-0000-000020410000}"/>
    <cellStyle name="40% - Accent4 6 3 2 3" xfId="4204" xr:uid="{00000000-0005-0000-0000-000021410000}"/>
    <cellStyle name="40% - Accent4 6 3 2 3 2" xfId="12920" xr:uid="{00000000-0005-0000-0000-000022410000}"/>
    <cellStyle name="40% - Accent4 6 3 2 3 2 2" xfId="26632" xr:uid="{00000000-0005-0000-0000-000023410000}"/>
    <cellStyle name="40% - Accent4 6 3 2 3 3" xfId="23110" xr:uid="{00000000-0005-0000-0000-000024410000}"/>
    <cellStyle name="40% - Accent4 6 3 2 4" xfId="4205" xr:uid="{00000000-0005-0000-0000-000025410000}"/>
    <cellStyle name="40% - Accent4 6 3 2 4 2" xfId="15349" xr:uid="{00000000-0005-0000-0000-000026410000}"/>
    <cellStyle name="40% - Accent4 6 3 2 4 2 2" xfId="28898" xr:uid="{00000000-0005-0000-0000-000027410000}"/>
    <cellStyle name="40% - Accent4 6 3 2 4 3" xfId="26852" xr:uid="{00000000-0005-0000-0000-000028410000}"/>
    <cellStyle name="40% - Accent4 6 3 2 5" xfId="4206" xr:uid="{00000000-0005-0000-0000-000029410000}"/>
    <cellStyle name="40% - Accent4 6 3 2 5 2" xfId="16836" xr:uid="{00000000-0005-0000-0000-00002A410000}"/>
    <cellStyle name="40% - Accent4 6 3 2 5 2 2" xfId="30243" xr:uid="{00000000-0005-0000-0000-00002B410000}"/>
    <cellStyle name="40% - Accent4 6 3 2 5 3" xfId="23109" xr:uid="{00000000-0005-0000-0000-00002C410000}"/>
    <cellStyle name="40% - Accent4 6 3 2 6" xfId="9414" xr:uid="{00000000-0005-0000-0000-00002D410000}"/>
    <cellStyle name="40% - Accent4 6 3 2 6 2" xfId="23889" xr:uid="{00000000-0005-0000-0000-00002E410000}"/>
    <cellStyle name="40% - Accent4 6 3 2 7" xfId="29158" xr:uid="{00000000-0005-0000-0000-00002F410000}"/>
    <cellStyle name="40% - Accent4 6 3 3" xfId="4207" xr:uid="{00000000-0005-0000-0000-000030410000}"/>
    <cellStyle name="40% - Accent4 6 3 3 2" xfId="4208" xr:uid="{00000000-0005-0000-0000-000031410000}"/>
    <cellStyle name="40% - Accent4 6 3 3 2 2" xfId="15350" xr:uid="{00000000-0005-0000-0000-000032410000}"/>
    <cellStyle name="40% - Accent4 6 3 3 2 2 2" xfId="28899" xr:uid="{00000000-0005-0000-0000-000033410000}"/>
    <cellStyle name="40% - Accent4 6 3 3 2 3" xfId="24282" xr:uid="{00000000-0005-0000-0000-000034410000}"/>
    <cellStyle name="40% - Accent4 6 3 3 3" xfId="11140" xr:uid="{00000000-0005-0000-0000-000035410000}"/>
    <cellStyle name="40% - Accent4 6 3 3 3 2" xfId="25082" xr:uid="{00000000-0005-0000-0000-000036410000}"/>
    <cellStyle name="40% - Accent4 6 3 3 4" xfId="23108" xr:uid="{00000000-0005-0000-0000-000037410000}"/>
    <cellStyle name="40% - Accent4 6 3 4" xfId="4209" xr:uid="{00000000-0005-0000-0000-000038410000}"/>
    <cellStyle name="40% - Accent4 6 3 4 2" xfId="12224" xr:uid="{00000000-0005-0000-0000-000039410000}"/>
    <cellStyle name="40% - Accent4 6 3 4 2 2" xfId="25936" xr:uid="{00000000-0005-0000-0000-00003A410000}"/>
    <cellStyle name="40% - Accent4 6 3 4 3" xfId="23107" xr:uid="{00000000-0005-0000-0000-00003B410000}"/>
    <cellStyle name="40% - Accent4 6 3 5" xfId="4210" xr:uid="{00000000-0005-0000-0000-00003C410000}"/>
    <cellStyle name="40% - Accent4 6 3 5 2" xfId="12919" xr:uid="{00000000-0005-0000-0000-00003D410000}"/>
    <cellStyle name="40% - Accent4 6 3 5 2 2" xfId="26631" xr:uid="{00000000-0005-0000-0000-00003E410000}"/>
    <cellStyle name="40% - Accent4 6 3 5 3" xfId="25282" xr:uid="{00000000-0005-0000-0000-00003F410000}"/>
    <cellStyle name="40% - Accent4 6 3 6" xfId="4211" xr:uid="{00000000-0005-0000-0000-000040410000}"/>
    <cellStyle name="40% - Accent4 6 3 6 2" xfId="13788" xr:uid="{00000000-0005-0000-0000-000041410000}"/>
    <cellStyle name="40% - Accent4 6 3 6 2 2" xfId="27337" xr:uid="{00000000-0005-0000-0000-000042410000}"/>
    <cellStyle name="40% - Accent4 6 3 6 3" xfId="23106" xr:uid="{00000000-0005-0000-0000-000043410000}"/>
    <cellStyle name="40% - Accent4 6 3 7" xfId="4212" xr:uid="{00000000-0005-0000-0000-000044410000}"/>
    <cellStyle name="40% - Accent4 6 3 7 2" xfId="14369" xr:uid="{00000000-0005-0000-0000-000045410000}"/>
    <cellStyle name="40% - Accent4 6 3 7 2 2" xfId="27918" xr:uid="{00000000-0005-0000-0000-000046410000}"/>
    <cellStyle name="40% - Accent4 6 3 7 3" xfId="23105" xr:uid="{00000000-0005-0000-0000-000047410000}"/>
    <cellStyle name="40% - Accent4 6 3 8" xfId="4213" xr:uid="{00000000-0005-0000-0000-000048410000}"/>
    <cellStyle name="40% - Accent4 6 3 8 2" xfId="15348" xr:uid="{00000000-0005-0000-0000-000049410000}"/>
    <cellStyle name="40% - Accent4 6 3 8 2 2" xfId="28897" xr:uid="{00000000-0005-0000-0000-00004A410000}"/>
    <cellStyle name="40% - Accent4 6 3 8 3" xfId="23104" xr:uid="{00000000-0005-0000-0000-00004B410000}"/>
    <cellStyle name="40% - Accent4 6 3 9" xfId="4214" xr:uid="{00000000-0005-0000-0000-00004C410000}"/>
    <cellStyle name="40% - Accent4 6 3 9 2" xfId="16255" xr:uid="{00000000-0005-0000-0000-00004D410000}"/>
    <cellStyle name="40% - Accent4 6 3 9 2 2" xfId="29662" xr:uid="{00000000-0005-0000-0000-00004E410000}"/>
    <cellStyle name="40% - Accent4 6 3 9 3" xfId="23103" xr:uid="{00000000-0005-0000-0000-00004F410000}"/>
    <cellStyle name="40% - Accent4 6 4" xfId="4215" xr:uid="{00000000-0005-0000-0000-000050410000}"/>
    <cellStyle name="40% - Accent4 6 4 2" xfId="4216" xr:uid="{00000000-0005-0000-0000-000051410000}"/>
    <cellStyle name="40% - Accent4 6 4 2 2" xfId="11142" xr:uid="{00000000-0005-0000-0000-000052410000}"/>
    <cellStyle name="40% - Accent4 6 4 2 2 2" xfId="25084" xr:uid="{00000000-0005-0000-0000-000053410000}"/>
    <cellStyle name="40% - Accent4 6 4 2 3" xfId="23101" xr:uid="{00000000-0005-0000-0000-000054410000}"/>
    <cellStyle name="40% - Accent4 6 4 3" xfId="4217" xr:uid="{00000000-0005-0000-0000-000055410000}"/>
    <cellStyle name="40% - Accent4 6 4 3 2" xfId="12921" xr:uid="{00000000-0005-0000-0000-000056410000}"/>
    <cellStyle name="40% - Accent4 6 4 3 2 2" xfId="26633" xr:uid="{00000000-0005-0000-0000-000057410000}"/>
    <cellStyle name="40% - Accent4 6 4 3 3" xfId="29157" xr:uid="{00000000-0005-0000-0000-000058410000}"/>
    <cellStyle name="40% - Accent4 6 4 4" xfId="4218" xr:uid="{00000000-0005-0000-0000-000059410000}"/>
    <cellStyle name="40% - Accent4 6 4 4 2" xfId="15351" xr:uid="{00000000-0005-0000-0000-00005A410000}"/>
    <cellStyle name="40% - Accent4 6 4 4 2 2" xfId="28900" xr:uid="{00000000-0005-0000-0000-00005B410000}"/>
    <cellStyle name="40% - Accent4 6 4 4 3" xfId="23100" xr:uid="{00000000-0005-0000-0000-00005C410000}"/>
    <cellStyle name="40% - Accent4 6 4 5" xfId="4219" xr:uid="{00000000-0005-0000-0000-00005D410000}"/>
    <cellStyle name="40% - Accent4 6 4 5 2" xfId="16547" xr:uid="{00000000-0005-0000-0000-00005E410000}"/>
    <cellStyle name="40% - Accent4 6 4 5 2 2" xfId="29954" xr:uid="{00000000-0005-0000-0000-00005F410000}"/>
    <cellStyle name="40% - Accent4 6 4 5 3" xfId="23099" xr:uid="{00000000-0005-0000-0000-000060410000}"/>
    <cellStyle name="40% - Accent4 6 4 6" xfId="9415" xr:uid="{00000000-0005-0000-0000-000061410000}"/>
    <cellStyle name="40% - Accent4 6 4 6 2" xfId="23890" xr:uid="{00000000-0005-0000-0000-000062410000}"/>
    <cellStyle name="40% - Accent4 6 4 7" xfId="23102" xr:uid="{00000000-0005-0000-0000-000063410000}"/>
    <cellStyle name="40% - Accent4 6 5" xfId="4220" xr:uid="{00000000-0005-0000-0000-000064410000}"/>
    <cellStyle name="40% - Accent4 6 5 2" xfId="4221" xr:uid="{00000000-0005-0000-0000-000065410000}"/>
    <cellStyle name="40% - Accent4 6 5 2 2" xfId="15352" xr:uid="{00000000-0005-0000-0000-000066410000}"/>
    <cellStyle name="40% - Accent4 6 5 2 2 2" xfId="28901" xr:uid="{00000000-0005-0000-0000-000067410000}"/>
    <cellStyle name="40% - Accent4 6 5 2 3" xfId="23098" xr:uid="{00000000-0005-0000-0000-000068410000}"/>
    <cellStyle name="40% - Accent4 6 5 3" xfId="11135" xr:uid="{00000000-0005-0000-0000-000069410000}"/>
    <cellStyle name="40% - Accent4 6 5 3 2" xfId="25077" xr:uid="{00000000-0005-0000-0000-00006A410000}"/>
    <cellStyle name="40% - Accent4 6 5 4" xfId="26851" xr:uid="{00000000-0005-0000-0000-00006B410000}"/>
    <cellStyle name="40% - Accent4 6 6" xfId="4222" xr:uid="{00000000-0005-0000-0000-00006C410000}"/>
    <cellStyle name="40% - Accent4 6 6 2" xfId="11922" xr:uid="{00000000-0005-0000-0000-00006D410000}"/>
    <cellStyle name="40% - Accent4 6 6 2 2" xfId="25637" xr:uid="{00000000-0005-0000-0000-00006E410000}"/>
    <cellStyle name="40% - Accent4 6 6 3" xfId="23097" xr:uid="{00000000-0005-0000-0000-00006F410000}"/>
    <cellStyle name="40% - Accent4 6 7" xfId="4223" xr:uid="{00000000-0005-0000-0000-000070410000}"/>
    <cellStyle name="40% - Accent4 6 7 2" xfId="12914" xr:uid="{00000000-0005-0000-0000-000071410000}"/>
    <cellStyle name="40% - Accent4 6 7 2 2" xfId="26626" xr:uid="{00000000-0005-0000-0000-000072410000}"/>
    <cellStyle name="40% - Accent4 6 7 3" xfId="24279" xr:uid="{00000000-0005-0000-0000-000073410000}"/>
    <cellStyle name="40% - Accent4 6 8" xfId="4224" xr:uid="{00000000-0005-0000-0000-000074410000}"/>
    <cellStyle name="40% - Accent4 6 8 2" xfId="13499" xr:uid="{00000000-0005-0000-0000-000075410000}"/>
    <cellStyle name="40% - Accent4 6 8 2 2" xfId="27048" xr:uid="{00000000-0005-0000-0000-000076410000}"/>
    <cellStyle name="40% - Accent4 6 8 3" xfId="25281" xr:uid="{00000000-0005-0000-0000-000077410000}"/>
    <cellStyle name="40% - Accent4 6 9" xfId="4225" xr:uid="{00000000-0005-0000-0000-000078410000}"/>
    <cellStyle name="40% - Accent4 6 9 2" xfId="14080" xr:uid="{00000000-0005-0000-0000-000079410000}"/>
    <cellStyle name="40% - Accent4 6 9 2 2" xfId="27629" xr:uid="{00000000-0005-0000-0000-00007A410000}"/>
    <cellStyle name="40% - Accent4 6 9 3" xfId="23096" xr:uid="{00000000-0005-0000-0000-00007B410000}"/>
    <cellStyle name="40% - Accent4 7" xfId="4226" xr:uid="{00000000-0005-0000-0000-00007C410000}"/>
    <cellStyle name="40% - Accent4 7 10" xfId="4227" xr:uid="{00000000-0005-0000-0000-00007D410000}"/>
    <cellStyle name="40% - Accent4 7 10 2" xfId="15984" xr:uid="{00000000-0005-0000-0000-00007E410000}"/>
    <cellStyle name="40% - Accent4 7 10 2 2" xfId="29391" xr:uid="{00000000-0005-0000-0000-00007F410000}"/>
    <cellStyle name="40% - Accent4 7 10 3" xfId="24278" xr:uid="{00000000-0005-0000-0000-000080410000}"/>
    <cellStyle name="40% - Accent4 7 11" xfId="9416" xr:uid="{00000000-0005-0000-0000-000081410000}"/>
    <cellStyle name="40% - Accent4 7 11 2" xfId="23891" xr:uid="{00000000-0005-0000-0000-000082410000}"/>
    <cellStyle name="40% - Accent4 7 12" xfId="23095" xr:uid="{00000000-0005-0000-0000-000083410000}"/>
    <cellStyle name="40% - Accent4 7 2" xfId="4228" xr:uid="{00000000-0005-0000-0000-000084410000}"/>
    <cellStyle name="40% - Accent4 7 2 10" xfId="9417" xr:uid="{00000000-0005-0000-0000-000085410000}"/>
    <cellStyle name="40% - Accent4 7 2 10 2" xfId="23892" xr:uid="{00000000-0005-0000-0000-000086410000}"/>
    <cellStyle name="40% - Accent4 7 2 11" xfId="23094" xr:uid="{00000000-0005-0000-0000-000087410000}"/>
    <cellStyle name="40% - Accent4 7 2 2" xfId="4229" xr:uid="{00000000-0005-0000-0000-000088410000}"/>
    <cellStyle name="40% - Accent4 7 2 2 2" xfId="4230" xr:uid="{00000000-0005-0000-0000-000089410000}"/>
    <cellStyle name="40% - Accent4 7 2 2 2 2" xfId="11145" xr:uid="{00000000-0005-0000-0000-00008A410000}"/>
    <cellStyle name="40% - Accent4 7 2 2 2 2 2" xfId="25087" xr:uid="{00000000-0005-0000-0000-00008B410000}"/>
    <cellStyle name="40% - Accent4 7 2 2 2 3" xfId="24276" xr:uid="{00000000-0005-0000-0000-00008C410000}"/>
    <cellStyle name="40% - Accent4 7 2 2 3" xfId="4231" xr:uid="{00000000-0005-0000-0000-00008D410000}"/>
    <cellStyle name="40% - Accent4 7 2 2 3 2" xfId="12924" xr:uid="{00000000-0005-0000-0000-00008E410000}"/>
    <cellStyle name="40% - Accent4 7 2 2 3 2 2" xfId="26636" xr:uid="{00000000-0005-0000-0000-00008F410000}"/>
    <cellStyle name="40% - Accent4 7 2 2 3 3" xfId="23092" xr:uid="{00000000-0005-0000-0000-000090410000}"/>
    <cellStyle name="40% - Accent4 7 2 2 4" xfId="4232" xr:uid="{00000000-0005-0000-0000-000091410000}"/>
    <cellStyle name="40% - Accent4 7 2 2 4 2" xfId="15355" xr:uid="{00000000-0005-0000-0000-000092410000}"/>
    <cellStyle name="40% - Accent4 7 2 2 4 2 2" xfId="28904" xr:uid="{00000000-0005-0000-0000-000093410000}"/>
    <cellStyle name="40% - Accent4 7 2 2 4 3" xfId="23091" xr:uid="{00000000-0005-0000-0000-000094410000}"/>
    <cellStyle name="40% - Accent4 7 2 2 5" xfId="4233" xr:uid="{00000000-0005-0000-0000-000095410000}"/>
    <cellStyle name="40% - Accent4 7 2 2 5 2" xfId="16854" xr:uid="{00000000-0005-0000-0000-000096410000}"/>
    <cellStyle name="40% - Accent4 7 2 2 5 2 2" xfId="30261" xr:uid="{00000000-0005-0000-0000-000097410000}"/>
    <cellStyle name="40% - Accent4 7 2 2 5 3" xfId="29156" xr:uid="{00000000-0005-0000-0000-000098410000}"/>
    <cellStyle name="40% - Accent4 7 2 2 6" xfId="9418" xr:uid="{00000000-0005-0000-0000-000099410000}"/>
    <cellStyle name="40% - Accent4 7 2 2 6 2" xfId="23893" xr:uid="{00000000-0005-0000-0000-00009A410000}"/>
    <cellStyle name="40% - Accent4 7 2 2 7" xfId="23093" xr:uid="{00000000-0005-0000-0000-00009B410000}"/>
    <cellStyle name="40% - Accent4 7 2 3" xfId="4234" xr:uid="{00000000-0005-0000-0000-00009C410000}"/>
    <cellStyle name="40% - Accent4 7 2 3 2" xfId="4235" xr:uid="{00000000-0005-0000-0000-00009D410000}"/>
    <cellStyle name="40% - Accent4 7 2 3 2 2" xfId="15356" xr:uid="{00000000-0005-0000-0000-00009E410000}"/>
    <cellStyle name="40% - Accent4 7 2 3 2 2 2" xfId="28905" xr:uid="{00000000-0005-0000-0000-00009F410000}"/>
    <cellStyle name="40% - Accent4 7 2 3 2 3" xfId="23089" xr:uid="{00000000-0005-0000-0000-0000A0410000}"/>
    <cellStyle name="40% - Accent4 7 2 3 3" xfId="11144" xr:uid="{00000000-0005-0000-0000-0000A1410000}"/>
    <cellStyle name="40% - Accent4 7 2 3 3 2" xfId="25086" xr:uid="{00000000-0005-0000-0000-0000A2410000}"/>
    <cellStyle name="40% - Accent4 7 2 3 4" xfId="23090" xr:uid="{00000000-0005-0000-0000-0000A3410000}"/>
    <cellStyle name="40% - Accent4 7 2 4" xfId="4236" xr:uid="{00000000-0005-0000-0000-0000A4410000}"/>
    <cellStyle name="40% - Accent4 7 2 4 2" xfId="12242" xr:uid="{00000000-0005-0000-0000-0000A5410000}"/>
    <cellStyle name="40% - Accent4 7 2 4 2 2" xfId="25954" xr:uid="{00000000-0005-0000-0000-0000A6410000}"/>
    <cellStyle name="40% - Accent4 7 2 4 3" xfId="26850" xr:uid="{00000000-0005-0000-0000-0000A7410000}"/>
    <cellStyle name="40% - Accent4 7 2 5" xfId="4237" xr:uid="{00000000-0005-0000-0000-0000A8410000}"/>
    <cellStyle name="40% - Accent4 7 2 5 2" xfId="12923" xr:uid="{00000000-0005-0000-0000-0000A9410000}"/>
    <cellStyle name="40% - Accent4 7 2 5 2 2" xfId="26635" xr:uid="{00000000-0005-0000-0000-0000AA410000}"/>
    <cellStyle name="40% - Accent4 7 2 5 3" xfId="23088" xr:uid="{00000000-0005-0000-0000-0000AB410000}"/>
    <cellStyle name="40% - Accent4 7 2 6" xfId="4238" xr:uid="{00000000-0005-0000-0000-0000AC410000}"/>
    <cellStyle name="40% - Accent4 7 2 6 2" xfId="13806" xr:uid="{00000000-0005-0000-0000-0000AD410000}"/>
    <cellStyle name="40% - Accent4 7 2 6 2 2" xfId="27355" xr:uid="{00000000-0005-0000-0000-0000AE410000}"/>
    <cellStyle name="40% - Accent4 7 2 6 3" xfId="23087" xr:uid="{00000000-0005-0000-0000-0000AF410000}"/>
    <cellStyle name="40% - Accent4 7 2 7" xfId="4239" xr:uid="{00000000-0005-0000-0000-0000B0410000}"/>
    <cellStyle name="40% - Accent4 7 2 7 2" xfId="14387" xr:uid="{00000000-0005-0000-0000-0000B1410000}"/>
    <cellStyle name="40% - Accent4 7 2 7 2 2" xfId="27936" xr:uid="{00000000-0005-0000-0000-0000B2410000}"/>
    <cellStyle name="40% - Accent4 7 2 7 3" xfId="24277" xr:uid="{00000000-0005-0000-0000-0000B3410000}"/>
    <cellStyle name="40% - Accent4 7 2 8" xfId="4240" xr:uid="{00000000-0005-0000-0000-0000B4410000}"/>
    <cellStyle name="40% - Accent4 7 2 8 2" xfId="15354" xr:uid="{00000000-0005-0000-0000-0000B5410000}"/>
    <cellStyle name="40% - Accent4 7 2 8 2 2" xfId="28903" xr:uid="{00000000-0005-0000-0000-0000B6410000}"/>
    <cellStyle name="40% - Accent4 7 2 8 3" xfId="23086" xr:uid="{00000000-0005-0000-0000-0000B7410000}"/>
    <cellStyle name="40% - Accent4 7 2 9" xfId="4241" xr:uid="{00000000-0005-0000-0000-0000B8410000}"/>
    <cellStyle name="40% - Accent4 7 2 9 2" xfId="16273" xr:uid="{00000000-0005-0000-0000-0000B9410000}"/>
    <cellStyle name="40% - Accent4 7 2 9 2 2" xfId="29680" xr:uid="{00000000-0005-0000-0000-0000BA410000}"/>
    <cellStyle name="40% - Accent4 7 2 9 3" xfId="25280" xr:uid="{00000000-0005-0000-0000-0000BB410000}"/>
    <cellStyle name="40% - Accent4 7 3" xfId="4242" xr:uid="{00000000-0005-0000-0000-0000BC410000}"/>
    <cellStyle name="40% - Accent4 7 3 2" xfId="4243" xr:uid="{00000000-0005-0000-0000-0000BD410000}"/>
    <cellStyle name="40% - Accent4 7 3 2 2" xfId="11146" xr:uid="{00000000-0005-0000-0000-0000BE410000}"/>
    <cellStyle name="40% - Accent4 7 3 2 2 2" xfId="25088" xr:uid="{00000000-0005-0000-0000-0000BF410000}"/>
    <cellStyle name="40% - Accent4 7 3 2 3" xfId="23084" xr:uid="{00000000-0005-0000-0000-0000C0410000}"/>
    <cellStyle name="40% - Accent4 7 3 3" xfId="4244" xr:uid="{00000000-0005-0000-0000-0000C1410000}"/>
    <cellStyle name="40% - Accent4 7 3 3 2" xfId="12925" xr:uid="{00000000-0005-0000-0000-0000C2410000}"/>
    <cellStyle name="40% - Accent4 7 3 3 2 2" xfId="26637" xr:uid="{00000000-0005-0000-0000-0000C3410000}"/>
    <cellStyle name="40% - Accent4 7 3 3 3" xfId="23083" xr:uid="{00000000-0005-0000-0000-0000C4410000}"/>
    <cellStyle name="40% - Accent4 7 3 4" xfId="4245" xr:uid="{00000000-0005-0000-0000-0000C5410000}"/>
    <cellStyle name="40% - Accent4 7 3 4 2" xfId="15357" xr:uid="{00000000-0005-0000-0000-0000C6410000}"/>
    <cellStyle name="40% - Accent4 7 3 4 2 2" xfId="28906" xr:uid="{00000000-0005-0000-0000-0000C7410000}"/>
    <cellStyle name="40% - Accent4 7 3 4 3" xfId="24272" xr:uid="{00000000-0005-0000-0000-0000C8410000}"/>
    <cellStyle name="40% - Accent4 7 3 5" xfId="4246" xr:uid="{00000000-0005-0000-0000-0000C9410000}"/>
    <cellStyle name="40% - Accent4 7 3 5 2" xfId="16565" xr:uid="{00000000-0005-0000-0000-0000CA410000}"/>
    <cellStyle name="40% - Accent4 7 3 5 2 2" xfId="29972" xr:uid="{00000000-0005-0000-0000-0000CB410000}"/>
    <cellStyle name="40% - Accent4 7 3 5 3" xfId="23082" xr:uid="{00000000-0005-0000-0000-0000CC410000}"/>
    <cellStyle name="40% - Accent4 7 3 6" xfId="9419" xr:uid="{00000000-0005-0000-0000-0000CD410000}"/>
    <cellStyle name="40% - Accent4 7 3 6 2" xfId="23894" xr:uid="{00000000-0005-0000-0000-0000CE410000}"/>
    <cellStyle name="40% - Accent4 7 3 7" xfId="23085" xr:uid="{00000000-0005-0000-0000-0000CF410000}"/>
    <cellStyle name="40% - Accent4 7 4" xfId="4247" xr:uid="{00000000-0005-0000-0000-0000D0410000}"/>
    <cellStyle name="40% - Accent4 7 4 2" xfId="4248" xr:uid="{00000000-0005-0000-0000-0000D1410000}"/>
    <cellStyle name="40% - Accent4 7 4 2 2" xfId="15358" xr:uid="{00000000-0005-0000-0000-0000D2410000}"/>
    <cellStyle name="40% - Accent4 7 4 2 2 2" xfId="28907" xr:uid="{00000000-0005-0000-0000-0000D3410000}"/>
    <cellStyle name="40% - Accent4 7 4 2 3" xfId="29155" xr:uid="{00000000-0005-0000-0000-0000D4410000}"/>
    <cellStyle name="40% - Accent4 7 4 3" xfId="11143" xr:uid="{00000000-0005-0000-0000-0000D5410000}"/>
    <cellStyle name="40% - Accent4 7 4 3 2" xfId="25085" xr:uid="{00000000-0005-0000-0000-0000D6410000}"/>
    <cellStyle name="40% - Accent4 7 4 4" xfId="23081" xr:uid="{00000000-0005-0000-0000-0000D7410000}"/>
    <cellStyle name="40% - Accent4 7 5" xfId="4249" xr:uid="{00000000-0005-0000-0000-0000D8410000}"/>
    <cellStyle name="40% - Accent4 7 5 2" xfId="11940" xr:uid="{00000000-0005-0000-0000-0000D9410000}"/>
    <cellStyle name="40% - Accent4 7 5 2 2" xfId="25655" xr:uid="{00000000-0005-0000-0000-0000DA410000}"/>
    <cellStyle name="40% - Accent4 7 5 3" xfId="23080" xr:uid="{00000000-0005-0000-0000-0000DB410000}"/>
    <cellStyle name="40% - Accent4 7 6" xfId="4250" xr:uid="{00000000-0005-0000-0000-0000DC410000}"/>
    <cellStyle name="40% - Accent4 7 6 2" xfId="12922" xr:uid="{00000000-0005-0000-0000-0000DD410000}"/>
    <cellStyle name="40% - Accent4 7 6 2 2" xfId="26634" xr:uid="{00000000-0005-0000-0000-0000DE410000}"/>
    <cellStyle name="40% - Accent4 7 6 3" xfId="23079" xr:uid="{00000000-0005-0000-0000-0000DF410000}"/>
    <cellStyle name="40% - Accent4 7 7" xfId="4251" xr:uid="{00000000-0005-0000-0000-0000E0410000}"/>
    <cellStyle name="40% - Accent4 7 7 2" xfId="13517" xr:uid="{00000000-0005-0000-0000-0000E1410000}"/>
    <cellStyle name="40% - Accent4 7 7 2 2" xfId="27066" xr:uid="{00000000-0005-0000-0000-0000E2410000}"/>
    <cellStyle name="40% - Accent4 7 7 3" xfId="26849" xr:uid="{00000000-0005-0000-0000-0000E3410000}"/>
    <cellStyle name="40% - Accent4 7 8" xfId="4252" xr:uid="{00000000-0005-0000-0000-0000E4410000}"/>
    <cellStyle name="40% - Accent4 7 8 2" xfId="14098" xr:uid="{00000000-0005-0000-0000-0000E5410000}"/>
    <cellStyle name="40% - Accent4 7 8 2 2" xfId="27647" xr:uid="{00000000-0005-0000-0000-0000E6410000}"/>
    <cellStyle name="40% - Accent4 7 8 3" xfId="23078" xr:uid="{00000000-0005-0000-0000-0000E7410000}"/>
    <cellStyle name="40% - Accent4 7 9" xfId="4253" xr:uid="{00000000-0005-0000-0000-0000E8410000}"/>
    <cellStyle name="40% - Accent4 7 9 2" xfId="15353" xr:uid="{00000000-0005-0000-0000-0000E9410000}"/>
    <cellStyle name="40% - Accent4 7 9 2 2" xfId="28902" xr:uid="{00000000-0005-0000-0000-0000EA410000}"/>
    <cellStyle name="40% - Accent4 7 9 3" xfId="23077" xr:uid="{00000000-0005-0000-0000-0000EB410000}"/>
    <cellStyle name="40% - Accent4 8" xfId="4254" xr:uid="{00000000-0005-0000-0000-0000EC410000}"/>
    <cellStyle name="40% - Accent4 8 10" xfId="9420" xr:uid="{00000000-0005-0000-0000-0000ED410000}"/>
    <cellStyle name="40% - Accent4 8 10 2" xfId="23895" xr:uid="{00000000-0005-0000-0000-0000EE410000}"/>
    <cellStyle name="40% - Accent4 8 11" xfId="24275" xr:uid="{00000000-0005-0000-0000-0000EF410000}"/>
    <cellStyle name="40% - Accent4 8 2" xfId="4255" xr:uid="{00000000-0005-0000-0000-0000F0410000}"/>
    <cellStyle name="40% - Accent4 8 2 2" xfId="4256" xr:uid="{00000000-0005-0000-0000-0000F1410000}"/>
    <cellStyle name="40% - Accent4 8 2 2 2" xfId="11148" xr:uid="{00000000-0005-0000-0000-0000F2410000}"/>
    <cellStyle name="40% - Accent4 8 2 2 2 2" xfId="25090" xr:uid="{00000000-0005-0000-0000-0000F3410000}"/>
    <cellStyle name="40% - Accent4 8 2 2 3" xfId="25279" xr:uid="{00000000-0005-0000-0000-0000F4410000}"/>
    <cellStyle name="40% - Accent4 8 2 3" xfId="4257" xr:uid="{00000000-0005-0000-0000-0000F5410000}"/>
    <cellStyle name="40% - Accent4 8 2 3 2" xfId="12927" xr:uid="{00000000-0005-0000-0000-0000F6410000}"/>
    <cellStyle name="40% - Accent4 8 2 3 2 2" xfId="26639" xr:uid="{00000000-0005-0000-0000-0000F7410000}"/>
    <cellStyle name="40% - Accent4 8 2 3 3" xfId="23075" xr:uid="{00000000-0005-0000-0000-0000F8410000}"/>
    <cellStyle name="40% - Accent4 8 2 4" xfId="4258" xr:uid="{00000000-0005-0000-0000-0000F9410000}"/>
    <cellStyle name="40% - Accent4 8 2 4 2" xfId="15360" xr:uid="{00000000-0005-0000-0000-0000FA410000}"/>
    <cellStyle name="40% - Accent4 8 2 4 2 2" xfId="28909" xr:uid="{00000000-0005-0000-0000-0000FB410000}"/>
    <cellStyle name="40% - Accent4 8 2 4 3" xfId="23074" xr:uid="{00000000-0005-0000-0000-0000FC410000}"/>
    <cellStyle name="40% - Accent4 8 2 5" xfId="4259" xr:uid="{00000000-0005-0000-0000-0000FD410000}"/>
    <cellStyle name="40% - Accent4 8 2 5 2" xfId="16710" xr:uid="{00000000-0005-0000-0000-0000FE410000}"/>
    <cellStyle name="40% - Accent4 8 2 5 2 2" xfId="30117" xr:uid="{00000000-0005-0000-0000-0000FF410000}"/>
    <cellStyle name="40% - Accent4 8 2 5 3" xfId="24273" xr:uid="{00000000-0005-0000-0000-000000420000}"/>
    <cellStyle name="40% - Accent4 8 2 6" xfId="9421" xr:uid="{00000000-0005-0000-0000-000001420000}"/>
    <cellStyle name="40% - Accent4 8 2 6 2" xfId="23896" xr:uid="{00000000-0005-0000-0000-000002420000}"/>
    <cellStyle name="40% - Accent4 8 2 7" xfId="23076" xr:uid="{00000000-0005-0000-0000-000003420000}"/>
    <cellStyle name="40% - Accent4 8 3" xfId="4260" xr:uid="{00000000-0005-0000-0000-000004420000}"/>
    <cellStyle name="40% - Accent4 8 3 2" xfId="4261" xr:uid="{00000000-0005-0000-0000-000005420000}"/>
    <cellStyle name="40% - Accent4 8 3 2 2" xfId="15361" xr:uid="{00000000-0005-0000-0000-000006420000}"/>
    <cellStyle name="40% - Accent4 8 3 2 2 2" xfId="28910" xr:uid="{00000000-0005-0000-0000-000007420000}"/>
    <cellStyle name="40% - Accent4 8 3 2 3" xfId="23072" xr:uid="{00000000-0005-0000-0000-000008420000}"/>
    <cellStyle name="40% - Accent4 8 3 3" xfId="11147" xr:uid="{00000000-0005-0000-0000-000009420000}"/>
    <cellStyle name="40% - Accent4 8 3 3 2" xfId="25089" xr:uid="{00000000-0005-0000-0000-00000A420000}"/>
    <cellStyle name="40% - Accent4 8 3 4" xfId="23073" xr:uid="{00000000-0005-0000-0000-00000B420000}"/>
    <cellStyle name="40% - Accent4 8 4" xfId="4262" xr:uid="{00000000-0005-0000-0000-00000C420000}"/>
    <cellStyle name="40% - Accent4 8 4 2" xfId="12088" xr:uid="{00000000-0005-0000-0000-00000D420000}"/>
    <cellStyle name="40% - Accent4 8 4 2 2" xfId="25802" xr:uid="{00000000-0005-0000-0000-00000E420000}"/>
    <cellStyle name="40% - Accent4 8 4 3" xfId="29154" xr:uid="{00000000-0005-0000-0000-00000F420000}"/>
    <cellStyle name="40% - Accent4 8 5" xfId="4263" xr:uid="{00000000-0005-0000-0000-000010420000}"/>
    <cellStyle name="40% - Accent4 8 5 2" xfId="12926" xr:uid="{00000000-0005-0000-0000-000011420000}"/>
    <cellStyle name="40% - Accent4 8 5 2 2" xfId="26638" xr:uid="{00000000-0005-0000-0000-000012420000}"/>
    <cellStyle name="40% - Accent4 8 5 3" xfId="23071" xr:uid="{00000000-0005-0000-0000-000013420000}"/>
    <cellStyle name="40% - Accent4 8 6" xfId="4264" xr:uid="{00000000-0005-0000-0000-000014420000}"/>
    <cellStyle name="40% - Accent4 8 6 2" xfId="13662" xr:uid="{00000000-0005-0000-0000-000015420000}"/>
    <cellStyle name="40% - Accent4 8 6 2 2" xfId="27211" xr:uid="{00000000-0005-0000-0000-000016420000}"/>
    <cellStyle name="40% - Accent4 8 6 3" xfId="23070" xr:uid="{00000000-0005-0000-0000-000017420000}"/>
    <cellStyle name="40% - Accent4 8 7" xfId="4265" xr:uid="{00000000-0005-0000-0000-000018420000}"/>
    <cellStyle name="40% - Accent4 8 7 2" xfId="14243" xr:uid="{00000000-0005-0000-0000-000019420000}"/>
    <cellStyle name="40% - Accent4 8 7 2 2" xfId="27792" xr:uid="{00000000-0005-0000-0000-00001A420000}"/>
    <cellStyle name="40% - Accent4 8 7 3" xfId="26848" xr:uid="{00000000-0005-0000-0000-00001B420000}"/>
    <cellStyle name="40% - Accent4 8 8" xfId="4266" xr:uid="{00000000-0005-0000-0000-00001C420000}"/>
    <cellStyle name="40% - Accent4 8 8 2" xfId="15359" xr:uid="{00000000-0005-0000-0000-00001D420000}"/>
    <cellStyle name="40% - Accent4 8 8 2 2" xfId="28908" xr:uid="{00000000-0005-0000-0000-00001E420000}"/>
    <cellStyle name="40% - Accent4 8 8 3" xfId="23069" xr:uid="{00000000-0005-0000-0000-00001F420000}"/>
    <cellStyle name="40% - Accent4 8 9" xfId="4267" xr:uid="{00000000-0005-0000-0000-000020420000}"/>
    <cellStyle name="40% - Accent4 8 9 2" xfId="16129" xr:uid="{00000000-0005-0000-0000-000021420000}"/>
    <cellStyle name="40% - Accent4 8 9 2 2" xfId="29536" xr:uid="{00000000-0005-0000-0000-000022420000}"/>
    <cellStyle name="40% - Accent4 8 9 3" xfId="23068" xr:uid="{00000000-0005-0000-0000-000023420000}"/>
    <cellStyle name="40% - Accent4 9" xfId="4268" xr:uid="{00000000-0005-0000-0000-000024420000}"/>
    <cellStyle name="40% - Accent4 9 2" xfId="4269" xr:uid="{00000000-0005-0000-0000-000025420000}"/>
    <cellStyle name="40% - Accent4 9 2 2" xfId="11149" xr:uid="{00000000-0005-0000-0000-000026420000}"/>
    <cellStyle name="40% - Accent4 9 2 2 2" xfId="25091" xr:uid="{00000000-0005-0000-0000-000027420000}"/>
    <cellStyle name="40% - Accent4 9 2 3" xfId="23067" xr:uid="{00000000-0005-0000-0000-000028420000}"/>
    <cellStyle name="40% - Accent4 9 3" xfId="4270" xr:uid="{00000000-0005-0000-0000-000029420000}"/>
    <cellStyle name="40% - Accent4 9 3 2" xfId="12928" xr:uid="{00000000-0005-0000-0000-00002A420000}"/>
    <cellStyle name="40% - Accent4 9 3 2 2" xfId="26640" xr:uid="{00000000-0005-0000-0000-00002B420000}"/>
    <cellStyle name="40% - Accent4 9 3 3" xfId="25278" xr:uid="{00000000-0005-0000-0000-00002C420000}"/>
    <cellStyle name="40% - Accent4 9 4" xfId="4271" xr:uid="{00000000-0005-0000-0000-00002D420000}"/>
    <cellStyle name="40% - Accent4 9 4 2" xfId="15362" xr:uid="{00000000-0005-0000-0000-00002E420000}"/>
    <cellStyle name="40% - Accent4 9 4 2 2" xfId="28911" xr:uid="{00000000-0005-0000-0000-00002F420000}"/>
    <cellStyle name="40% - Accent4 9 4 3" xfId="23066" xr:uid="{00000000-0005-0000-0000-000030420000}"/>
    <cellStyle name="40% - Accent4 9 5" xfId="4272" xr:uid="{00000000-0005-0000-0000-000031420000}"/>
    <cellStyle name="40% - Accent4 9 5 2" xfId="17094" xr:uid="{00000000-0005-0000-0000-000032420000}"/>
    <cellStyle name="40% - Accent4 9 5 2 2" xfId="30453" xr:uid="{00000000-0005-0000-0000-000033420000}"/>
    <cellStyle name="40% - Accent4 9 5 3" xfId="23065" xr:uid="{00000000-0005-0000-0000-000034420000}"/>
    <cellStyle name="40% - Accent4 9 6" xfId="9422" xr:uid="{00000000-0005-0000-0000-000035420000}"/>
    <cellStyle name="40% - Accent4 9 6 2" xfId="23897" xr:uid="{00000000-0005-0000-0000-000036420000}"/>
    <cellStyle name="40% - Accent4 9 7" xfId="24274" xr:uid="{00000000-0005-0000-0000-000037420000}"/>
    <cellStyle name="40% - Accent5" xfId="34" builtinId="47" customBuiltin="1"/>
    <cellStyle name="40% - Accent5 10" xfId="4273" xr:uid="{00000000-0005-0000-0000-000039420000}"/>
    <cellStyle name="40% - Accent5 10 2" xfId="4274" xr:uid="{00000000-0005-0000-0000-00003A420000}"/>
    <cellStyle name="40% - Accent5 10 2 2" xfId="4275" xr:uid="{00000000-0005-0000-0000-00003B420000}"/>
    <cellStyle name="40% - Accent5 10 2 2 2" xfId="12931" xr:uid="{00000000-0005-0000-0000-00003C420000}"/>
    <cellStyle name="40% - Accent5 10 2 2 2 2" xfId="26643" xr:uid="{00000000-0005-0000-0000-00003D420000}"/>
    <cellStyle name="40% - Accent5 10 2 2 3" xfId="24271" xr:uid="{00000000-0005-0000-0000-00003E420000}"/>
    <cellStyle name="40% - Accent5 10 2 3" xfId="4276" xr:uid="{00000000-0005-0000-0000-00003F420000}"/>
    <cellStyle name="40% - Accent5 10 2 3 2" xfId="15365" xr:uid="{00000000-0005-0000-0000-000040420000}"/>
    <cellStyle name="40% - Accent5 10 2 3 2 2" xfId="28914" xr:uid="{00000000-0005-0000-0000-000041420000}"/>
    <cellStyle name="40% - Accent5 10 2 3 3" xfId="23062" xr:uid="{00000000-0005-0000-0000-000042420000}"/>
    <cellStyle name="40% - Accent5 10 2 4" xfId="11151" xr:uid="{00000000-0005-0000-0000-000043420000}"/>
    <cellStyle name="40% - Accent5 10 2 4 2" xfId="25093" xr:uid="{00000000-0005-0000-0000-000044420000}"/>
    <cellStyle name="40% - Accent5 10 2 5" xfId="23063" xr:uid="{00000000-0005-0000-0000-000045420000}"/>
    <cellStyle name="40% - Accent5 10 3" xfId="4277" xr:uid="{00000000-0005-0000-0000-000046420000}"/>
    <cellStyle name="40% - Accent5 10 3 2" xfId="12930" xr:uid="{00000000-0005-0000-0000-000047420000}"/>
    <cellStyle name="40% - Accent5 10 3 2 2" xfId="26642" xr:uid="{00000000-0005-0000-0000-000048420000}"/>
    <cellStyle name="40% - Accent5 10 3 3" xfId="23061" xr:uid="{00000000-0005-0000-0000-000049420000}"/>
    <cellStyle name="40% - Accent5 10 4" xfId="4278" xr:uid="{00000000-0005-0000-0000-00004A420000}"/>
    <cellStyle name="40% - Accent5 10 4 2" xfId="15364" xr:uid="{00000000-0005-0000-0000-00004B420000}"/>
    <cellStyle name="40% - Accent5 10 4 2 2" xfId="28913" xr:uid="{00000000-0005-0000-0000-00004C420000}"/>
    <cellStyle name="40% - Accent5 10 4 3" xfId="23060" xr:uid="{00000000-0005-0000-0000-00004D420000}"/>
    <cellStyle name="40% - Accent5 10 5" xfId="4279" xr:uid="{00000000-0005-0000-0000-00004E420000}"/>
    <cellStyle name="40% - Accent5 10 5 2" xfId="17184" xr:uid="{00000000-0005-0000-0000-00004F420000}"/>
    <cellStyle name="40% - Accent5 10 5 2 2" xfId="30543" xr:uid="{00000000-0005-0000-0000-000050420000}"/>
    <cellStyle name="40% - Accent5 10 5 3" xfId="29153" xr:uid="{00000000-0005-0000-0000-000051420000}"/>
    <cellStyle name="40% - Accent5 10 6" xfId="9424" xr:uid="{00000000-0005-0000-0000-000052420000}"/>
    <cellStyle name="40% - Accent5 10 6 2" xfId="23899" xr:uid="{00000000-0005-0000-0000-000053420000}"/>
    <cellStyle name="40% - Accent5 10 7" xfId="23064" xr:uid="{00000000-0005-0000-0000-000054420000}"/>
    <cellStyle name="40% - Accent5 11" xfId="4280" xr:uid="{00000000-0005-0000-0000-000055420000}"/>
    <cellStyle name="40% - Accent5 11 2" xfId="4281" xr:uid="{00000000-0005-0000-0000-000056420000}"/>
    <cellStyle name="40% - Accent5 11 2 2" xfId="11152" xr:uid="{00000000-0005-0000-0000-000057420000}"/>
    <cellStyle name="40% - Accent5 11 2 2 2" xfId="25094" xr:uid="{00000000-0005-0000-0000-000058420000}"/>
    <cellStyle name="40% - Accent5 11 2 3" xfId="23058" xr:uid="{00000000-0005-0000-0000-000059420000}"/>
    <cellStyle name="40% - Accent5 11 3" xfId="4282" xr:uid="{00000000-0005-0000-0000-00005A420000}"/>
    <cellStyle name="40% - Accent5 11 3 2" xfId="12932" xr:uid="{00000000-0005-0000-0000-00005B420000}"/>
    <cellStyle name="40% - Accent5 11 3 2 2" xfId="26644" xr:uid="{00000000-0005-0000-0000-00005C420000}"/>
    <cellStyle name="40% - Accent5 11 3 3" xfId="26847" xr:uid="{00000000-0005-0000-0000-00005D420000}"/>
    <cellStyle name="40% - Accent5 11 4" xfId="4283" xr:uid="{00000000-0005-0000-0000-00005E420000}"/>
    <cellStyle name="40% - Accent5 11 4 2" xfId="15366" xr:uid="{00000000-0005-0000-0000-00005F420000}"/>
    <cellStyle name="40% - Accent5 11 4 2 2" xfId="28915" xr:uid="{00000000-0005-0000-0000-000060420000}"/>
    <cellStyle name="40% - Accent5 11 4 3" xfId="23057" xr:uid="{00000000-0005-0000-0000-000061420000}"/>
    <cellStyle name="40% - Accent5 11 5" xfId="4284" xr:uid="{00000000-0005-0000-0000-000062420000}"/>
    <cellStyle name="40% - Accent5 11 5 2" xfId="17273" xr:uid="{00000000-0005-0000-0000-000063420000}"/>
    <cellStyle name="40% - Accent5 11 5 2 2" xfId="30632" xr:uid="{00000000-0005-0000-0000-000064420000}"/>
    <cellStyle name="40% - Accent5 11 5 3" xfId="23056" xr:uid="{00000000-0005-0000-0000-000065420000}"/>
    <cellStyle name="40% - Accent5 11 6" xfId="9425" xr:uid="{00000000-0005-0000-0000-000066420000}"/>
    <cellStyle name="40% - Accent5 11 6 2" xfId="23900" xr:uid="{00000000-0005-0000-0000-000067420000}"/>
    <cellStyle name="40% - Accent5 11 7" xfId="23059" xr:uid="{00000000-0005-0000-0000-000068420000}"/>
    <cellStyle name="40% - Accent5 12" xfId="4285" xr:uid="{00000000-0005-0000-0000-000069420000}"/>
    <cellStyle name="40% - Accent5 12 2" xfId="4286" xr:uid="{00000000-0005-0000-0000-00006A420000}"/>
    <cellStyle name="40% - Accent5 12 2 2" xfId="4287" xr:uid="{00000000-0005-0000-0000-00006B420000}"/>
    <cellStyle name="40% - Accent5 12 2 2 2" xfId="11154" xr:uid="{00000000-0005-0000-0000-00006C420000}"/>
    <cellStyle name="40% - Accent5 12 2 2 2 2" xfId="25096" xr:uid="{00000000-0005-0000-0000-00006D420000}"/>
    <cellStyle name="40% - Accent5 12 2 2 3" xfId="23055" xr:uid="{00000000-0005-0000-0000-00006E420000}"/>
    <cellStyle name="40% - Accent5 12 2 3" xfId="4288" xr:uid="{00000000-0005-0000-0000-00006F420000}"/>
    <cellStyle name="40% - Accent5 12 2 3 2" xfId="12934" xr:uid="{00000000-0005-0000-0000-000070420000}"/>
    <cellStyle name="40% - Accent5 12 2 3 2 2" xfId="26646" xr:uid="{00000000-0005-0000-0000-000071420000}"/>
    <cellStyle name="40% - Accent5 12 2 3 3" xfId="23054" xr:uid="{00000000-0005-0000-0000-000072420000}"/>
    <cellStyle name="40% - Accent5 12 2 4" xfId="4289" xr:uid="{00000000-0005-0000-0000-000073420000}"/>
    <cellStyle name="40% - Accent5 12 2 4 2" xfId="15368" xr:uid="{00000000-0005-0000-0000-000074420000}"/>
    <cellStyle name="40% - Accent5 12 2 4 2 2" xfId="28917" xr:uid="{00000000-0005-0000-0000-000075420000}"/>
    <cellStyle name="40% - Accent5 12 2 4 3" xfId="24269" xr:uid="{00000000-0005-0000-0000-000076420000}"/>
    <cellStyle name="40% - Accent5 12 2 5" xfId="9427" xr:uid="{00000000-0005-0000-0000-000077420000}"/>
    <cellStyle name="40% - Accent5 12 2 5 2" xfId="23902" xr:uid="{00000000-0005-0000-0000-000078420000}"/>
    <cellStyle name="40% - Accent5 12 2 6" xfId="25277" xr:uid="{00000000-0005-0000-0000-000079420000}"/>
    <cellStyle name="40% - Accent5 12 3" xfId="4290" xr:uid="{00000000-0005-0000-0000-00007A420000}"/>
    <cellStyle name="40% - Accent5 12 3 2" xfId="11153" xr:uid="{00000000-0005-0000-0000-00007B420000}"/>
    <cellStyle name="40% - Accent5 12 3 2 2" xfId="25095" xr:uid="{00000000-0005-0000-0000-00007C420000}"/>
    <cellStyle name="40% - Accent5 12 3 3" xfId="23053" xr:uid="{00000000-0005-0000-0000-00007D420000}"/>
    <cellStyle name="40% - Accent5 12 4" xfId="4291" xr:uid="{00000000-0005-0000-0000-00007E420000}"/>
    <cellStyle name="40% - Accent5 12 4 2" xfId="12933" xr:uid="{00000000-0005-0000-0000-00007F420000}"/>
    <cellStyle name="40% - Accent5 12 4 2 2" xfId="26645" xr:uid="{00000000-0005-0000-0000-000080420000}"/>
    <cellStyle name="40% - Accent5 12 4 3" xfId="23052" xr:uid="{00000000-0005-0000-0000-000081420000}"/>
    <cellStyle name="40% - Accent5 12 5" xfId="4292" xr:uid="{00000000-0005-0000-0000-000082420000}"/>
    <cellStyle name="40% - Accent5 12 5 2" xfId="15367" xr:uid="{00000000-0005-0000-0000-000083420000}"/>
    <cellStyle name="40% - Accent5 12 5 2 2" xfId="28916" xr:uid="{00000000-0005-0000-0000-000084420000}"/>
    <cellStyle name="40% - Accent5 12 5 3" xfId="24267" xr:uid="{00000000-0005-0000-0000-000085420000}"/>
    <cellStyle name="40% - Accent5 12 6" xfId="4293" xr:uid="{00000000-0005-0000-0000-000086420000}"/>
    <cellStyle name="40% - Accent5 12 6 2" xfId="16425" xr:uid="{00000000-0005-0000-0000-000087420000}"/>
    <cellStyle name="40% - Accent5 12 6 2 2" xfId="29832" xr:uid="{00000000-0005-0000-0000-000088420000}"/>
    <cellStyle name="40% - Accent5 12 6 3" xfId="23051" xr:uid="{00000000-0005-0000-0000-000089420000}"/>
    <cellStyle name="40% - Accent5 12 7" xfId="9426" xr:uid="{00000000-0005-0000-0000-00008A420000}"/>
    <cellStyle name="40% - Accent5 12 7 2" xfId="23901" xr:uid="{00000000-0005-0000-0000-00008B420000}"/>
    <cellStyle name="40% - Accent5 12 8" xfId="24270" xr:uid="{00000000-0005-0000-0000-00008C420000}"/>
    <cellStyle name="40% - Accent5 13" xfId="4294" xr:uid="{00000000-0005-0000-0000-00008D420000}"/>
    <cellStyle name="40% - Accent5 13 2" xfId="4295" xr:uid="{00000000-0005-0000-0000-00008E420000}"/>
    <cellStyle name="40% - Accent5 13 2 2" xfId="11155" xr:uid="{00000000-0005-0000-0000-00008F420000}"/>
    <cellStyle name="40% - Accent5 13 2 2 2" xfId="25097" xr:uid="{00000000-0005-0000-0000-000090420000}"/>
    <cellStyle name="40% - Accent5 13 2 3" xfId="29152" xr:uid="{00000000-0005-0000-0000-000091420000}"/>
    <cellStyle name="40% - Accent5 13 3" xfId="4296" xr:uid="{00000000-0005-0000-0000-000092420000}"/>
    <cellStyle name="40% - Accent5 13 3 2" xfId="12935" xr:uid="{00000000-0005-0000-0000-000093420000}"/>
    <cellStyle name="40% - Accent5 13 3 2 2" xfId="26647" xr:uid="{00000000-0005-0000-0000-000094420000}"/>
    <cellStyle name="40% - Accent5 13 3 3" xfId="23049" xr:uid="{00000000-0005-0000-0000-000095420000}"/>
    <cellStyle name="40% - Accent5 13 4" xfId="4297" xr:uid="{00000000-0005-0000-0000-000096420000}"/>
    <cellStyle name="40% - Accent5 13 4 2" xfId="15369" xr:uid="{00000000-0005-0000-0000-000097420000}"/>
    <cellStyle name="40% - Accent5 13 4 2 2" xfId="28918" xr:uid="{00000000-0005-0000-0000-000098420000}"/>
    <cellStyle name="40% - Accent5 13 4 3" xfId="23048" xr:uid="{00000000-0005-0000-0000-000099420000}"/>
    <cellStyle name="40% - Accent5 13 5" xfId="9428" xr:uid="{00000000-0005-0000-0000-00009A420000}"/>
    <cellStyle name="40% - Accent5 13 5 2" xfId="23903" xr:uid="{00000000-0005-0000-0000-00009B420000}"/>
    <cellStyle name="40% - Accent5 13 6" xfId="23050" xr:uid="{00000000-0005-0000-0000-00009C420000}"/>
    <cellStyle name="40% - Accent5 14" xfId="4298" xr:uid="{00000000-0005-0000-0000-00009D420000}"/>
    <cellStyle name="40% - Accent5 14 2" xfId="4299" xr:uid="{00000000-0005-0000-0000-00009E420000}"/>
    <cellStyle name="40% - Accent5 14 2 2" xfId="11156" xr:uid="{00000000-0005-0000-0000-00009F420000}"/>
    <cellStyle name="40% - Accent5 14 2 2 2" xfId="25098" xr:uid="{00000000-0005-0000-0000-0000A0420000}"/>
    <cellStyle name="40% - Accent5 14 2 3" xfId="23047" xr:uid="{00000000-0005-0000-0000-0000A1420000}"/>
    <cellStyle name="40% - Accent5 14 3" xfId="4300" xr:uid="{00000000-0005-0000-0000-0000A2420000}"/>
    <cellStyle name="40% - Accent5 14 3 2" xfId="12936" xr:uid="{00000000-0005-0000-0000-0000A3420000}"/>
    <cellStyle name="40% - Accent5 14 3 2 2" xfId="26648" xr:uid="{00000000-0005-0000-0000-0000A4420000}"/>
    <cellStyle name="40% - Accent5 14 3 3" xfId="23046" xr:uid="{00000000-0005-0000-0000-0000A5420000}"/>
    <cellStyle name="40% - Accent5 14 4" xfId="4301" xr:uid="{00000000-0005-0000-0000-0000A6420000}"/>
    <cellStyle name="40% - Accent5 14 4 2" xfId="15370" xr:uid="{00000000-0005-0000-0000-0000A7420000}"/>
    <cellStyle name="40% - Accent5 14 4 2 2" xfId="28919" xr:uid="{00000000-0005-0000-0000-0000A8420000}"/>
    <cellStyle name="40% - Accent5 14 4 3" xfId="24268" xr:uid="{00000000-0005-0000-0000-0000A9420000}"/>
    <cellStyle name="40% - Accent5 14 5" xfId="9429" xr:uid="{00000000-0005-0000-0000-0000AA420000}"/>
    <cellStyle name="40% - Accent5 14 5 2" xfId="23904" xr:uid="{00000000-0005-0000-0000-0000AB420000}"/>
    <cellStyle name="40% - Accent5 14 6" xfId="26846" xr:uid="{00000000-0005-0000-0000-0000AC420000}"/>
    <cellStyle name="40% - Accent5 15" xfId="4302" xr:uid="{00000000-0005-0000-0000-0000AD420000}"/>
    <cellStyle name="40% - Accent5 15 2" xfId="4303" xr:uid="{00000000-0005-0000-0000-0000AE420000}"/>
    <cellStyle name="40% - Accent5 15 2 2" xfId="11157" xr:uid="{00000000-0005-0000-0000-0000AF420000}"/>
    <cellStyle name="40% - Accent5 15 2 2 2" xfId="25099" xr:uid="{00000000-0005-0000-0000-0000B0420000}"/>
    <cellStyle name="40% - Accent5 15 2 3" xfId="25276" xr:uid="{00000000-0005-0000-0000-0000B1420000}"/>
    <cellStyle name="40% - Accent5 15 3" xfId="4304" xr:uid="{00000000-0005-0000-0000-0000B2420000}"/>
    <cellStyle name="40% - Accent5 15 3 2" xfId="12937" xr:uid="{00000000-0005-0000-0000-0000B3420000}"/>
    <cellStyle name="40% - Accent5 15 3 2 2" xfId="26649" xr:uid="{00000000-0005-0000-0000-0000B4420000}"/>
    <cellStyle name="40% - Accent5 15 3 3" xfId="23044" xr:uid="{00000000-0005-0000-0000-0000B5420000}"/>
    <cellStyle name="40% - Accent5 15 4" xfId="4305" xr:uid="{00000000-0005-0000-0000-0000B6420000}"/>
    <cellStyle name="40% - Accent5 15 4 2" xfId="15371" xr:uid="{00000000-0005-0000-0000-0000B7420000}"/>
    <cellStyle name="40% - Accent5 15 4 2 2" xfId="28920" xr:uid="{00000000-0005-0000-0000-0000B8420000}"/>
    <cellStyle name="40% - Accent5 15 4 3" xfId="23043" xr:uid="{00000000-0005-0000-0000-0000B9420000}"/>
    <cellStyle name="40% - Accent5 15 5" xfId="9430" xr:uid="{00000000-0005-0000-0000-0000BA420000}"/>
    <cellStyle name="40% - Accent5 15 5 2" xfId="23905" xr:uid="{00000000-0005-0000-0000-0000BB420000}"/>
    <cellStyle name="40% - Accent5 15 6" xfId="23045" xr:uid="{00000000-0005-0000-0000-0000BC420000}"/>
    <cellStyle name="40% - Accent5 16" xfId="4306" xr:uid="{00000000-0005-0000-0000-0000BD420000}"/>
    <cellStyle name="40% - Accent5 16 2" xfId="4307" xr:uid="{00000000-0005-0000-0000-0000BE420000}"/>
    <cellStyle name="40% - Accent5 16 2 2" xfId="11158" xr:uid="{00000000-0005-0000-0000-0000BF420000}"/>
    <cellStyle name="40% - Accent5 16 2 2 2" xfId="25100" xr:uid="{00000000-0005-0000-0000-0000C0420000}"/>
    <cellStyle name="40% - Accent5 16 2 3" xfId="24263" xr:uid="{00000000-0005-0000-0000-0000C1420000}"/>
    <cellStyle name="40% - Accent5 16 3" xfId="4308" xr:uid="{00000000-0005-0000-0000-0000C2420000}"/>
    <cellStyle name="40% - Accent5 16 3 2" xfId="12938" xr:uid="{00000000-0005-0000-0000-0000C3420000}"/>
    <cellStyle name="40% - Accent5 16 3 2 2" xfId="26650" xr:uid="{00000000-0005-0000-0000-0000C4420000}"/>
    <cellStyle name="40% - Accent5 16 3 3" xfId="23041" xr:uid="{00000000-0005-0000-0000-0000C5420000}"/>
    <cellStyle name="40% - Accent5 16 4" xfId="4309" xr:uid="{00000000-0005-0000-0000-0000C6420000}"/>
    <cellStyle name="40% - Accent5 16 4 2" xfId="15372" xr:uid="{00000000-0005-0000-0000-0000C7420000}"/>
    <cellStyle name="40% - Accent5 16 4 2 2" xfId="28921" xr:uid="{00000000-0005-0000-0000-0000C8420000}"/>
    <cellStyle name="40% - Accent5 16 4 3" xfId="23040" xr:uid="{00000000-0005-0000-0000-0000C9420000}"/>
    <cellStyle name="40% - Accent5 16 5" xfId="9431" xr:uid="{00000000-0005-0000-0000-0000CA420000}"/>
    <cellStyle name="40% - Accent5 16 5 2" xfId="23906" xr:uid="{00000000-0005-0000-0000-0000CB420000}"/>
    <cellStyle name="40% - Accent5 16 6" xfId="23042" xr:uid="{00000000-0005-0000-0000-0000CC420000}"/>
    <cellStyle name="40% - Accent5 17" xfId="4310" xr:uid="{00000000-0005-0000-0000-0000CD420000}"/>
    <cellStyle name="40% - Accent5 17 2" xfId="4311" xr:uid="{00000000-0005-0000-0000-0000CE420000}"/>
    <cellStyle name="40% - Accent5 17 2 2" xfId="11159" xr:uid="{00000000-0005-0000-0000-0000CF420000}"/>
    <cellStyle name="40% - Accent5 17 2 2 2" xfId="25101" xr:uid="{00000000-0005-0000-0000-0000D0420000}"/>
    <cellStyle name="40% - Accent5 17 2 3" xfId="23039" xr:uid="{00000000-0005-0000-0000-0000D1420000}"/>
    <cellStyle name="40% - Accent5 17 3" xfId="4312" xr:uid="{00000000-0005-0000-0000-0000D2420000}"/>
    <cellStyle name="40% - Accent5 17 3 2" xfId="12939" xr:uid="{00000000-0005-0000-0000-0000D3420000}"/>
    <cellStyle name="40% - Accent5 17 3 2 2" xfId="26651" xr:uid="{00000000-0005-0000-0000-0000D4420000}"/>
    <cellStyle name="40% - Accent5 17 3 3" xfId="23038" xr:uid="{00000000-0005-0000-0000-0000D5420000}"/>
    <cellStyle name="40% - Accent5 17 4" xfId="4313" xr:uid="{00000000-0005-0000-0000-0000D6420000}"/>
    <cellStyle name="40% - Accent5 17 4 2" xfId="15373" xr:uid="{00000000-0005-0000-0000-0000D7420000}"/>
    <cellStyle name="40% - Accent5 17 4 2 2" xfId="28922" xr:uid="{00000000-0005-0000-0000-0000D8420000}"/>
    <cellStyle name="40% - Accent5 17 4 3" xfId="26845" xr:uid="{00000000-0005-0000-0000-0000D9420000}"/>
    <cellStyle name="40% - Accent5 17 5" xfId="9432" xr:uid="{00000000-0005-0000-0000-0000DA420000}"/>
    <cellStyle name="40% - Accent5 17 5 2" xfId="23907" xr:uid="{00000000-0005-0000-0000-0000DB420000}"/>
    <cellStyle name="40% - Accent5 17 6" xfId="29151" xr:uid="{00000000-0005-0000-0000-0000DC420000}"/>
    <cellStyle name="40% - Accent5 18" xfId="4314" xr:uid="{00000000-0005-0000-0000-0000DD420000}"/>
    <cellStyle name="40% - Accent5 18 2" xfId="4315" xr:uid="{00000000-0005-0000-0000-0000DE420000}"/>
    <cellStyle name="40% - Accent5 18 2 2" xfId="11160" xr:uid="{00000000-0005-0000-0000-0000DF420000}"/>
    <cellStyle name="40% - Accent5 18 2 2 2" xfId="25102" xr:uid="{00000000-0005-0000-0000-0000E0420000}"/>
    <cellStyle name="40% - Accent5 18 2 3" xfId="23036" xr:uid="{00000000-0005-0000-0000-0000E1420000}"/>
    <cellStyle name="40% - Accent5 18 3" xfId="4316" xr:uid="{00000000-0005-0000-0000-0000E2420000}"/>
    <cellStyle name="40% - Accent5 18 3 2" xfId="12940" xr:uid="{00000000-0005-0000-0000-0000E3420000}"/>
    <cellStyle name="40% - Accent5 18 3 2 2" xfId="26652" xr:uid="{00000000-0005-0000-0000-0000E4420000}"/>
    <cellStyle name="40% - Accent5 18 3 3" xfId="24266" xr:uid="{00000000-0005-0000-0000-0000E5420000}"/>
    <cellStyle name="40% - Accent5 18 4" xfId="4317" xr:uid="{00000000-0005-0000-0000-0000E6420000}"/>
    <cellStyle name="40% - Accent5 18 4 2" xfId="15374" xr:uid="{00000000-0005-0000-0000-0000E7420000}"/>
    <cellStyle name="40% - Accent5 18 4 2 2" xfId="28923" xr:uid="{00000000-0005-0000-0000-0000E8420000}"/>
    <cellStyle name="40% - Accent5 18 4 3" xfId="23035" xr:uid="{00000000-0005-0000-0000-0000E9420000}"/>
    <cellStyle name="40% - Accent5 18 5" xfId="9433" xr:uid="{00000000-0005-0000-0000-0000EA420000}"/>
    <cellStyle name="40% - Accent5 18 5 2" xfId="23908" xr:uid="{00000000-0005-0000-0000-0000EB420000}"/>
    <cellStyle name="40% - Accent5 18 6" xfId="23037" xr:uid="{00000000-0005-0000-0000-0000EC420000}"/>
    <cellStyle name="40% - Accent5 19" xfId="4318" xr:uid="{00000000-0005-0000-0000-0000ED420000}"/>
    <cellStyle name="40% - Accent5 19 2" xfId="4319" xr:uid="{00000000-0005-0000-0000-0000EE420000}"/>
    <cellStyle name="40% - Accent5 19 2 2" xfId="11709" xr:uid="{00000000-0005-0000-0000-0000EF420000}"/>
    <cellStyle name="40% - Accent5 19 2 2 2" xfId="25429" xr:uid="{00000000-0005-0000-0000-0000F0420000}"/>
    <cellStyle name="40% - Accent5 19 2 3" xfId="23034" xr:uid="{00000000-0005-0000-0000-0000F1420000}"/>
    <cellStyle name="40% - Accent5 19 3" xfId="4320" xr:uid="{00000000-0005-0000-0000-0000F2420000}"/>
    <cellStyle name="40% - Accent5 19 3 2" xfId="12941" xr:uid="{00000000-0005-0000-0000-0000F3420000}"/>
    <cellStyle name="40% - Accent5 19 3 2 2" xfId="26653" xr:uid="{00000000-0005-0000-0000-0000F4420000}"/>
    <cellStyle name="40% - Accent5 19 3 3" xfId="23033" xr:uid="{00000000-0005-0000-0000-0000F5420000}"/>
    <cellStyle name="40% - Accent5 19 4" xfId="4321" xr:uid="{00000000-0005-0000-0000-0000F6420000}"/>
    <cellStyle name="40% - Accent5 19 4 2" xfId="15375" xr:uid="{00000000-0005-0000-0000-0000F7420000}"/>
    <cellStyle name="40% - Accent5 19 4 2 2" xfId="28924" xr:uid="{00000000-0005-0000-0000-0000F8420000}"/>
    <cellStyle name="40% - Accent5 19 4 3" xfId="24264" xr:uid="{00000000-0005-0000-0000-0000F9420000}"/>
    <cellStyle name="40% - Accent5 19 5" xfId="10461" xr:uid="{00000000-0005-0000-0000-0000FA420000}"/>
    <cellStyle name="40% - Accent5 19 5 2" xfId="24420" xr:uid="{00000000-0005-0000-0000-0000FB420000}"/>
    <cellStyle name="40% - Accent5 19 6" xfId="25275" xr:uid="{00000000-0005-0000-0000-0000FC420000}"/>
    <cellStyle name="40% - Accent5 2" xfId="4322" xr:uid="{00000000-0005-0000-0000-0000FD420000}"/>
    <cellStyle name="40% - Accent5 2 10" xfId="4323" xr:uid="{00000000-0005-0000-0000-0000FE420000}"/>
    <cellStyle name="40% - Accent5 2 10 2" xfId="4324" xr:uid="{00000000-0005-0000-0000-0000FF420000}"/>
    <cellStyle name="40% - Accent5 2 10 2 2" xfId="15377" xr:uid="{00000000-0005-0000-0000-000000430000}"/>
    <cellStyle name="40% - Accent5 2 10 2 2 2" xfId="28926" xr:uid="{00000000-0005-0000-0000-000001430000}"/>
    <cellStyle name="40% - Accent5 2 10 2 3" xfId="29150" xr:uid="{00000000-0005-0000-0000-000002430000}"/>
    <cellStyle name="40% - Accent5 2 10 3" xfId="11835" xr:uid="{00000000-0005-0000-0000-000003430000}"/>
    <cellStyle name="40% - Accent5 2 10 3 2" xfId="25550" xr:uid="{00000000-0005-0000-0000-000004430000}"/>
    <cellStyle name="40% - Accent5 2 10 4" xfId="23031" xr:uid="{00000000-0005-0000-0000-000005430000}"/>
    <cellStyle name="40% - Accent5 2 11" xfId="4325" xr:uid="{00000000-0005-0000-0000-000006430000}"/>
    <cellStyle name="40% - Accent5 2 11 2" xfId="12942" xr:uid="{00000000-0005-0000-0000-000007430000}"/>
    <cellStyle name="40% - Accent5 2 11 2 2" xfId="26654" xr:uid="{00000000-0005-0000-0000-000008430000}"/>
    <cellStyle name="40% - Accent5 2 11 3" xfId="23030" xr:uid="{00000000-0005-0000-0000-000009430000}"/>
    <cellStyle name="40% - Accent5 2 12" xfId="4326" xr:uid="{00000000-0005-0000-0000-00000A430000}"/>
    <cellStyle name="40% - Accent5 2 12 2" xfId="13433" xr:uid="{00000000-0005-0000-0000-00000B430000}"/>
    <cellStyle name="40% - Accent5 2 12 2 2" xfId="26982" xr:uid="{00000000-0005-0000-0000-00000C430000}"/>
    <cellStyle name="40% - Accent5 2 12 3" xfId="23029" xr:uid="{00000000-0005-0000-0000-00000D430000}"/>
    <cellStyle name="40% - Accent5 2 13" xfId="4327" xr:uid="{00000000-0005-0000-0000-00000E430000}"/>
    <cellStyle name="40% - Accent5 2 13 2" xfId="14014" xr:uid="{00000000-0005-0000-0000-00000F430000}"/>
    <cellStyle name="40% - Accent5 2 13 2 2" xfId="27563" xr:uid="{00000000-0005-0000-0000-000010430000}"/>
    <cellStyle name="40% - Accent5 2 13 3" xfId="26844" xr:uid="{00000000-0005-0000-0000-000011430000}"/>
    <cellStyle name="40% - Accent5 2 14" xfId="4328" xr:uid="{00000000-0005-0000-0000-000012430000}"/>
    <cellStyle name="40% - Accent5 2 14 2" xfId="15376" xr:uid="{00000000-0005-0000-0000-000013430000}"/>
    <cellStyle name="40% - Accent5 2 14 2 2" xfId="28925" xr:uid="{00000000-0005-0000-0000-000014430000}"/>
    <cellStyle name="40% - Accent5 2 14 3" xfId="23028" xr:uid="{00000000-0005-0000-0000-000015430000}"/>
    <cellStyle name="40% - Accent5 2 15" xfId="4329" xr:uid="{00000000-0005-0000-0000-000016430000}"/>
    <cellStyle name="40% - Accent5 2 15 2" xfId="15900" xr:uid="{00000000-0005-0000-0000-000017430000}"/>
    <cellStyle name="40% - Accent5 2 15 2 2" xfId="29307" xr:uid="{00000000-0005-0000-0000-000018430000}"/>
    <cellStyle name="40% - Accent5 2 15 3" xfId="23027" xr:uid="{00000000-0005-0000-0000-000019430000}"/>
    <cellStyle name="40% - Accent5 2 16" xfId="9434" xr:uid="{00000000-0005-0000-0000-00001A430000}"/>
    <cellStyle name="40% - Accent5 2 16 2" xfId="23909" xr:uid="{00000000-0005-0000-0000-00001B430000}"/>
    <cellStyle name="40% - Accent5 2 17" xfId="23032" xr:uid="{00000000-0005-0000-0000-00001C430000}"/>
    <cellStyle name="40% - Accent5 2 2" xfId="4330" xr:uid="{00000000-0005-0000-0000-00001D430000}"/>
    <cellStyle name="40% - Accent5 2 2 10" xfId="4331" xr:uid="{00000000-0005-0000-0000-00001E430000}"/>
    <cellStyle name="40% - Accent5 2 2 10 2" xfId="15378" xr:uid="{00000000-0005-0000-0000-00001F430000}"/>
    <cellStyle name="40% - Accent5 2 2 10 2 2" xfId="28927" xr:uid="{00000000-0005-0000-0000-000020430000}"/>
    <cellStyle name="40% - Accent5 2 2 10 3" xfId="23026" xr:uid="{00000000-0005-0000-0000-000021430000}"/>
    <cellStyle name="40% - Accent5 2 2 11" xfId="4332" xr:uid="{00000000-0005-0000-0000-000022430000}"/>
    <cellStyle name="40% - Accent5 2 2 11 2" xfId="15946" xr:uid="{00000000-0005-0000-0000-000023430000}"/>
    <cellStyle name="40% - Accent5 2 2 11 2 2" xfId="29353" xr:uid="{00000000-0005-0000-0000-000024430000}"/>
    <cellStyle name="40% - Accent5 2 2 11 3" xfId="25274" xr:uid="{00000000-0005-0000-0000-000025430000}"/>
    <cellStyle name="40% - Accent5 2 2 12" xfId="9435" xr:uid="{00000000-0005-0000-0000-000026430000}"/>
    <cellStyle name="40% - Accent5 2 2 12 2" xfId="23910" xr:uid="{00000000-0005-0000-0000-000027430000}"/>
    <cellStyle name="40% - Accent5 2 2 13" xfId="24265" xr:uid="{00000000-0005-0000-0000-000028430000}"/>
    <cellStyle name="40% - Accent5 2 2 2" xfId="4333" xr:uid="{00000000-0005-0000-0000-000029430000}"/>
    <cellStyle name="40% - Accent5 2 2 2 10" xfId="4334" xr:uid="{00000000-0005-0000-0000-00002A430000}"/>
    <cellStyle name="40% - Accent5 2 2 2 10 2" xfId="16089" xr:uid="{00000000-0005-0000-0000-00002B430000}"/>
    <cellStyle name="40% - Accent5 2 2 2 10 2 2" xfId="29496" xr:uid="{00000000-0005-0000-0000-00002C430000}"/>
    <cellStyle name="40% - Accent5 2 2 2 10 3" xfId="23024" xr:uid="{00000000-0005-0000-0000-00002D430000}"/>
    <cellStyle name="40% - Accent5 2 2 2 11" xfId="9436" xr:uid="{00000000-0005-0000-0000-00002E430000}"/>
    <cellStyle name="40% - Accent5 2 2 2 11 2" xfId="23911" xr:uid="{00000000-0005-0000-0000-00002F430000}"/>
    <cellStyle name="40% - Accent5 2 2 2 12" xfId="23025" xr:uid="{00000000-0005-0000-0000-000030430000}"/>
    <cellStyle name="40% - Accent5 2 2 2 2" xfId="4335" xr:uid="{00000000-0005-0000-0000-000031430000}"/>
    <cellStyle name="40% - Accent5 2 2 2 2 10" xfId="9437" xr:uid="{00000000-0005-0000-0000-000032430000}"/>
    <cellStyle name="40% - Accent5 2 2 2 2 10 2" xfId="23912" xr:uid="{00000000-0005-0000-0000-000033430000}"/>
    <cellStyle name="40% - Accent5 2 2 2 2 11" xfId="23023" xr:uid="{00000000-0005-0000-0000-000034430000}"/>
    <cellStyle name="40% - Accent5 2 2 2 2 2" xfId="4336" xr:uid="{00000000-0005-0000-0000-000035430000}"/>
    <cellStyle name="40% - Accent5 2 2 2 2 2 2" xfId="4337" xr:uid="{00000000-0005-0000-0000-000036430000}"/>
    <cellStyle name="40% - Accent5 2 2 2 2 2 2 2" xfId="11165" xr:uid="{00000000-0005-0000-0000-000037430000}"/>
    <cellStyle name="40% - Accent5 2 2 2 2 2 2 2 2" xfId="25107" xr:uid="{00000000-0005-0000-0000-000038430000}"/>
    <cellStyle name="40% - Accent5 2 2 2 2 2 2 3" xfId="24262" xr:uid="{00000000-0005-0000-0000-000039430000}"/>
    <cellStyle name="40% - Accent5 2 2 2 2 2 3" xfId="4338" xr:uid="{00000000-0005-0000-0000-00003A430000}"/>
    <cellStyle name="40% - Accent5 2 2 2 2 2 3 2" xfId="12946" xr:uid="{00000000-0005-0000-0000-00003B430000}"/>
    <cellStyle name="40% - Accent5 2 2 2 2 2 3 2 2" xfId="26658" xr:uid="{00000000-0005-0000-0000-00003C430000}"/>
    <cellStyle name="40% - Accent5 2 2 2 2 2 3 3" xfId="23021" xr:uid="{00000000-0005-0000-0000-00003D430000}"/>
    <cellStyle name="40% - Accent5 2 2 2 2 2 4" xfId="4339" xr:uid="{00000000-0005-0000-0000-00003E430000}"/>
    <cellStyle name="40% - Accent5 2 2 2 2 2 4 2" xfId="15381" xr:uid="{00000000-0005-0000-0000-00003F430000}"/>
    <cellStyle name="40% - Accent5 2 2 2 2 2 4 2 2" xfId="28930" xr:uid="{00000000-0005-0000-0000-000040430000}"/>
    <cellStyle name="40% - Accent5 2 2 2 2 2 4 3" xfId="23020" xr:uid="{00000000-0005-0000-0000-000041430000}"/>
    <cellStyle name="40% - Accent5 2 2 2 2 2 5" xfId="4340" xr:uid="{00000000-0005-0000-0000-000042430000}"/>
    <cellStyle name="40% - Accent5 2 2 2 2 2 5 2" xfId="16959" xr:uid="{00000000-0005-0000-0000-000043430000}"/>
    <cellStyle name="40% - Accent5 2 2 2 2 2 5 2 2" xfId="30366" xr:uid="{00000000-0005-0000-0000-000044430000}"/>
    <cellStyle name="40% - Accent5 2 2 2 2 2 5 3" xfId="23019" xr:uid="{00000000-0005-0000-0000-000045430000}"/>
    <cellStyle name="40% - Accent5 2 2 2 2 2 6" xfId="9438" xr:uid="{00000000-0005-0000-0000-000046430000}"/>
    <cellStyle name="40% - Accent5 2 2 2 2 2 6 2" xfId="23913" xr:uid="{00000000-0005-0000-0000-000047430000}"/>
    <cellStyle name="40% - Accent5 2 2 2 2 2 7" xfId="23022" xr:uid="{00000000-0005-0000-0000-000048430000}"/>
    <cellStyle name="40% - Accent5 2 2 2 2 3" xfId="4341" xr:uid="{00000000-0005-0000-0000-000049430000}"/>
    <cellStyle name="40% - Accent5 2 2 2 2 3 2" xfId="4342" xr:uid="{00000000-0005-0000-0000-00004A430000}"/>
    <cellStyle name="40% - Accent5 2 2 2 2 3 2 2" xfId="15382" xr:uid="{00000000-0005-0000-0000-00004B430000}"/>
    <cellStyle name="40% - Accent5 2 2 2 2 3 2 2 2" xfId="28931" xr:uid="{00000000-0005-0000-0000-00004C430000}"/>
    <cellStyle name="40% - Accent5 2 2 2 2 3 2 3" xfId="23018" xr:uid="{00000000-0005-0000-0000-00004D430000}"/>
    <cellStyle name="40% - Accent5 2 2 2 2 3 3" xfId="11164" xr:uid="{00000000-0005-0000-0000-00004E430000}"/>
    <cellStyle name="40% - Accent5 2 2 2 2 3 3 2" xfId="25106" xr:uid="{00000000-0005-0000-0000-00004F430000}"/>
    <cellStyle name="40% - Accent5 2 2 2 2 3 4" xfId="29149" xr:uid="{00000000-0005-0000-0000-000050430000}"/>
    <cellStyle name="40% - Accent5 2 2 2 2 4" xfId="4343" xr:uid="{00000000-0005-0000-0000-000051430000}"/>
    <cellStyle name="40% - Accent5 2 2 2 2 4 2" xfId="12347" xr:uid="{00000000-0005-0000-0000-000052430000}"/>
    <cellStyle name="40% - Accent5 2 2 2 2 4 2 2" xfId="26059" xr:uid="{00000000-0005-0000-0000-000053430000}"/>
    <cellStyle name="40% - Accent5 2 2 2 2 4 3" xfId="23017" xr:uid="{00000000-0005-0000-0000-000054430000}"/>
    <cellStyle name="40% - Accent5 2 2 2 2 5" xfId="4344" xr:uid="{00000000-0005-0000-0000-000055430000}"/>
    <cellStyle name="40% - Accent5 2 2 2 2 5 2" xfId="12945" xr:uid="{00000000-0005-0000-0000-000056430000}"/>
    <cellStyle name="40% - Accent5 2 2 2 2 5 2 2" xfId="26657" xr:uid="{00000000-0005-0000-0000-000057430000}"/>
    <cellStyle name="40% - Accent5 2 2 2 2 5 3" xfId="26843" xr:uid="{00000000-0005-0000-0000-000058430000}"/>
    <cellStyle name="40% - Accent5 2 2 2 2 6" xfId="4345" xr:uid="{00000000-0005-0000-0000-000059430000}"/>
    <cellStyle name="40% - Accent5 2 2 2 2 6 2" xfId="13911" xr:uid="{00000000-0005-0000-0000-00005A430000}"/>
    <cellStyle name="40% - Accent5 2 2 2 2 6 2 2" xfId="27460" xr:uid="{00000000-0005-0000-0000-00005B430000}"/>
    <cellStyle name="40% - Accent5 2 2 2 2 6 3" xfId="23016" xr:uid="{00000000-0005-0000-0000-00005C430000}"/>
    <cellStyle name="40% - Accent5 2 2 2 2 7" xfId="4346" xr:uid="{00000000-0005-0000-0000-00005D430000}"/>
    <cellStyle name="40% - Accent5 2 2 2 2 7 2" xfId="14492" xr:uid="{00000000-0005-0000-0000-00005E430000}"/>
    <cellStyle name="40% - Accent5 2 2 2 2 7 2 2" xfId="28041" xr:uid="{00000000-0005-0000-0000-00005F430000}"/>
    <cellStyle name="40% - Accent5 2 2 2 2 7 3" xfId="23015" xr:uid="{00000000-0005-0000-0000-000060430000}"/>
    <cellStyle name="40% - Accent5 2 2 2 2 8" xfId="4347" xr:uid="{00000000-0005-0000-0000-000061430000}"/>
    <cellStyle name="40% - Accent5 2 2 2 2 8 2" xfId="15380" xr:uid="{00000000-0005-0000-0000-000062430000}"/>
    <cellStyle name="40% - Accent5 2 2 2 2 8 2 2" xfId="28929" xr:uid="{00000000-0005-0000-0000-000063430000}"/>
    <cellStyle name="40% - Accent5 2 2 2 2 8 3" xfId="24261" xr:uid="{00000000-0005-0000-0000-000064430000}"/>
    <cellStyle name="40% - Accent5 2 2 2 2 9" xfId="4348" xr:uid="{00000000-0005-0000-0000-000065430000}"/>
    <cellStyle name="40% - Accent5 2 2 2 2 9 2" xfId="16378" xr:uid="{00000000-0005-0000-0000-000066430000}"/>
    <cellStyle name="40% - Accent5 2 2 2 2 9 2 2" xfId="29785" xr:uid="{00000000-0005-0000-0000-000067430000}"/>
    <cellStyle name="40% - Accent5 2 2 2 2 9 3" xfId="25273" xr:uid="{00000000-0005-0000-0000-000068430000}"/>
    <cellStyle name="40% - Accent5 2 2 2 3" xfId="4349" xr:uid="{00000000-0005-0000-0000-000069430000}"/>
    <cellStyle name="40% - Accent5 2 2 2 3 2" xfId="4350" xr:uid="{00000000-0005-0000-0000-00006A430000}"/>
    <cellStyle name="40% - Accent5 2 2 2 3 2 2" xfId="11166" xr:uid="{00000000-0005-0000-0000-00006B430000}"/>
    <cellStyle name="40% - Accent5 2 2 2 3 2 2 2" xfId="25108" xr:uid="{00000000-0005-0000-0000-00006C430000}"/>
    <cellStyle name="40% - Accent5 2 2 2 3 2 3" xfId="23013" xr:uid="{00000000-0005-0000-0000-00006D430000}"/>
    <cellStyle name="40% - Accent5 2 2 2 3 3" xfId="4351" xr:uid="{00000000-0005-0000-0000-00006E430000}"/>
    <cellStyle name="40% - Accent5 2 2 2 3 3 2" xfId="12947" xr:uid="{00000000-0005-0000-0000-00006F430000}"/>
    <cellStyle name="40% - Accent5 2 2 2 3 3 2 2" xfId="26659" xr:uid="{00000000-0005-0000-0000-000070430000}"/>
    <cellStyle name="40% - Accent5 2 2 2 3 3 3" xfId="24260" xr:uid="{00000000-0005-0000-0000-000071430000}"/>
    <cellStyle name="40% - Accent5 2 2 2 3 4" xfId="4352" xr:uid="{00000000-0005-0000-0000-000072430000}"/>
    <cellStyle name="40% - Accent5 2 2 2 3 4 2" xfId="15383" xr:uid="{00000000-0005-0000-0000-000073430000}"/>
    <cellStyle name="40% - Accent5 2 2 2 3 4 2 2" xfId="28932" xr:uid="{00000000-0005-0000-0000-000074430000}"/>
    <cellStyle name="40% - Accent5 2 2 2 3 4 3" xfId="23012" xr:uid="{00000000-0005-0000-0000-000075430000}"/>
    <cellStyle name="40% - Accent5 2 2 2 3 5" xfId="4353" xr:uid="{00000000-0005-0000-0000-000076430000}"/>
    <cellStyle name="40% - Accent5 2 2 2 3 5 2" xfId="16670" xr:uid="{00000000-0005-0000-0000-000077430000}"/>
    <cellStyle name="40% - Accent5 2 2 2 3 5 2 2" xfId="30077" xr:uid="{00000000-0005-0000-0000-000078430000}"/>
    <cellStyle name="40% - Accent5 2 2 2 3 5 3" xfId="23011" xr:uid="{00000000-0005-0000-0000-000079430000}"/>
    <cellStyle name="40% - Accent5 2 2 2 3 6" xfId="9439" xr:uid="{00000000-0005-0000-0000-00007A430000}"/>
    <cellStyle name="40% - Accent5 2 2 2 3 6 2" xfId="23914" xr:uid="{00000000-0005-0000-0000-00007B430000}"/>
    <cellStyle name="40% - Accent5 2 2 2 3 7" xfId="23014" xr:uid="{00000000-0005-0000-0000-00007C430000}"/>
    <cellStyle name="40% - Accent5 2 2 2 4" xfId="4354" xr:uid="{00000000-0005-0000-0000-00007D430000}"/>
    <cellStyle name="40% - Accent5 2 2 2 4 2" xfId="4355" xr:uid="{00000000-0005-0000-0000-00007E430000}"/>
    <cellStyle name="40% - Accent5 2 2 2 4 2 2" xfId="15384" xr:uid="{00000000-0005-0000-0000-00007F430000}"/>
    <cellStyle name="40% - Accent5 2 2 2 4 2 2 2" xfId="28933" xr:uid="{00000000-0005-0000-0000-000080430000}"/>
    <cellStyle name="40% - Accent5 2 2 2 4 2 3" xfId="23010" xr:uid="{00000000-0005-0000-0000-000081430000}"/>
    <cellStyle name="40% - Accent5 2 2 2 4 3" xfId="11163" xr:uid="{00000000-0005-0000-0000-000082430000}"/>
    <cellStyle name="40% - Accent5 2 2 2 4 3 2" xfId="25105" xr:uid="{00000000-0005-0000-0000-000083430000}"/>
    <cellStyle name="40% - Accent5 2 2 2 4 4" xfId="24258" xr:uid="{00000000-0005-0000-0000-000084430000}"/>
    <cellStyle name="40% - Accent5 2 2 2 5" xfId="4356" xr:uid="{00000000-0005-0000-0000-000085430000}"/>
    <cellStyle name="40% - Accent5 2 2 2 5 2" xfId="12047" xr:uid="{00000000-0005-0000-0000-000086430000}"/>
    <cellStyle name="40% - Accent5 2 2 2 5 2 2" xfId="25762" xr:uid="{00000000-0005-0000-0000-000087430000}"/>
    <cellStyle name="40% - Accent5 2 2 2 5 3" xfId="23009" xr:uid="{00000000-0005-0000-0000-000088430000}"/>
    <cellStyle name="40% - Accent5 2 2 2 6" xfId="4357" xr:uid="{00000000-0005-0000-0000-000089430000}"/>
    <cellStyle name="40% - Accent5 2 2 2 6 2" xfId="12944" xr:uid="{00000000-0005-0000-0000-00008A430000}"/>
    <cellStyle name="40% - Accent5 2 2 2 6 2 2" xfId="26656" xr:uid="{00000000-0005-0000-0000-00008B430000}"/>
    <cellStyle name="40% - Accent5 2 2 2 6 3" xfId="29148" xr:uid="{00000000-0005-0000-0000-00008C430000}"/>
    <cellStyle name="40% - Accent5 2 2 2 7" xfId="4358" xr:uid="{00000000-0005-0000-0000-00008D430000}"/>
    <cellStyle name="40% - Accent5 2 2 2 7 2" xfId="13622" xr:uid="{00000000-0005-0000-0000-00008E430000}"/>
    <cellStyle name="40% - Accent5 2 2 2 7 2 2" xfId="27171" xr:uid="{00000000-0005-0000-0000-00008F430000}"/>
    <cellStyle name="40% - Accent5 2 2 2 7 3" xfId="23008" xr:uid="{00000000-0005-0000-0000-000090430000}"/>
    <cellStyle name="40% - Accent5 2 2 2 8" xfId="4359" xr:uid="{00000000-0005-0000-0000-000091430000}"/>
    <cellStyle name="40% - Accent5 2 2 2 8 2" xfId="14203" xr:uid="{00000000-0005-0000-0000-000092430000}"/>
    <cellStyle name="40% - Accent5 2 2 2 8 2 2" xfId="27752" xr:uid="{00000000-0005-0000-0000-000093430000}"/>
    <cellStyle name="40% - Accent5 2 2 2 8 3" xfId="23007" xr:uid="{00000000-0005-0000-0000-000094430000}"/>
    <cellStyle name="40% - Accent5 2 2 2 9" xfId="4360" xr:uid="{00000000-0005-0000-0000-000095430000}"/>
    <cellStyle name="40% - Accent5 2 2 2 9 2" xfId="15379" xr:uid="{00000000-0005-0000-0000-000096430000}"/>
    <cellStyle name="40% - Accent5 2 2 2 9 2 2" xfId="28928" xr:uid="{00000000-0005-0000-0000-000097430000}"/>
    <cellStyle name="40% - Accent5 2 2 2 9 3" xfId="26842" xr:uid="{00000000-0005-0000-0000-000098430000}"/>
    <cellStyle name="40% - Accent5 2 2 3" xfId="4361" xr:uid="{00000000-0005-0000-0000-000099430000}"/>
    <cellStyle name="40% - Accent5 2 2 3 10" xfId="9440" xr:uid="{00000000-0005-0000-0000-00009A430000}"/>
    <cellStyle name="40% - Accent5 2 2 3 10 2" xfId="23915" xr:uid="{00000000-0005-0000-0000-00009B430000}"/>
    <cellStyle name="40% - Accent5 2 2 3 11" xfId="23006" xr:uid="{00000000-0005-0000-0000-00009C430000}"/>
    <cellStyle name="40% - Accent5 2 2 3 2" xfId="4362" xr:uid="{00000000-0005-0000-0000-00009D430000}"/>
    <cellStyle name="40% - Accent5 2 2 3 2 2" xfId="4363" xr:uid="{00000000-0005-0000-0000-00009E430000}"/>
    <cellStyle name="40% - Accent5 2 2 3 2 2 2" xfId="11168" xr:uid="{00000000-0005-0000-0000-00009F430000}"/>
    <cellStyle name="40% - Accent5 2 2 3 2 2 2 2" xfId="25110" xr:uid="{00000000-0005-0000-0000-0000A0430000}"/>
    <cellStyle name="40% - Accent5 2 2 3 2 2 3" xfId="24259" xr:uid="{00000000-0005-0000-0000-0000A1430000}"/>
    <cellStyle name="40% - Accent5 2 2 3 2 3" xfId="4364" xr:uid="{00000000-0005-0000-0000-0000A2430000}"/>
    <cellStyle name="40% - Accent5 2 2 3 2 3 2" xfId="12949" xr:uid="{00000000-0005-0000-0000-0000A3430000}"/>
    <cellStyle name="40% - Accent5 2 2 3 2 3 2 2" xfId="26661" xr:uid="{00000000-0005-0000-0000-0000A4430000}"/>
    <cellStyle name="40% - Accent5 2 2 3 2 3 3" xfId="23004" xr:uid="{00000000-0005-0000-0000-0000A5430000}"/>
    <cellStyle name="40% - Accent5 2 2 3 2 4" xfId="4365" xr:uid="{00000000-0005-0000-0000-0000A6430000}"/>
    <cellStyle name="40% - Accent5 2 2 3 2 4 2" xfId="15386" xr:uid="{00000000-0005-0000-0000-0000A7430000}"/>
    <cellStyle name="40% - Accent5 2 2 3 2 4 2 2" xfId="28935" xr:uid="{00000000-0005-0000-0000-0000A8430000}"/>
    <cellStyle name="40% - Accent5 2 2 3 2 4 3" xfId="25272" xr:uid="{00000000-0005-0000-0000-0000A9430000}"/>
    <cellStyle name="40% - Accent5 2 2 3 2 5" xfId="4366" xr:uid="{00000000-0005-0000-0000-0000AA430000}"/>
    <cellStyle name="40% - Accent5 2 2 3 2 5 2" xfId="16816" xr:uid="{00000000-0005-0000-0000-0000AB430000}"/>
    <cellStyle name="40% - Accent5 2 2 3 2 5 2 2" xfId="30223" xr:uid="{00000000-0005-0000-0000-0000AC430000}"/>
    <cellStyle name="40% - Accent5 2 2 3 2 5 3" xfId="23003" xr:uid="{00000000-0005-0000-0000-0000AD430000}"/>
    <cellStyle name="40% - Accent5 2 2 3 2 6" xfId="9441" xr:uid="{00000000-0005-0000-0000-0000AE430000}"/>
    <cellStyle name="40% - Accent5 2 2 3 2 6 2" xfId="23916" xr:uid="{00000000-0005-0000-0000-0000AF430000}"/>
    <cellStyle name="40% - Accent5 2 2 3 2 7" xfId="23005" xr:uid="{00000000-0005-0000-0000-0000B0430000}"/>
    <cellStyle name="40% - Accent5 2 2 3 3" xfId="4367" xr:uid="{00000000-0005-0000-0000-0000B1430000}"/>
    <cellStyle name="40% - Accent5 2 2 3 3 2" xfId="4368" xr:uid="{00000000-0005-0000-0000-0000B2430000}"/>
    <cellStyle name="40% - Accent5 2 2 3 3 2 2" xfId="15387" xr:uid="{00000000-0005-0000-0000-0000B3430000}"/>
    <cellStyle name="40% - Accent5 2 2 3 3 2 2 2" xfId="28936" xr:uid="{00000000-0005-0000-0000-0000B4430000}"/>
    <cellStyle name="40% - Accent5 2 2 3 3 2 3" xfId="23001" xr:uid="{00000000-0005-0000-0000-0000B5430000}"/>
    <cellStyle name="40% - Accent5 2 2 3 3 3" xfId="11167" xr:uid="{00000000-0005-0000-0000-0000B6430000}"/>
    <cellStyle name="40% - Accent5 2 2 3 3 3 2" xfId="25109" xr:uid="{00000000-0005-0000-0000-0000B7430000}"/>
    <cellStyle name="40% - Accent5 2 2 3 3 4" xfId="23002" xr:uid="{00000000-0005-0000-0000-0000B8430000}"/>
    <cellStyle name="40% - Accent5 2 2 3 4" xfId="4369" xr:uid="{00000000-0005-0000-0000-0000B9430000}"/>
    <cellStyle name="40% - Accent5 2 2 3 4 2" xfId="12204" xr:uid="{00000000-0005-0000-0000-0000BA430000}"/>
    <cellStyle name="40% - Accent5 2 2 3 4 2 2" xfId="25916" xr:uid="{00000000-0005-0000-0000-0000BB430000}"/>
    <cellStyle name="40% - Accent5 2 2 3 4 3" xfId="24254" xr:uid="{00000000-0005-0000-0000-0000BC430000}"/>
    <cellStyle name="40% - Accent5 2 2 3 5" xfId="4370" xr:uid="{00000000-0005-0000-0000-0000BD430000}"/>
    <cellStyle name="40% - Accent5 2 2 3 5 2" xfId="12948" xr:uid="{00000000-0005-0000-0000-0000BE430000}"/>
    <cellStyle name="40% - Accent5 2 2 3 5 2 2" xfId="26660" xr:uid="{00000000-0005-0000-0000-0000BF430000}"/>
    <cellStyle name="40% - Accent5 2 2 3 5 3" xfId="23000" xr:uid="{00000000-0005-0000-0000-0000C0430000}"/>
    <cellStyle name="40% - Accent5 2 2 3 6" xfId="4371" xr:uid="{00000000-0005-0000-0000-0000C1430000}"/>
    <cellStyle name="40% - Accent5 2 2 3 6 2" xfId="13768" xr:uid="{00000000-0005-0000-0000-0000C2430000}"/>
    <cellStyle name="40% - Accent5 2 2 3 6 2 2" xfId="27317" xr:uid="{00000000-0005-0000-0000-0000C3430000}"/>
    <cellStyle name="40% - Accent5 2 2 3 6 3" xfId="22999" xr:uid="{00000000-0005-0000-0000-0000C4430000}"/>
    <cellStyle name="40% - Accent5 2 2 3 7" xfId="4372" xr:uid="{00000000-0005-0000-0000-0000C5430000}"/>
    <cellStyle name="40% - Accent5 2 2 3 7 2" xfId="14349" xr:uid="{00000000-0005-0000-0000-0000C6430000}"/>
    <cellStyle name="40% - Accent5 2 2 3 7 2 2" xfId="27898" xr:uid="{00000000-0005-0000-0000-0000C7430000}"/>
    <cellStyle name="40% - Accent5 2 2 3 7 3" xfId="29147" xr:uid="{00000000-0005-0000-0000-0000C8430000}"/>
    <cellStyle name="40% - Accent5 2 2 3 8" xfId="4373" xr:uid="{00000000-0005-0000-0000-0000C9430000}"/>
    <cellStyle name="40% - Accent5 2 2 3 8 2" xfId="15385" xr:uid="{00000000-0005-0000-0000-0000CA430000}"/>
    <cellStyle name="40% - Accent5 2 2 3 8 2 2" xfId="28934" xr:uid="{00000000-0005-0000-0000-0000CB430000}"/>
    <cellStyle name="40% - Accent5 2 2 3 8 3" xfId="22998" xr:uid="{00000000-0005-0000-0000-0000CC430000}"/>
    <cellStyle name="40% - Accent5 2 2 3 9" xfId="4374" xr:uid="{00000000-0005-0000-0000-0000CD430000}"/>
    <cellStyle name="40% - Accent5 2 2 3 9 2" xfId="16235" xr:uid="{00000000-0005-0000-0000-0000CE430000}"/>
    <cellStyle name="40% - Accent5 2 2 3 9 2 2" xfId="29642" xr:uid="{00000000-0005-0000-0000-0000CF430000}"/>
    <cellStyle name="40% - Accent5 2 2 3 9 3" xfId="22997" xr:uid="{00000000-0005-0000-0000-0000D0430000}"/>
    <cellStyle name="40% - Accent5 2 2 4" xfId="4375" xr:uid="{00000000-0005-0000-0000-0000D1430000}"/>
    <cellStyle name="40% - Accent5 2 2 4 2" xfId="4376" xr:uid="{00000000-0005-0000-0000-0000D2430000}"/>
    <cellStyle name="40% - Accent5 2 2 4 2 2" xfId="11169" xr:uid="{00000000-0005-0000-0000-0000D3430000}"/>
    <cellStyle name="40% - Accent5 2 2 4 2 2 2" xfId="25111" xr:uid="{00000000-0005-0000-0000-0000D4430000}"/>
    <cellStyle name="40% - Accent5 2 2 4 2 3" xfId="22996" xr:uid="{00000000-0005-0000-0000-0000D5430000}"/>
    <cellStyle name="40% - Accent5 2 2 4 3" xfId="4377" xr:uid="{00000000-0005-0000-0000-0000D6430000}"/>
    <cellStyle name="40% - Accent5 2 2 4 3 2" xfId="12950" xr:uid="{00000000-0005-0000-0000-0000D7430000}"/>
    <cellStyle name="40% - Accent5 2 2 4 3 2 2" xfId="26662" xr:uid="{00000000-0005-0000-0000-0000D8430000}"/>
    <cellStyle name="40% - Accent5 2 2 4 3 3" xfId="22995" xr:uid="{00000000-0005-0000-0000-0000D9430000}"/>
    <cellStyle name="40% - Accent5 2 2 4 4" xfId="4378" xr:uid="{00000000-0005-0000-0000-0000DA430000}"/>
    <cellStyle name="40% - Accent5 2 2 4 4 2" xfId="15388" xr:uid="{00000000-0005-0000-0000-0000DB430000}"/>
    <cellStyle name="40% - Accent5 2 2 4 4 2 2" xfId="28937" xr:uid="{00000000-0005-0000-0000-0000DC430000}"/>
    <cellStyle name="40% - Accent5 2 2 4 4 3" xfId="24257" xr:uid="{00000000-0005-0000-0000-0000DD430000}"/>
    <cellStyle name="40% - Accent5 2 2 4 5" xfId="4379" xr:uid="{00000000-0005-0000-0000-0000DE430000}"/>
    <cellStyle name="40% - Accent5 2 2 4 5 2" xfId="17163" xr:uid="{00000000-0005-0000-0000-0000DF430000}"/>
    <cellStyle name="40% - Accent5 2 2 4 5 2 2" xfId="30522" xr:uid="{00000000-0005-0000-0000-0000E0430000}"/>
    <cellStyle name="40% - Accent5 2 2 4 5 3" xfId="22994" xr:uid="{00000000-0005-0000-0000-0000E1430000}"/>
    <cellStyle name="40% - Accent5 2 2 4 6" xfId="9442" xr:uid="{00000000-0005-0000-0000-0000E2430000}"/>
    <cellStyle name="40% - Accent5 2 2 4 6 2" xfId="23917" xr:uid="{00000000-0005-0000-0000-0000E3430000}"/>
    <cellStyle name="40% - Accent5 2 2 4 7" xfId="26841" xr:uid="{00000000-0005-0000-0000-0000E4430000}"/>
    <cellStyle name="40% - Accent5 2 2 5" xfId="4380" xr:uid="{00000000-0005-0000-0000-0000E5430000}"/>
    <cellStyle name="40% - Accent5 2 2 5 2" xfId="4381" xr:uid="{00000000-0005-0000-0000-0000E6430000}"/>
    <cellStyle name="40% - Accent5 2 2 5 2 2" xfId="15389" xr:uid="{00000000-0005-0000-0000-0000E7430000}"/>
    <cellStyle name="40% - Accent5 2 2 5 2 2 2" xfId="28938" xr:uid="{00000000-0005-0000-0000-0000E8430000}"/>
    <cellStyle name="40% - Accent5 2 2 5 2 3" xfId="22993" xr:uid="{00000000-0005-0000-0000-0000E9430000}"/>
    <cellStyle name="40% - Accent5 2 2 5 3" xfId="4382" xr:uid="{00000000-0005-0000-0000-0000EA430000}"/>
    <cellStyle name="40% - Accent5 2 2 5 3 2" xfId="17252" xr:uid="{00000000-0005-0000-0000-0000EB430000}"/>
    <cellStyle name="40% - Accent5 2 2 5 3 2 2" xfId="30611" xr:uid="{00000000-0005-0000-0000-0000EC430000}"/>
    <cellStyle name="40% - Accent5 2 2 5 3 3" xfId="22992" xr:uid="{00000000-0005-0000-0000-0000ED430000}"/>
    <cellStyle name="40% - Accent5 2 2 5 4" xfId="11162" xr:uid="{00000000-0005-0000-0000-0000EE430000}"/>
    <cellStyle name="40% - Accent5 2 2 5 4 2" xfId="25104" xr:uid="{00000000-0005-0000-0000-0000EF430000}"/>
    <cellStyle name="40% - Accent5 2 2 5 5" xfId="25271" xr:uid="{00000000-0005-0000-0000-0000F0430000}"/>
    <cellStyle name="40% - Accent5 2 2 6" xfId="4383" xr:uid="{00000000-0005-0000-0000-0000F1430000}"/>
    <cellStyle name="40% - Accent5 2 2 6 2" xfId="4384" xr:uid="{00000000-0005-0000-0000-0000F2430000}"/>
    <cellStyle name="40% - Accent5 2 2 6 2 2" xfId="16527" xr:uid="{00000000-0005-0000-0000-0000F3430000}"/>
    <cellStyle name="40% - Accent5 2 2 6 2 2 2" xfId="29934" xr:uid="{00000000-0005-0000-0000-0000F4430000}"/>
    <cellStyle name="40% - Accent5 2 2 6 2 3" xfId="22991" xr:uid="{00000000-0005-0000-0000-0000F5430000}"/>
    <cellStyle name="40% - Accent5 2 2 6 3" xfId="11902" xr:uid="{00000000-0005-0000-0000-0000F6430000}"/>
    <cellStyle name="40% - Accent5 2 2 6 3 2" xfId="25617" xr:uid="{00000000-0005-0000-0000-0000F7430000}"/>
    <cellStyle name="40% - Accent5 2 2 6 4" xfId="24255" xr:uid="{00000000-0005-0000-0000-0000F8430000}"/>
    <cellStyle name="40% - Accent5 2 2 7" xfId="4385" xr:uid="{00000000-0005-0000-0000-0000F9430000}"/>
    <cellStyle name="40% - Accent5 2 2 7 2" xfId="12943" xr:uid="{00000000-0005-0000-0000-0000FA430000}"/>
    <cellStyle name="40% - Accent5 2 2 7 2 2" xfId="26655" xr:uid="{00000000-0005-0000-0000-0000FB430000}"/>
    <cellStyle name="40% - Accent5 2 2 7 3" xfId="22990" xr:uid="{00000000-0005-0000-0000-0000FC430000}"/>
    <cellStyle name="40% - Accent5 2 2 8" xfId="4386" xr:uid="{00000000-0005-0000-0000-0000FD430000}"/>
    <cellStyle name="40% - Accent5 2 2 8 2" xfId="13479" xr:uid="{00000000-0005-0000-0000-0000FE430000}"/>
    <cellStyle name="40% - Accent5 2 2 8 2 2" xfId="27028" xr:uid="{00000000-0005-0000-0000-0000FF430000}"/>
    <cellStyle name="40% - Accent5 2 2 8 3" xfId="29146" xr:uid="{00000000-0005-0000-0000-000000440000}"/>
    <cellStyle name="40% - Accent5 2 2 9" xfId="4387" xr:uid="{00000000-0005-0000-0000-000001440000}"/>
    <cellStyle name="40% - Accent5 2 2 9 2" xfId="14060" xr:uid="{00000000-0005-0000-0000-000002440000}"/>
    <cellStyle name="40% - Accent5 2 2 9 2 2" xfId="27609" xr:uid="{00000000-0005-0000-0000-000003440000}"/>
    <cellStyle name="40% - Accent5 2 2 9 3" xfId="22989" xr:uid="{00000000-0005-0000-0000-000004440000}"/>
    <cellStyle name="40% - Accent5 2 3" xfId="4388" xr:uid="{00000000-0005-0000-0000-000005440000}"/>
    <cellStyle name="40% - Accent5 2 3 10" xfId="4389" xr:uid="{00000000-0005-0000-0000-000006440000}"/>
    <cellStyle name="40% - Accent5 2 3 10 2" xfId="16043" xr:uid="{00000000-0005-0000-0000-000007440000}"/>
    <cellStyle name="40% - Accent5 2 3 10 2 2" xfId="29450" xr:uid="{00000000-0005-0000-0000-000008440000}"/>
    <cellStyle name="40% - Accent5 2 3 10 3" xfId="26840" xr:uid="{00000000-0005-0000-0000-000009440000}"/>
    <cellStyle name="40% - Accent5 2 3 11" xfId="9443" xr:uid="{00000000-0005-0000-0000-00000A440000}"/>
    <cellStyle name="40% - Accent5 2 3 11 2" xfId="23918" xr:uid="{00000000-0005-0000-0000-00000B440000}"/>
    <cellStyle name="40% - Accent5 2 3 12" xfId="22988" xr:uid="{00000000-0005-0000-0000-00000C440000}"/>
    <cellStyle name="40% - Accent5 2 3 2" xfId="4390" xr:uid="{00000000-0005-0000-0000-00000D440000}"/>
    <cellStyle name="40% - Accent5 2 3 2 10" xfId="9444" xr:uid="{00000000-0005-0000-0000-00000E440000}"/>
    <cellStyle name="40% - Accent5 2 3 2 10 2" xfId="23919" xr:uid="{00000000-0005-0000-0000-00000F440000}"/>
    <cellStyle name="40% - Accent5 2 3 2 11" xfId="22987" xr:uid="{00000000-0005-0000-0000-000010440000}"/>
    <cellStyle name="40% - Accent5 2 3 2 2" xfId="4391" xr:uid="{00000000-0005-0000-0000-000011440000}"/>
    <cellStyle name="40% - Accent5 2 3 2 2 2" xfId="4392" xr:uid="{00000000-0005-0000-0000-000012440000}"/>
    <cellStyle name="40% - Accent5 2 3 2 2 2 2" xfId="11172" xr:uid="{00000000-0005-0000-0000-000013440000}"/>
    <cellStyle name="40% - Accent5 2 3 2 2 2 2 2" xfId="25114" xr:uid="{00000000-0005-0000-0000-000014440000}"/>
    <cellStyle name="40% - Accent5 2 3 2 2 2 3" xfId="24256" xr:uid="{00000000-0005-0000-0000-000015440000}"/>
    <cellStyle name="40% - Accent5 2 3 2 2 3" xfId="4393" xr:uid="{00000000-0005-0000-0000-000016440000}"/>
    <cellStyle name="40% - Accent5 2 3 2 2 3 2" xfId="12953" xr:uid="{00000000-0005-0000-0000-000017440000}"/>
    <cellStyle name="40% - Accent5 2 3 2 2 3 2 2" xfId="26665" xr:uid="{00000000-0005-0000-0000-000018440000}"/>
    <cellStyle name="40% - Accent5 2 3 2 2 3 3" xfId="22985" xr:uid="{00000000-0005-0000-0000-000019440000}"/>
    <cellStyle name="40% - Accent5 2 3 2 2 4" xfId="4394" xr:uid="{00000000-0005-0000-0000-00001A440000}"/>
    <cellStyle name="40% - Accent5 2 3 2 2 4 2" xfId="15392" xr:uid="{00000000-0005-0000-0000-00001B440000}"/>
    <cellStyle name="40% - Accent5 2 3 2 2 4 2 2" xfId="28941" xr:uid="{00000000-0005-0000-0000-00001C440000}"/>
    <cellStyle name="40% - Accent5 2 3 2 2 4 3" xfId="25270" xr:uid="{00000000-0005-0000-0000-00001D440000}"/>
    <cellStyle name="40% - Accent5 2 3 2 2 5" xfId="4395" xr:uid="{00000000-0005-0000-0000-00001E440000}"/>
    <cellStyle name="40% - Accent5 2 3 2 2 5 2" xfId="16913" xr:uid="{00000000-0005-0000-0000-00001F440000}"/>
    <cellStyle name="40% - Accent5 2 3 2 2 5 2 2" xfId="30320" xr:uid="{00000000-0005-0000-0000-000020440000}"/>
    <cellStyle name="40% - Accent5 2 3 2 2 5 3" xfId="22984" xr:uid="{00000000-0005-0000-0000-000021440000}"/>
    <cellStyle name="40% - Accent5 2 3 2 2 6" xfId="9445" xr:uid="{00000000-0005-0000-0000-000022440000}"/>
    <cellStyle name="40% - Accent5 2 3 2 2 6 2" xfId="23920" xr:uid="{00000000-0005-0000-0000-000023440000}"/>
    <cellStyle name="40% - Accent5 2 3 2 2 7" xfId="22986" xr:uid="{00000000-0005-0000-0000-000024440000}"/>
    <cellStyle name="40% - Accent5 2 3 2 3" xfId="4396" xr:uid="{00000000-0005-0000-0000-000025440000}"/>
    <cellStyle name="40% - Accent5 2 3 2 3 2" xfId="4397" xr:uid="{00000000-0005-0000-0000-000026440000}"/>
    <cellStyle name="40% - Accent5 2 3 2 3 2 2" xfId="15393" xr:uid="{00000000-0005-0000-0000-000027440000}"/>
    <cellStyle name="40% - Accent5 2 3 2 3 2 2 2" xfId="28942" xr:uid="{00000000-0005-0000-0000-000028440000}"/>
    <cellStyle name="40% - Accent5 2 3 2 3 2 3" xfId="22982" xr:uid="{00000000-0005-0000-0000-000029440000}"/>
    <cellStyle name="40% - Accent5 2 3 2 3 3" xfId="11171" xr:uid="{00000000-0005-0000-0000-00002A440000}"/>
    <cellStyle name="40% - Accent5 2 3 2 3 3 2" xfId="25113" xr:uid="{00000000-0005-0000-0000-00002B440000}"/>
    <cellStyle name="40% - Accent5 2 3 2 3 4" xfId="22983" xr:uid="{00000000-0005-0000-0000-00002C440000}"/>
    <cellStyle name="40% - Accent5 2 3 2 4" xfId="4398" xr:uid="{00000000-0005-0000-0000-00002D440000}"/>
    <cellStyle name="40% - Accent5 2 3 2 4 2" xfId="12301" xr:uid="{00000000-0005-0000-0000-00002E440000}"/>
    <cellStyle name="40% - Accent5 2 3 2 4 2 2" xfId="26013" xr:uid="{00000000-0005-0000-0000-00002F440000}"/>
    <cellStyle name="40% - Accent5 2 3 2 4 3" xfId="22981" xr:uid="{00000000-0005-0000-0000-000030440000}"/>
    <cellStyle name="40% - Accent5 2 3 2 5" xfId="4399" xr:uid="{00000000-0005-0000-0000-000031440000}"/>
    <cellStyle name="40% - Accent5 2 3 2 5 2" xfId="12952" xr:uid="{00000000-0005-0000-0000-000032440000}"/>
    <cellStyle name="40% - Accent5 2 3 2 5 2 2" xfId="26664" xr:uid="{00000000-0005-0000-0000-000033440000}"/>
    <cellStyle name="40% - Accent5 2 3 2 5 3" xfId="24253" xr:uid="{00000000-0005-0000-0000-000034440000}"/>
    <cellStyle name="40% - Accent5 2 3 2 6" xfId="4400" xr:uid="{00000000-0005-0000-0000-000035440000}"/>
    <cellStyle name="40% - Accent5 2 3 2 6 2" xfId="13865" xr:uid="{00000000-0005-0000-0000-000036440000}"/>
    <cellStyle name="40% - Accent5 2 3 2 6 2 2" xfId="27414" xr:uid="{00000000-0005-0000-0000-000037440000}"/>
    <cellStyle name="40% - Accent5 2 3 2 6 3" xfId="22980" xr:uid="{00000000-0005-0000-0000-000038440000}"/>
    <cellStyle name="40% - Accent5 2 3 2 7" xfId="4401" xr:uid="{00000000-0005-0000-0000-000039440000}"/>
    <cellStyle name="40% - Accent5 2 3 2 7 2" xfId="14446" xr:uid="{00000000-0005-0000-0000-00003A440000}"/>
    <cellStyle name="40% - Accent5 2 3 2 7 2 2" xfId="27995" xr:uid="{00000000-0005-0000-0000-00003B440000}"/>
    <cellStyle name="40% - Accent5 2 3 2 7 3" xfId="30646" xr:uid="{00000000-0005-0000-0000-00003C440000}"/>
    <cellStyle name="40% - Accent5 2 3 2 8" xfId="4402" xr:uid="{00000000-0005-0000-0000-00003D440000}"/>
    <cellStyle name="40% - Accent5 2 3 2 8 2" xfId="15391" xr:uid="{00000000-0005-0000-0000-00003E440000}"/>
    <cellStyle name="40% - Accent5 2 3 2 8 2 2" xfId="28940" xr:uid="{00000000-0005-0000-0000-00003F440000}"/>
    <cellStyle name="40% - Accent5 2 3 2 8 3" xfId="22979" xr:uid="{00000000-0005-0000-0000-000040440000}"/>
    <cellStyle name="40% - Accent5 2 3 2 9" xfId="4403" xr:uid="{00000000-0005-0000-0000-000041440000}"/>
    <cellStyle name="40% - Accent5 2 3 2 9 2" xfId="16332" xr:uid="{00000000-0005-0000-0000-000042440000}"/>
    <cellStyle name="40% - Accent5 2 3 2 9 2 2" xfId="29739" xr:uid="{00000000-0005-0000-0000-000043440000}"/>
    <cellStyle name="40% - Accent5 2 3 2 9 3" xfId="22978" xr:uid="{00000000-0005-0000-0000-000044440000}"/>
    <cellStyle name="40% - Accent5 2 3 3" xfId="4404" xr:uid="{00000000-0005-0000-0000-000045440000}"/>
    <cellStyle name="40% - Accent5 2 3 3 2" xfId="4405" xr:uid="{00000000-0005-0000-0000-000046440000}"/>
    <cellStyle name="40% - Accent5 2 3 3 2 2" xfId="11173" xr:uid="{00000000-0005-0000-0000-000047440000}"/>
    <cellStyle name="40% - Accent5 2 3 3 2 2 2" xfId="25115" xr:uid="{00000000-0005-0000-0000-000048440000}"/>
    <cellStyle name="40% - Accent5 2 3 3 2 3" xfId="22976" xr:uid="{00000000-0005-0000-0000-000049440000}"/>
    <cellStyle name="40% - Accent5 2 3 3 3" xfId="4406" xr:uid="{00000000-0005-0000-0000-00004A440000}"/>
    <cellStyle name="40% - Accent5 2 3 3 3 2" xfId="12954" xr:uid="{00000000-0005-0000-0000-00004B440000}"/>
    <cellStyle name="40% - Accent5 2 3 3 3 2 2" xfId="26666" xr:uid="{00000000-0005-0000-0000-00004C440000}"/>
    <cellStyle name="40% - Accent5 2 3 3 3 3" xfId="29145" xr:uid="{00000000-0005-0000-0000-00004D440000}"/>
    <cellStyle name="40% - Accent5 2 3 3 4" xfId="4407" xr:uid="{00000000-0005-0000-0000-00004E440000}"/>
    <cellStyle name="40% - Accent5 2 3 3 4 2" xfId="15394" xr:uid="{00000000-0005-0000-0000-00004F440000}"/>
    <cellStyle name="40% - Accent5 2 3 3 4 2 2" xfId="28943" xr:uid="{00000000-0005-0000-0000-000050440000}"/>
    <cellStyle name="40% - Accent5 2 3 3 4 3" xfId="22975" xr:uid="{00000000-0005-0000-0000-000051440000}"/>
    <cellStyle name="40% - Accent5 2 3 3 5" xfId="4408" xr:uid="{00000000-0005-0000-0000-000052440000}"/>
    <cellStyle name="40% - Accent5 2 3 3 5 2" xfId="16624" xr:uid="{00000000-0005-0000-0000-000053440000}"/>
    <cellStyle name="40% - Accent5 2 3 3 5 2 2" xfId="30031" xr:uid="{00000000-0005-0000-0000-000054440000}"/>
    <cellStyle name="40% - Accent5 2 3 3 5 3" xfId="22974" xr:uid="{00000000-0005-0000-0000-000055440000}"/>
    <cellStyle name="40% - Accent5 2 3 3 6" xfId="9446" xr:uid="{00000000-0005-0000-0000-000056440000}"/>
    <cellStyle name="40% - Accent5 2 3 3 6 2" xfId="23921" xr:uid="{00000000-0005-0000-0000-000057440000}"/>
    <cellStyle name="40% - Accent5 2 3 3 7" xfId="22977" xr:uid="{00000000-0005-0000-0000-000058440000}"/>
    <cellStyle name="40% - Accent5 2 3 4" xfId="4409" xr:uid="{00000000-0005-0000-0000-000059440000}"/>
    <cellStyle name="40% - Accent5 2 3 4 2" xfId="4410" xr:uid="{00000000-0005-0000-0000-00005A440000}"/>
    <cellStyle name="40% - Accent5 2 3 4 2 2" xfId="15395" xr:uid="{00000000-0005-0000-0000-00005B440000}"/>
    <cellStyle name="40% - Accent5 2 3 4 2 2 2" xfId="28944" xr:uid="{00000000-0005-0000-0000-00005C440000}"/>
    <cellStyle name="40% - Accent5 2 3 4 2 3" xfId="22973" xr:uid="{00000000-0005-0000-0000-00005D440000}"/>
    <cellStyle name="40% - Accent5 2 3 4 3" xfId="11170" xr:uid="{00000000-0005-0000-0000-00005E440000}"/>
    <cellStyle name="40% - Accent5 2 3 4 3 2" xfId="25112" xr:uid="{00000000-0005-0000-0000-00005F440000}"/>
    <cellStyle name="40% - Accent5 2 3 4 4" xfId="24252" xr:uid="{00000000-0005-0000-0000-000060440000}"/>
    <cellStyle name="40% - Accent5 2 3 5" xfId="4411" xr:uid="{00000000-0005-0000-0000-000061440000}"/>
    <cellStyle name="40% - Accent5 2 3 5 2" xfId="12001" xr:uid="{00000000-0005-0000-0000-000062440000}"/>
    <cellStyle name="40% - Accent5 2 3 5 2 2" xfId="25716" xr:uid="{00000000-0005-0000-0000-000063440000}"/>
    <cellStyle name="40% - Accent5 2 3 5 3" xfId="25269" xr:uid="{00000000-0005-0000-0000-000064440000}"/>
    <cellStyle name="40% - Accent5 2 3 6" xfId="4412" xr:uid="{00000000-0005-0000-0000-000065440000}"/>
    <cellStyle name="40% - Accent5 2 3 6 2" xfId="12951" xr:uid="{00000000-0005-0000-0000-000066440000}"/>
    <cellStyle name="40% - Accent5 2 3 6 2 2" xfId="26663" xr:uid="{00000000-0005-0000-0000-000067440000}"/>
    <cellStyle name="40% - Accent5 2 3 6 3" xfId="22972" xr:uid="{00000000-0005-0000-0000-000068440000}"/>
    <cellStyle name="40% - Accent5 2 3 7" xfId="4413" xr:uid="{00000000-0005-0000-0000-000069440000}"/>
    <cellStyle name="40% - Accent5 2 3 7 2" xfId="13576" xr:uid="{00000000-0005-0000-0000-00006A440000}"/>
    <cellStyle name="40% - Accent5 2 3 7 2 2" xfId="27125" xr:uid="{00000000-0005-0000-0000-00006B440000}"/>
    <cellStyle name="40% - Accent5 2 3 7 3" xfId="22971" xr:uid="{00000000-0005-0000-0000-00006C440000}"/>
    <cellStyle name="40% - Accent5 2 3 8" xfId="4414" xr:uid="{00000000-0005-0000-0000-00006D440000}"/>
    <cellStyle name="40% - Accent5 2 3 8 2" xfId="14157" xr:uid="{00000000-0005-0000-0000-00006E440000}"/>
    <cellStyle name="40% - Accent5 2 3 8 2 2" xfId="27706" xr:uid="{00000000-0005-0000-0000-00006F440000}"/>
    <cellStyle name="40% - Accent5 2 3 8 3" xfId="24251" xr:uid="{00000000-0005-0000-0000-000070440000}"/>
    <cellStyle name="40% - Accent5 2 3 9" xfId="4415" xr:uid="{00000000-0005-0000-0000-000071440000}"/>
    <cellStyle name="40% - Accent5 2 3 9 2" xfId="15390" xr:uid="{00000000-0005-0000-0000-000072440000}"/>
    <cellStyle name="40% - Accent5 2 3 9 2 2" xfId="28939" xr:uid="{00000000-0005-0000-0000-000073440000}"/>
    <cellStyle name="40% - Accent5 2 3 9 3" xfId="22970" xr:uid="{00000000-0005-0000-0000-000074440000}"/>
    <cellStyle name="40% - Accent5 2 4" xfId="4416" xr:uid="{00000000-0005-0000-0000-000075440000}"/>
    <cellStyle name="40% - Accent5 2 4 10" xfId="9447" xr:uid="{00000000-0005-0000-0000-000076440000}"/>
    <cellStyle name="40% - Accent5 2 4 10 2" xfId="23922" xr:uid="{00000000-0005-0000-0000-000077440000}"/>
    <cellStyle name="40% - Accent5 2 4 11" xfId="26839" xr:uid="{00000000-0005-0000-0000-000078440000}"/>
    <cellStyle name="40% - Accent5 2 4 2" xfId="4417" xr:uid="{00000000-0005-0000-0000-000079440000}"/>
    <cellStyle name="40% - Accent5 2 4 2 2" xfId="4418" xr:uid="{00000000-0005-0000-0000-00007A440000}"/>
    <cellStyle name="40% - Accent5 2 4 2 2 2" xfId="11175" xr:uid="{00000000-0005-0000-0000-00007B440000}"/>
    <cellStyle name="40% - Accent5 2 4 2 2 2 2" xfId="25117" xr:uid="{00000000-0005-0000-0000-00007C440000}"/>
    <cellStyle name="40% - Accent5 2 4 2 2 3" xfId="22968" xr:uid="{00000000-0005-0000-0000-00007D440000}"/>
    <cellStyle name="40% - Accent5 2 4 2 3" xfId="4419" xr:uid="{00000000-0005-0000-0000-00007E440000}"/>
    <cellStyle name="40% - Accent5 2 4 2 3 2" xfId="12956" xr:uid="{00000000-0005-0000-0000-00007F440000}"/>
    <cellStyle name="40% - Accent5 2 4 2 3 2 2" xfId="26668" xr:uid="{00000000-0005-0000-0000-000080440000}"/>
    <cellStyle name="40% - Accent5 2 4 2 3 3" xfId="24249" xr:uid="{00000000-0005-0000-0000-000081440000}"/>
    <cellStyle name="40% - Accent5 2 4 2 4" xfId="4420" xr:uid="{00000000-0005-0000-0000-000082440000}"/>
    <cellStyle name="40% - Accent5 2 4 2 4 2" xfId="15397" xr:uid="{00000000-0005-0000-0000-000083440000}"/>
    <cellStyle name="40% - Accent5 2 4 2 4 2 2" xfId="28946" xr:uid="{00000000-0005-0000-0000-000084440000}"/>
    <cellStyle name="40% - Accent5 2 4 2 4 3" xfId="22967" xr:uid="{00000000-0005-0000-0000-000085440000}"/>
    <cellStyle name="40% - Accent5 2 4 2 5" xfId="4421" xr:uid="{00000000-0005-0000-0000-000086440000}"/>
    <cellStyle name="40% - Accent5 2 4 2 5 2" xfId="16770" xr:uid="{00000000-0005-0000-0000-000087440000}"/>
    <cellStyle name="40% - Accent5 2 4 2 5 2 2" xfId="30177" xr:uid="{00000000-0005-0000-0000-000088440000}"/>
    <cellStyle name="40% - Accent5 2 4 2 5 3" xfId="22966" xr:uid="{00000000-0005-0000-0000-000089440000}"/>
    <cellStyle name="40% - Accent5 2 4 2 6" xfId="9448" xr:uid="{00000000-0005-0000-0000-00008A440000}"/>
    <cellStyle name="40% - Accent5 2 4 2 6 2" xfId="23923" xr:uid="{00000000-0005-0000-0000-00008B440000}"/>
    <cellStyle name="40% - Accent5 2 4 2 7" xfId="22969" xr:uid="{00000000-0005-0000-0000-00008C440000}"/>
    <cellStyle name="40% - Accent5 2 4 3" xfId="4422" xr:uid="{00000000-0005-0000-0000-00008D440000}"/>
    <cellStyle name="40% - Accent5 2 4 3 2" xfId="4423" xr:uid="{00000000-0005-0000-0000-00008E440000}"/>
    <cellStyle name="40% - Accent5 2 4 3 2 2" xfId="15398" xr:uid="{00000000-0005-0000-0000-00008F440000}"/>
    <cellStyle name="40% - Accent5 2 4 3 2 2 2" xfId="28947" xr:uid="{00000000-0005-0000-0000-000090440000}"/>
    <cellStyle name="40% - Accent5 2 4 3 2 3" xfId="22965" xr:uid="{00000000-0005-0000-0000-000091440000}"/>
    <cellStyle name="40% - Accent5 2 4 3 3" xfId="11174" xr:uid="{00000000-0005-0000-0000-000092440000}"/>
    <cellStyle name="40% - Accent5 2 4 3 3 2" xfId="25116" xr:uid="{00000000-0005-0000-0000-000093440000}"/>
    <cellStyle name="40% - Accent5 2 4 3 4" xfId="29144" xr:uid="{00000000-0005-0000-0000-000094440000}"/>
    <cellStyle name="40% - Accent5 2 4 4" xfId="4424" xr:uid="{00000000-0005-0000-0000-000095440000}"/>
    <cellStyle name="40% - Accent5 2 4 4 2" xfId="12158" xr:uid="{00000000-0005-0000-0000-000096440000}"/>
    <cellStyle name="40% - Accent5 2 4 4 2 2" xfId="25870" xr:uid="{00000000-0005-0000-0000-000097440000}"/>
    <cellStyle name="40% - Accent5 2 4 4 3" xfId="22964" xr:uid="{00000000-0005-0000-0000-000098440000}"/>
    <cellStyle name="40% - Accent5 2 4 5" xfId="4425" xr:uid="{00000000-0005-0000-0000-000099440000}"/>
    <cellStyle name="40% - Accent5 2 4 5 2" xfId="12955" xr:uid="{00000000-0005-0000-0000-00009A440000}"/>
    <cellStyle name="40% - Accent5 2 4 5 2 2" xfId="26667" xr:uid="{00000000-0005-0000-0000-00009B440000}"/>
    <cellStyle name="40% - Accent5 2 4 5 3" xfId="26838" xr:uid="{00000000-0005-0000-0000-00009C440000}"/>
    <cellStyle name="40% - Accent5 2 4 6" xfId="4426" xr:uid="{00000000-0005-0000-0000-00009D440000}"/>
    <cellStyle name="40% - Accent5 2 4 6 2" xfId="13722" xr:uid="{00000000-0005-0000-0000-00009E440000}"/>
    <cellStyle name="40% - Accent5 2 4 6 2 2" xfId="27271" xr:uid="{00000000-0005-0000-0000-00009F440000}"/>
    <cellStyle name="40% - Accent5 2 4 6 3" xfId="22963" xr:uid="{00000000-0005-0000-0000-0000A0440000}"/>
    <cellStyle name="40% - Accent5 2 4 7" xfId="4427" xr:uid="{00000000-0005-0000-0000-0000A1440000}"/>
    <cellStyle name="40% - Accent5 2 4 7 2" xfId="14303" xr:uid="{00000000-0005-0000-0000-0000A2440000}"/>
    <cellStyle name="40% - Accent5 2 4 7 2 2" xfId="27852" xr:uid="{00000000-0005-0000-0000-0000A3440000}"/>
    <cellStyle name="40% - Accent5 2 4 7 3" xfId="22962" xr:uid="{00000000-0005-0000-0000-0000A4440000}"/>
    <cellStyle name="40% - Accent5 2 4 8" xfId="4428" xr:uid="{00000000-0005-0000-0000-0000A5440000}"/>
    <cellStyle name="40% - Accent5 2 4 8 2" xfId="15396" xr:uid="{00000000-0005-0000-0000-0000A6440000}"/>
    <cellStyle name="40% - Accent5 2 4 8 2 2" xfId="28945" xr:uid="{00000000-0005-0000-0000-0000A7440000}"/>
    <cellStyle name="40% - Accent5 2 4 8 3" xfId="24250" xr:uid="{00000000-0005-0000-0000-0000A8440000}"/>
    <cellStyle name="40% - Accent5 2 4 9" xfId="4429" xr:uid="{00000000-0005-0000-0000-0000A9440000}"/>
    <cellStyle name="40% - Accent5 2 4 9 2" xfId="16189" xr:uid="{00000000-0005-0000-0000-0000AA440000}"/>
    <cellStyle name="40% - Accent5 2 4 9 2 2" xfId="29596" xr:uid="{00000000-0005-0000-0000-0000AB440000}"/>
    <cellStyle name="40% - Accent5 2 4 9 3" xfId="22961" xr:uid="{00000000-0005-0000-0000-0000AC440000}"/>
    <cellStyle name="40% - Accent5 2 5" xfId="4430" xr:uid="{00000000-0005-0000-0000-0000AD440000}"/>
    <cellStyle name="40% - Accent5 2 5 2" xfId="4431" xr:uid="{00000000-0005-0000-0000-0000AE440000}"/>
    <cellStyle name="40% - Accent5 2 5 2 2" xfId="4432" xr:uid="{00000000-0005-0000-0000-0000AF440000}"/>
    <cellStyle name="40% - Accent5 2 5 2 2 2" xfId="11177" xr:uid="{00000000-0005-0000-0000-0000B0440000}"/>
    <cellStyle name="40% - Accent5 2 5 2 2 2 2" xfId="25119" xr:uid="{00000000-0005-0000-0000-0000B1440000}"/>
    <cellStyle name="40% - Accent5 2 5 2 2 3" xfId="22959" xr:uid="{00000000-0005-0000-0000-0000B2440000}"/>
    <cellStyle name="40% - Accent5 2 5 2 3" xfId="4433" xr:uid="{00000000-0005-0000-0000-0000B3440000}"/>
    <cellStyle name="40% - Accent5 2 5 2 3 2" xfId="12958" xr:uid="{00000000-0005-0000-0000-0000B4440000}"/>
    <cellStyle name="40% - Accent5 2 5 2 3 2 2" xfId="26670" xr:uid="{00000000-0005-0000-0000-0000B5440000}"/>
    <cellStyle name="40% - Accent5 2 5 2 3 3" xfId="22958" xr:uid="{00000000-0005-0000-0000-0000B6440000}"/>
    <cellStyle name="40% - Accent5 2 5 2 4" xfId="4434" xr:uid="{00000000-0005-0000-0000-0000B7440000}"/>
    <cellStyle name="40% - Accent5 2 5 2 4 2" xfId="15400" xr:uid="{00000000-0005-0000-0000-0000B8440000}"/>
    <cellStyle name="40% - Accent5 2 5 2 4 2 2" xfId="28949" xr:uid="{00000000-0005-0000-0000-0000B9440000}"/>
    <cellStyle name="40% - Accent5 2 5 2 4 3" xfId="24245" xr:uid="{00000000-0005-0000-0000-0000BA440000}"/>
    <cellStyle name="40% - Accent5 2 5 2 5" xfId="9450" xr:uid="{00000000-0005-0000-0000-0000BB440000}"/>
    <cellStyle name="40% - Accent5 2 5 2 5 2" xfId="23925" xr:uid="{00000000-0005-0000-0000-0000BC440000}"/>
    <cellStyle name="40% - Accent5 2 5 2 6" xfId="22960" xr:uid="{00000000-0005-0000-0000-0000BD440000}"/>
    <cellStyle name="40% - Accent5 2 5 3" xfId="4435" xr:uid="{00000000-0005-0000-0000-0000BE440000}"/>
    <cellStyle name="40% - Accent5 2 5 3 2" xfId="11176" xr:uid="{00000000-0005-0000-0000-0000BF440000}"/>
    <cellStyle name="40% - Accent5 2 5 3 2 2" xfId="25118" xr:uid="{00000000-0005-0000-0000-0000C0440000}"/>
    <cellStyle name="40% - Accent5 2 5 3 3" xfId="22957" xr:uid="{00000000-0005-0000-0000-0000C1440000}"/>
    <cellStyle name="40% - Accent5 2 5 4" xfId="4436" xr:uid="{00000000-0005-0000-0000-0000C2440000}"/>
    <cellStyle name="40% - Accent5 2 5 4 2" xfId="12957" xr:uid="{00000000-0005-0000-0000-0000C3440000}"/>
    <cellStyle name="40% - Accent5 2 5 4 2 2" xfId="26669" xr:uid="{00000000-0005-0000-0000-0000C4440000}"/>
    <cellStyle name="40% - Accent5 2 5 4 3" xfId="22956" xr:uid="{00000000-0005-0000-0000-0000C5440000}"/>
    <cellStyle name="40% - Accent5 2 5 5" xfId="4437" xr:uid="{00000000-0005-0000-0000-0000C6440000}"/>
    <cellStyle name="40% - Accent5 2 5 5 2" xfId="15399" xr:uid="{00000000-0005-0000-0000-0000C7440000}"/>
    <cellStyle name="40% - Accent5 2 5 5 2 2" xfId="28948" xr:uid="{00000000-0005-0000-0000-0000C8440000}"/>
    <cellStyle name="40% - Accent5 2 5 5 3" xfId="29143" xr:uid="{00000000-0005-0000-0000-0000C9440000}"/>
    <cellStyle name="40% - Accent5 2 5 6" xfId="4438" xr:uid="{00000000-0005-0000-0000-0000CA440000}"/>
    <cellStyle name="40% - Accent5 2 5 6 2" xfId="17006" xr:uid="{00000000-0005-0000-0000-0000CB440000}"/>
    <cellStyle name="40% - Accent5 2 5 6 2 2" xfId="30413" xr:uid="{00000000-0005-0000-0000-0000CC440000}"/>
    <cellStyle name="40% - Accent5 2 5 6 3" xfId="22955" xr:uid="{00000000-0005-0000-0000-0000CD440000}"/>
    <cellStyle name="40% - Accent5 2 5 7" xfId="9449" xr:uid="{00000000-0005-0000-0000-0000CE440000}"/>
    <cellStyle name="40% - Accent5 2 5 7 2" xfId="23924" xr:uid="{00000000-0005-0000-0000-0000CF440000}"/>
    <cellStyle name="40% - Accent5 2 5 8" xfId="25268" xr:uid="{00000000-0005-0000-0000-0000D0440000}"/>
    <cellStyle name="40% - Accent5 2 6" xfId="4439" xr:uid="{00000000-0005-0000-0000-0000D1440000}"/>
    <cellStyle name="40% - Accent5 2 6 2" xfId="4440" xr:uid="{00000000-0005-0000-0000-0000D2440000}"/>
    <cellStyle name="40% - Accent5 2 6 2 2" xfId="11178" xr:uid="{00000000-0005-0000-0000-0000D3440000}"/>
    <cellStyle name="40% - Accent5 2 6 2 2 2" xfId="25120" xr:uid="{00000000-0005-0000-0000-0000D4440000}"/>
    <cellStyle name="40% - Accent5 2 6 2 3" xfId="26837" xr:uid="{00000000-0005-0000-0000-0000D5440000}"/>
    <cellStyle name="40% - Accent5 2 6 3" xfId="4441" xr:uid="{00000000-0005-0000-0000-0000D6440000}"/>
    <cellStyle name="40% - Accent5 2 6 3 2" xfId="12959" xr:uid="{00000000-0005-0000-0000-0000D7440000}"/>
    <cellStyle name="40% - Accent5 2 6 3 2 2" xfId="26671" xr:uid="{00000000-0005-0000-0000-0000D8440000}"/>
    <cellStyle name="40% - Accent5 2 6 3 3" xfId="22953" xr:uid="{00000000-0005-0000-0000-0000D9440000}"/>
    <cellStyle name="40% - Accent5 2 6 4" xfId="4442" xr:uid="{00000000-0005-0000-0000-0000DA440000}"/>
    <cellStyle name="40% - Accent5 2 6 4 2" xfId="15401" xr:uid="{00000000-0005-0000-0000-0000DB440000}"/>
    <cellStyle name="40% - Accent5 2 6 4 2 2" xfId="28950" xr:uid="{00000000-0005-0000-0000-0000DC440000}"/>
    <cellStyle name="40% - Accent5 2 6 4 3" xfId="22952" xr:uid="{00000000-0005-0000-0000-0000DD440000}"/>
    <cellStyle name="40% - Accent5 2 6 5" xfId="4443" xr:uid="{00000000-0005-0000-0000-0000DE440000}"/>
    <cellStyle name="40% - Accent5 2 6 5 2" xfId="17117" xr:uid="{00000000-0005-0000-0000-0000DF440000}"/>
    <cellStyle name="40% - Accent5 2 6 5 2 2" xfId="30476" xr:uid="{00000000-0005-0000-0000-0000E0440000}"/>
    <cellStyle name="40% - Accent5 2 6 5 3" xfId="24248" xr:uid="{00000000-0005-0000-0000-0000E1440000}"/>
    <cellStyle name="40% - Accent5 2 6 6" xfId="9451" xr:uid="{00000000-0005-0000-0000-0000E2440000}"/>
    <cellStyle name="40% - Accent5 2 6 6 2" xfId="23926" xr:uid="{00000000-0005-0000-0000-0000E3440000}"/>
    <cellStyle name="40% - Accent5 2 6 7" xfId="22954" xr:uid="{00000000-0005-0000-0000-0000E4440000}"/>
    <cellStyle name="40% - Accent5 2 7" xfId="4444" xr:uid="{00000000-0005-0000-0000-0000E5440000}"/>
    <cellStyle name="40% - Accent5 2 7 2" xfId="4445" xr:uid="{00000000-0005-0000-0000-0000E6440000}"/>
    <cellStyle name="40% - Accent5 2 7 2 2" xfId="11179" xr:uid="{00000000-0005-0000-0000-0000E7440000}"/>
    <cellStyle name="40% - Accent5 2 7 2 2 2" xfId="25121" xr:uid="{00000000-0005-0000-0000-0000E8440000}"/>
    <cellStyle name="40% - Accent5 2 7 2 3" xfId="25267" xr:uid="{00000000-0005-0000-0000-0000E9440000}"/>
    <cellStyle name="40% - Accent5 2 7 3" xfId="4446" xr:uid="{00000000-0005-0000-0000-0000EA440000}"/>
    <cellStyle name="40% - Accent5 2 7 3 2" xfId="12960" xr:uid="{00000000-0005-0000-0000-0000EB440000}"/>
    <cellStyle name="40% - Accent5 2 7 3 2 2" xfId="26672" xr:uid="{00000000-0005-0000-0000-0000EC440000}"/>
    <cellStyle name="40% - Accent5 2 7 3 3" xfId="22950" xr:uid="{00000000-0005-0000-0000-0000ED440000}"/>
    <cellStyle name="40% - Accent5 2 7 4" xfId="4447" xr:uid="{00000000-0005-0000-0000-0000EE440000}"/>
    <cellStyle name="40% - Accent5 2 7 4 2" xfId="15402" xr:uid="{00000000-0005-0000-0000-0000EF440000}"/>
    <cellStyle name="40% - Accent5 2 7 4 2 2" xfId="28951" xr:uid="{00000000-0005-0000-0000-0000F0440000}"/>
    <cellStyle name="40% - Accent5 2 7 4 3" xfId="22949" xr:uid="{00000000-0005-0000-0000-0000F1440000}"/>
    <cellStyle name="40% - Accent5 2 7 5" xfId="4448" xr:uid="{00000000-0005-0000-0000-0000F2440000}"/>
    <cellStyle name="40% - Accent5 2 7 5 2" xfId="17206" xr:uid="{00000000-0005-0000-0000-0000F3440000}"/>
    <cellStyle name="40% - Accent5 2 7 5 2 2" xfId="30565" xr:uid="{00000000-0005-0000-0000-0000F4440000}"/>
    <cellStyle name="40% - Accent5 2 7 5 3" xfId="24246" xr:uid="{00000000-0005-0000-0000-0000F5440000}"/>
    <cellStyle name="40% - Accent5 2 7 6" xfId="9452" xr:uid="{00000000-0005-0000-0000-0000F6440000}"/>
    <cellStyle name="40% - Accent5 2 7 6 2" xfId="23927" xr:uid="{00000000-0005-0000-0000-0000F7440000}"/>
    <cellStyle name="40% - Accent5 2 7 7" xfId="22951" xr:uid="{00000000-0005-0000-0000-0000F8440000}"/>
    <cellStyle name="40% - Accent5 2 8" xfId="4449" xr:uid="{00000000-0005-0000-0000-0000F9440000}"/>
    <cellStyle name="40% - Accent5 2 8 2" xfId="4450" xr:uid="{00000000-0005-0000-0000-0000FA440000}"/>
    <cellStyle name="40% - Accent5 2 8 2 2" xfId="12961" xr:uid="{00000000-0005-0000-0000-0000FB440000}"/>
    <cellStyle name="40% - Accent5 2 8 2 2 2" xfId="26673" xr:uid="{00000000-0005-0000-0000-0000FC440000}"/>
    <cellStyle name="40% - Accent5 2 8 2 3" xfId="22947" xr:uid="{00000000-0005-0000-0000-0000FD440000}"/>
    <cellStyle name="40% - Accent5 2 8 3" xfId="4451" xr:uid="{00000000-0005-0000-0000-0000FE440000}"/>
    <cellStyle name="40% - Accent5 2 8 3 2" xfId="15403" xr:uid="{00000000-0005-0000-0000-0000FF440000}"/>
    <cellStyle name="40% - Accent5 2 8 3 2 2" xfId="28952" xr:uid="{00000000-0005-0000-0000-000000450000}"/>
    <cellStyle name="40% - Accent5 2 8 3 3" xfId="29142" xr:uid="{00000000-0005-0000-0000-000001450000}"/>
    <cellStyle name="40% - Accent5 2 8 4" xfId="4452" xr:uid="{00000000-0005-0000-0000-000002450000}"/>
    <cellStyle name="40% - Accent5 2 8 4 2" xfId="16481" xr:uid="{00000000-0005-0000-0000-000003450000}"/>
    <cellStyle name="40% - Accent5 2 8 4 2 2" xfId="29888" xr:uid="{00000000-0005-0000-0000-000004450000}"/>
    <cellStyle name="40% - Accent5 2 8 4 3" xfId="22946" xr:uid="{00000000-0005-0000-0000-000005450000}"/>
    <cellStyle name="40% - Accent5 2 8 5" xfId="10527" xr:uid="{00000000-0005-0000-0000-000006450000}"/>
    <cellStyle name="40% - Accent5 2 8 5 2" xfId="24469" xr:uid="{00000000-0005-0000-0000-000007450000}"/>
    <cellStyle name="40% - Accent5 2 8 6" xfId="22948" xr:uid="{00000000-0005-0000-0000-000008450000}"/>
    <cellStyle name="40% - Accent5 2 9" xfId="4453" xr:uid="{00000000-0005-0000-0000-000009450000}"/>
    <cellStyle name="40% - Accent5 2 9 2" xfId="4454" xr:uid="{00000000-0005-0000-0000-00000A450000}"/>
    <cellStyle name="40% - Accent5 2 9 2 2" xfId="12962" xr:uid="{00000000-0005-0000-0000-00000B450000}"/>
    <cellStyle name="40% - Accent5 2 9 2 2 2" xfId="26674" xr:uid="{00000000-0005-0000-0000-00000C450000}"/>
    <cellStyle name="40% - Accent5 2 9 2 3" xfId="26836" xr:uid="{00000000-0005-0000-0000-00000D450000}"/>
    <cellStyle name="40% - Accent5 2 9 3" xfId="4455" xr:uid="{00000000-0005-0000-0000-00000E450000}"/>
    <cellStyle name="40% - Accent5 2 9 3 2" xfId="15404" xr:uid="{00000000-0005-0000-0000-00000F450000}"/>
    <cellStyle name="40% - Accent5 2 9 3 2 2" xfId="28953" xr:uid="{00000000-0005-0000-0000-000010450000}"/>
    <cellStyle name="40% - Accent5 2 9 3 3" xfId="22944" xr:uid="{00000000-0005-0000-0000-000011450000}"/>
    <cellStyle name="40% - Accent5 2 9 4" xfId="11161" xr:uid="{00000000-0005-0000-0000-000012450000}"/>
    <cellStyle name="40% - Accent5 2 9 4 2" xfId="25103" xr:uid="{00000000-0005-0000-0000-000013450000}"/>
    <cellStyle name="40% - Accent5 2 9 5" xfId="22945" xr:uid="{00000000-0005-0000-0000-000014450000}"/>
    <cellStyle name="40% - Accent5 20" xfId="4456" xr:uid="{00000000-0005-0000-0000-000015450000}"/>
    <cellStyle name="40% - Accent5 20 2" xfId="4457" xr:uid="{00000000-0005-0000-0000-000016450000}"/>
    <cellStyle name="40% - Accent5 20 2 2" xfId="12963" xr:uid="{00000000-0005-0000-0000-000017450000}"/>
    <cellStyle name="40% - Accent5 20 2 2 2" xfId="26675" xr:uid="{00000000-0005-0000-0000-000018450000}"/>
    <cellStyle name="40% - Accent5 20 2 3" xfId="24247" xr:uid="{00000000-0005-0000-0000-000019450000}"/>
    <cellStyle name="40% - Accent5 20 3" xfId="4458" xr:uid="{00000000-0005-0000-0000-00001A450000}"/>
    <cellStyle name="40% - Accent5 20 3 2" xfId="15405" xr:uid="{00000000-0005-0000-0000-00001B450000}"/>
    <cellStyle name="40% - Accent5 20 3 2 2" xfId="28954" xr:uid="{00000000-0005-0000-0000-00001C450000}"/>
    <cellStyle name="40% - Accent5 20 3 3" xfId="22942" xr:uid="{00000000-0005-0000-0000-00001D450000}"/>
    <cellStyle name="40% - Accent5 20 4" xfId="10502" xr:uid="{00000000-0005-0000-0000-00001E450000}"/>
    <cellStyle name="40% - Accent5 20 4 2" xfId="24450" xr:uid="{00000000-0005-0000-0000-00001F450000}"/>
    <cellStyle name="40% - Accent5 20 5" xfId="22943" xr:uid="{00000000-0005-0000-0000-000020450000}"/>
    <cellStyle name="40% - Accent5 21" xfId="4459" xr:uid="{00000000-0005-0000-0000-000021450000}"/>
    <cellStyle name="40% - Accent5 21 2" xfId="4460" xr:uid="{00000000-0005-0000-0000-000022450000}"/>
    <cellStyle name="40% - Accent5 21 2 2" xfId="12964" xr:uid="{00000000-0005-0000-0000-000023450000}"/>
    <cellStyle name="40% - Accent5 21 2 2 2" xfId="26676" xr:uid="{00000000-0005-0000-0000-000024450000}"/>
    <cellStyle name="40% - Accent5 21 2 3" xfId="22941" xr:uid="{00000000-0005-0000-0000-000025450000}"/>
    <cellStyle name="40% - Accent5 21 3" xfId="4461" xr:uid="{00000000-0005-0000-0000-000026450000}"/>
    <cellStyle name="40% - Accent5 21 3 2" xfId="15406" xr:uid="{00000000-0005-0000-0000-000027450000}"/>
    <cellStyle name="40% - Accent5 21 3 2 2" xfId="28955" xr:uid="{00000000-0005-0000-0000-000028450000}"/>
    <cellStyle name="40% - Accent5 21 3 3" xfId="22940" xr:uid="{00000000-0005-0000-0000-000029450000}"/>
    <cellStyle name="40% - Accent5 21 4" xfId="11150" xr:uid="{00000000-0005-0000-0000-00002A450000}"/>
    <cellStyle name="40% - Accent5 21 4 2" xfId="25092" xr:uid="{00000000-0005-0000-0000-00002B450000}"/>
    <cellStyle name="40% - Accent5 21 5" xfId="25266" xr:uid="{00000000-0005-0000-0000-00002C450000}"/>
    <cellStyle name="40% - Accent5 22" xfId="4462" xr:uid="{00000000-0005-0000-0000-00002D450000}"/>
    <cellStyle name="40% - Accent5 22 2" xfId="11738" xr:uid="{00000000-0005-0000-0000-00002E450000}"/>
    <cellStyle name="40% - Accent5 22 2 2" xfId="25453" xr:uid="{00000000-0005-0000-0000-00002F450000}"/>
    <cellStyle name="40% - Accent5 22 3" xfId="22939" xr:uid="{00000000-0005-0000-0000-000030450000}"/>
    <cellStyle name="40% - Accent5 23" xfId="4463" xr:uid="{00000000-0005-0000-0000-000031450000}"/>
    <cellStyle name="40% - Accent5 23 2" xfId="12929" xr:uid="{00000000-0005-0000-0000-000032450000}"/>
    <cellStyle name="40% - Accent5 23 2 2" xfId="26641" xr:uid="{00000000-0005-0000-0000-000033450000}"/>
    <cellStyle name="40% - Accent5 23 3" xfId="22938" xr:uid="{00000000-0005-0000-0000-000034450000}"/>
    <cellStyle name="40% - Accent5 24" xfId="4464" xr:uid="{00000000-0005-0000-0000-000035450000}"/>
    <cellStyle name="40% - Accent5 24 2" xfId="13377" xr:uid="{00000000-0005-0000-0000-000036450000}"/>
    <cellStyle name="40% - Accent5 24 2 2" xfId="26926" xr:uid="{00000000-0005-0000-0000-000037450000}"/>
    <cellStyle name="40% - Accent5 24 3" xfId="24244" xr:uid="{00000000-0005-0000-0000-000038450000}"/>
    <cellStyle name="40% - Accent5 25" xfId="4465" xr:uid="{00000000-0005-0000-0000-000039450000}"/>
    <cellStyle name="40% - Accent5 25 2" xfId="13958" xr:uid="{00000000-0005-0000-0000-00003A450000}"/>
    <cellStyle name="40% - Accent5 25 2 2" xfId="27507" xr:uid="{00000000-0005-0000-0000-00003B450000}"/>
    <cellStyle name="40% - Accent5 25 3" xfId="23230" xr:uid="{00000000-0005-0000-0000-00003C450000}"/>
    <cellStyle name="40% - Accent5 26" xfId="4466" xr:uid="{00000000-0005-0000-0000-00003D450000}"/>
    <cellStyle name="40% - Accent5 26 2" xfId="15363" xr:uid="{00000000-0005-0000-0000-00003E450000}"/>
    <cellStyle name="40% - Accent5 26 2 2" xfId="28912" xr:uid="{00000000-0005-0000-0000-00003F450000}"/>
    <cellStyle name="40% - Accent5 26 3" xfId="30671" xr:uid="{00000000-0005-0000-0000-000040450000}"/>
    <cellStyle name="40% - Accent5 27" xfId="4467" xr:uid="{00000000-0005-0000-0000-000041450000}"/>
    <cellStyle name="40% - Accent5 27 2" xfId="15820" xr:uid="{00000000-0005-0000-0000-000042450000}"/>
    <cellStyle name="40% - Accent5 27 2 2" xfId="29227" xr:uid="{00000000-0005-0000-0000-000043450000}"/>
    <cellStyle name="40% - Accent5 27 3" xfId="22937" xr:uid="{00000000-0005-0000-0000-000044450000}"/>
    <cellStyle name="40% - Accent5 28" xfId="4468" xr:uid="{00000000-0005-0000-0000-000045450000}"/>
    <cellStyle name="40% - Accent5 28 2" xfId="15844" xr:uid="{00000000-0005-0000-0000-000046450000}"/>
    <cellStyle name="40% - Accent5 28 2 2" xfId="29251" xr:uid="{00000000-0005-0000-0000-000047450000}"/>
    <cellStyle name="40% - Accent5 28 3" xfId="22936" xr:uid="{00000000-0005-0000-0000-000048450000}"/>
    <cellStyle name="40% - Accent5 29" xfId="4469" xr:uid="{00000000-0005-0000-0000-000049450000}"/>
    <cellStyle name="40% - Accent5 29 2" xfId="9423" xr:uid="{00000000-0005-0000-0000-00004A450000}"/>
    <cellStyle name="40% - Accent5 29 2 2" xfId="23898" xr:uid="{00000000-0005-0000-0000-00004B450000}"/>
    <cellStyle name="40% - Accent5 29 3" xfId="24210" xr:uid="{00000000-0005-0000-0000-00004C450000}"/>
    <cellStyle name="40% - Accent5 3" xfId="4470" xr:uid="{00000000-0005-0000-0000-00004D450000}"/>
    <cellStyle name="40% - Accent5 3 10" xfId="4471" xr:uid="{00000000-0005-0000-0000-00004E450000}"/>
    <cellStyle name="40% - Accent5 3 10 2" xfId="14037" xr:uid="{00000000-0005-0000-0000-00004F450000}"/>
    <cellStyle name="40% - Accent5 3 10 2 2" xfId="27586" xr:uid="{00000000-0005-0000-0000-000050450000}"/>
    <cellStyle name="40% - Accent5 3 10 3" xfId="22935" xr:uid="{00000000-0005-0000-0000-000051450000}"/>
    <cellStyle name="40% - Accent5 3 11" xfId="4472" xr:uid="{00000000-0005-0000-0000-000052450000}"/>
    <cellStyle name="40% - Accent5 3 11 2" xfId="15407" xr:uid="{00000000-0005-0000-0000-000053450000}"/>
    <cellStyle name="40% - Accent5 3 11 2 2" xfId="28956" xr:uid="{00000000-0005-0000-0000-000054450000}"/>
    <cellStyle name="40% - Accent5 3 11 3" xfId="22934" xr:uid="{00000000-0005-0000-0000-000055450000}"/>
    <cellStyle name="40% - Accent5 3 12" xfId="4473" xr:uid="{00000000-0005-0000-0000-000056450000}"/>
    <cellStyle name="40% - Accent5 3 12 2" xfId="15923" xr:uid="{00000000-0005-0000-0000-000057450000}"/>
    <cellStyle name="40% - Accent5 3 12 2 2" xfId="29330" xr:uid="{00000000-0005-0000-0000-000058450000}"/>
    <cellStyle name="40% - Accent5 3 12 3" xfId="22933" xr:uid="{00000000-0005-0000-0000-000059450000}"/>
    <cellStyle name="40% - Accent5 3 13" xfId="9453" xr:uid="{00000000-0005-0000-0000-00005A450000}"/>
    <cellStyle name="40% - Accent5 3 13 2" xfId="23928" xr:uid="{00000000-0005-0000-0000-00005B450000}"/>
    <cellStyle name="40% - Accent5 3 14" xfId="23193" xr:uid="{00000000-0005-0000-0000-00005C450000}"/>
    <cellStyle name="40% - Accent5 3 2" xfId="4474" xr:uid="{00000000-0005-0000-0000-00005D450000}"/>
    <cellStyle name="40% - Accent5 3 2 10" xfId="4475" xr:uid="{00000000-0005-0000-0000-00005E450000}"/>
    <cellStyle name="40% - Accent5 3 2 10 2" xfId="16066" xr:uid="{00000000-0005-0000-0000-00005F450000}"/>
    <cellStyle name="40% - Accent5 3 2 10 2 2" xfId="29473" xr:uid="{00000000-0005-0000-0000-000060450000}"/>
    <cellStyle name="40% - Accent5 3 2 10 3" xfId="22931" xr:uid="{00000000-0005-0000-0000-000061450000}"/>
    <cellStyle name="40% - Accent5 3 2 11" xfId="9454" xr:uid="{00000000-0005-0000-0000-000062450000}"/>
    <cellStyle name="40% - Accent5 3 2 11 2" xfId="23929" xr:uid="{00000000-0005-0000-0000-000063450000}"/>
    <cellStyle name="40% - Accent5 3 2 12" xfId="22932" xr:uid="{00000000-0005-0000-0000-000064450000}"/>
    <cellStyle name="40% - Accent5 3 2 2" xfId="4476" xr:uid="{00000000-0005-0000-0000-000065450000}"/>
    <cellStyle name="40% - Accent5 3 2 2 10" xfId="9455" xr:uid="{00000000-0005-0000-0000-000066450000}"/>
    <cellStyle name="40% - Accent5 3 2 2 10 2" xfId="23930" xr:uid="{00000000-0005-0000-0000-000067450000}"/>
    <cellStyle name="40% - Accent5 3 2 2 11" xfId="25245" xr:uid="{00000000-0005-0000-0000-000068450000}"/>
    <cellStyle name="40% - Accent5 3 2 2 2" xfId="4477" xr:uid="{00000000-0005-0000-0000-000069450000}"/>
    <cellStyle name="40% - Accent5 3 2 2 2 2" xfId="4478" xr:uid="{00000000-0005-0000-0000-00006A450000}"/>
    <cellStyle name="40% - Accent5 3 2 2 2 2 2" xfId="11183" xr:uid="{00000000-0005-0000-0000-00006B450000}"/>
    <cellStyle name="40% - Accent5 3 2 2 2 2 2 2" xfId="25125" xr:uid="{00000000-0005-0000-0000-00006C450000}"/>
    <cellStyle name="40% - Accent5 3 2 2 2 2 3" xfId="29141" xr:uid="{00000000-0005-0000-0000-00006D450000}"/>
    <cellStyle name="40% - Accent5 3 2 2 2 3" xfId="4479" xr:uid="{00000000-0005-0000-0000-00006E450000}"/>
    <cellStyle name="40% - Accent5 3 2 2 2 3 2" xfId="12968" xr:uid="{00000000-0005-0000-0000-00006F450000}"/>
    <cellStyle name="40% - Accent5 3 2 2 2 3 2 2" xfId="26680" xr:uid="{00000000-0005-0000-0000-000070450000}"/>
    <cellStyle name="40% - Accent5 3 2 2 2 3 3" xfId="22929" xr:uid="{00000000-0005-0000-0000-000071450000}"/>
    <cellStyle name="40% - Accent5 3 2 2 2 4" xfId="4480" xr:uid="{00000000-0005-0000-0000-000072450000}"/>
    <cellStyle name="40% - Accent5 3 2 2 2 4 2" xfId="15410" xr:uid="{00000000-0005-0000-0000-000073450000}"/>
    <cellStyle name="40% - Accent5 3 2 2 2 4 2 2" xfId="28959" xr:uid="{00000000-0005-0000-0000-000074450000}"/>
    <cellStyle name="40% - Accent5 3 2 2 2 4 3" xfId="22928" xr:uid="{00000000-0005-0000-0000-000075450000}"/>
    <cellStyle name="40% - Accent5 3 2 2 2 5" xfId="4481" xr:uid="{00000000-0005-0000-0000-000076450000}"/>
    <cellStyle name="40% - Accent5 3 2 2 2 5 2" xfId="16936" xr:uid="{00000000-0005-0000-0000-000077450000}"/>
    <cellStyle name="40% - Accent5 3 2 2 2 5 2 2" xfId="30343" xr:uid="{00000000-0005-0000-0000-000078450000}"/>
    <cellStyle name="40% - Accent5 3 2 2 2 5 3" xfId="22927" xr:uid="{00000000-0005-0000-0000-000079450000}"/>
    <cellStyle name="40% - Accent5 3 2 2 2 6" xfId="9456" xr:uid="{00000000-0005-0000-0000-00007A450000}"/>
    <cellStyle name="40% - Accent5 3 2 2 2 6 2" xfId="23931" xr:uid="{00000000-0005-0000-0000-00007B450000}"/>
    <cellStyle name="40% - Accent5 3 2 2 2 7" xfId="22930" xr:uid="{00000000-0005-0000-0000-00007C450000}"/>
    <cellStyle name="40% - Accent5 3 2 2 3" xfId="4482" xr:uid="{00000000-0005-0000-0000-00007D450000}"/>
    <cellStyle name="40% - Accent5 3 2 2 3 2" xfId="4483" xr:uid="{00000000-0005-0000-0000-00007E450000}"/>
    <cellStyle name="40% - Accent5 3 2 2 3 2 2" xfId="15411" xr:uid="{00000000-0005-0000-0000-00007F450000}"/>
    <cellStyle name="40% - Accent5 3 2 2 3 2 2 2" xfId="28960" xr:uid="{00000000-0005-0000-0000-000080450000}"/>
    <cellStyle name="40% - Accent5 3 2 2 3 2 3" xfId="22926" xr:uid="{00000000-0005-0000-0000-000081450000}"/>
    <cellStyle name="40% - Accent5 3 2 2 3 3" xfId="11182" xr:uid="{00000000-0005-0000-0000-000082450000}"/>
    <cellStyle name="40% - Accent5 3 2 2 3 3 2" xfId="25124" xr:uid="{00000000-0005-0000-0000-000083450000}"/>
    <cellStyle name="40% - Accent5 3 2 2 3 4" xfId="29140" xr:uid="{00000000-0005-0000-0000-000084450000}"/>
    <cellStyle name="40% - Accent5 3 2 2 4" xfId="4484" xr:uid="{00000000-0005-0000-0000-000085450000}"/>
    <cellStyle name="40% - Accent5 3 2 2 4 2" xfId="12324" xr:uid="{00000000-0005-0000-0000-000086450000}"/>
    <cellStyle name="40% - Accent5 3 2 2 4 2 2" xfId="26036" xr:uid="{00000000-0005-0000-0000-000087450000}"/>
    <cellStyle name="40% - Accent5 3 2 2 4 3" xfId="22925" xr:uid="{00000000-0005-0000-0000-000088450000}"/>
    <cellStyle name="40% - Accent5 3 2 2 5" xfId="4485" xr:uid="{00000000-0005-0000-0000-000089450000}"/>
    <cellStyle name="40% - Accent5 3 2 2 5 2" xfId="12967" xr:uid="{00000000-0005-0000-0000-00008A450000}"/>
    <cellStyle name="40% - Accent5 3 2 2 5 2 2" xfId="26679" xr:uid="{00000000-0005-0000-0000-00008B450000}"/>
    <cellStyle name="40% - Accent5 3 2 2 5 3" xfId="22924" xr:uid="{00000000-0005-0000-0000-00008C450000}"/>
    <cellStyle name="40% - Accent5 3 2 2 6" xfId="4486" xr:uid="{00000000-0005-0000-0000-00008D450000}"/>
    <cellStyle name="40% - Accent5 3 2 2 6 2" xfId="13888" xr:uid="{00000000-0005-0000-0000-00008E450000}"/>
    <cellStyle name="40% - Accent5 3 2 2 6 2 2" xfId="27437" xr:uid="{00000000-0005-0000-0000-00008F450000}"/>
    <cellStyle name="40% - Accent5 3 2 2 6 3" xfId="22923" xr:uid="{00000000-0005-0000-0000-000090450000}"/>
    <cellStyle name="40% - Accent5 3 2 2 7" xfId="4487" xr:uid="{00000000-0005-0000-0000-000091450000}"/>
    <cellStyle name="40% - Accent5 3 2 2 7 2" xfId="14469" xr:uid="{00000000-0005-0000-0000-000092450000}"/>
    <cellStyle name="40% - Accent5 3 2 2 7 2 2" xfId="28018" xr:uid="{00000000-0005-0000-0000-000093450000}"/>
    <cellStyle name="40% - Accent5 3 2 2 7 3" xfId="24243" xr:uid="{00000000-0005-0000-0000-000094450000}"/>
    <cellStyle name="40% - Accent5 3 2 2 8" xfId="4488" xr:uid="{00000000-0005-0000-0000-000095450000}"/>
    <cellStyle name="40% - Accent5 3 2 2 8 2" xfId="15409" xr:uid="{00000000-0005-0000-0000-000096450000}"/>
    <cellStyle name="40% - Accent5 3 2 2 8 2 2" xfId="28958" xr:uid="{00000000-0005-0000-0000-000097450000}"/>
    <cellStyle name="40% - Accent5 3 2 2 8 3" xfId="25265" xr:uid="{00000000-0005-0000-0000-000098450000}"/>
    <cellStyle name="40% - Accent5 3 2 2 9" xfId="4489" xr:uid="{00000000-0005-0000-0000-000099450000}"/>
    <cellStyle name="40% - Accent5 3 2 2 9 2" xfId="16355" xr:uid="{00000000-0005-0000-0000-00009A450000}"/>
    <cellStyle name="40% - Accent5 3 2 2 9 2 2" xfId="29762" xr:uid="{00000000-0005-0000-0000-00009B450000}"/>
    <cellStyle name="40% - Accent5 3 2 2 9 3" xfId="22922" xr:uid="{00000000-0005-0000-0000-00009C450000}"/>
    <cellStyle name="40% - Accent5 3 2 3" xfId="4490" xr:uid="{00000000-0005-0000-0000-00009D450000}"/>
    <cellStyle name="40% - Accent5 3 2 3 2" xfId="4491" xr:uid="{00000000-0005-0000-0000-00009E450000}"/>
    <cellStyle name="40% - Accent5 3 2 3 2 2" xfId="11184" xr:uid="{00000000-0005-0000-0000-00009F450000}"/>
    <cellStyle name="40% - Accent5 3 2 3 2 2 2" xfId="25126" xr:uid="{00000000-0005-0000-0000-0000A0450000}"/>
    <cellStyle name="40% - Accent5 3 2 3 2 3" xfId="29139" xr:uid="{00000000-0005-0000-0000-0000A1450000}"/>
    <cellStyle name="40% - Accent5 3 2 3 3" xfId="4492" xr:uid="{00000000-0005-0000-0000-0000A2450000}"/>
    <cellStyle name="40% - Accent5 3 2 3 3 2" xfId="12969" xr:uid="{00000000-0005-0000-0000-0000A3450000}"/>
    <cellStyle name="40% - Accent5 3 2 3 3 2 2" xfId="26681" xr:uid="{00000000-0005-0000-0000-0000A4450000}"/>
    <cellStyle name="40% - Accent5 3 2 3 3 3" xfId="22920" xr:uid="{00000000-0005-0000-0000-0000A5450000}"/>
    <cellStyle name="40% - Accent5 3 2 3 4" xfId="4493" xr:uid="{00000000-0005-0000-0000-0000A6450000}"/>
    <cellStyle name="40% - Accent5 3 2 3 4 2" xfId="15412" xr:uid="{00000000-0005-0000-0000-0000A7450000}"/>
    <cellStyle name="40% - Accent5 3 2 3 4 2 2" xfId="28961" xr:uid="{00000000-0005-0000-0000-0000A8450000}"/>
    <cellStyle name="40% - Accent5 3 2 3 4 3" xfId="22919" xr:uid="{00000000-0005-0000-0000-0000A9450000}"/>
    <cellStyle name="40% - Accent5 3 2 3 5" xfId="4494" xr:uid="{00000000-0005-0000-0000-0000AA450000}"/>
    <cellStyle name="40% - Accent5 3 2 3 5 2" xfId="16647" xr:uid="{00000000-0005-0000-0000-0000AB450000}"/>
    <cellStyle name="40% - Accent5 3 2 3 5 2 2" xfId="30054" xr:uid="{00000000-0005-0000-0000-0000AC450000}"/>
    <cellStyle name="40% - Accent5 3 2 3 5 3" xfId="22918" xr:uid="{00000000-0005-0000-0000-0000AD450000}"/>
    <cellStyle name="40% - Accent5 3 2 3 6" xfId="9457" xr:uid="{00000000-0005-0000-0000-0000AE450000}"/>
    <cellStyle name="40% - Accent5 3 2 3 6 2" xfId="23932" xr:uid="{00000000-0005-0000-0000-0000AF450000}"/>
    <cellStyle name="40% - Accent5 3 2 3 7" xfId="22921" xr:uid="{00000000-0005-0000-0000-0000B0450000}"/>
    <cellStyle name="40% - Accent5 3 2 4" xfId="4495" xr:uid="{00000000-0005-0000-0000-0000B1450000}"/>
    <cellStyle name="40% - Accent5 3 2 4 2" xfId="4496" xr:uid="{00000000-0005-0000-0000-0000B2450000}"/>
    <cellStyle name="40% - Accent5 3 2 4 2 2" xfId="15413" xr:uid="{00000000-0005-0000-0000-0000B3450000}"/>
    <cellStyle name="40% - Accent5 3 2 4 2 2 2" xfId="28962" xr:uid="{00000000-0005-0000-0000-0000B4450000}"/>
    <cellStyle name="40% - Accent5 3 2 4 2 3" xfId="22917" xr:uid="{00000000-0005-0000-0000-0000B5450000}"/>
    <cellStyle name="40% - Accent5 3 2 4 3" xfId="11181" xr:uid="{00000000-0005-0000-0000-0000B6450000}"/>
    <cellStyle name="40% - Accent5 3 2 4 3 2" xfId="25123" xr:uid="{00000000-0005-0000-0000-0000B7450000}"/>
    <cellStyle name="40% - Accent5 3 2 4 4" xfId="24242" xr:uid="{00000000-0005-0000-0000-0000B8450000}"/>
    <cellStyle name="40% - Accent5 3 2 5" xfId="4497" xr:uid="{00000000-0005-0000-0000-0000B9450000}"/>
    <cellStyle name="40% - Accent5 3 2 5 2" xfId="12024" xr:uid="{00000000-0005-0000-0000-0000BA450000}"/>
    <cellStyle name="40% - Accent5 3 2 5 2 2" xfId="25739" xr:uid="{00000000-0005-0000-0000-0000BB450000}"/>
    <cellStyle name="40% - Accent5 3 2 5 3" xfId="25264" xr:uid="{00000000-0005-0000-0000-0000BC450000}"/>
    <cellStyle name="40% - Accent5 3 2 6" xfId="4498" xr:uid="{00000000-0005-0000-0000-0000BD450000}"/>
    <cellStyle name="40% - Accent5 3 2 6 2" xfId="12966" xr:uid="{00000000-0005-0000-0000-0000BE450000}"/>
    <cellStyle name="40% - Accent5 3 2 6 2 2" xfId="26678" xr:uid="{00000000-0005-0000-0000-0000BF450000}"/>
    <cellStyle name="40% - Accent5 3 2 6 3" xfId="22916" xr:uid="{00000000-0005-0000-0000-0000C0450000}"/>
    <cellStyle name="40% - Accent5 3 2 7" xfId="4499" xr:uid="{00000000-0005-0000-0000-0000C1450000}"/>
    <cellStyle name="40% - Accent5 3 2 7 2" xfId="13599" xr:uid="{00000000-0005-0000-0000-0000C2450000}"/>
    <cellStyle name="40% - Accent5 3 2 7 2 2" xfId="27148" xr:uid="{00000000-0005-0000-0000-0000C3450000}"/>
    <cellStyle name="40% - Accent5 3 2 7 3" xfId="22915" xr:uid="{00000000-0005-0000-0000-0000C4450000}"/>
    <cellStyle name="40% - Accent5 3 2 8" xfId="4500" xr:uid="{00000000-0005-0000-0000-0000C5450000}"/>
    <cellStyle name="40% - Accent5 3 2 8 2" xfId="14180" xr:uid="{00000000-0005-0000-0000-0000C6450000}"/>
    <cellStyle name="40% - Accent5 3 2 8 2 2" xfId="27729" xr:uid="{00000000-0005-0000-0000-0000C7450000}"/>
    <cellStyle name="40% - Accent5 3 2 8 3" xfId="24241" xr:uid="{00000000-0005-0000-0000-0000C8450000}"/>
    <cellStyle name="40% - Accent5 3 2 9" xfId="4501" xr:uid="{00000000-0005-0000-0000-0000C9450000}"/>
    <cellStyle name="40% - Accent5 3 2 9 2" xfId="15408" xr:uid="{00000000-0005-0000-0000-0000CA450000}"/>
    <cellStyle name="40% - Accent5 3 2 9 2 2" xfId="28957" xr:uid="{00000000-0005-0000-0000-0000CB450000}"/>
    <cellStyle name="40% - Accent5 3 2 9 3" xfId="22914" xr:uid="{00000000-0005-0000-0000-0000CC450000}"/>
    <cellStyle name="40% - Accent5 3 3" xfId="4502" xr:uid="{00000000-0005-0000-0000-0000CD450000}"/>
    <cellStyle name="40% - Accent5 3 3 10" xfId="9458" xr:uid="{00000000-0005-0000-0000-0000CE450000}"/>
    <cellStyle name="40% - Accent5 3 3 10 2" xfId="23933" xr:uid="{00000000-0005-0000-0000-0000CF450000}"/>
    <cellStyle name="40% - Accent5 3 3 11" xfId="25263" xr:uid="{00000000-0005-0000-0000-0000D0450000}"/>
    <cellStyle name="40% - Accent5 3 3 2" xfId="4503" xr:uid="{00000000-0005-0000-0000-0000D1450000}"/>
    <cellStyle name="40% - Accent5 3 3 2 2" xfId="4504" xr:uid="{00000000-0005-0000-0000-0000D2450000}"/>
    <cellStyle name="40% - Accent5 3 3 2 2 2" xfId="11186" xr:uid="{00000000-0005-0000-0000-0000D3450000}"/>
    <cellStyle name="40% - Accent5 3 3 2 2 2 2" xfId="25128" xr:uid="{00000000-0005-0000-0000-0000D4450000}"/>
    <cellStyle name="40% - Accent5 3 3 2 2 3" xfId="22912" xr:uid="{00000000-0005-0000-0000-0000D5450000}"/>
    <cellStyle name="40% - Accent5 3 3 2 3" xfId="4505" xr:uid="{00000000-0005-0000-0000-0000D6450000}"/>
    <cellStyle name="40% - Accent5 3 3 2 3 2" xfId="12971" xr:uid="{00000000-0005-0000-0000-0000D7450000}"/>
    <cellStyle name="40% - Accent5 3 3 2 3 2 2" xfId="26683" xr:uid="{00000000-0005-0000-0000-0000D8450000}"/>
    <cellStyle name="40% - Accent5 3 3 2 3 3" xfId="24240" xr:uid="{00000000-0005-0000-0000-0000D9450000}"/>
    <cellStyle name="40% - Accent5 3 3 2 4" xfId="4506" xr:uid="{00000000-0005-0000-0000-0000DA450000}"/>
    <cellStyle name="40% - Accent5 3 3 2 4 2" xfId="15415" xr:uid="{00000000-0005-0000-0000-0000DB450000}"/>
    <cellStyle name="40% - Accent5 3 3 2 4 2 2" xfId="28964" xr:uid="{00000000-0005-0000-0000-0000DC450000}"/>
    <cellStyle name="40% - Accent5 3 3 2 4 3" xfId="22911" xr:uid="{00000000-0005-0000-0000-0000DD450000}"/>
    <cellStyle name="40% - Accent5 3 3 2 5" xfId="4507" xr:uid="{00000000-0005-0000-0000-0000DE450000}"/>
    <cellStyle name="40% - Accent5 3 3 2 5 2" xfId="16793" xr:uid="{00000000-0005-0000-0000-0000DF450000}"/>
    <cellStyle name="40% - Accent5 3 3 2 5 2 2" xfId="30200" xr:uid="{00000000-0005-0000-0000-0000E0450000}"/>
    <cellStyle name="40% - Accent5 3 3 2 5 3" xfId="22910" xr:uid="{00000000-0005-0000-0000-0000E1450000}"/>
    <cellStyle name="40% - Accent5 3 3 2 6" xfId="9459" xr:uid="{00000000-0005-0000-0000-0000E2450000}"/>
    <cellStyle name="40% - Accent5 3 3 2 6 2" xfId="23934" xr:uid="{00000000-0005-0000-0000-0000E3450000}"/>
    <cellStyle name="40% - Accent5 3 3 2 7" xfId="22913" xr:uid="{00000000-0005-0000-0000-0000E4450000}"/>
    <cellStyle name="40% - Accent5 3 3 3" xfId="4508" xr:uid="{00000000-0005-0000-0000-0000E5450000}"/>
    <cellStyle name="40% - Accent5 3 3 3 2" xfId="4509" xr:uid="{00000000-0005-0000-0000-0000E6450000}"/>
    <cellStyle name="40% - Accent5 3 3 3 2 2" xfId="15416" xr:uid="{00000000-0005-0000-0000-0000E7450000}"/>
    <cellStyle name="40% - Accent5 3 3 3 2 2 2" xfId="28965" xr:uid="{00000000-0005-0000-0000-0000E8450000}"/>
    <cellStyle name="40% - Accent5 3 3 3 2 3" xfId="22909" xr:uid="{00000000-0005-0000-0000-0000E9450000}"/>
    <cellStyle name="40% - Accent5 3 3 3 3" xfId="11185" xr:uid="{00000000-0005-0000-0000-0000EA450000}"/>
    <cellStyle name="40% - Accent5 3 3 3 3 2" xfId="25127" xr:uid="{00000000-0005-0000-0000-0000EB450000}"/>
    <cellStyle name="40% - Accent5 3 3 3 4" xfId="24238" xr:uid="{00000000-0005-0000-0000-0000EC450000}"/>
    <cellStyle name="40% - Accent5 3 3 4" xfId="4510" xr:uid="{00000000-0005-0000-0000-0000ED450000}"/>
    <cellStyle name="40% - Accent5 3 3 4 2" xfId="12181" xr:uid="{00000000-0005-0000-0000-0000EE450000}"/>
    <cellStyle name="40% - Accent5 3 3 4 2 2" xfId="25893" xr:uid="{00000000-0005-0000-0000-0000EF450000}"/>
    <cellStyle name="40% - Accent5 3 3 4 3" xfId="25261" xr:uid="{00000000-0005-0000-0000-0000F0450000}"/>
    <cellStyle name="40% - Accent5 3 3 5" xfId="4511" xr:uid="{00000000-0005-0000-0000-0000F1450000}"/>
    <cellStyle name="40% - Accent5 3 3 5 2" xfId="12970" xr:uid="{00000000-0005-0000-0000-0000F2450000}"/>
    <cellStyle name="40% - Accent5 3 3 5 2 2" xfId="26682" xr:uid="{00000000-0005-0000-0000-0000F3450000}"/>
    <cellStyle name="40% - Accent5 3 3 5 3" xfId="22908" xr:uid="{00000000-0005-0000-0000-0000F4450000}"/>
    <cellStyle name="40% - Accent5 3 3 6" xfId="4512" xr:uid="{00000000-0005-0000-0000-0000F5450000}"/>
    <cellStyle name="40% - Accent5 3 3 6 2" xfId="13745" xr:uid="{00000000-0005-0000-0000-0000F6450000}"/>
    <cellStyle name="40% - Accent5 3 3 6 2 2" xfId="27294" xr:uid="{00000000-0005-0000-0000-0000F7450000}"/>
    <cellStyle name="40% - Accent5 3 3 6 3" xfId="24239" xr:uid="{00000000-0005-0000-0000-0000F8450000}"/>
    <cellStyle name="40% - Accent5 3 3 7" xfId="4513" xr:uid="{00000000-0005-0000-0000-0000F9450000}"/>
    <cellStyle name="40% - Accent5 3 3 7 2" xfId="14326" xr:uid="{00000000-0005-0000-0000-0000FA450000}"/>
    <cellStyle name="40% - Accent5 3 3 7 2 2" xfId="27875" xr:uid="{00000000-0005-0000-0000-0000FB450000}"/>
    <cellStyle name="40% - Accent5 3 3 7 3" xfId="25262" xr:uid="{00000000-0005-0000-0000-0000FC450000}"/>
    <cellStyle name="40% - Accent5 3 3 8" xfId="4514" xr:uid="{00000000-0005-0000-0000-0000FD450000}"/>
    <cellStyle name="40% - Accent5 3 3 8 2" xfId="15414" xr:uid="{00000000-0005-0000-0000-0000FE450000}"/>
    <cellStyle name="40% - Accent5 3 3 8 2 2" xfId="28963" xr:uid="{00000000-0005-0000-0000-0000FF450000}"/>
    <cellStyle name="40% - Accent5 3 3 8 3" xfId="22907" xr:uid="{00000000-0005-0000-0000-000000460000}"/>
    <cellStyle name="40% - Accent5 3 3 9" xfId="4515" xr:uid="{00000000-0005-0000-0000-000001460000}"/>
    <cellStyle name="40% - Accent5 3 3 9 2" xfId="16212" xr:uid="{00000000-0005-0000-0000-000002460000}"/>
    <cellStyle name="40% - Accent5 3 3 9 2 2" xfId="29619" xr:uid="{00000000-0005-0000-0000-000003460000}"/>
    <cellStyle name="40% - Accent5 3 3 9 3" xfId="22906" xr:uid="{00000000-0005-0000-0000-000004460000}"/>
    <cellStyle name="40% - Accent5 3 4" xfId="4516" xr:uid="{00000000-0005-0000-0000-000005460000}"/>
    <cellStyle name="40% - Accent5 3 4 2" xfId="4517" xr:uid="{00000000-0005-0000-0000-000006460000}"/>
    <cellStyle name="40% - Accent5 3 4 2 2" xfId="11187" xr:uid="{00000000-0005-0000-0000-000007460000}"/>
    <cellStyle name="40% - Accent5 3 4 2 2 2" xfId="25129" xr:uid="{00000000-0005-0000-0000-000008460000}"/>
    <cellStyle name="40% - Accent5 3 4 2 3" xfId="24236" xr:uid="{00000000-0005-0000-0000-000009460000}"/>
    <cellStyle name="40% - Accent5 3 4 3" xfId="4518" xr:uid="{00000000-0005-0000-0000-00000A460000}"/>
    <cellStyle name="40% - Accent5 3 4 3 2" xfId="12972" xr:uid="{00000000-0005-0000-0000-00000B460000}"/>
    <cellStyle name="40% - Accent5 3 4 3 2 2" xfId="26684" xr:uid="{00000000-0005-0000-0000-00000C460000}"/>
    <cellStyle name="40% - Accent5 3 4 3 3" xfId="22904" xr:uid="{00000000-0005-0000-0000-00000D460000}"/>
    <cellStyle name="40% - Accent5 3 4 4" xfId="4519" xr:uid="{00000000-0005-0000-0000-00000E460000}"/>
    <cellStyle name="40% - Accent5 3 4 4 2" xfId="15417" xr:uid="{00000000-0005-0000-0000-00000F460000}"/>
    <cellStyle name="40% - Accent5 3 4 4 2 2" xfId="28966" xr:uid="{00000000-0005-0000-0000-000010460000}"/>
    <cellStyle name="40% - Accent5 3 4 4 3" xfId="22903" xr:uid="{00000000-0005-0000-0000-000011460000}"/>
    <cellStyle name="40% - Accent5 3 4 5" xfId="4520" xr:uid="{00000000-0005-0000-0000-000012460000}"/>
    <cellStyle name="40% - Accent5 3 4 5 2" xfId="17140" xr:uid="{00000000-0005-0000-0000-000013460000}"/>
    <cellStyle name="40% - Accent5 3 4 5 2 2" xfId="30499" xr:uid="{00000000-0005-0000-0000-000014460000}"/>
    <cellStyle name="40% - Accent5 3 4 5 3" xfId="29138" xr:uid="{00000000-0005-0000-0000-000015460000}"/>
    <cellStyle name="40% - Accent5 3 4 6" xfId="9460" xr:uid="{00000000-0005-0000-0000-000016460000}"/>
    <cellStyle name="40% - Accent5 3 4 6 2" xfId="23935" xr:uid="{00000000-0005-0000-0000-000017460000}"/>
    <cellStyle name="40% - Accent5 3 4 7" xfId="22905" xr:uid="{00000000-0005-0000-0000-000018460000}"/>
    <cellStyle name="40% - Accent5 3 5" xfId="4521" xr:uid="{00000000-0005-0000-0000-000019460000}"/>
    <cellStyle name="40% - Accent5 3 5 2" xfId="4522" xr:uid="{00000000-0005-0000-0000-00001A460000}"/>
    <cellStyle name="40% - Accent5 3 5 2 2" xfId="11188" xr:uid="{00000000-0005-0000-0000-00001B460000}"/>
    <cellStyle name="40% - Accent5 3 5 2 2 2" xfId="25130" xr:uid="{00000000-0005-0000-0000-00001C460000}"/>
    <cellStyle name="40% - Accent5 3 5 2 3" xfId="22901" xr:uid="{00000000-0005-0000-0000-00001D460000}"/>
    <cellStyle name="40% - Accent5 3 5 3" xfId="4523" xr:uid="{00000000-0005-0000-0000-00001E460000}"/>
    <cellStyle name="40% - Accent5 3 5 3 2" xfId="12973" xr:uid="{00000000-0005-0000-0000-00001F460000}"/>
    <cellStyle name="40% - Accent5 3 5 3 2 2" xfId="26685" xr:uid="{00000000-0005-0000-0000-000020460000}"/>
    <cellStyle name="40% - Accent5 3 5 3 3" xfId="26832" xr:uid="{00000000-0005-0000-0000-000021460000}"/>
    <cellStyle name="40% - Accent5 3 5 4" xfId="4524" xr:uid="{00000000-0005-0000-0000-000022460000}"/>
    <cellStyle name="40% - Accent5 3 5 4 2" xfId="15418" xr:uid="{00000000-0005-0000-0000-000023460000}"/>
    <cellStyle name="40% - Accent5 3 5 4 2 2" xfId="28967" xr:uid="{00000000-0005-0000-0000-000024460000}"/>
    <cellStyle name="40% - Accent5 3 5 4 3" xfId="22900" xr:uid="{00000000-0005-0000-0000-000025460000}"/>
    <cellStyle name="40% - Accent5 3 5 5" xfId="4525" xr:uid="{00000000-0005-0000-0000-000026460000}"/>
    <cellStyle name="40% - Accent5 3 5 5 2" xfId="17229" xr:uid="{00000000-0005-0000-0000-000027460000}"/>
    <cellStyle name="40% - Accent5 3 5 5 2 2" xfId="30588" xr:uid="{00000000-0005-0000-0000-000028460000}"/>
    <cellStyle name="40% - Accent5 3 5 5 3" xfId="22899" xr:uid="{00000000-0005-0000-0000-000029460000}"/>
    <cellStyle name="40% - Accent5 3 5 6" xfId="9461" xr:uid="{00000000-0005-0000-0000-00002A460000}"/>
    <cellStyle name="40% - Accent5 3 5 6 2" xfId="23936" xr:uid="{00000000-0005-0000-0000-00002B460000}"/>
    <cellStyle name="40% - Accent5 3 5 7" xfId="22902" xr:uid="{00000000-0005-0000-0000-00002C460000}"/>
    <cellStyle name="40% - Accent5 3 6" xfId="4526" xr:uid="{00000000-0005-0000-0000-00002D460000}"/>
    <cellStyle name="40% - Accent5 3 6 2" xfId="4527" xr:uid="{00000000-0005-0000-0000-00002E460000}"/>
    <cellStyle name="40% - Accent5 3 6 2 2" xfId="15419" xr:uid="{00000000-0005-0000-0000-00002F460000}"/>
    <cellStyle name="40% - Accent5 3 6 2 2 2" xfId="28968" xr:uid="{00000000-0005-0000-0000-000030460000}"/>
    <cellStyle name="40% - Accent5 3 6 2 3" xfId="22898" xr:uid="{00000000-0005-0000-0000-000031460000}"/>
    <cellStyle name="40% - Accent5 3 6 3" xfId="4528" xr:uid="{00000000-0005-0000-0000-000032460000}"/>
    <cellStyle name="40% - Accent5 3 6 3 2" xfId="16504" xr:uid="{00000000-0005-0000-0000-000033460000}"/>
    <cellStyle name="40% - Accent5 3 6 3 2 2" xfId="29911" xr:uid="{00000000-0005-0000-0000-000034460000}"/>
    <cellStyle name="40% - Accent5 3 6 3 3" xfId="25260" xr:uid="{00000000-0005-0000-0000-000035460000}"/>
    <cellStyle name="40% - Accent5 3 6 4" xfId="11180" xr:uid="{00000000-0005-0000-0000-000036460000}"/>
    <cellStyle name="40% - Accent5 3 6 4 2" xfId="25122" xr:uid="{00000000-0005-0000-0000-000037460000}"/>
    <cellStyle name="40% - Accent5 3 6 5" xfId="24237" xr:uid="{00000000-0005-0000-0000-000038460000}"/>
    <cellStyle name="40% - Accent5 3 7" xfId="4529" xr:uid="{00000000-0005-0000-0000-000039460000}"/>
    <cellStyle name="40% - Accent5 3 7 2" xfId="11876" xr:uid="{00000000-0005-0000-0000-00003A460000}"/>
    <cellStyle name="40% - Accent5 3 7 2 2" xfId="25591" xr:uid="{00000000-0005-0000-0000-00003B460000}"/>
    <cellStyle name="40% - Accent5 3 7 3" xfId="22897" xr:uid="{00000000-0005-0000-0000-00003C460000}"/>
    <cellStyle name="40% - Accent5 3 8" xfId="4530" xr:uid="{00000000-0005-0000-0000-00003D460000}"/>
    <cellStyle name="40% - Accent5 3 8 2" xfId="12965" xr:uid="{00000000-0005-0000-0000-00003E460000}"/>
    <cellStyle name="40% - Accent5 3 8 2 2" xfId="26677" xr:uid="{00000000-0005-0000-0000-00003F460000}"/>
    <cellStyle name="40% - Accent5 3 8 3" xfId="22896" xr:uid="{00000000-0005-0000-0000-000040460000}"/>
    <cellStyle name="40% - Accent5 3 9" xfId="4531" xr:uid="{00000000-0005-0000-0000-000041460000}"/>
    <cellStyle name="40% - Accent5 3 9 2" xfId="13456" xr:uid="{00000000-0005-0000-0000-000042460000}"/>
    <cellStyle name="40% - Accent5 3 9 2 2" xfId="27005" xr:uid="{00000000-0005-0000-0000-000043460000}"/>
    <cellStyle name="40% - Accent5 3 9 3" xfId="22895" xr:uid="{00000000-0005-0000-0000-000044460000}"/>
    <cellStyle name="40% - Accent5 30" xfId="23249" xr:uid="{00000000-0005-0000-0000-000045460000}"/>
    <cellStyle name="40% - Accent5 4" xfId="4532" xr:uid="{00000000-0005-0000-0000-000046460000}"/>
    <cellStyle name="40% - Accent5 4 10" xfId="4533" xr:uid="{00000000-0005-0000-0000-000047460000}"/>
    <cellStyle name="40% - Accent5 4 10 2" xfId="15420" xr:uid="{00000000-0005-0000-0000-000048460000}"/>
    <cellStyle name="40% - Accent5 4 10 2 2" xfId="28969" xr:uid="{00000000-0005-0000-0000-000049460000}"/>
    <cellStyle name="40% - Accent5 4 10 3" xfId="22894" xr:uid="{00000000-0005-0000-0000-00004A460000}"/>
    <cellStyle name="40% - Accent5 4 11" xfId="4534" xr:uid="{00000000-0005-0000-0000-00004B460000}"/>
    <cellStyle name="40% - Accent5 4 11 2" xfId="15878" xr:uid="{00000000-0005-0000-0000-00004C460000}"/>
    <cellStyle name="40% - Accent5 4 11 2 2" xfId="29285" xr:uid="{00000000-0005-0000-0000-00004D460000}"/>
    <cellStyle name="40% - Accent5 4 11 3" xfId="22893" xr:uid="{00000000-0005-0000-0000-00004E460000}"/>
    <cellStyle name="40% - Accent5 4 12" xfId="9462" xr:uid="{00000000-0005-0000-0000-00004F460000}"/>
    <cellStyle name="40% - Accent5 4 12 2" xfId="23937" xr:uid="{00000000-0005-0000-0000-000050460000}"/>
    <cellStyle name="40% - Accent5 4 13" xfId="24232" xr:uid="{00000000-0005-0000-0000-000051460000}"/>
    <cellStyle name="40% - Accent5 4 2" xfId="4535" xr:uid="{00000000-0005-0000-0000-000052460000}"/>
    <cellStyle name="40% - Accent5 4 2 10" xfId="4536" xr:uid="{00000000-0005-0000-0000-000053460000}"/>
    <cellStyle name="40% - Accent5 4 2 10 2" xfId="16021" xr:uid="{00000000-0005-0000-0000-000054460000}"/>
    <cellStyle name="40% - Accent5 4 2 10 2 2" xfId="29428" xr:uid="{00000000-0005-0000-0000-000055460000}"/>
    <cellStyle name="40% - Accent5 4 2 10 3" xfId="22892" xr:uid="{00000000-0005-0000-0000-000056460000}"/>
    <cellStyle name="40% - Accent5 4 2 11" xfId="9463" xr:uid="{00000000-0005-0000-0000-000057460000}"/>
    <cellStyle name="40% - Accent5 4 2 11 2" xfId="23938" xr:uid="{00000000-0005-0000-0000-000058460000}"/>
    <cellStyle name="40% - Accent5 4 2 12" xfId="29137" xr:uid="{00000000-0005-0000-0000-000059460000}"/>
    <cellStyle name="40% - Accent5 4 2 2" xfId="4537" xr:uid="{00000000-0005-0000-0000-00005A460000}"/>
    <cellStyle name="40% - Accent5 4 2 2 10" xfId="9464" xr:uid="{00000000-0005-0000-0000-00005B460000}"/>
    <cellStyle name="40% - Accent5 4 2 2 10 2" xfId="23939" xr:uid="{00000000-0005-0000-0000-00005C460000}"/>
    <cellStyle name="40% - Accent5 4 2 2 11" xfId="22891" xr:uid="{00000000-0005-0000-0000-00005D460000}"/>
    <cellStyle name="40% - Accent5 4 2 2 2" xfId="4538" xr:uid="{00000000-0005-0000-0000-00005E460000}"/>
    <cellStyle name="40% - Accent5 4 2 2 2 2" xfId="4539" xr:uid="{00000000-0005-0000-0000-00005F460000}"/>
    <cellStyle name="40% - Accent5 4 2 2 2 2 2" xfId="11192" xr:uid="{00000000-0005-0000-0000-000060460000}"/>
    <cellStyle name="40% - Accent5 4 2 2 2 2 2 2" xfId="25134" xr:uid="{00000000-0005-0000-0000-000061460000}"/>
    <cellStyle name="40% - Accent5 4 2 2 2 2 3" xfId="22890" xr:uid="{00000000-0005-0000-0000-000062460000}"/>
    <cellStyle name="40% - Accent5 4 2 2 2 3" xfId="4540" xr:uid="{00000000-0005-0000-0000-000063460000}"/>
    <cellStyle name="40% - Accent5 4 2 2 2 3 2" xfId="12977" xr:uid="{00000000-0005-0000-0000-000064460000}"/>
    <cellStyle name="40% - Accent5 4 2 2 2 3 2 2" xfId="26689" xr:uid="{00000000-0005-0000-0000-000065460000}"/>
    <cellStyle name="40% - Accent5 4 2 2 2 3 3" xfId="22889" xr:uid="{00000000-0005-0000-0000-000066460000}"/>
    <cellStyle name="40% - Accent5 4 2 2 2 4" xfId="4541" xr:uid="{00000000-0005-0000-0000-000067460000}"/>
    <cellStyle name="40% - Accent5 4 2 2 2 4 2" xfId="15423" xr:uid="{00000000-0005-0000-0000-000068460000}"/>
    <cellStyle name="40% - Accent5 4 2 2 2 4 2 2" xfId="28972" xr:uid="{00000000-0005-0000-0000-000069460000}"/>
    <cellStyle name="40% - Accent5 4 2 2 2 4 3" xfId="24235" xr:uid="{00000000-0005-0000-0000-00006A460000}"/>
    <cellStyle name="40% - Accent5 4 2 2 2 5" xfId="4542" xr:uid="{00000000-0005-0000-0000-00006B460000}"/>
    <cellStyle name="40% - Accent5 4 2 2 2 5 2" xfId="16891" xr:uid="{00000000-0005-0000-0000-00006C460000}"/>
    <cellStyle name="40% - Accent5 4 2 2 2 5 2 2" xfId="30298" xr:uid="{00000000-0005-0000-0000-00006D460000}"/>
    <cellStyle name="40% - Accent5 4 2 2 2 5 3" xfId="22888" xr:uid="{00000000-0005-0000-0000-00006E460000}"/>
    <cellStyle name="40% - Accent5 4 2 2 2 6" xfId="9465" xr:uid="{00000000-0005-0000-0000-00006F460000}"/>
    <cellStyle name="40% - Accent5 4 2 2 2 6 2" xfId="23940" xr:uid="{00000000-0005-0000-0000-000070460000}"/>
    <cellStyle name="40% - Accent5 4 2 2 2 7" xfId="26831" xr:uid="{00000000-0005-0000-0000-000071460000}"/>
    <cellStyle name="40% - Accent5 4 2 2 3" xfId="4543" xr:uid="{00000000-0005-0000-0000-000072460000}"/>
    <cellStyle name="40% - Accent5 4 2 2 3 2" xfId="4544" xr:uid="{00000000-0005-0000-0000-000073460000}"/>
    <cellStyle name="40% - Accent5 4 2 2 3 2 2" xfId="15424" xr:uid="{00000000-0005-0000-0000-000074460000}"/>
    <cellStyle name="40% - Accent5 4 2 2 3 2 2 2" xfId="28973" xr:uid="{00000000-0005-0000-0000-000075460000}"/>
    <cellStyle name="40% - Accent5 4 2 2 3 2 3" xfId="22887" xr:uid="{00000000-0005-0000-0000-000076460000}"/>
    <cellStyle name="40% - Accent5 4 2 2 3 3" xfId="11191" xr:uid="{00000000-0005-0000-0000-000077460000}"/>
    <cellStyle name="40% - Accent5 4 2 2 3 3 2" xfId="25133" xr:uid="{00000000-0005-0000-0000-000078460000}"/>
    <cellStyle name="40% - Accent5 4 2 2 3 4" xfId="25259" xr:uid="{00000000-0005-0000-0000-000079460000}"/>
    <cellStyle name="40% - Accent5 4 2 2 4" xfId="4545" xr:uid="{00000000-0005-0000-0000-00007A460000}"/>
    <cellStyle name="40% - Accent5 4 2 2 4 2" xfId="12279" xr:uid="{00000000-0005-0000-0000-00007B460000}"/>
    <cellStyle name="40% - Accent5 4 2 2 4 2 2" xfId="25991" xr:uid="{00000000-0005-0000-0000-00007C460000}"/>
    <cellStyle name="40% - Accent5 4 2 2 4 3" xfId="22886" xr:uid="{00000000-0005-0000-0000-00007D460000}"/>
    <cellStyle name="40% - Accent5 4 2 2 5" xfId="4546" xr:uid="{00000000-0005-0000-0000-00007E460000}"/>
    <cellStyle name="40% - Accent5 4 2 2 5 2" xfId="12976" xr:uid="{00000000-0005-0000-0000-00007F460000}"/>
    <cellStyle name="40% - Accent5 4 2 2 5 2 2" xfId="26688" xr:uid="{00000000-0005-0000-0000-000080460000}"/>
    <cellStyle name="40% - Accent5 4 2 2 5 3" xfId="24233" xr:uid="{00000000-0005-0000-0000-000081460000}"/>
    <cellStyle name="40% - Accent5 4 2 2 6" xfId="4547" xr:uid="{00000000-0005-0000-0000-000082460000}"/>
    <cellStyle name="40% - Accent5 4 2 2 6 2" xfId="13843" xr:uid="{00000000-0005-0000-0000-000083460000}"/>
    <cellStyle name="40% - Accent5 4 2 2 6 2 2" xfId="27392" xr:uid="{00000000-0005-0000-0000-000084460000}"/>
    <cellStyle name="40% - Accent5 4 2 2 6 3" xfId="22885" xr:uid="{00000000-0005-0000-0000-000085460000}"/>
    <cellStyle name="40% - Accent5 4 2 2 7" xfId="4548" xr:uid="{00000000-0005-0000-0000-000086460000}"/>
    <cellStyle name="40% - Accent5 4 2 2 7 2" xfId="14424" xr:uid="{00000000-0005-0000-0000-000087460000}"/>
    <cellStyle name="40% - Accent5 4 2 2 7 2 2" xfId="27973" xr:uid="{00000000-0005-0000-0000-000088460000}"/>
    <cellStyle name="40% - Accent5 4 2 2 7 3" xfId="22884" xr:uid="{00000000-0005-0000-0000-000089460000}"/>
    <cellStyle name="40% - Accent5 4 2 2 8" xfId="4549" xr:uid="{00000000-0005-0000-0000-00008A460000}"/>
    <cellStyle name="40% - Accent5 4 2 2 8 2" xfId="15422" xr:uid="{00000000-0005-0000-0000-00008B460000}"/>
    <cellStyle name="40% - Accent5 4 2 2 8 2 2" xfId="28971" xr:uid="{00000000-0005-0000-0000-00008C460000}"/>
    <cellStyle name="40% - Accent5 4 2 2 8 3" xfId="29136" xr:uid="{00000000-0005-0000-0000-00008D460000}"/>
    <cellStyle name="40% - Accent5 4 2 2 9" xfId="4550" xr:uid="{00000000-0005-0000-0000-00008E460000}"/>
    <cellStyle name="40% - Accent5 4 2 2 9 2" xfId="16310" xr:uid="{00000000-0005-0000-0000-00008F460000}"/>
    <cellStyle name="40% - Accent5 4 2 2 9 2 2" xfId="29717" xr:uid="{00000000-0005-0000-0000-000090460000}"/>
    <cellStyle name="40% - Accent5 4 2 2 9 3" xfId="22883" xr:uid="{00000000-0005-0000-0000-000091460000}"/>
    <cellStyle name="40% - Accent5 4 2 3" xfId="4551" xr:uid="{00000000-0005-0000-0000-000092460000}"/>
    <cellStyle name="40% - Accent5 4 2 3 2" xfId="4552" xr:uid="{00000000-0005-0000-0000-000093460000}"/>
    <cellStyle name="40% - Accent5 4 2 3 2 2" xfId="11193" xr:uid="{00000000-0005-0000-0000-000094460000}"/>
    <cellStyle name="40% - Accent5 4 2 3 2 2 2" xfId="25135" xr:uid="{00000000-0005-0000-0000-000095460000}"/>
    <cellStyle name="40% - Accent5 4 2 3 2 3" xfId="26830" xr:uid="{00000000-0005-0000-0000-000096460000}"/>
    <cellStyle name="40% - Accent5 4 2 3 3" xfId="4553" xr:uid="{00000000-0005-0000-0000-000097460000}"/>
    <cellStyle name="40% - Accent5 4 2 3 3 2" xfId="12978" xr:uid="{00000000-0005-0000-0000-000098460000}"/>
    <cellStyle name="40% - Accent5 4 2 3 3 2 2" xfId="26690" xr:uid="{00000000-0005-0000-0000-000099460000}"/>
    <cellStyle name="40% - Accent5 4 2 3 3 3" xfId="22881" xr:uid="{00000000-0005-0000-0000-00009A460000}"/>
    <cellStyle name="40% - Accent5 4 2 3 4" xfId="4554" xr:uid="{00000000-0005-0000-0000-00009B460000}"/>
    <cellStyle name="40% - Accent5 4 2 3 4 2" xfId="15425" xr:uid="{00000000-0005-0000-0000-00009C460000}"/>
    <cellStyle name="40% - Accent5 4 2 3 4 2 2" xfId="28974" xr:uid="{00000000-0005-0000-0000-00009D460000}"/>
    <cellStyle name="40% - Accent5 4 2 3 4 3" xfId="22880" xr:uid="{00000000-0005-0000-0000-00009E460000}"/>
    <cellStyle name="40% - Accent5 4 2 3 5" xfId="4555" xr:uid="{00000000-0005-0000-0000-00009F460000}"/>
    <cellStyle name="40% - Accent5 4 2 3 5 2" xfId="16602" xr:uid="{00000000-0005-0000-0000-0000A0460000}"/>
    <cellStyle name="40% - Accent5 4 2 3 5 2 2" xfId="30009" xr:uid="{00000000-0005-0000-0000-0000A1460000}"/>
    <cellStyle name="40% - Accent5 4 2 3 5 3" xfId="24234" xr:uid="{00000000-0005-0000-0000-0000A2460000}"/>
    <cellStyle name="40% - Accent5 4 2 3 6" xfId="9466" xr:uid="{00000000-0005-0000-0000-0000A3460000}"/>
    <cellStyle name="40% - Accent5 4 2 3 6 2" xfId="23941" xr:uid="{00000000-0005-0000-0000-0000A4460000}"/>
    <cellStyle name="40% - Accent5 4 2 3 7" xfId="22882" xr:uid="{00000000-0005-0000-0000-0000A5460000}"/>
    <cellStyle name="40% - Accent5 4 2 4" xfId="4556" xr:uid="{00000000-0005-0000-0000-0000A6460000}"/>
    <cellStyle name="40% - Accent5 4 2 4 2" xfId="4557" xr:uid="{00000000-0005-0000-0000-0000A7460000}"/>
    <cellStyle name="40% - Accent5 4 2 4 2 2" xfId="15426" xr:uid="{00000000-0005-0000-0000-0000A8460000}"/>
    <cellStyle name="40% - Accent5 4 2 4 2 2 2" xfId="28975" xr:uid="{00000000-0005-0000-0000-0000A9460000}"/>
    <cellStyle name="40% - Accent5 4 2 4 2 3" xfId="25258" xr:uid="{00000000-0005-0000-0000-0000AA460000}"/>
    <cellStyle name="40% - Accent5 4 2 4 3" xfId="11190" xr:uid="{00000000-0005-0000-0000-0000AB460000}"/>
    <cellStyle name="40% - Accent5 4 2 4 3 2" xfId="25132" xr:uid="{00000000-0005-0000-0000-0000AC460000}"/>
    <cellStyle name="40% - Accent5 4 2 4 4" xfId="22879" xr:uid="{00000000-0005-0000-0000-0000AD460000}"/>
    <cellStyle name="40% - Accent5 4 2 5" xfId="4558" xr:uid="{00000000-0005-0000-0000-0000AE460000}"/>
    <cellStyle name="40% - Accent5 4 2 5 2" xfId="11979" xr:uid="{00000000-0005-0000-0000-0000AF460000}"/>
    <cellStyle name="40% - Accent5 4 2 5 2 2" xfId="25694" xr:uid="{00000000-0005-0000-0000-0000B0460000}"/>
    <cellStyle name="40% - Accent5 4 2 5 3" xfId="22878" xr:uid="{00000000-0005-0000-0000-0000B1460000}"/>
    <cellStyle name="40% - Accent5 4 2 6" xfId="4559" xr:uid="{00000000-0005-0000-0000-0000B2460000}"/>
    <cellStyle name="40% - Accent5 4 2 6 2" xfId="12975" xr:uid="{00000000-0005-0000-0000-0000B3460000}"/>
    <cellStyle name="40% - Accent5 4 2 6 2 2" xfId="26687" xr:uid="{00000000-0005-0000-0000-0000B4460000}"/>
    <cellStyle name="40% - Accent5 4 2 6 3" xfId="22877" xr:uid="{00000000-0005-0000-0000-0000B5460000}"/>
    <cellStyle name="40% - Accent5 4 2 7" xfId="4560" xr:uid="{00000000-0005-0000-0000-0000B6460000}"/>
    <cellStyle name="40% - Accent5 4 2 7 2" xfId="13554" xr:uid="{00000000-0005-0000-0000-0000B7460000}"/>
    <cellStyle name="40% - Accent5 4 2 7 2 2" xfId="27103" xr:uid="{00000000-0005-0000-0000-0000B8460000}"/>
    <cellStyle name="40% - Accent5 4 2 7 3" xfId="22876" xr:uid="{00000000-0005-0000-0000-0000B9460000}"/>
    <cellStyle name="40% - Accent5 4 2 8" xfId="4561" xr:uid="{00000000-0005-0000-0000-0000BA460000}"/>
    <cellStyle name="40% - Accent5 4 2 8 2" xfId="14135" xr:uid="{00000000-0005-0000-0000-0000BB460000}"/>
    <cellStyle name="40% - Accent5 4 2 8 2 2" xfId="27684" xr:uid="{00000000-0005-0000-0000-0000BC460000}"/>
    <cellStyle name="40% - Accent5 4 2 8 3" xfId="22875" xr:uid="{00000000-0005-0000-0000-0000BD460000}"/>
    <cellStyle name="40% - Accent5 4 2 9" xfId="4562" xr:uid="{00000000-0005-0000-0000-0000BE460000}"/>
    <cellStyle name="40% - Accent5 4 2 9 2" xfId="15421" xr:uid="{00000000-0005-0000-0000-0000BF460000}"/>
    <cellStyle name="40% - Accent5 4 2 9 2 2" xfId="28970" xr:uid="{00000000-0005-0000-0000-0000C0460000}"/>
    <cellStyle name="40% - Accent5 4 2 9 3" xfId="22874" xr:uid="{00000000-0005-0000-0000-0000C1460000}"/>
    <cellStyle name="40% - Accent5 4 3" xfId="4563" xr:uid="{00000000-0005-0000-0000-0000C2460000}"/>
    <cellStyle name="40% - Accent5 4 3 10" xfId="9467" xr:uid="{00000000-0005-0000-0000-0000C3460000}"/>
    <cellStyle name="40% - Accent5 4 3 10 2" xfId="23942" xr:uid="{00000000-0005-0000-0000-0000C4460000}"/>
    <cellStyle name="40% - Accent5 4 3 11" xfId="22873" xr:uid="{00000000-0005-0000-0000-0000C5460000}"/>
    <cellStyle name="40% - Accent5 4 3 2" xfId="4564" xr:uid="{00000000-0005-0000-0000-0000C6460000}"/>
    <cellStyle name="40% - Accent5 4 3 2 2" xfId="4565" xr:uid="{00000000-0005-0000-0000-0000C7460000}"/>
    <cellStyle name="40% - Accent5 4 3 2 2 2" xfId="11195" xr:uid="{00000000-0005-0000-0000-0000C8460000}"/>
    <cellStyle name="40% - Accent5 4 3 2 2 2 2" xfId="25137" xr:uid="{00000000-0005-0000-0000-0000C9460000}"/>
    <cellStyle name="40% - Accent5 4 3 2 2 3" xfId="22872" xr:uid="{00000000-0005-0000-0000-0000CA460000}"/>
    <cellStyle name="40% - Accent5 4 3 2 3" xfId="4566" xr:uid="{00000000-0005-0000-0000-0000CB460000}"/>
    <cellStyle name="40% - Accent5 4 3 2 3 2" xfId="12980" xr:uid="{00000000-0005-0000-0000-0000CC460000}"/>
    <cellStyle name="40% - Accent5 4 3 2 3 2 2" xfId="26692" xr:uid="{00000000-0005-0000-0000-0000CD460000}"/>
    <cellStyle name="40% - Accent5 4 3 2 3 3" xfId="22871" xr:uid="{00000000-0005-0000-0000-0000CE460000}"/>
    <cellStyle name="40% - Accent5 4 3 2 4" xfId="4567" xr:uid="{00000000-0005-0000-0000-0000CF460000}"/>
    <cellStyle name="40% - Accent5 4 3 2 4 2" xfId="15428" xr:uid="{00000000-0005-0000-0000-0000D0460000}"/>
    <cellStyle name="40% - Accent5 4 3 2 4 2 2" xfId="28977" xr:uid="{00000000-0005-0000-0000-0000D1460000}"/>
    <cellStyle name="40% - Accent5 4 3 2 4 3" xfId="22870" xr:uid="{00000000-0005-0000-0000-0000D2460000}"/>
    <cellStyle name="40% - Accent5 4 3 2 5" xfId="4568" xr:uid="{00000000-0005-0000-0000-0000D3460000}"/>
    <cellStyle name="40% - Accent5 4 3 2 5 2" xfId="16751" xr:uid="{00000000-0005-0000-0000-0000D4460000}"/>
    <cellStyle name="40% - Accent5 4 3 2 5 2 2" xfId="30158" xr:uid="{00000000-0005-0000-0000-0000D5460000}"/>
    <cellStyle name="40% - Accent5 4 3 2 5 3" xfId="26829" xr:uid="{00000000-0005-0000-0000-0000D6460000}"/>
    <cellStyle name="40% - Accent5 4 3 2 6" xfId="9468" xr:uid="{00000000-0005-0000-0000-0000D7460000}"/>
    <cellStyle name="40% - Accent5 4 3 2 6 2" xfId="23943" xr:uid="{00000000-0005-0000-0000-0000D8460000}"/>
    <cellStyle name="40% - Accent5 4 3 2 7" xfId="29135" xr:uid="{00000000-0005-0000-0000-0000D9460000}"/>
    <cellStyle name="40% - Accent5 4 3 3" xfId="4569" xr:uid="{00000000-0005-0000-0000-0000DA460000}"/>
    <cellStyle name="40% - Accent5 4 3 3 2" xfId="4570" xr:uid="{00000000-0005-0000-0000-0000DB460000}"/>
    <cellStyle name="40% - Accent5 4 3 3 2 2" xfId="15429" xr:uid="{00000000-0005-0000-0000-0000DC460000}"/>
    <cellStyle name="40% - Accent5 4 3 3 2 2 2" xfId="28978" xr:uid="{00000000-0005-0000-0000-0000DD460000}"/>
    <cellStyle name="40% - Accent5 4 3 3 2 3" xfId="22868" xr:uid="{00000000-0005-0000-0000-0000DE460000}"/>
    <cellStyle name="40% - Accent5 4 3 3 3" xfId="11194" xr:uid="{00000000-0005-0000-0000-0000DF460000}"/>
    <cellStyle name="40% - Accent5 4 3 3 3 2" xfId="25136" xr:uid="{00000000-0005-0000-0000-0000E0460000}"/>
    <cellStyle name="40% - Accent5 4 3 3 4" xfId="22869" xr:uid="{00000000-0005-0000-0000-0000E1460000}"/>
    <cellStyle name="40% - Accent5 4 3 4" xfId="4571" xr:uid="{00000000-0005-0000-0000-0000E2460000}"/>
    <cellStyle name="40% - Accent5 4 3 4 2" xfId="12139" xr:uid="{00000000-0005-0000-0000-0000E3460000}"/>
    <cellStyle name="40% - Accent5 4 3 4 2 2" xfId="25851" xr:uid="{00000000-0005-0000-0000-0000E4460000}"/>
    <cellStyle name="40% - Accent5 4 3 4 3" xfId="24231" xr:uid="{00000000-0005-0000-0000-0000E5460000}"/>
    <cellStyle name="40% - Accent5 4 3 5" xfId="4572" xr:uid="{00000000-0005-0000-0000-0000E6460000}"/>
    <cellStyle name="40% - Accent5 4 3 5 2" xfId="12979" xr:uid="{00000000-0005-0000-0000-0000E7460000}"/>
    <cellStyle name="40% - Accent5 4 3 5 2 2" xfId="26691" xr:uid="{00000000-0005-0000-0000-0000E8460000}"/>
    <cellStyle name="40% - Accent5 4 3 5 3" xfId="22867" xr:uid="{00000000-0005-0000-0000-0000E9460000}"/>
    <cellStyle name="40% - Accent5 4 3 6" xfId="4573" xr:uid="{00000000-0005-0000-0000-0000EA460000}"/>
    <cellStyle name="40% - Accent5 4 3 6 2" xfId="13703" xr:uid="{00000000-0005-0000-0000-0000EB460000}"/>
    <cellStyle name="40% - Accent5 4 3 6 2 2" xfId="27252" xr:uid="{00000000-0005-0000-0000-0000EC460000}"/>
    <cellStyle name="40% - Accent5 4 3 6 3" xfId="25257" xr:uid="{00000000-0005-0000-0000-0000ED460000}"/>
    <cellStyle name="40% - Accent5 4 3 7" xfId="4574" xr:uid="{00000000-0005-0000-0000-0000EE460000}"/>
    <cellStyle name="40% - Accent5 4 3 7 2" xfId="14284" xr:uid="{00000000-0005-0000-0000-0000EF460000}"/>
    <cellStyle name="40% - Accent5 4 3 7 2 2" xfId="27833" xr:uid="{00000000-0005-0000-0000-0000F0460000}"/>
    <cellStyle name="40% - Accent5 4 3 7 3" xfId="22866" xr:uid="{00000000-0005-0000-0000-0000F1460000}"/>
    <cellStyle name="40% - Accent5 4 3 8" xfId="4575" xr:uid="{00000000-0005-0000-0000-0000F2460000}"/>
    <cellStyle name="40% - Accent5 4 3 8 2" xfId="15427" xr:uid="{00000000-0005-0000-0000-0000F3460000}"/>
    <cellStyle name="40% - Accent5 4 3 8 2 2" xfId="28976" xr:uid="{00000000-0005-0000-0000-0000F4460000}"/>
    <cellStyle name="40% - Accent5 4 3 8 3" xfId="22865" xr:uid="{00000000-0005-0000-0000-0000F5460000}"/>
    <cellStyle name="40% - Accent5 4 3 9" xfId="4576" xr:uid="{00000000-0005-0000-0000-0000F6460000}"/>
    <cellStyle name="40% - Accent5 4 3 9 2" xfId="16170" xr:uid="{00000000-0005-0000-0000-0000F7460000}"/>
    <cellStyle name="40% - Accent5 4 3 9 2 2" xfId="29577" xr:uid="{00000000-0005-0000-0000-0000F8460000}"/>
    <cellStyle name="40% - Accent5 4 3 9 3" xfId="24230" xr:uid="{00000000-0005-0000-0000-0000F9460000}"/>
    <cellStyle name="40% - Accent5 4 4" xfId="4577" xr:uid="{00000000-0005-0000-0000-0000FA460000}"/>
    <cellStyle name="40% - Accent5 4 4 2" xfId="4578" xr:uid="{00000000-0005-0000-0000-0000FB460000}"/>
    <cellStyle name="40% - Accent5 4 4 2 2" xfId="11196" xr:uid="{00000000-0005-0000-0000-0000FC460000}"/>
    <cellStyle name="40% - Accent5 4 4 2 2 2" xfId="25138" xr:uid="{00000000-0005-0000-0000-0000FD460000}"/>
    <cellStyle name="40% - Accent5 4 4 2 3" xfId="22863" xr:uid="{00000000-0005-0000-0000-0000FE460000}"/>
    <cellStyle name="40% - Accent5 4 4 3" xfId="4579" xr:uid="{00000000-0005-0000-0000-0000FF460000}"/>
    <cellStyle name="40% - Accent5 4 4 3 2" xfId="12981" xr:uid="{00000000-0005-0000-0000-000000470000}"/>
    <cellStyle name="40% - Accent5 4 4 3 2 2" xfId="26693" xr:uid="{00000000-0005-0000-0000-000001470000}"/>
    <cellStyle name="40% - Accent5 4 4 3 3" xfId="24228" xr:uid="{00000000-0005-0000-0000-000002470000}"/>
    <cellStyle name="40% - Accent5 4 4 4" xfId="4580" xr:uid="{00000000-0005-0000-0000-000003470000}"/>
    <cellStyle name="40% - Accent5 4 4 4 2" xfId="15430" xr:uid="{00000000-0005-0000-0000-000004470000}"/>
    <cellStyle name="40% - Accent5 4 4 4 2 2" xfId="28979" xr:uid="{00000000-0005-0000-0000-000005470000}"/>
    <cellStyle name="40% - Accent5 4 4 4 3" xfId="22862" xr:uid="{00000000-0005-0000-0000-000006470000}"/>
    <cellStyle name="40% - Accent5 4 4 5" xfId="4581" xr:uid="{00000000-0005-0000-0000-000007470000}"/>
    <cellStyle name="40% - Accent5 4 4 5 2" xfId="16459" xr:uid="{00000000-0005-0000-0000-000008470000}"/>
    <cellStyle name="40% - Accent5 4 4 5 2 2" xfId="29866" xr:uid="{00000000-0005-0000-0000-000009470000}"/>
    <cellStyle name="40% - Accent5 4 4 5 3" xfId="22861" xr:uid="{00000000-0005-0000-0000-00000A470000}"/>
    <cellStyle name="40% - Accent5 4 4 6" xfId="9469" xr:uid="{00000000-0005-0000-0000-00000B470000}"/>
    <cellStyle name="40% - Accent5 4 4 6 2" xfId="23944" xr:uid="{00000000-0005-0000-0000-00000C470000}"/>
    <cellStyle name="40% - Accent5 4 4 7" xfId="22864" xr:uid="{00000000-0005-0000-0000-00000D470000}"/>
    <cellStyle name="40% - Accent5 4 5" xfId="4582" xr:uid="{00000000-0005-0000-0000-00000E470000}"/>
    <cellStyle name="40% - Accent5 4 5 2" xfId="4583" xr:uid="{00000000-0005-0000-0000-00000F470000}"/>
    <cellStyle name="40% - Accent5 4 5 2 2" xfId="15431" xr:uid="{00000000-0005-0000-0000-000010470000}"/>
    <cellStyle name="40% - Accent5 4 5 2 2 2" xfId="28980" xr:uid="{00000000-0005-0000-0000-000011470000}"/>
    <cellStyle name="40% - Accent5 4 5 2 3" xfId="22860" xr:uid="{00000000-0005-0000-0000-000012470000}"/>
    <cellStyle name="40% - Accent5 4 5 3" xfId="11189" xr:uid="{00000000-0005-0000-0000-000013470000}"/>
    <cellStyle name="40% - Accent5 4 5 3 2" xfId="25131" xr:uid="{00000000-0005-0000-0000-000014470000}"/>
    <cellStyle name="40% - Accent5 4 5 4" xfId="29134" xr:uid="{00000000-0005-0000-0000-000015470000}"/>
    <cellStyle name="40% - Accent5 4 6" xfId="4584" xr:uid="{00000000-0005-0000-0000-000016470000}"/>
    <cellStyle name="40% - Accent5 4 6 2" xfId="11810" xr:uid="{00000000-0005-0000-0000-000017470000}"/>
    <cellStyle name="40% - Accent5 4 6 2 2" xfId="25525" xr:uid="{00000000-0005-0000-0000-000018470000}"/>
    <cellStyle name="40% - Accent5 4 6 3" xfId="22859" xr:uid="{00000000-0005-0000-0000-000019470000}"/>
    <cellStyle name="40% - Accent5 4 7" xfId="4585" xr:uid="{00000000-0005-0000-0000-00001A470000}"/>
    <cellStyle name="40% - Accent5 4 7 2" xfId="12974" xr:uid="{00000000-0005-0000-0000-00001B470000}"/>
    <cellStyle name="40% - Accent5 4 7 2 2" xfId="26686" xr:uid="{00000000-0005-0000-0000-00001C470000}"/>
    <cellStyle name="40% - Accent5 4 7 3" xfId="26828" xr:uid="{00000000-0005-0000-0000-00001D470000}"/>
    <cellStyle name="40% - Accent5 4 8" xfId="4586" xr:uid="{00000000-0005-0000-0000-00001E470000}"/>
    <cellStyle name="40% - Accent5 4 8 2" xfId="13411" xr:uid="{00000000-0005-0000-0000-00001F470000}"/>
    <cellStyle name="40% - Accent5 4 8 2 2" xfId="26960" xr:uid="{00000000-0005-0000-0000-000020470000}"/>
    <cellStyle name="40% - Accent5 4 8 3" xfId="22858" xr:uid="{00000000-0005-0000-0000-000021470000}"/>
    <cellStyle name="40% - Accent5 4 9" xfId="4587" xr:uid="{00000000-0005-0000-0000-000022470000}"/>
    <cellStyle name="40% - Accent5 4 9 2" xfId="13992" xr:uid="{00000000-0005-0000-0000-000023470000}"/>
    <cellStyle name="40% - Accent5 4 9 2 2" xfId="27541" xr:uid="{00000000-0005-0000-0000-000024470000}"/>
    <cellStyle name="40% - Accent5 4 9 3" xfId="22857" xr:uid="{00000000-0005-0000-0000-000025470000}"/>
    <cellStyle name="40% - Accent5 5" xfId="4588" xr:uid="{00000000-0005-0000-0000-000026470000}"/>
    <cellStyle name="40% - Accent5 5 10" xfId="4589" xr:uid="{00000000-0005-0000-0000-000027470000}"/>
    <cellStyle name="40% - Accent5 5 10 2" xfId="15432" xr:uid="{00000000-0005-0000-0000-000028470000}"/>
    <cellStyle name="40% - Accent5 5 10 2 2" xfId="28981" xr:uid="{00000000-0005-0000-0000-000029470000}"/>
    <cellStyle name="40% - Accent5 5 10 3" xfId="22856" xr:uid="{00000000-0005-0000-0000-00002A470000}"/>
    <cellStyle name="40% - Accent5 5 11" xfId="4590" xr:uid="{00000000-0005-0000-0000-00002B470000}"/>
    <cellStyle name="40% - Accent5 5 11 2" xfId="15861" xr:uid="{00000000-0005-0000-0000-00002C470000}"/>
    <cellStyle name="40% - Accent5 5 11 2 2" xfId="29268" xr:uid="{00000000-0005-0000-0000-00002D470000}"/>
    <cellStyle name="40% - Accent5 5 11 3" xfId="25256" xr:uid="{00000000-0005-0000-0000-00002E470000}"/>
    <cellStyle name="40% - Accent5 5 12" xfId="9470" xr:uid="{00000000-0005-0000-0000-00002F470000}"/>
    <cellStyle name="40% - Accent5 5 12 2" xfId="23945" xr:uid="{00000000-0005-0000-0000-000030470000}"/>
    <cellStyle name="40% - Accent5 5 13" xfId="24229" xr:uid="{00000000-0005-0000-0000-000031470000}"/>
    <cellStyle name="40% - Accent5 5 2" xfId="4591" xr:uid="{00000000-0005-0000-0000-000032470000}"/>
    <cellStyle name="40% - Accent5 5 2 10" xfId="4592" xr:uid="{00000000-0005-0000-0000-000033470000}"/>
    <cellStyle name="40% - Accent5 5 2 10 2" xfId="16004" xr:uid="{00000000-0005-0000-0000-000034470000}"/>
    <cellStyle name="40% - Accent5 5 2 10 2 2" xfId="29411" xr:uid="{00000000-0005-0000-0000-000035470000}"/>
    <cellStyle name="40% - Accent5 5 2 10 3" xfId="22854" xr:uid="{00000000-0005-0000-0000-000036470000}"/>
    <cellStyle name="40% - Accent5 5 2 11" xfId="9471" xr:uid="{00000000-0005-0000-0000-000037470000}"/>
    <cellStyle name="40% - Accent5 5 2 11 2" xfId="23946" xr:uid="{00000000-0005-0000-0000-000038470000}"/>
    <cellStyle name="40% - Accent5 5 2 12" xfId="22855" xr:uid="{00000000-0005-0000-0000-000039470000}"/>
    <cellStyle name="40% - Accent5 5 2 2" xfId="4593" xr:uid="{00000000-0005-0000-0000-00003A470000}"/>
    <cellStyle name="40% - Accent5 5 2 2 10" xfId="9472" xr:uid="{00000000-0005-0000-0000-00003B470000}"/>
    <cellStyle name="40% - Accent5 5 2 2 10 2" xfId="23947" xr:uid="{00000000-0005-0000-0000-00003C470000}"/>
    <cellStyle name="40% - Accent5 5 2 2 11" xfId="22853" xr:uid="{00000000-0005-0000-0000-00003D470000}"/>
    <cellStyle name="40% - Accent5 5 2 2 2" xfId="4594" xr:uid="{00000000-0005-0000-0000-00003E470000}"/>
    <cellStyle name="40% - Accent5 5 2 2 2 2" xfId="4595" xr:uid="{00000000-0005-0000-0000-00003F470000}"/>
    <cellStyle name="40% - Accent5 5 2 2 2 2 2" xfId="11200" xr:uid="{00000000-0005-0000-0000-000040470000}"/>
    <cellStyle name="40% - Accent5 5 2 2 2 2 2 2" xfId="25142" xr:uid="{00000000-0005-0000-0000-000041470000}"/>
    <cellStyle name="40% - Accent5 5 2 2 2 2 3" xfId="22852" xr:uid="{00000000-0005-0000-0000-000042470000}"/>
    <cellStyle name="40% - Accent5 5 2 2 2 3" xfId="4596" xr:uid="{00000000-0005-0000-0000-000043470000}"/>
    <cellStyle name="40% - Accent5 5 2 2 2 3 2" xfId="12985" xr:uid="{00000000-0005-0000-0000-000044470000}"/>
    <cellStyle name="40% - Accent5 5 2 2 2 3 2 2" xfId="26697" xr:uid="{00000000-0005-0000-0000-000045470000}"/>
    <cellStyle name="40% - Accent5 5 2 2 2 3 3" xfId="22851" xr:uid="{00000000-0005-0000-0000-000046470000}"/>
    <cellStyle name="40% - Accent5 5 2 2 2 4" xfId="4597" xr:uid="{00000000-0005-0000-0000-000047470000}"/>
    <cellStyle name="40% - Accent5 5 2 2 2 4 2" xfId="15435" xr:uid="{00000000-0005-0000-0000-000048470000}"/>
    <cellStyle name="40% - Accent5 5 2 2 2 4 2 2" xfId="28984" xr:uid="{00000000-0005-0000-0000-000049470000}"/>
    <cellStyle name="40% - Accent5 5 2 2 2 4 3" xfId="29133" xr:uid="{00000000-0005-0000-0000-00004A470000}"/>
    <cellStyle name="40% - Accent5 5 2 2 2 5" xfId="4598" xr:uid="{00000000-0005-0000-0000-00004B470000}"/>
    <cellStyle name="40% - Accent5 5 2 2 2 5 2" xfId="16874" xr:uid="{00000000-0005-0000-0000-00004C470000}"/>
    <cellStyle name="40% - Accent5 5 2 2 2 5 2 2" xfId="30281" xr:uid="{00000000-0005-0000-0000-00004D470000}"/>
    <cellStyle name="40% - Accent5 5 2 2 2 5 3" xfId="22850" xr:uid="{00000000-0005-0000-0000-00004E470000}"/>
    <cellStyle name="40% - Accent5 5 2 2 2 6" xfId="9473" xr:uid="{00000000-0005-0000-0000-00004F470000}"/>
    <cellStyle name="40% - Accent5 5 2 2 2 6 2" xfId="23948" xr:uid="{00000000-0005-0000-0000-000050470000}"/>
    <cellStyle name="40% - Accent5 5 2 2 2 7" xfId="24224" xr:uid="{00000000-0005-0000-0000-000051470000}"/>
    <cellStyle name="40% - Accent5 5 2 2 3" xfId="4599" xr:uid="{00000000-0005-0000-0000-000052470000}"/>
    <cellStyle name="40% - Accent5 5 2 2 3 2" xfId="4600" xr:uid="{00000000-0005-0000-0000-000053470000}"/>
    <cellStyle name="40% - Accent5 5 2 2 3 2 2" xfId="15436" xr:uid="{00000000-0005-0000-0000-000054470000}"/>
    <cellStyle name="40% - Accent5 5 2 2 3 2 2 2" xfId="28985" xr:uid="{00000000-0005-0000-0000-000055470000}"/>
    <cellStyle name="40% - Accent5 5 2 2 3 2 3" xfId="26827" xr:uid="{00000000-0005-0000-0000-000056470000}"/>
    <cellStyle name="40% - Accent5 5 2 2 3 3" xfId="11199" xr:uid="{00000000-0005-0000-0000-000057470000}"/>
    <cellStyle name="40% - Accent5 5 2 2 3 3 2" xfId="25141" xr:uid="{00000000-0005-0000-0000-000058470000}"/>
    <cellStyle name="40% - Accent5 5 2 2 3 4" xfId="22849" xr:uid="{00000000-0005-0000-0000-000059470000}"/>
    <cellStyle name="40% - Accent5 5 2 2 4" xfId="4601" xr:uid="{00000000-0005-0000-0000-00005A470000}"/>
    <cellStyle name="40% - Accent5 5 2 2 4 2" xfId="12262" xr:uid="{00000000-0005-0000-0000-00005B470000}"/>
    <cellStyle name="40% - Accent5 5 2 2 4 2 2" xfId="25974" xr:uid="{00000000-0005-0000-0000-00005C470000}"/>
    <cellStyle name="40% - Accent5 5 2 2 4 3" xfId="22848" xr:uid="{00000000-0005-0000-0000-00005D470000}"/>
    <cellStyle name="40% - Accent5 5 2 2 5" xfId="4602" xr:uid="{00000000-0005-0000-0000-00005E470000}"/>
    <cellStyle name="40% - Accent5 5 2 2 5 2" xfId="12984" xr:uid="{00000000-0005-0000-0000-00005F470000}"/>
    <cellStyle name="40% - Accent5 5 2 2 5 2 2" xfId="26696" xr:uid="{00000000-0005-0000-0000-000060470000}"/>
    <cellStyle name="40% - Accent5 5 2 2 5 3" xfId="22847" xr:uid="{00000000-0005-0000-0000-000061470000}"/>
    <cellStyle name="40% - Accent5 5 2 2 6" xfId="4603" xr:uid="{00000000-0005-0000-0000-000062470000}"/>
    <cellStyle name="40% - Accent5 5 2 2 6 2" xfId="13826" xr:uid="{00000000-0005-0000-0000-000063470000}"/>
    <cellStyle name="40% - Accent5 5 2 2 6 2 2" xfId="27375" xr:uid="{00000000-0005-0000-0000-000064470000}"/>
    <cellStyle name="40% - Accent5 5 2 2 6 3" xfId="24227" xr:uid="{00000000-0005-0000-0000-000065470000}"/>
    <cellStyle name="40% - Accent5 5 2 2 7" xfId="4604" xr:uid="{00000000-0005-0000-0000-000066470000}"/>
    <cellStyle name="40% - Accent5 5 2 2 7 2" xfId="14407" xr:uid="{00000000-0005-0000-0000-000067470000}"/>
    <cellStyle name="40% - Accent5 5 2 2 7 2 2" xfId="27956" xr:uid="{00000000-0005-0000-0000-000068470000}"/>
    <cellStyle name="40% - Accent5 5 2 2 7 3" xfId="22846" xr:uid="{00000000-0005-0000-0000-000069470000}"/>
    <cellStyle name="40% - Accent5 5 2 2 8" xfId="4605" xr:uid="{00000000-0005-0000-0000-00006A470000}"/>
    <cellStyle name="40% - Accent5 5 2 2 8 2" xfId="15434" xr:uid="{00000000-0005-0000-0000-00006B470000}"/>
    <cellStyle name="40% - Accent5 5 2 2 8 2 2" xfId="28983" xr:uid="{00000000-0005-0000-0000-00006C470000}"/>
    <cellStyle name="40% - Accent5 5 2 2 8 3" xfId="25255" xr:uid="{00000000-0005-0000-0000-00006D470000}"/>
    <cellStyle name="40% - Accent5 5 2 2 9" xfId="4606" xr:uid="{00000000-0005-0000-0000-00006E470000}"/>
    <cellStyle name="40% - Accent5 5 2 2 9 2" xfId="16293" xr:uid="{00000000-0005-0000-0000-00006F470000}"/>
    <cellStyle name="40% - Accent5 5 2 2 9 2 2" xfId="29700" xr:uid="{00000000-0005-0000-0000-000070470000}"/>
    <cellStyle name="40% - Accent5 5 2 2 9 3" xfId="22845" xr:uid="{00000000-0005-0000-0000-000071470000}"/>
    <cellStyle name="40% - Accent5 5 2 3" xfId="4607" xr:uid="{00000000-0005-0000-0000-000072470000}"/>
    <cellStyle name="40% - Accent5 5 2 3 2" xfId="4608" xr:uid="{00000000-0005-0000-0000-000073470000}"/>
    <cellStyle name="40% - Accent5 5 2 3 2 2" xfId="11201" xr:uid="{00000000-0005-0000-0000-000074470000}"/>
    <cellStyle name="40% - Accent5 5 2 3 2 2 2" xfId="25143" xr:uid="{00000000-0005-0000-0000-000075470000}"/>
    <cellStyle name="40% - Accent5 5 2 3 2 3" xfId="24225" xr:uid="{00000000-0005-0000-0000-000076470000}"/>
    <cellStyle name="40% - Accent5 5 2 3 3" xfId="4609" xr:uid="{00000000-0005-0000-0000-000077470000}"/>
    <cellStyle name="40% - Accent5 5 2 3 3 2" xfId="12986" xr:uid="{00000000-0005-0000-0000-000078470000}"/>
    <cellStyle name="40% - Accent5 5 2 3 3 2 2" xfId="26698" xr:uid="{00000000-0005-0000-0000-000079470000}"/>
    <cellStyle name="40% - Accent5 5 2 3 3 3" xfId="22843" xr:uid="{00000000-0005-0000-0000-00007A470000}"/>
    <cellStyle name="40% - Accent5 5 2 3 4" xfId="4610" xr:uid="{00000000-0005-0000-0000-00007B470000}"/>
    <cellStyle name="40% - Accent5 5 2 3 4 2" xfId="15437" xr:uid="{00000000-0005-0000-0000-00007C470000}"/>
    <cellStyle name="40% - Accent5 5 2 3 4 2 2" xfId="28986" xr:uid="{00000000-0005-0000-0000-00007D470000}"/>
    <cellStyle name="40% - Accent5 5 2 3 4 3" xfId="22842" xr:uid="{00000000-0005-0000-0000-00007E470000}"/>
    <cellStyle name="40% - Accent5 5 2 3 5" xfId="4611" xr:uid="{00000000-0005-0000-0000-00007F470000}"/>
    <cellStyle name="40% - Accent5 5 2 3 5 2" xfId="16585" xr:uid="{00000000-0005-0000-0000-000080470000}"/>
    <cellStyle name="40% - Accent5 5 2 3 5 2 2" xfId="29992" xr:uid="{00000000-0005-0000-0000-000081470000}"/>
    <cellStyle name="40% - Accent5 5 2 3 5 3" xfId="29132" xr:uid="{00000000-0005-0000-0000-000082470000}"/>
    <cellStyle name="40% - Accent5 5 2 3 6" xfId="9474" xr:uid="{00000000-0005-0000-0000-000083470000}"/>
    <cellStyle name="40% - Accent5 5 2 3 6 2" xfId="23949" xr:uid="{00000000-0005-0000-0000-000084470000}"/>
    <cellStyle name="40% - Accent5 5 2 3 7" xfId="22844" xr:uid="{00000000-0005-0000-0000-000085470000}"/>
    <cellStyle name="40% - Accent5 5 2 4" xfId="4612" xr:uid="{00000000-0005-0000-0000-000086470000}"/>
    <cellStyle name="40% - Accent5 5 2 4 2" xfId="4613" xr:uid="{00000000-0005-0000-0000-000087470000}"/>
    <cellStyle name="40% - Accent5 5 2 4 2 2" xfId="15438" xr:uid="{00000000-0005-0000-0000-000088470000}"/>
    <cellStyle name="40% - Accent5 5 2 4 2 2 2" xfId="28987" xr:uid="{00000000-0005-0000-0000-000089470000}"/>
    <cellStyle name="40% - Accent5 5 2 4 2 3" xfId="22840" xr:uid="{00000000-0005-0000-0000-00008A470000}"/>
    <cellStyle name="40% - Accent5 5 2 4 3" xfId="11198" xr:uid="{00000000-0005-0000-0000-00008B470000}"/>
    <cellStyle name="40% - Accent5 5 2 4 3 2" xfId="25140" xr:uid="{00000000-0005-0000-0000-00008C470000}"/>
    <cellStyle name="40% - Accent5 5 2 4 4" xfId="22841" xr:uid="{00000000-0005-0000-0000-00008D470000}"/>
    <cellStyle name="40% - Accent5 5 2 5" xfId="4614" xr:uid="{00000000-0005-0000-0000-00008E470000}"/>
    <cellStyle name="40% - Accent5 5 2 5 2" xfId="11962" xr:uid="{00000000-0005-0000-0000-00008F470000}"/>
    <cellStyle name="40% - Accent5 5 2 5 2 2" xfId="25677" xr:uid="{00000000-0005-0000-0000-000090470000}"/>
    <cellStyle name="40% - Accent5 5 2 5 3" xfId="26826" xr:uid="{00000000-0005-0000-0000-000091470000}"/>
    <cellStyle name="40% - Accent5 5 2 6" xfId="4615" xr:uid="{00000000-0005-0000-0000-000092470000}"/>
    <cellStyle name="40% - Accent5 5 2 6 2" xfId="12983" xr:uid="{00000000-0005-0000-0000-000093470000}"/>
    <cellStyle name="40% - Accent5 5 2 6 2 2" xfId="26695" xr:uid="{00000000-0005-0000-0000-000094470000}"/>
    <cellStyle name="40% - Accent5 5 2 6 3" xfId="22839" xr:uid="{00000000-0005-0000-0000-000095470000}"/>
    <cellStyle name="40% - Accent5 5 2 7" xfId="4616" xr:uid="{00000000-0005-0000-0000-000096470000}"/>
    <cellStyle name="40% - Accent5 5 2 7 2" xfId="13537" xr:uid="{00000000-0005-0000-0000-000097470000}"/>
    <cellStyle name="40% - Accent5 5 2 7 2 2" xfId="27086" xr:uid="{00000000-0005-0000-0000-000098470000}"/>
    <cellStyle name="40% - Accent5 5 2 7 3" xfId="22838" xr:uid="{00000000-0005-0000-0000-000099470000}"/>
    <cellStyle name="40% - Accent5 5 2 8" xfId="4617" xr:uid="{00000000-0005-0000-0000-00009A470000}"/>
    <cellStyle name="40% - Accent5 5 2 8 2" xfId="14118" xr:uid="{00000000-0005-0000-0000-00009B470000}"/>
    <cellStyle name="40% - Accent5 5 2 8 2 2" xfId="27667" xr:uid="{00000000-0005-0000-0000-00009C470000}"/>
    <cellStyle name="40% - Accent5 5 2 8 3" xfId="24226" xr:uid="{00000000-0005-0000-0000-00009D470000}"/>
    <cellStyle name="40% - Accent5 5 2 9" xfId="4618" xr:uid="{00000000-0005-0000-0000-00009E470000}"/>
    <cellStyle name="40% - Accent5 5 2 9 2" xfId="15433" xr:uid="{00000000-0005-0000-0000-00009F470000}"/>
    <cellStyle name="40% - Accent5 5 2 9 2 2" xfId="28982" xr:uid="{00000000-0005-0000-0000-0000A0470000}"/>
    <cellStyle name="40% - Accent5 5 2 9 3" xfId="22837" xr:uid="{00000000-0005-0000-0000-0000A1470000}"/>
    <cellStyle name="40% - Accent5 5 3" xfId="4619" xr:uid="{00000000-0005-0000-0000-0000A2470000}"/>
    <cellStyle name="40% - Accent5 5 3 10" xfId="9475" xr:uid="{00000000-0005-0000-0000-0000A3470000}"/>
    <cellStyle name="40% - Accent5 5 3 10 2" xfId="23950" xr:uid="{00000000-0005-0000-0000-0000A4470000}"/>
    <cellStyle name="40% - Accent5 5 3 11" xfId="25254" xr:uid="{00000000-0005-0000-0000-0000A5470000}"/>
    <cellStyle name="40% - Accent5 5 3 2" xfId="4620" xr:uid="{00000000-0005-0000-0000-0000A6470000}"/>
    <cellStyle name="40% - Accent5 5 3 2 2" xfId="4621" xr:uid="{00000000-0005-0000-0000-0000A7470000}"/>
    <cellStyle name="40% - Accent5 5 3 2 2 2" xfId="11203" xr:uid="{00000000-0005-0000-0000-0000A8470000}"/>
    <cellStyle name="40% - Accent5 5 3 2 2 2 2" xfId="25145" xr:uid="{00000000-0005-0000-0000-0000A9470000}"/>
    <cellStyle name="40% - Accent5 5 3 2 2 3" xfId="22835" xr:uid="{00000000-0005-0000-0000-0000AA470000}"/>
    <cellStyle name="40% - Accent5 5 3 2 3" xfId="4622" xr:uid="{00000000-0005-0000-0000-0000AB470000}"/>
    <cellStyle name="40% - Accent5 5 3 2 3 2" xfId="12988" xr:uid="{00000000-0005-0000-0000-0000AC470000}"/>
    <cellStyle name="40% - Accent5 5 3 2 3 2 2" xfId="26700" xr:uid="{00000000-0005-0000-0000-0000AD470000}"/>
    <cellStyle name="40% - Accent5 5 3 2 3 3" xfId="22834" xr:uid="{00000000-0005-0000-0000-0000AE470000}"/>
    <cellStyle name="40% - Accent5 5 3 2 4" xfId="4623" xr:uid="{00000000-0005-0000-0000-0000AF470000}"/>
    <cellStyle name="40% - Accent5 5 3 2 4 2" xfId="15440" xr:uid="{00000000-0005-0000-0000-0000B0470000}"/>
    <cellStyle name="40% - Accent5 5 3 2 4 2 2" xfId="28989" xr:uid="{00000000-0005-0000-0000-0000B1470000}"/>
    <cellStyle name="40% - Accent5 5 3 2 4 3" xfId="22833" xr:uid="{00000000-0005-0000-0000-0000B2470000}"/>
    <cellStyle name="40% - Accent5 5 3 2 5" xfId="4624" xr:uid="{00000000-0005-0000-0000-0000B3470000}"/>
    <cellStyle name="40% - Accent5 5 3 2 5 2" xfId="16734" xr:uid="{00000000-0005-0000-0000-0000B4470000}"/>
    <cellStyle name="40% - Accent5 5 3 2 5 2 2" xfId="30141" xr:uid="{00000000-0005-0000-0000-0000B5470000}"/>
    <cellStyle name="40% - Accent5 5 3 2 5 3" xfId="24223" xr:uid="{00000000-0005-0000-0000-0000B6470000}"/>
    <cellStyle name="40% - Accent5 5 3 2 6" xfId="9476" xr:uid="{00000000-0005-0000-0000-0000B7470000}"/>
    <cellStyle name="40% - Accent5 5 3 2 6 2" xfId="23951" xr:uid="{00000000-0005-0000-0000-0000B8470000}"/>
    <cellStyle name="40% - Accent5 5 3 2 7" xfId="22836" xr:uid="{00000000-0005-0000-0000-0000B9470000}"/>
    <cellStyle name="40% - Accent5 5 3 3" xfId="4625" xr:uid="{00000000-0005-0000-0000-0000BA470000}"/>
    <cellStyle name="40% - Accent5 5 3 3 2" xfId="4626" xr:uid="{00000000-0005-0000-0000-0000BB470000}"/>
    <cellStyle name="40% - Accent5 5 3 3 2 2" xfId="15441" xr:uid="{00000000-0005-0000-0000-0000BC470000}"/>
    <cellStyle name="40% - Accent5 5 3 3 2 2 2" xfId="28990" xr:uid="{00000000-0005-0000-0000-0000BD470000}"/>
    <cellStyle name="40% - Accent5 5 3 3 2 3" xfId="23220" xr:uid="{00000000-0005-0000-0000-0000BE470000}"/>
    <cellStyle name="40% - Accent5 5 3 3 3" xfId="11202" xr:uid="{00000000-0005-0000-0000-0000BF470000}"/>
    <cellStyle name="40% - Accent5 5 3 3 3 2" xfId="25144" xr:uid="{00000000-0005-0000-0000-0000C0470000}"/>
    <cellStyle name="40% - Accent5 5 3 3 4" xfId="22832" xr:uid="{00000000-0005-0000-0000-0000C1470000}"/>
    <cellStyle name="40% - Accent5 5 3 4" xfId="4627" xr:uid="{00000000-0005-0000-0000-0000C2470000}"/>
    <cellStyle name="40% - Accent5 5 3 4 2" xfId="12122" xr:uid="{00000000-0005-0000-0000-0000C3470000}"/>
    <cellStyle name="40% - Accent5 5 3 4 2 2" xfId="25834" xr:uid="{00000000-0005-0000-0000-0000C4470000}"/>
    <cellStyle name="40% - Accent5 5 3 4 3" xfId="24222" xr:uid="{00000000-0005-0000-0000-0000C5470000}"/>
    <cellStyle name="40% - Accent5 5 3 5" xfId="4628" xr:uid="{00000000-0005-0000-0000-0000C6470000}"/>
    <cellStyle name="40% - Accent5 5 3 5 2" xfId="12987" xr:uid="{00000000-0005-0000-0000-0000C7470000}"/>
    <cellStyle name="40% - Accent5 5 3 5 2 2" xfId="26699" xr:uid="{00000000-0005-0000-0000-0000C8470000}"/>
    <cellStyle name="40% - Accent5 5 3 5 3" xfId="22831" xr:uid="{00000000-0005-0000-0000-0000C9470000}"/>
    <cellStyle name="40% - Accent5 5 3 6" xfId="4629" xr:uid="{00000000-0005-0000-0000-0000CA470000}"/>
    <cellStyle name="40% - Accent5 5 3 6 2" xfId="13686" xr:uid="{00000000-0005-0000-0000-0000CB470000}"/>
    <cellStyle name="40% - Accent5 5 3 6 2 2" xfId="27235" xr:uid="{00000000-0005-0000-0000-0000CC470000}"/>
    <cellStyle name="40% - Accent5 5 3 6 3" xfId="22830" xr:uid="{00000000-0005-0000-0000-0000CD470000}"/>
    <cellStyle name="40% - Accent5 5 3 7" xfId="4630" xr:uid="{00000000-0005-0000-0000-0000CE470000}"/>
    <cellStyle name="40% - Accent5 5 3 7 2" xfId="14267" xr:uid="{00000000-0005-0000-0000-0000CF470000}"/>
    <cellStyle name="40% - Accent5 5 3 7 2 2" xfId="27816" xr:uid="{00000000-0005-0000-0000-0000D0470000}"/>
    <cellStyle name="40% - Accent5 5 3 7 3" xfId="22829" xr:uid="{00000000-0005-0000-0000-0000D1470000}"/>
    <cellStyle name="40% - Accent5 5 3 8" xfId="4631" xr:uid="{00000000-0005-0000-0000-0000D2470000}"/>
    <cellStyle name="40% - Accent5 5 3 8 2" xfId="15439" xr:uid="{00000000-0005-0000-0000-0000D3470000}"/>
    <cellStyle name="40% - Accent5 5 3 8 2 2" xfId="28988" xr:uid="{00000000-0005-0000-0000-0000D4470000}"/>
    <cellStyle name="40% - Accent5 5 3 8 3" xfId="22828" xr:uid="{00000000-0005-0000-0000-0000D5470000}"/>
    <cellStyle name="40% - Accent5 5 3 9" xfId="4632" xr:uid="{00000000-0005-0000-0000-0000D6470000}"/>
    <cellStyle name="40% - Accent5 5 3 9 2" xfId="16153" xr:uid="{00000000-0005-0000-0000-0000D7470000}"/>
    <cellStyle name="40% - Accent5 5 3 9 2 2" xfId="29560" xr:uid="{00000000-0005-0000-0000-0000D8470000}"/>
    <cellStyle name="40% - Accent5 5 3 9 3" xfId="22827" xr:uid="{00000000-0005-0000-0000-0000D9470000}"/>
    <cellStyle name="40% - Accent5 5 4" xfId="4633" xr:uid="{00000000-0005-0000-0000-0000DA470000}"/>
    <cellStyle name="40% - Accent5 5 4 2" xfId="4634" xr:uid="{00000000-0005-0000-0000-0000DB470000}"/>
    <cellStyle name="40% - Accent5 5 4 2 2" xfId="11204" xr:uid="{00000000-0005-0000-0000-0000DC470000}"/>
    <cellStyle name="40% - Accent5 5 4 2 2 2" xfId="25146" xr:uid="{00000000-0005-0000-0000-0000DD470000}"/>
    <cellStyle name="40% - Accent5 5 4 2 3" xfId="29131" xr:uid="{00000000-0005-0000-0000-0000DE470000}"/>
    <cellStyle name="40% - Accent5 5 4 3" xfId="4635" xr:uid="{00000000-0005-0000-0000-0000DF470000}"/>
    <cellStyle name="40% - Accent5 5 4 3 2" xfId="12989" xr:uid="{00000000-0005-0000-0000-0000E0470000}"/>
    <cellStyle name="40% - Accent5 5 4 3 2 2" xfId="26701" xr:uid="{00000000-0005-0000-0000-0000E1470000}"/>
    <cellStyle name="40% - Accent5 5 4 3 3" xfId="22826" xr:uid="{00000000-0005-0000-0000-0000E2470000}"/>
    <cellStyle name="40% - Accent5 5 4 4" xfId="4636" xr:uid="{00000000-0005-0000-0000-0000E3470000}"/>
    <cellStyle name="40% - Accent5 5 4 4 2" xfId="15442" xr:uid="{00000000-0005-0000-0000-0000E4470000}"/>
    <cellStyle name="40% - Accent5 5 4 4 2 2" xfId="28991" xr:uid="{00000000-0005-0000-0000-0000E5470000}"/>
    <cellStyle name="40% - Accent5 5 4 4 3" xfId="22825" xr:uid="{00000000-0005-0000-0000-0000E6470000}"/>
    <cellStyle name="40% - Accent5 5 4 5" xfId="4637" xr:uid="{00000000-0005-0000-0000-0000E7470000}"/>
    <cellStyle name="40% - Accent5 5 4 5 2" xfId="16442" xr:uid="{00000000-0005-0000-0000-0000E8470000}"/>
    <cellStyle name="40% - Accent5 5 4 5 2 2" xfId="29849" xr:uid="{00000000-0005-0000-0000-0000E9470000}"/>
    <cellStyle name="40% - Accent5 5 4 5 3" xfId="22824" xr:uid="{00000000-0005-0000-0000-0000EA470000}"/>
    <cellStyle name="40% - Accent5 5 4 6" xfId="9477" xr:uid="{00000000-0005-0000-0000-0000EB470000}"/>
    <cellStyle name="40% - Accent5 5 4 6 2" xfId="23952" xr:uid="{00000000-0005-0000-0000-0000EC470000}"/>
    <cellStyle name="40% - Accent5 5 4 7" xfId="25440" xr:uid="{00000000-0005-0000-0000-0000ED470000}"/>
    <cellStyle name="40% - Accent5 5 5" xfId="4638" xr:uid="{00000000-0005-0000-0000-0000EE470000}"/>
    <cellStyle name="40% - Accent5 5 5 2" xfId="4639" xr:uid="{00000000-0005-0000-0000-0000EF470000}"/>
    <cellStyle name="40% - Accent5 5 5 2 2" xfId="15443" xr:uid="{00000000-0005-0000-0000-0000F0470000}"/>
    <cellStyle name="40% - Accent5 5 5 2 2 2" xfId="28992" xr:uid="{00000000-0005-0000-0000-0000F1470000}"/>
    <cellStyle name="40% - Accent5 5 5 2 3" xfId="22823" xr:uid="{00000000-0005-0000-0000-0000F2470000}"/>
    <cellStyle name="40% - Accent5 5 5 3" xfId="11197" xr:uid="{00000000-0005-0000-0000-0000F3470000}"/>
    <cellStyle name="40% - Accent5 5 5 3 2" xfId="25139" xr:uid="{00000000-0005-0000-0000-0000F4470000}"/>
    <cellStyle name="40% - Accent5 5 5 4" xfId="25253" xr:uid="{00000000-0005-0000-0000-0000F5470000}"/>
    <cellStyle name="40% - Accent5 5 6" xfId="4640" xr:uid="{00000000-0005-0000-0000-0000F6470000}"/>
    <cellStyle name="40% - Accent5 5 6 2" xfId="11793" xr:uid="{00000000-0005-0000-0000-0000F7470000}"/>
    <cellStyle name="40% - Accent5 5 6 2 2" xfId="25508" xr:uid="{00000000-0005-0000-0000-0000F8470000}"/>
    <cellStyle name="40% - Accent5 5 6 3" xfId="22822" xr:uid="{00000000-0005-0000-0000-0000F9470000}"/>
    <cellStyle name="40% - Accent5 5 7" xfId="4641" xr:uid="{00000000-0005-0000-0000-0000FA470000}"/>
    <cellStyle name="40% - Accent5 5 7 2" xfId="12982" xr:uid="{00000000-0005-0000-0000-0000FB470000}"/>
    <cellStyle name="40% - Accent5 5 7 2 2" xfId="26694" xr:uid="{00000000-0005-0000-0000-0000FC470000}"/>
    <cellStyle name="40% - Accent5 5 7 3" xfId="24221" xr:uid="{00000000-0005-0000-0000-0000FD470000}"/>
    <cellStyle name="40% - Accent5 5 8" xfId="4642" xr:uid="{00000000-0005-0000-0000-0000FE470000}"/>
    <cellStyle name="40% - Accent5 5 8 2" xfId="13394" xr:uid="{00000000-0005-0000-0000-0000FF470000}"/>
    <cellStyle name="40% - Accent5 5 8 2 2" xfId="26943" xr:uid="{00000000-0005-0000-0000-000000480000}"/>
    <cellStyle name="40% - Accent5 5 8 3" xfId="25252" xr:uid="{00000000-0005-0000-0000-000001480000}"/>
    <cellStyle name="40% - Accent5 5 9" xfId="4643" xr:uid="{00000000-0005-0000-0000-000002480000}"/>
    <cellStyle name="40% - Accent5 5 9 2" xfId="13975" xr:uid="{00000000-0005-0000-0000-000003480000}"/>
    <cellStyle name="40% - Accent5 5 9 2 2" xfId="27524" xr:uid="{00000000-0005-0000-0000-000004480000}"/>
    <cellStyle name="40% - Accent5 5 9 3" xfId="22821" xr:uid="{00000000-0005-0000-0000-000005480000}"/>
    <cellStyle name="40% - Accent5 6" xfId="4644" xr:uid="{00000000-0005-0000-0000-000006480000}"/>
    <cellStyle name="40% - Accent5 6 10" xfId="4645" xr:uid="{00000000-0005-0000-0000-000007480000}"/>
    <cellStyle name="40% - Accent5 6 10 2" xfId="15444" xr:uid="{00000000-0005-0000-0000-000008480000}"/>
    <cellStyle name="40% - Accent5 6 10 2 2" xfId="28993" xr:uid="{00000000-0005-0000-0000-000009480000}"/>
    <cellStyle name="40% - Accent5 6 10 3" xfId="24220" xr:uid="{00000000-0005-0000-0000-00000A480000}"/>
    <cellStyle name="40% - Accent5 6 11" xfId="4646" xr:uid="{00000000-0005-0000-0000-00000B480000}"/>
    <cellStyle name="40% - Accent5 6 11 2" xfId="15967" xr:uid="{00000000-0005-0000-0000-00000C480000}"/>
    <cellStyle name="40% - Accent5 6 11 2 2" xfId="29374" xr:uid="{00000000-0005-0000-0000-00000D480000}"/>
    <cellStyle name="40% - Accent5 6 11 3" xfId="25251" xr:uid="{00000000-0005-0000-0000-00000E480000}"/>
    <cellStyle name="40% - Accent5 6 12" xfId="9478" xr:uid="{00000000-0005-0000-0000-00000F480000}"/>
    <cellStyle name="40% - Accent5 6 12 2" xfId="23953" xr:uid="{00000000-0005-0000-0000-000010480000}"/>
    <cellStyle name="40% - Accent5 6 13" xfId="22820" xr:uid="{00000000-0005-0000-0000-000011480000}"/>
    <cellStyle name="40% - Accent5 6 2" xfId="4647" xr:uid="{00000000-0005-0000-0000-000012480000}"/>
    <cellStyle name="40% - Accent5 6 2 10" xfId="4648" xr:uid="{00000000-0005-0000-0000-000013480000}"/>
    <cellStyle name="40% - Accent5 6 2 10 2" xfId="16110" xr:uid="{00000000-0005-0000-0000-000014480000}"/>
    <cellStyle name="40% - Accent5 6 2 10 2 2" xfId="29517" xr:uid="{00000000-0005-0000-0000-000015480000}"/>
    <cellStyle name="40% - Accent5 6 2 10 3" xfId="22818" xr:uid="{00000000-0005-0000-0000-000016480000}"/>
    <cellStyle name="40% - Accent5 6 2 11" xfId="9479" xr:uid="{00000000-0005-0000-0000-000017480000}"/>
    <cellStyle name="40% - Accent5 6 2 11 2" xfId="23954" xr:uid="{00000000-0005-0000-0000-000018480000}"/>
    <cellStyle name="40% - Accent5 6 2 12" xfId="22819" xr:uid="{00000000-0005-0000-0000-000019480000}"/>
    <cellStyle name="40% - Accent5 6 2 2" xfId="4649" xr:uid="{00000000-0005-0000-0000-00001A480000}"/>
    <cellStyle name="40% - Accent5 6 2 2 10" xfId="9480" xr:uid="{00000000-0005-0000-0000-00001B480000}"/>
    <cellStyle name="40% - Accent5 6 2 2 10 2" xfId="23955" xr:uid="{00000000-0005-0000-0000-00001C480000}"/>
    <cellStyle name="40% - Accent5 6 2 2 11" xfId="24219" xr:uid="{00000000-0005-0000-0000-00001D480000}"/>
    <cellStyle name="40% - Accent5 6 2 2 2" xfId="4650" xr:uid="{00000000-0005-0000-0000-00001E480000}"/>
    <cellStyle name="40% - Accent5 6 2 2 2 2" xfId="4651" xr:uid="{00000000-0005-0000-0000-00001F480000}"/>
    <cellStyle name="40% - Accent5 6 2 2 2 2 2" xfId="11208" xr:uid="{00000000-0005-0000-0000-000020480000}"/>
    <cellStyle name="40% - Accent5 6 2 2 2 2 2 2" xfId="25150" xr:uid="{00000000-0005-0000-0000-000021480000}"/>
    <cellStyle name="40% - Accent5 6 2 2 2 2 3" xfId="22817" xr:uid="{00000000-0005-0000-0000-000022480000}"/>
    <cellStyle name="40% - Accent5 6 2 2 2 3" xfId="4652" xr:uid="{00000000-0005-0000-0000-000023480000}"/>
    <cellStyle name="40% - Accent5 6 2 2 2 3 2" xfId="12993" xr:uid="{00000000-0005-0000-0000-000024480000}"/>
    <cellStyle name="40% - Accent5 6 2 2 2 3 2 2" xfId="26705" xr:uid="{00000000-0005-0000-0000-000025480000}"/>
    <cellStyle name="40% - Accent5 6 2 2 2 3 3" xfId="22816" xr:uid="{00000000-0005-0000-0000-000026480000}"/>
    <cellStyle name="40% - Accent5 6 2 2 2 4" xfId="4653" xr:uid="{00000000-0005-0000-0000-000027480000}"/>
    <cellStyle name="40% - Accent5 6 2 2 2 4 2" xfId="15447" xr:uid="{00000000-0005-0000-0000-000028480000}"/>
    <cellStyle name="40% - Accent5 6 2 2 2 4 2 2" xfId="28996" xr:uid="{00000000-0005-0000-0000-000029480000}"/>
    <cellStyle name="40% - Accent5 6 2 2 2 4 3" xfId="24218" xr:uid="{00000000-0005-0000-0000-00002A480000}"/>
    <cellStyle name="40% - Accent5 6 2 2 2 5" xfId="4654" xr:uid="{00000000-0005-0000-0000-00002B480000}"/>
    <cellStyle name="40% - Accent5 6 2 2 2 5 2" xfId="16980" xr:uid="{00000000-0005-0000-0000-00002C480000}"/>
    <cellStyle name="40% - Accent5 6 2 2 2 5 2 2" xfId="30387" xr:uid="{00000000-0005-0000-0000-00002D480000}"/>
    <cellStyle name="40% - Accent5 6 2 2 2 5 3" xfId="25249" xr:uid="{00000000-0005-0000-0000-00002E480000}"/>
    <cellStyle name="40% - Accent5 6 2 2 2 6" xfId="9481" xr:uid="{00000000-0005-0000-0000-00002F480000}"/>
    <cellStyle name="40% - Accent5 6 2 2 2 6 2" xfId="23956" xr:uid="{00000000-0005-0000-0000-000030480000}"/>
    <cellStyle name="40% - Accent5 6 2 2 2 7" xfId="25250" xr:uid="{00000000-0005-0000-0000-000031480000}"/>
    <cellStyle name="40% - Accent5 6 2 2 3" xfId="4655" xr:uid="{00000000-0005-0000-0000-000032480000}"/>
    <cellStyle name="40% - Accent5 6 2 2 3 2" xfId="4656" xr:uid="{00000000-0005-0000-0000-000033480000}"/>
    <cellStyle name="40% - Accent5 6 2 2 3 2 2" xfId="15448" xr:uid="{00000000-0005-0000-0000-000034480000}"/>
    <cellStyle name="40% - Accent5 6 2 2 3 2 2 2" xfId="28997" xr:uid="{00000000-0005-0000-0000-000035480000}"/>
    <cellStyle name="40% - Accent5 6 2 2 3 2 3" xfId="22814" xr:uid="{00000000-0005-0000-0000-000036480000}"/>
    <cellStyle name="40% - Accent5 6 2 2 3 3" xfId="11207" xr:uid="{00000000-0005-0000-0000-000037480000}"/>
    <cellStyle name="40% - Accent5 6 2 2 3 3 2" xfId="25149" xr:uid="{00000000-0005-0000-0000-000038480000}"/>
    <cellStyle name="40% - Accent5 6 2 2 3 4" xfId="22815" xr:uid="{00000000-0005-0000-0000-000039480000}"/>
    <cellStyle name="40% - Accent5 6 2 2 4" xfId="4657" xr:uid="{00000000-0005-0000-0000-00003A480000}"/>
    <cellStyle name="40% - Accent5 6 2 2 4 2" xfId="12368" xr:uid="{00000000-0005-0000-0000-00003B480000}"/>
    <cellStyle name="40% - Accent5 6 2 2 4 2 2" xfId="26080" xr:uid="{00000000-0005-0000-0000-00003C480000}"/>
    <cellStyle name="40% - Accent5 6 2 2 4 3" xfId="24217" xr:uid="{00000000-0005-0000-0000-00003D480000}"/>
    <cellStyle name="40% - Accent5 6 2 2 5" xfId="4658" xr:uid="{00000000-0005-0000-0000-00003E480000}"/>
    <cellStyle name="40% - Accent5 6 2 2 5 2" xfId="12992" xr:uid="{00000000-0005-0000-0000-00003F480000}"/>
    <cellStyle name="40% - Accent5 6 2 2 5 2 2" xfId="26704" xr:uid="{00000000-0005-0000-0000-000040480000}"/>
    <cellStyle name="40% - Accent5 6 2 2 5 3" xfId="22813" xr:uid="{00000000-0005-0000-0000-000041480000}"/>
    <cellStyle name="40% - Accent5 6 2 2 6" xfId="4659" xr:uid="{00000000-0005-0000-0000-000042480000}"/>
    <cellStyle name="40% - Accent5 6 2 2 6 2" xfId="13932" xr:uid="{00000000-0005-0000-0000-000043480000}"/>
    <cellStyle name="40% - Accent5 6 2 2 6 2 2" xfId="27481" xr:uid="{00000000-0005-0000-0000-000044480000}"/>
    <cellStyle name="40% - Accent5 6 2 2 6 3" xfId="25248" xr:uid="{00000000-0005-0000-0000-000045480000}"/>
    <cellStyle name="40% - Accent5 6 2 2 7" xfId="4660" xr:uid="{00000000-0005-0000-0000-000046480000}"/>
    <cellStyle name="40% - Accent5 6 2 2 7 2" xfId="14513" xr:uid="{00000000-0005-0000-0000-000047480000}"/>
    <cellStyle name="40% - Accent5 6 2 2 7 2 2" xfId="28062" xr:uid="{00000000-0005-0000-0000-000048480000}"/>
    <cellStyle name="40% - Accent5 6 2 2 7 3" xfId="22812" xr:uid="{00000000-0005-0000-0000-000049480000}"/>
    <cellStyle name="40% - Accent5 6 2 2 8" xfId="4661" xr:uid="{00000000-0005-0000-0000-00004A480000}"/>
    <cellStyle name="40% - Accent5 6 2 2 8 2" xfId="15446" xr:uid="{00000000-0005-0000-0000-00004B480000}"/>
    <cellStyle name="40% - Accent5 6 2 2 8 2 2" xfId="28995" xr:uid="{00000000-0005-0000-0000-00004C480000}"/>
    <cellStyle name="40% - Accent5 6 2 2 8 3" xfId="22811" xr:uid="{00000000-0005-0000-0000-00004D480000}"/>
    <cellStyle name="40% - Accent5 6 2 2 9" xfId="4662" xr:uid="{00000000-0005-0000-0000-00004E480000}"/>
    <cellStyle name="40% - Accent5 6 2 2 9 2" xfId="16399" xr:uid="{00000000-0005-0000-0000-00004F480000}"/>
    <cellStyle name="40% - Accent5 6 2 2 9 2 2" xfId="29806" xr:uid="{00000000-0005-0000-0000-000050480000}"/>
    <cellStyle name="40% - Accent5 6 2 2 9 3" xfId="24215" xr:uid="{00000000-0005-0000-0000-000051480000}"/>
    <cellStyle name="40% - Accent5 6 2 3" xfId="4663" xr:uid="{00000000-0005-0000-0000-000052480000}"/>
    <cellStyle name="40% - Accent5 6 2 3 2" xfId="4664" xr:uid="{00000000-0005-0000-0000-000053480000}"/>
    <cellStyle name="40% - Accent5 6 2 3 2 2" xfId="11209" xr:uid="{00000000-0005-0000-0000-000054480000}"/>
    <cellStyle name="40% - Accent5 6 2 3 2 2 2" xfId="25151" xr:uid="{00000000-0005-0000-0000-000055480000}"/>
    <cellStyle name="40% - Accent5 6 2 3 2 3" xfId="25246" xr:uid="{00000000-0005-0000-0000-000056480000}"/>
    <cellStyle name="40% - Accent5 6 2 3 3" xfId="4665" xr:uid="{00000000-0005-0000-0000-000057480000}"/>
    <cellStyle name="40% - Accent5 6 2 3 3 2" xfId="12994" xr:uid="{00000000-0005-0000-0000-000058480000}"/>
    <cellStyle name="40% - Accent5 6 2 3 3 2 2" xfId="26706" xr:uid="{00000000-0005-0000-0000-000059480000}"/>
    <cellStyle name="40% - Accent5 6 2 3 3 3" xfId="22809" xr:uid="{00000000-0005-0000-0000-00005A480000}"/>
    <cellStyle name="40% - Accent5 6 2 3 4" xfId="4666" xr:uid="{00000000-0005-0000-0000-00005B480000}"/>
    <cellStyle name="40% - Accent5 6 2 3 4 2" xfId="15449" xr:uid="{00000000-0005-0000-0000-00005C480000}"/>
    <cellStyle name="40% - Accent5 6 2 3 4 2 2" xfId="28998" xr:uid="{00000000-0005-0000-0000-00005D480000}"/>
    <cellStyle name="40% - Accent5 6 2 3 4 3" xfId="24216" xr:uid="{00000000-0005-0000-0000-00005E480000}"/>
    <cellStyle name="40% - Accent5 6 2 3 5" xfId="4667" xr:uid="{00000000-0005-0000-0000-00005F480000}"/>
    <cellStyle name="40% - Accent5 6 2 3 5 2" xfId="16691" xr:uid="{00000000-0005-0000-0000-000060480000}"/>
    <cellStyle name="40% - Accent5 6 2 3 5 2 2" xfId="30098" xr:uid="{00000000-0005-0000-0000-000061480000}"/>
    <cellStyle name="40% - Accent5 6 2 3 5 3" xfId="25247" xr:uid="{00000000-0005-0000-0000-000062480000}"/>
    <cellStyle name="40% - Accent5 6 2 3 6" xfId="9482" xr:uid="{00000000-0005-0000-0000-000063480000}"/>
    <cellStyle name="40% - Accent5 6 2 3 6 2" xfId="23957" xr:uid="{00000000-0005-0000-0000-000064480000}"/>
    <cellStyle name="40% - Accent5 6 2 3 7" xfId="22810" xr:uid="{00000000-0005-0000-0000-000065480000}"/>
    <cellStyle name="40% - Accent5 6 2 4" xfId="4668" xr:uid="{00000000-0005-0000-0000-000066480000}"/>
    <cellStyle name="40% - Accent5 6 2 4 2" xfId="4669" xr:uid="{00000000-0005-0000-0000-000067480000}"/>
    <cellStyle name="40% - Accent5 6 2 4 2 2" xfId="15450" xr:uid="{00000000-0005-0000-0000-000068480000}"/>
    <cellStyle name="40% - Accent5 6 2 4 2 2 2" xfId="28999" xr:uid="{00000000-0005-0000-0000-000069480000}"/>
    <cellStyle name="40% - Accent5 6 2 4 2 3" xfId="22807" xr:uid="{00000000-0005-0000-0000-00006A480000}"/>
    <cellStyle name="40% - Accent5 6 2 4 3" xfId="11206" xr:uid="{00000000-0005-0000-0000-00006B480000}"/>
    <cellStyle name="40% - Accent5 6 2 4 3 2" xfId="25148" xr:uid="{00000000-0005-0000-0000-00006C480000}"/>
    <cellStyle name="40% - Accent5 6 2 4 4" xfId="22808" xr:uid="{00000000-0005-0000-0000-00006D480000}"/>
    <cellStyle name="40% - Accent5 6 2 5" xfId="4670" xr:uid="{00000000-0005-0000-0000-00006E480000}"/>
    <cellStyle name="40% - Accent5 6 2 5 2" xfId="12068" xr:uid="{00000000-0005-0000-0000-00006F480000}"/>
    <cellStyle name="40% - Accent5 6 2 5 2 2" xfId="25783" xr:uid="{00000000-0005-0000-0000-000070480000}"/>
    <cellStyle name="40% - Accent5 6 2 5 3" xfId="22806" xr:uid="{00000000-0005-0000-0000-000071480000}"/>
    <cellStyle name="40% - Accent5 6 2 6" xfId="4671" xr:uid="{00000000-0005-0000-0000-000072480000}"/>
    <cellStyle name="40% - Accent5 6 2 6 2" xfId="12991" xr:uid="{00000000-0005-0000-0000-000073480000}"/>
    <cellStyle name="40% - Accent5 6 2 6 2 2" xfId="26703" xr:uid="{00000000-0005-0000-0000-000074480000}"/>
    <cellStyle name="40% - Accent5 6 2 6 3" xfId="24214" xr:uid="{00000000-0005-0000-0000-000075480000}"/>
    <cellStyle name="40% - Accent5 6 2 7" xfId="4672" xr:uid="{00000000-0005-0000-0000-000076480000}"/>
    <cellStyle name="40% - Accent5 6 2 7 2" xfId="13643" xr:uid="{00000000-0005-0000-0000-000077480000}"/>
    <cellStyle name="40% - Accent5 6 2 7 2 2" xfId="27192" xr:uid="{00000000-0005-0000-0000-000078480000}"/>
    <cellStyle name="40% - Accent5 6 2 7 3" xfId="22805" xr:uid="{00000000-0005-0000-0000-000079480000}"/>
    <cellStyle name="40% - Accent5 6 2 8" xfId="4673" xr:uid="{00000000-0005-0000-0000-00007A480000}"/>
    <cellStyle name="40% - Accent5 6 2 8 2" xfId="14224" xr:uid="{00000000-0005-0000-0000-00007B480000}"/>
    <cellStyle name="40% - Accent5 6 2 8 2 2" xfId="27773" xr:uid="{00000000-0005-0000-0000-00007C480000}"/>
    <cellStyle name="40% - Accent5 6 2 8 3" xfId="22804" xr:uid="{00000000-0005-0000-0000-00007D480000}"/>
    <cellStyle name="40% - Accent5 6 2 9" xfId="4674" xr:uid="{00000000-0005-0000-0000-00007E480000}"/>
    <cellStyle name="40% - Accent5 6 2 9 2" xfId="15445" xr:uid="{00000000-0005-0000-0000-00007F480000}"/>
    <cellStyle name="40% - Accent5 6 2 9 2 2" xfId="28994" xr:uid="{00000000-0005-0000-0000-000080480000}"/>
    <cellStyle name="40% - Accent5 6 2 9 3" xfId="24213" xr:uid="{00000000-0005-0000-0000-000081480000}"/>
    <cellStyle name="40% - Accent5 6 3" xfId="4675" xr:uid="{00000000-0005-0000-0000-000082480000}"/>
    <cellStyle name="40% - Accent5 6 3 10" xfId="9483" xr:uid="{00000000-0005-0000-0000-000083480000}"/>
    <cellStyle name="40% - Accent5 6 3 10 2" xfId="23958" xr:uid="{00000000-0005-0000-0000-000084480000}"/>
    <cellStyle name="40% - Accent5 6 3 11" xfId="22803" xr:uid="{00000000-0005-0000-0000-000085480000}"/>
    <cellStyle name="40% - Accent5 6 3 2" xfId="4676" xr:uid="{00000000-0005-0000-0000-000086480000}"/>
    <cellStyle name="40% - Accent5 6 3 2 2" xfId="4677" xr:uid="{00000000-0005-0000-0000-000087480000}"/>
    <cellStyle name="40% - Accent5 6 3 2 2 2" xfId="11211" xr:uid="{00000000-0005-0000-0000-000088480000}"/>
    <cellStyle name="40% - Accent5 6 3 2 2 2 2" xfId="25153" xr:uid="{00000000-0005-0000-0000-000089480000}"/>
    <cellStyle name="40% - Accent5 6 3 2 2 3" xfId="26824" xr:uid="{00000000-0005-0000-0000-00008A480000}"/>
    <cellStyle name="40% - Accent5 6 3 2 3" xfId="4678" xr:uid="{00000000-0005-0000-0000-00008B480000}"/>
    <cellStyle name="40% - Accent5 6 3 2 3 2" xfId="12996" xr:uid="{00000000-0005-0000-0000-00008C480000}"/>
    <cellStyle name="40% - Accent5 6 3 2 3 2 2" xfId="26708" xr:uid="{00000000-0005-0000-0000-00008D480000}"/>
    <cellStyle name="40% - Accent5 6 3 2 3 3" xfId="22801" xr:uid="{00000000-0005-0000-0000-00008E480000}"/>
    <cellStyle name="40% - Accent5 6 3 2 4" xfId="4679" xr:uid="{00000000-0005-0000-0000-00008F480000}"/>
    <cellStyle name="40% - Accent5 6 3 2 4 2" xfId="15452" xr:uid="{00000000-0005-0000-0000-000090480000}"/>
    <cellStyle name="40% - Accent5 6 3 2 4 2 2" xfId="29001" xr:uid="{00000000-0005-0000-0000-000091480000}"/>
    <cellStyle name="40% - Accent5 6 3 2 4 3" xfId="22800" xr:uid="{00000000-0005-0000-0000-000092480000}"/>
    <cellStyle name="40% - Accent5 6 3 2 5" xfId="4680" xr:uid="{00000000-0005-0000-0000-000093480000}"/>
    <cellStyle name="40% - Accent5 6 3 2 5 2" xfId="16837" xr:uid="{00000000-0005-0000-0000-000094480000}"/>
    <cellStyle name="40% - Accent5 6 3 2 5 2 2" xfId="30244" xr:uid="{00000000-0005-0000-0000-000095480000}"/>
    <cellStyle name="40% - Accent5 6 3 2 5 3" xfId="24212" xr:uid="{00000000-0005-0000-0000-000096480000}"/>
    <cellStyle name="40% - Accent5 6 3 2 6" xfId="9484" xr:uid="{00000000-0005-0000-0000-000097480000}"/>
    <cellStyle name="40% - Accent5 6 3 2 6 2" xfId="23959" xr:uid="{00000000-0005-0000-0000-000098480000}"/>
    <cellStyle name="40% - Accent5 6 3 2 7" xfId="22802" xr:uid="{00000000-0005-0000-0000-000099480000}"/>
    <cellStyle name="40% - Accent5 6 3 3" xfId="4681" xr:uid="{00000000-0005-0000-0000-00009A480000}"/>
    <cellStyle name="40% - Accent5 6 3 3 2" xfId="4682" xr:uid="{00000000-0005-0000-0000-00009B480000}"/>
    <cellStyle name="40% - Accent5 6 3 3 2 2" xfId="15453" xr:uid="{00000000-0005-0000-0000-00009C480000}"/>
    <cellStyle name="40% - Accent5 6 3 3 2 2 2" xfId="29002" xr:uid="{00000000-0005-0000-0000-00009D480000}"/>
    <cellStyle name="40% - Accent5 6 3 3 2 3" xfId="26822" xr:uid="{00000000-0005-0000-0000-00009E480000}"/>
    <cellStyle name="40% - Accent5 6 3 3 3" xfId="11210" xr:uid="{00000000-0005-0000-0000-00009F480000}"/>
    <cellStyle name="40% - Accent5 6 3 3 3 2" xfId="25152" xr:uid="{00000000-0005-0000-0000-0000A0480000}"/>
    <cellStyle name="40% - Accent5 6 3 3 4" xfId="22799" xr:uid="{00000000-0005-0000-0000-0000A1480000}"/>
    <cellStyle name="40% - Accent5 6 3 4" xfId="4683" xr:uid="{00000000-0005-0000-0000-0000A2480000}"/>
    <cellStyle name="40% - Accent5 6 3 4 2" xfId="12225" xr:uid="{00000000-0005-0000-0000-0000A3480000}"/>
    <cellStyle name="40% - Accent5 6 3 4 2 2" xfId="25937" xr:uid="{00000000-0005-0000-0000-0000A4480000}"/>
    <cellStyle name="40% - Accent5 6 3 4 3" xfId="22798" xr:uid="{00000000-0005-0000-0000-0000A5480000}"/>
    <cellStyle name="40% - Accent5 6 3 5" xfId="4684" xr:uid="{00000000-0005-0000-0000-0000A6480000}"/>
    <cellStyle name="40% - Accent5 6 3 5 2" xfId="12995" xr:uid="{00000000-0005-0000-0000-0000A7480000}"/>
    <cellStyle name="40% - Accent5 6 3 5 2 2" xfId="26707" xr:uid="{00000000-0005-0000-0000-0000A8480000}"/>
    <cellStyle name="40% - Accent5 6 3 5 3" xfId="22797" xr:uid="{00000000-0005-0000-0000-0000A9480000}"/>
    <cellStyle name="40% - Accent5 6 3 6" xfId="4685" xr:uid="{00000000-0005-0000-0000-0000AA480000}"/>
    <cellStyle name="40% - Accent5 6 3 6 2" xfId="13789" xr:uid="{00000000-0005-0000-0000-0000AB480000}"/>
    <cellStyle name="40% - Accent5 6 3 6 2 2" xfId="27338" xr:uid="{00000000-0005-0000-0000-0000AC480000}"/>
    <cellStyle name="40% - Accent5 6 3 6 3" xfId="24211" xr:uid="{00000000-0005-0000-0000-0000AD480000}"/>
    <cellStyle name="40% - Accent5 6 3 7" xfId="4686" xr:uid="{00000000-0005-0000-0000-0000AE480000}"/>
    <cellStyle name="40% - Accent5 6 3 7 2" xfId="14370" xr:uid="{00000000-0005-0000-0000-0000AF480000}"/>
    <cellStyle name="40% - Accent5 6 3 7 2 2" xfId="27919" xr:uid="{00000000-0005-0000-0000-0000B0480000}"/>
    <cellStyle name="40% - Accent5 6 3 7 3" xfId="22796" xr:uid="{00000000-0005-0000-0000-0000B1480000}"/>
    <cellStyle name="40% - Accent5 6 3 8" xfId="4687" xr:uid="{00000000-0005-0000-0000-0000B2480000}"/>
    <cellStyle name="40% - Accent5 6 3 8 2" xfId="15451" xr:uid="{00000000-0005-0000-0000-0000B3480000}"/>
    <cellStyle name="40% - Accent5 6 3 8 2 2" xfId="29000" xr:uid="{00000000-0005-0000-0000-0000B4480000}"/>
    <cellStyle name="40% - Accent5 6 3 8 3" xfId="22795" xr:uid="{00000000-0005-0000-0000-0000B5480000}"/>
    <cellStyle name="40% - Accent5 6 3 9" xfId="4688" xr:uid="{00000000-0005-0000-0000-0000B6480000}"/>
    <cellStyle name="40% - Accent5 6 3 9 2" xfId="16256" xr:uid="{00000000-0005-0000-0000-0000B7480000}"/>
    <cellStyle name="40% - Accent5 6 3 9 2 2" xfId="29663" xr:uid="{00000000-0005-0000-0000-0000B8480000}"/>
    <cellStyle name="40% - Accent5 6 3 9 3" xfId="23192" xr:uid="{00000000-0005-0000-0000-0000B9480000}"/>
    <cellStyle name="40% - Accent5 6 4" xfId="4689" xr:uid="{00000000-0005-0000-0000-0000BA480000}"/>
    <cellStyle name="40% - Accent5 6 4 2" xfId="4690" xr:uid="{00000000-0005-0000-0000-0000BB480000}"/>
    <cellStyle name="40% - Accent5 6 4 2 2" xfId="11212" xr:uid="{00000000-0005-0000-0000-0000BC480000}"/>
    <cellStyle name="40% - Accent5 6 4 2 2 2" xfId="25154" xr:uid="{00000000-0005-0000-0000-0000BD480000}"/>
    <cellStyle name="40% - Accent5 6 4 2 3" xfId="30675" xr:uid="{00000000-0005-0000-0000-0000BE480000}"/>
    <cellStyle name="40% - Accent5 6 4 3" xfId="4691" xr:uid="{00000000-0005-0000-0000-0000BF480000}"/>
    <cellStyle name="40% - Accent5 6 4 3 2" xfId="12997" xr:uid="{00000000-0005-0000-0000-0000C0480000}"/>
    <cellStyle name="40% - Accent5 6 4 3 2 2" xfId="26709" xr:uid="{00000000-0005-0000-0000-0000C1480000}"/>
    <cellStyle name="40% - Accent5 6 4 3 3" xfId="22794" xr:uid="{00000000-0005-0000-0000-0000C2480000}"/>
    <cellStyle name="40% - Accent5 6 4 4" xfId="4692" xr:uid="{00000000-0005-0000-0000-0000C3480000}"/>
    <cellStyle name="40% - Accent5 6 4 4 2" xfId="15454" xr:uid="{00000000-0005-0000-0000-0000C4480000}"/>
    <cellStyle name="40% - Accent5 6 4 4 2 2" xfId="29003" xr:uid="{00000000-0005-0000-0000-0000C5480000}"/>
    <cellStyle name="40% - Accent5 6 4 4 3" xfId="26821" xr:uid="{00000000-0005-0000-0000-0000C6480000}"/>
    <cellStyle name="40% - Accent5 6 4 5" xfId="4693" xr:uid="{00000000-0005-0000-0000-0000C7480000}"/>
    <cellStyle name="40% - Accent5 6 4 5 2" xfId="16548" xr:uid="{00000000-0005-0000-0000-0000C8480000}"/>
    <cellStyle name="40% - Accent5 6 4 5 2 2" xfId="29955" xr:uid="{00000000-0005-0000-0000-0000C9480000}"/>
    <cellStyle name="40% - Accent5 6 4 5 3" xfId="22793" xr:uid="{00000000-0005-0000-0000-0000CA480000}"/>
    <cellStyle name="40% - Accent5 6 4 6" xfId="9485" xr:uid="{00000000-0005-0000-0000-0000CB480000}"/>
    <cellStyle name="40% - Accent5 6 4 6 2" xfId="23960" xr:uid="{00000000-0005-0000-0000-0000CC480000}"/>
    <cellStyle name="40% - Accent5 6 4 7" xfId="23226" xr:uid="{00000000-0005-0000-0000-0000CD480000}"/>
    <cellStyle name="40% - Accent5 6 5" xfId="4694" xr:uid="{00000000-0005-0000-0000-0000CE480000}"/>
    <cellStyle name="40% - Accent5 6 5 2" xfId="4695" xr:uid="{00000000-0005-0000-0000-0000CF480000}"/>
    <cellStyle name="40% - Accent5 6 5 2 2" xfId="15455" xr:uid="{00000000-0005-0000-0000-0000D0480000}"/>
    <cellStyle name="40% - Accent5 6 5 2 2 2" xfId="29004" xr:uid="{00000000-0005-0000-0000-0000D1480000}"/>
    <cellStyle name="40% - Accent5 6 5 2 3" xfId="23197" xr:uid="{00000000-0005-0000-0000-0000D2480000}"/>
    <cellStyle name="40% - Accent5 6 5 3" xfId="11205" xr:uid="{00000000-0005-0000-0000-0000D3480000}"/>
    <cellStyle name="40% - Accent5 6 5 3 2" xfId="25147" xr:uid="{00000000-0005-0000-0000-0000D4480000}"/>
    <cellStyle name="40% - Accent5 6 5 4" xfId="22792" xr:uid="{00000000-0005-0000-0000-0000D5480000}"/>
    <cellStyle name="40% - Accent5 6 6" xfId="4696" xr:uid="{00000000-0005-0000-0000-0000D6480000}"/>
    <cellStyle name="40% - Accent5 6 6 2" xfId="11923" xr:uid="{00000000-0005-0000-0000-0000D7480000}"/>
    <cellStyle name="40% - Accent5 6 6 2 2" xfId="25638" xr:uid="{00000000-0005-0000-0000-0000D8480000}"/>
    <cellStyle name="40% - Accent5 6 6 3" xfId="26820" xr:uid="{00000000-0005-0000-0000-0000D9480000}"/>
    <cellStyle name="40% - Accent5 6 7" xfId="4697" xr:uid="{00000000-0005-0000-0000-0000DA480000}"/>
    <cellStyle name="40% - Accent5 6 7 2" xfId="12990" xr:uid="{00000000-0005-0000-0000-0000DB480000}"/>
    <cellStyle name="40% - Accent5 6 7 2 2" xfId="26702" xr:uid="{00000000-0005-0000-0000-0000DC480000}"/>
    <cellStyle name="40% - Accent5 6 7 3" xfId="22791" xr:uid="{00000000-0005-0000-0000-0000DD480000}"/>
    <cellStyle name="40% - Accent5 6 8" xfId="4698" xr:uid="{00000000-0005-0000-0000-0000DE480000}"/>
    <cellStyle name="40% - Accent5 6 8 2" xfId="13500" xr:uid="{00000000-0005-0000-0000-0000DF480000}"/>
    <cellStyle name="40% - Accent5 6 8 2 2" xfId="27049" xr:uid="{00000000-0005-0000-0000-0000E0480000}"/>
    <cellStyle name="40% - Accent5 6 8 3" xfId="24209" xr:uid="{00000000-0005-0000-0000-0000E1480000}"/>
    <cellStyle name="40% - Accent5 6 9" xfId="4699" xr:uid="{00000000-0005-0000-0000-0000E2480000}"/>
    <cellStyle name="40% - Accent5 6 9 2" xfId="14081" xr:uid="{00000000-0005-0000-0000-0000E3480000}"/>
    <cellStyle name="40% - Accent5 6 9 2 2" xfId="27630" xr:uid="{00000000-0005-0000-0000-0000E4480000}"/>
    <cellStyle name="40% - Accent5 6 9 3" xfId="22790" xr:uid="{00000000-0005-0000-0000-0000E5480000}"/>
    <cellStyle name="40% - Accent5 7" xfId="4700" xr:uid="{00000000-0005-0000-0000-0000E6480000}"/>
    <cellStyle name="40% - Accent5 7 10" xfId="4701" xr:uid="{00000000-0005-0000-0000-0000E7480000}"/>
    <cellStyle name="40% - Accent5 7 10 2" xfId="15986" xr:uid="{00000000-0005-0000-0000-0000E8480000}"/>
    <cellStyle name="40% - Accent5 7 10 2 2" xfId="29393" xr:uid="{00000000-0005-0000-0000-0000E9480000}"/>
    <cellStyle name="40% - Accent5 7 10 3" xfId="23219" xr:uid="{00000000-0005-0000-0000-0000EA480000}"/>
    <cellStyle name="40% - Accent5 7 11" xfId="9486" xr:uid="{00000000-0005-0000-0000-0000EB480000}"/>
    <cellStyle name="40% - Accent5 7 11 2" xfId="23961" xr:uid="{00000000-0005-0000-0000-0000EC480000}"/>
    <cellStyle name="40% - Accent5 7 12" xfId="22789" xr:uid="{00000000-0005-0000-0000-0000ED480000}"/>
    <cellStyle name="40% - Accent5 7 2" xfId="4702" xr:uid="{00000000-0005-0000-0000-0000EE480000}"/>
    <cellStyle name="40% - Accent5 7 2 10" xfId="9487" xr:uid="{00000000-0005-0000-0000-0000EF480000}"/>
    <cellStyle name="40% - Accent5 7 2 10 2" xfId="23962" xr:uid="{00000000-0005-0000-0000-0000F0480000}"/>
    <cellStyle name="40% - Accent5 7 2 11" xfId="24208" xr:uid="{00000000-0005-0000-0000-0000F1480000}"/>
    <cellStyle name="40% - Accent5 7 2 2" xfId="4703" xr:uid="{00000000-0005-0000-0000-0000F2480000}"/>
    <cellStyle name="40% - Accent5 7 2 2 2" xfId="4704" xr:uid="{00000000-0005-0000-0000-0000F3480000}"/>
    <cellStyle name="40% - Accent5 7 2 2 2 2" xfId="11215" xr:uid="{00000000-0005-0000-0000-0000F4480000}"/>
    <cellStyle name="40% - Accent5 7 2 2 2 2 2" xfId="25157" xr:uid="{00000000-0005-0000-0000-0000F5480000}"/>
    <cellStyle name="40% - Accent5 7 2 2 2 3" xfId="24207" xr:uid="{00000000-0005-0000-0000-0000F6480000}"/>
    <cellStyle name="40% - Accent5 7 2 2 3" xfId="4705" xr:uid="{00000000-0005-0000-0000-0000F7480000}"/>
    <cellStyle name="40% - Accent5 7 2 2 3 2" xfId="13000" xr:uid="{00000000-0005-0000-0000-0000F8480000}"/>
    <cellStyle name="40% - Accent5 7 2 2 3 2 2" xfId="26712" xr:uid="{00000000-0005-0000-0000-0000F9480000}"/>
    <cellStyle name="40% - Accent5 7 2 2 3 3" xfId="22787" xr:uid="{00000000-0005-0000-0000-0000FA480000}"/>
    <cellStyle name="40% - Accent5 7 2 2 4" xfId="4706" xr:uid="{00000000-0005-0000-0000-0000FB480000}"/>
    <cellStyle name="40% - Accent5 7 2 2 4 2" xfId="15458" xr:uid="{00000000-0005-0000-0000-0000FC480000}"/>
    <cellStyle name="40% - Accent5 7 2 2 4 2 2" xfId="29007" xr:uid="{00000000-0005-0000-0000-0000FD480000}"/>
    <cellStyle name="40% - Accent5 7 2 2 4 3" xfId="22786" xr:uid="{00000000-0005-0000-0000-0000FE480000}"/>
    <cellStyle name="40% - Accent5 7 2 2 5" xfId="4707" xr:uid="{00000000-0005-0000-0000-0000FF480000}"/>
    <cellStyle name="40% - Accent5 7 2 2 5 2" xfId="16856" xr:uid="{00000000-0005-0000-0000-000000490000}"/>
    <cellStyle name="40% - Accent5 7 2 2 5 2 2" xfId="30263" xr:uid="{00000000-0005-0000-0000-000001490000}"/>
    <cellStyle name="40% - Accent5 7 2 2 5 3" xfId="22785" xr:uid="{00000000-0005-0000-0000-000002490000}"/>
    <cellStyle name="40% - Accent5 7 2 2 6" xfId="9488" xr:uid="{00000000-0005-0000-0000-000003490000}"/>
    <cellStyle name="40% - Accent5 7 2 2 6 2" xfId="23963" xr:uid="{00000000-0005-0000-0000-000004490000}"/>
    <cellStyle name="40% - Accent5 7 2 2 7" xfId="22788" xr:uid="{00000000-0005-0000-0000-000005490000}"/>
    <cellStyle name="40% - Accent5 7 2 3" xfId="4708" xr:uid="{00000000-0005-0000-0000-000006490000}"/>
    <cellStyle name="40% - Accent5 7 2 3 2" xfId="4709" xr:uid="{00000000-0005-0000-0000-000007490000}"/>
    <cellStyle name="40% - Accent5 7 2 3 2 2" xfId="15459" xr:uid="{00000000-0005-0000-0000-000008490000}"/>
    <cellStyle name="40% - Accent5 7 2 3 2 2 2" xfId="29008" xr:uid="{00000000-0005-0000-0000-000009490000}"/>
    <cellStyle name="40% - Accent5 7 2 3 2 3" xfId="26819" xr:uid="{00000000-0005-0000-0000-00000A490000}"/>
    <cellStyle name="40% - Accent5 7 2 3 3" xfId="11214" xr:uid="{00000000-0005-0000-0000-00000B490000}"/>
    <cellStyle name="40% - Accent5 7 2 3 3 2" xfId="25156" xr:uid="{00000000-0005-0000-0000-00000C490000}"/>
    <cellStyle name="40% - Accent5 7 2 3 4" xfId="24452" xr:uid="{00000000-0005-0000-0000-00000D490000}"/>
    <cellStyle name="40% - Accent5 7 2 4" xfId="4710" xr:uid="{00000000-0005-0000-0000-00000E490000}"/>
    <cellStyle name="40% - Accent5 7 2 4 2" xfId="12244" xr:uid="{00000000-0005-0000-0000-00000F490000}"/>
    <cellStyle name="40% - Accent5 7 2 4 2 2" xfId="25956" xr:uid="{00000000-0005-0000-0000-000010490000}"/>
    <cellStyle name="40% - Accent5 7 2 4 3" xfId="22784" xr:uid="{00000000-0005-0000-0000-000011490000}"/>
    <cellStyle name="40% - Accent5 7 2 5" xfId="4711" xr:uid="{00000000-0005-0000-0000-000012490000}"/>
    <cellStyle name="40% - Accent5 7 2 5 2" xfId="12999" xr:uid="{00000000-0005-0000-0000-000013490000}"/>
    <cellStyle name="40% - Accent5 7 2 5 2 2" xfId="26711" xr:uid="{00000000-0005-0000-0000-000014490000}"/>
    <cellStyle name="40% - Accent5 7 2 5 3" xfId="22783" xr:uid="{00000000-0005-0000-0000-000015490000}"/>
    <cellStyle name="40% - Accent5 7 2 6" xfId="4712" xr:uid="{00000000-0005-0000-0000-000016490000}"/>
    <cellStyle name="40% - Accent5 7 2 6 2" xfId="13808" xr:uid="{00000000-0005-0000-0000-000017490000}"/>
    <cellStyle name="40% - Accent5 7 2 6 2 2" xfId="27357" xr:uid="{00000000-0005-0000-0000-000018490000}"/>
    <cellStyle name="40% - Accent5 7 2 6 3" xfId="23231" xr:uid="{00000000-0005-0000-0000-000019490000}"/>
    <cellStyle name="40% - Accent5 7 2 7" xfId="4713" xr:uid="{00000000-0005-0000-0000-00001A490000}"/>
    <cellStyle name="40% - Accent5 7 2 7 2" xfId="14389" xr:uid="{00000000-0005-0000-0000-00001B490000}"/>
    <cellStyle name="40% - Accent5 7 2 7 2 2" xfId="27938" xr:uid="{00000000-0005-0000-0000-00001C490000}"/>
    <cellStyle name="40% - Accent5 7 2 7 3" xfId="23280" xr:uid="{00000000-0005-0000-0000-00001D490000}"/>
    <cellStyle name="40% - Accent5 7 2 8" xfId="4714" xr:uid="{00000000-0005-0000-0000-00001E490000}"/>
    <cellStyle name="40% - Accent5 7 2 8 2" xfId="15457" xr:uid="{00000000-0005-0000-0000-00001F490000}"/>
    <cellStyle name="40% - Accent5 7 2 8 2 2" xfId="29006" xr:uid="{00000000-0005-0000-0000-000020490000}"/>
    <cellStyle name="40% - Accent5 7 2 8 3" xfId="22782" xr:uid="{00000000-0005-0000-0000-000021490000}"/>
    <cellStyle name="40% - Accent5 7 2 9" xfId="4715" xr:uid="{00000000-0005-0000-0000-000022490000}"/>
    <cellStyle name="40% - Accent5 7 2 9 2" xfId="16275" xr:uid="{00000000-0005-0000-0000-000023490000}"/>
    <cellStyle name="40% - Accent5 7 2 9 2 2" xfId="29682" xr:uid="{00000000-0005-0000-0000-000024490000}"/>
    <cellStyle name="40% - Accent5 7 2 9 3" xfId="24206" xr:uid="{00000000-0005-0000-0000-000025490000}"/>
    <cellStyle name="40% - Accent5 7 3" xfId="4716" xr:uid="{00000000-0005-0000-0000-000026490000}"/>
    <cellStyle name="40% - Accent5 7 3 2" xfId="4717" xr:uid="{00000000-0005-0000-0000-000027490000}"/>
    <cellStyle name="40% - Accent5 7 3 2 2" xfId="11216" xr:uid="{00000000-0005-0000-0000-000028490000}"/>
    <cellStyle name="40% - Accent5 7 3 2 2 2" xfId="25158" xr:uid="{00000000-0005-0000-0000-000029490000}"/>
    <cellStyle name="40% - Accent5 7 3 2 3" xfId="24205" xr:uid="{00000000-0005-0000-0000-00002A490000}"/>
    <cellStyle name="40% - Accent5 7 3 3" xfId="4718" xr:uid="{00000000-0005-0000-0000-00002B490000}"/>
    <cellStyle name="40% - Accent5 7 3 3 2" xfId="13001" xr:uid="{00000000-0005-0000-0000-00002C490000}"/>
    <cellStyle name="40% - Accent5 7 3 3 2 2" xfId="26713" xr:uid="{00000000-0005-0000-0000-00002D490000}"/>
    <cellStyle name="40% - Accent5 7 3 3 3" xfId="22780" xr:uid="{00000000-0005-0000-0000-00002E490000}"/>
    <cellStyle name="40% - Accent5 7 3 4" xfId="4719" xr:uid="{00000000-0005-0000-0000-00002F490000}"/>
    <cellStyle name="40% - Accent5 7 3 4 2" xfId="15460" xr:uid="{00000000-0005-0000-0000-000030490000}"/>
    <cellStyle name="40% - Accent5 7 3 4 2 2" xfId="29009" xr:uid="{00000000-0005-0000-0000-000031490000}"/>
    <cellStyle name="40% - Accent5 7 3 4 3" xfId="24204" xr:uid="{00000000-0005-0000-0000-000032490000}"/>
    <cellStyle name="40% - Accent5 7 3 5" xfId="4720" xr:uid="{00000000-0005-0000-0000-000033490000}"/>
    <cellStyle name="40% - Accent5 7 3 5 2" xfId="16567" xr:uid="{00000000-0005-0000-0000-000034490000}"/>
    <cellStyle name="40% - Accent5 7 3 5 2 2" xfId="29974" xr:uid="{00000000-0005-0000-0000-000035490000}"/>
    <cellStyle name="40% - Accent5 7 3 5 3" xfId="22779" xr:uid="{00000000-0005-0000-0000-000036490000}"/>
    <cellStyle name="40% - Accent5 7 3 6" xfId="9489" xr:uid="{00000000-0005-0000-0000-000037490000}"/>
    <cellStyle name="40% - Accent5 7 3 6 2" xfId="23964" xr:uid="{00000000-0005-0000-0000-000038490000}"/>
    <cellStyle name="40% - Accent5 7 3 7" xfId="22781" xr:uid="{00000000-0005-0000-0000-000039490000}"/>
    <cellStyle name="40% - Accent5 7 4" xfId="4721" xr:uid="{00000000-0005-0000-0000-00003A490000}"/>
    <cellStyle name="40% - Accent5 7 4 2" xfId="4722" xr:uid="{00000000-0005-0000-0000-00003B490000}"/>
    <cellStyle name="40% - Accent5 7 4 2 2" xfId="15461" xr:uid="{00000000-0005-0000-0000-00003C490000}"/>
    <cellStyle name="40% - Accent5 7 4 2 2 2" xfId="29010" xr:uid="{00000000-0005-0000-0000-00003D490000}"/>
    <cellStyle name="40% - Accent5 7 4 2 3" xfId="22778" xr:uid="{00000000-0005-0000-0000-00003E490000}"/>
    <cellStyle name="40% - Accent5 7 4 3" xfId="11213" xr:uid="{00000000-0005-0000-0000-00003F490000}"/>
    <cellStyle name="40% - Accent5 7 4 3 2" xfId="25155" xr:uid="{00000000-0005-0000-0000-000040490000}"/>
    <cellStyle name="40% - Accent5 7 4 4" xfId="24203" xr:uid="{00000000-0005-0000-0000-000041490000}"/>
    <cellStyle name="40% - Accent5 7 5" xfId="4723" xr:uid="{00000000-0005-0000-0000-000042490000}"/>
    <cellStyle name="40% - Accent5 7 5 2" xfId="11942" xr:uid="{00000000-0005-0000-0000-000043490000}"/>
    <cellStyle name="40% - Accent5 7 5 2 2" xfId="25657" xr:uid="{00000000-0005-0000-0000-000044490000}"/>
    <cellStyle name="40% - Accent5 7 5 3" xfId="24201" xr:uid="{00000000-0005-0000-0000-000045490000}"/>
    <cellStyle name="40% - Accent5 7 6" xfId="4724" xr:uid="{00000000-0005-0000-0000-000046490000}"/>
    <cellStyle name="40% - Accent5 7 6 2" xfId="12998" xr:uid="{00000000-0005-0000-0000-000047490000}"/>
    <cellStyle name="40% - Accent5 7 6 2 2" xfId="26710" xr:uid="{00000000-0005-0000-0000-000048490000}"/>
    <cellStyle name="40% - Accent5 7 6 3" xfId="24202" xr:uid="{00000000-0005-0000-0000-000049490000}"/>
    <cellStyle name="40% - Accent5 7 7" xfId="4725" xr:uid="{00000000-0005-0000-0000-00004A490000}"/>
    <cellStyle name="40% - Accent5 7 7 2" xfId="13519" xr:uid="{00000000-0005-0000-0000-00004B490000}"/>
    <cellStyle name="40% - Accent5 7 7 2 2" xfId="27068" xr:uid="{00000000-0005-0000-0000-00004C490000}"/>
    <cellStyle name="40% - Accent5 7 7 3" xfId="22777" xr:uid="{00000000-0005-0000-0000-00004D490000}"/>
    <cellStyle name="40% - Accent5 7 8" xfId="4726" xr:uid="{00000000-0005-0000-0000-00004E490000}"/>
    <cellStyle name="40% - Accent5 7 8 2" xfId="14100" xr:uid="{00000000-0005-0000-0000-00004F490000}"/>
    <cellStyle name="40% - Accent5 7 8 2 2" xfId="27649" xr:uid="{00000000-0005-0000-0000-000050490000}"/>
    <cellStyle name="40% - Accent5 7 8 3" xfId="22776" xr:uid="{00000000-0005-0000-0000-000051490000}"/>
    <cellStyle name="40% - Accent5 7 9" xfId="4727" xr:uid="{00000000-0005-0000-0000-000052490000}"/>
    <cellStyle name="40% - Accent5 7 9 2" xfId="15456" xr:uid="{00000000-0005-0000-0000-000053490000}"/>
    <cellStyle name="40% - Accent5 7 9 2 2" xfId="29005" xr:uid="{00000000-0005-0000-0000-000054490000}"/>
    <cellStyle name="40% - Accent5 7 9 3" xfId="24200" xr:uid="{00000000-0005-0000-0000-000055490000}"/>
    <cellStyle name="40% - Accent5 8" xfId="4728" xr:uid="{00000000-0005-0000-0000-000056490000}"/>
    <cellStyle name="40% - Accent5 8 10" xfId="9490" xr:uid="{00000000-0005-0000-0000-000057490000}"/>
    <cellStyle name="40% - Accent5 8 10 2" xfId="23965" xr:uid="{00000000-0005-0000-0000-000058490000}"/>
    <cellStyle name="40% - Accent5 8 11" xfId="26817" xr:uid="{00000000-0005-0000-0000-000059490000}"/>
    <cellStyle name="40% - Accent5 8 2" xfId="4729" xr:uid="{00000000-0005-0000-0000-00005A490000}"/>
    <cellStyle name="40% - Accent5 8 2 2" xfId="4730" xr:uid="{00000000-0005-0000-0000-00005B490000}"/>
    <cellStyle name="40% - Accent5 8 2 2 2" xfId="11218" xr:uid="{00000000-0005-0000-0000-00005C490000}"/>
    <cellStyle name="40% - Accent5 8 2 2 2 2" xfId="25160" xr:uid="{00000000-0005-0000-0000-00005D490000}"/>
    <cellStyle name="40% - Accent5 8 2 2 3" xfId="26818" xr:uid="{00000000-0005-0000-0000-00005E490000}"/>
    <cellStyle name="40% - Accent5 8 2 3" xfId="4731" xr:uid="{00000000-0005-0000-0000-00005F490000}"/>
    <cellStyle name="40% - Accent5 8 2 3 2" xfId="13003" xr:uid="{00000000-0005-0000-0000-000060490000}"/>
    <cellStyle name="40% - Accent5 8 2 3 2 2" xfId="26715" xr:uid="{00000000-0005-0000-0000-000061490000}"/>
    <cellStyle name="40% - Accent5 8 2 3 3" xfId="22774" xr:uid="{00000000-0005-0000-0000-000062490000}"/>
    <cellStyle name="40% - Accent5 8 2 4" xfId="4732" xr:uid="{00000000-0005-0000-0000-000063490000}"/>
    <cellStyle name="40% - Accent5 8 2 4 2" xfId="15463" xr:uid="{00000000-0005-0000-0000-000064490000}"/>
    <cellStyle name="40% - Accent5 8 2 4 2 2" xfId="29012" xr:uid="{00000000-0005-0000-0000-000065490000}"/>
    <cellStyle name="40% - Accent5 8 2 4 3" xfId="22773" xr:uid="{00000000-0005-0000-0000-000066490000}"/>
    <cellStyle name="40% - Accent5 8 2 5" xfId="4733" xr:uid="{00000000-0005-0000-0000-000067490000}"/>
    <cellStyle name="40% - Accent5 8 2 5 2" xfId="16711" xr:uid="{00000000-0005-0000-0000-000068490000}"/>
    <cellStyle name="40% - Accent5 8 2 5 2 2" xfId="30118" xr:uid="{00000000-0005-0000-0000-000069490000}"/>
    <cellStyle name="40% - Accent5 8 2 5 3" xfId="24198" xr:uid="{00000000-0005-0000-0000-00006A490000}"/>
    <cellStyle name="40% - Accent5 8 2 6" xfId="9491" xr:uid="{00000000-0005-0000-0000-00006B490000}"/>
    <cellStyle name="40% - Accent5 8 2 6 2" xfId="23966" xr:uid="{00000000-0005-0000-0000-00006C490000}"/>
    <cellStyle name="40% - Accent5 8 2 7" xfId="22775" xr:uid="{00000000-0005-0000-0000-00006D490000}"/>
    <cellStyle name="40% - Accent5 8 3" xfId="4734" xr:uid="{00000000-0005-0000-0000-00006E490000}"/>
    <cellStyle name="40% - Accent5 8 3 2" xfId="4735" xr:uid="{00000000-0005-0000-0000-00006F490000}"/>
    <cellStyle name="40% - Accent5 8 3 2 2" xfId="15464" xr:uid="{00000000-0005-0000-0000-000070490000}"/>
    <cellStyle name="40% - Accent5 8 3 2 2 2" xfId="29013" xr:uid="{00000000-0005-0000-0000-000071490000}"/>
    <cellStyle name="40% - Accent5 8 3 2 3" xfId="22772" xr:uid="{00000000-0005-0000-0000-000072490000}"/>
    <cellStyle name="40% - Accent5 8 3 3" xfId="11217" xr:uid="{00000000-0005-0000-0000-000073490000}"/>
    <cellStyle name="40% - Accent5 8 3 3 2" xfId="25159" xr:uid="{00000000-0005-0000-0000-000074490000}"/>
    <cellStyle name="40% - Accent5 8 3 4" xfId="24199" xr:uid="{00000000-0005-0000-0000-000075490000}"/>
    <cellStyle name="40% - Accent5 8 4" xfId="4736" xr:uid="{00000000-0005-0000-0000-000076490000}"/>
    <cellStyle name="40% - Accent5 8 4 2" xfId="12089" xr:uid="{00000000-0005-0000-0000-000077490000}"/>
    <cellStyle name="40% - Accent5 8 4 2 2" xfId="25803" xr:uid="{00000000-0005-0000-0000-000078490000}"/>
    <cellStyle name="40% - Accent5 8 4 3" xfId="22771" xr:uid="{00000000-0005-0000-0000-000079490000}"/>
    <cellStyle name="40% - Accent5 8 5" xfId="4737" xr:uid="{00000000-0005-0000-0000-00007A490000}"/>
    <cellStyle name="40% - Accent5 8 5 2" xfId="13002" xr:uid="{00000000-0005-0000-0000-00007B490000}"/>
    <cellStyle name="40% - Accent5 8 5 2 2" xfId="26714" xr:uid="{00000000-0005-0000-0000-00007C490000}"/>
    <cellStyle name="40% - Accent5 8 5 3" xfId="24197" xr:uid="{00000000-0005-0000-0000-00007D490000}"/>
    <cellStyle name="40% - Accent5 8 6" xfId="4738" xr:uid="{00000000-0005-0000-0000-00007E490000}"/>
    <cellStyle name="40% - Accent5 8 6 2" xfId="13663" xr:uid="{00000000-0005-0000-0000-00007F490000}"/>
    <cellStyle name="40% - Accent5 8 6 2 2" xfId="27212" xr:uid="{00000000-0005-0000-0000-000080490000}"/>
    <cellStyle name="40% - Accent5 8 6 3" xfId="22770" xr:uid="{00000000-0005-0000-0000-000081490000}"/>
    <cellStyle name="40% - Accent5 8 7" xfId="4739" xr:uid="{00000000-0005-0000-0000-000082490000}"/>
    <cellStyle name="40% - Accent5 8 7 2" xfId="14244" xr:uid="{00000000-0005-0000-0000-000083490000}"/>
    <cellStyle name="40% - Accent5 8 7 2 2" xfId="27793" xr:uid="{00000000-0005-0000-0000-000084490000}"/>
    <cellStyle name="40% - Accent5 8 7 3" xfId="24194" xr:uid="{00000000-0005-0000-0000-000085490000}"/>
    <cellStyle name="40% - Accent5 8 8" xfId="4740" xr:uid="{00000000-0005-0000-0000-000086490000}"/>
    <cellStyle name="40% - Accent5 8 8 2" xfId="15462" xr:uid="{00000000-0005-0000-0000-000087490000}"/>
    <cellStyle name="40% - Accent5 8 8 2 2" xfId="29011" xr:uid="{00000000-0005-0000-0000-000088490000}"/>
    <cellStyle name="40% - Accent5 8 8 3" xfId="22769" xr:uid="{00000000-0005-0000-0000-000089490000}"/>
    <cellStyle name="40% - Accent5 8 9" xfId="4741" xr:uid="{00000000-0005-0000-0000-00008A490000}"/>
    <cellStyle name="40% - Accent5 8 9 2" xfId="16130" xr:uid="{00000000-0005-0000-0000-00008B490000}"/>
    <cellStyle name="40% - Accent5 8 9 2 2" xfId="29537" xr:uid="{00000000-0005-0000-0000-00008C490000}"/>
    <cellStyle name="40% - Accent5 8 9 3" xfId="25244" xr:uid="{00000000-0005-0000-0000-00008D490000}"/>
    <cellStyle name="40% - Accent5 9" xfId="4742" xr:uid="{00000000-0005-0000-0000-00008E490000}"/>
    <cellStyle name="40% - Accent5 9 2" xfId="4743" xr:uid="{00000000-0005-0000-0000-00008F490000}"/>
    <cellStyle name="40% - Accent5 9 2 2" xfId="11219" xr:uid="{00000000-0005-0000-0000-000090490000}"/>
    <cellStyle name="40% - Accent5 9 2 2 2" xfId="25161" xr:uid="{00000000-0005-0000-0000-000091490000}"/>
    <cellStyle name="40% - Accent5 9 2 3" xfId="24434" xr:uid="{00000000-0005-0000-0000-000092490000}"/>
    <cellStyle name="40% - Accent5 9 3" xfId="4744" xr:uid="{00000000-0005-0000-0000-000093490000}"/>
    <cellStyle name="40% - Accent5 9 3 2" xfId="13004" xr:uid="{00000000-0005-0000-0000-000094490000}"/>
    <cellStyle name="40% - Accent5 9 3 2 2" xfId="26716" xr:uid="{00000000-0005-0000-0000-000095490000}"/>
    <cellStyle name="40% - Accent5 9 3 3" xfId="29130" xr:uid="{00000000-0005-0000-0000-000096490000}"/>
    <cellStyle name="40% - Accent5 9 4" xfId="4745" xr:uid="{00000000-0005-0000-0000-000097490000}"/>
    <cellStyle name="40% - Accent5 9 4 2" xfId="15465" xr:uid="{00000000-0005-0000-0000-000098490000}"/>
    <cellStyle name="40% - Accent5 9 4 2 2" xfId="29014" xr:uid="{00000000-0005-0000-0000-000099490000}"/>
    <cellStyle name="40% - Accent5 9 4 3" xfId="22767" xr:uid="{00000000-0005-0000-0000-00009A490000}"/>
    <cellStyle name="40% - Accent5 9 5" xfId="4746" xr:uid="{00000000-0005-0000-0000-00009B490000}"/>
    <cellStyle name="40% - Accent5 9 5 2" xfId="17095" xr:uid="{00000000-0005-0000-0000-00009C490000}"/>
    <cellStyle name="40% - Accent5 9 5 2 2" xfId="30454" xr:uid="{00000000-0005-0000-0000-00009D490000}"/>
    <cellStyle name="40% - Accent5 9 5 3" xfId="22766" xr:uid="{00000000-0005-0000-0000-00009E490000}"/>
    <cellStyle name="40% - Accent5 9 6" xfId="9492" xr:uid="{00000000-0005-0000-0000-00009F490000}"/>
    <cellStyle name="40% - Accent5 9 6 2" xfId="23967" xr:uid="{00000000-0005-0000-0000-0000A0490000}"/>
    <cellStyle name="40% - Accent5 9 7" xfId="22768" xr:uid="{00000000-0005-0000-0000-0000A1490000}"/>
    <cellStyle name="40% - Accent6" xfId="38" builtinId="51" customBuiltin="1"/>
    <cellStyle name="40% - Accent6 10" xfId="4747" xr:uid="{00000000-0005-0000-0000-0000A3490000}"/>
    <cellStyle name="40% - Accent6 10 2" xfId="4748" xr:uid="{00000000-0005-0000-0000-0000A4490000}"/>
    <cellStyle name="40% - Accent6 10 2 2" xfId="4749" xr:uid="{00000000-0005-0000-0000-0000A5490000}"/>
    <cellStyle name="40% - Accent6 10 2 2 2" xfId="13007" xr:uid="{00000000-0005-0000-0000-0000A6490000}"/>
    <cellStyle name="40% - Accent6 10 2 2 2 2" xfId="26719" xr:uid="{00000000-0005-0000-0000-0000A7490000}"/>
    <cellStyle name="40% - Accent6 10 2 2 3" xfId="24195" xr:uid="{00000000-0005-0000-0000-0000A8490000}"/>
    <cellStyle name="40% - Accent6 10 2 3" xfId="4750" xr:uid="{00000000-0005-0000-0000-0000A9490000}"/>
    <cellStyle name="40% - Accent6 10 2 3 2" xfId="15468" xr:uid="{00000000-0005-0000-0000-0000AA490000}"/>
    <cellStyle name="40% - Accent6 10 2 3 2 2" xfId="29017" xr:uid="{00000000-0005-0000-0000-0000AB490000}"/>
    <cellStyle name="40% - Accent6 10 2 3 3" xfId="22764" xr:uid="{00000000-0005-0000-0000-0000AC490000}"/>
    <cellStyle name="40% - Accent6 10 2 4" xfId="11221" xr:uid="{00000000-0005-0000-0000-0000AD490000}"/>
    <cellStyle name="40% - Accent6 10 2 4 2" xfId="25163" xr:uid="{00000000-0005-0000-0000-0000AE490000}"/>
    <cellStyle name="40% - Accent6 10 2 5" xfId="22765" xr:uid="{00000000-0005-0000-0000-0000AF490000}"/>
    <cellStyle name="40% - Accent6 10 3" xfId="4751" xr:uid="{00000000-0005-0000-0000-0000B0490000}"/>
    <cellStyle name="40% - Accent6 10 3 2" xfId="13006" xr:uid="{00000000-0005-0000-0000-0000B1490000}"/>
    <cellStyle name="40% - Accent6 10 3 2 2" xfId="26718" xr:uid="{00000000-0005-0000-0000-0000B2490000}"/>
    <cellStyle name="40% - Accent6 10 3 3" xfId="23233" xr:uid="{00000000-0005-0000-0000-0000B3490000}"/>
    <cellStyle name="40% - Accent6 10 4" xfId="4752" xr:uid="{00000000-0005-0000-0000-0000B4490000}"/>
    <cellStyle name="40% - Accent6 10 4 2" xfId="15467" xr:uid="{00000000-0005-0000-0000-0000B5490000}"/>
    <cellStyle name="40% - Accent6 10 4 2 2" xfId="29016" xr:uid="{00000000-0005-0000-0000-0000B6490000}"/>
    <cellStyle name="40% - Accent6 10 4 3" xfId="24193" xr:uid="{00000000-0005-0000-0000-0000B7490000}"/>
    <cellStyle name="40% - Accent6 10 5" xfId="4753" xr:uid="{00000000-0005-0000-0000-0000B8490000}"/>
    <cellStyle name="40% - Accent6 10 5 2" xfId="17185" xr:uid="{00000000-0005-0000-0000-0000B9490000}"/>
    <cellStyle name="40% - Accent6 10 5 2 2" xfId="30544" xr:uid="{00000000-0005-0000-0000-0000BA490000}"/>
    <cellStyle name="40% - Accent6 10 5 3" xfId="22763" xr:uid="{00000000-0005-0000-0000-0000BB490000}"/>
    <cellStyle name="40% - Accent6 10 6" xfId="9494" xr:uid="{00000000-0005-0000-0000-0000BC490000}"/>
    <cellStyle name="40% - Accent6 10 6 2" xfId="23969" xr:uid="{00000000-0005-0000-0000-0000BD490000}"/>
    <cellStyle name="40% - Accent6 10 7" xfId="24196" xr:uid="{00000000-0005-0000-0000-0000BE490000}"/>
    <cellStyle name="40% - Accent6 11" xfId="4754" xr:uid="{00000000-0005-0000-0000-0000BF490000}"/>
    <cellStyle name="40% - Accent6 11 2" xfId="4755" xr:uid="{00000000-0005-0000-0000-0000C0490000}"/>
    <cellStyle name="40% - Accent6 11 2 2" xfId="11222" xr:uid="{00000000-0005-0000-0000-0000C1490000}"/>
    <cellStyle name="40% - Accent6 11 2 2 2" xfId="25164" xr:uid="{00000000-0005-0000-0000-0000C2490000}"/>
    <cellStyle name="40% - Accent6 11 2 3" xfId="22762" xr:uid="{00000000-0005-0000-0000-0000C3490000}"/>
    <cellStyle name="40% - Accent6 11 3" xfId="4756" xr:uid="{00000000-0005-0000-0000-0000C4490000}"/>
    <cellStyle name="40% - Accent6 11 3 2" xfId="13008" xr:uid="{00000000-0005-0000-0000-0000C5490000}"/>
    <cellStyle name="40% - Accent6 11 3 2 2" xfId="26720" xr:uid="{00000000-0005-0000-0000-0000C6490000}"/>
    <cellStyle name="40% - Accent6 11 3 3" xfId="24191" xr:uid="{00000000-0005-0000-0000-0000C7490000}"/>
    <cellStyle name="40% - Accent6 11 4" xfId="4757" xr:uid="{00000000-0005-0000-0000-0000C8490000}"/>
    <cellStyle name="40% - Accent6 11 4 2" xfId="15469" xr:uid="{00000000-0005-0000-0000-0000C9490000}"/>
    <cellStyle name="40% - Accent6 11 4 2 2" xfId="29018" xr:uid="{00000000-0005-0000-0000-0000CA490000}"/>
    <cellStyle name="40% - Accent6 11 4 3" xfId="22761" xr:uid="{00000000-0005-0000-0000-0000CB490000}"/>
    <cellStyle name="40% - Accent6 11 5" xfId="4758" xr:uid="{00000000-0005-0000-0000-0000CC490000}"/>
    <cellStyle name="40% - Accent6 11 5 2" xfId="17274" xr:uid="{00000000-0005-0000-0000-0000CD490000}"/>
    <cellStyle name="40% - Accent6 11 5 2 2" xfId="30633" xr:uid="{00000000-0005-0000-0000-0000CE490000}"/>
    <cellStyle name="40% - Accent6 11 5 3" xfId="24190" xr:uid="{00000000-0005-0000-0000-0000CF490000}"/>
    <cellStyle name="40% - Accent6 11 6" xfId="9495" xr:uid="{00000000-0005-0000-0000-0000D0490000}"/>
    <cellStyle name="40% - Accent6 11 6 2" xfId="23970" xr:uid="{00000000-0005-0000-0000-0000D1490000}"/>
    <cellStyle name="40% - Accent6 11 7" xfId="24192" xr:uid="{00000000-0005-0000-0000-0000D2490000}"/>
    <cellStyle name="40% - Accent6 12" xfId="4759" xr:uid="{00000000-0005-0000-0000-0000D3490000}"/>
    <cellStyle name="40% - Accent6 12 2" xfId="4760" xr:uid="{00000000-0005-0000-0000-0000D4490000}"/>
    <cellStyle name="40% - Accent6 12 2 2" xfId="4761" xr:uid="{00000000-0005-0000-0000-0000D5490000}"/>
    <cellStyle name="40% - Accent6 12 2 2 2" xfId="11224" xr:uid="{00000000-0005-0000-0000-0000D6490000}"/>
    <cellStyle name="40% - Accent6 12 2 2 2 2" xfId="25166" xr:uid="{00000000-0005-0000-0000-0000D7490000}"/>
    <cellStyle name="40% - Accent6 12 2 2 3" xfId="24189" xr:uid="{00000000-0005-0000-0000-0000D8490000}"/>
    <cellStyle name="40% - Accent6 12 2 3" xfId="4762" xr:uid="{00000000-0005-0000-0000-0000D9490000}"/>
    <cellStyle name="40% - Accent6 12 2 3 2" xfId="13010" xr:uid="{00000000-0005-0000-0000-0000DA490000}"/>
    <cellStyle name="40% - Accent6 12 2 3 2 2" xfId="26722" xr:uid="{00000000-0005-0000-0000-0000DB490000}"/>
    <cellStyle name="40% - Accent6 12 2 3 3" xfId="22759" xr:uid="{00000000-0005-0000-0000-0000DC490000}"/>
    <cellStyle name="40% - Accent6 12 2 4" xfId="4763" xr:uid="{00000000-0005-0000-0000-0000DD490000}"/>
    <cellStyle name="40% - Accent6 12 2 4 2" xfId="15471" xr:uid="{00000000-0005-0000-0000-0000DE490000}"/>
    <cellStyle name="40% - Accent6 12 2 4 2 2" xfId="29020" xr:uid="{00000000-0005-0000-0000-0000DF490000}"/>
    <cellStyle name="40% - Accent6 12 2 4 3" xfId="22758" xr:uid="{00000000-0005-0000-0000-0000E0490000}"/>
    <cellStyle name="40% - Accent6 12 2 5" xfId="9497" xr:uid="{00000000-0005-0000-0000-0000E1490000}"/>
    <cellStyle name="40% - Accent6 12 2 5 2" xfId="23972" xr:uid="{00000000-0005-0000-0000-0000E2490000}"/>
    <cellStyle name="40% - Accent6 12 2 6" xfId="24188" xr:uid="{00000000-0005-0000-0000-0000E3490000}"/>
    <cellStyle name="40% - Accent6 12 3" xfId="4764" xr:uid="{00000000-0005-0000-0000-0000E4490000}"/>
    <cellStyle name="40% - Accent6 12 3 2" xfId="11223" xr:uid="{00000000-0005-0000-0000-0000E5490000}"/>
    <cellStyle name="40% - Accent6 12 3 2 2" xfId="25165" xr:uid="{00000000-0005-0000-0000-0000E6490000}"/>
    <cellStyle name="40% - Accent6 12 3 3" xfId="24187" xr:uid="{00000000-0005-0000-0000-0000E7490000}"/>
    <cellStyle name="40% - Accent6 12 4" xfId="4765" xr:uid="{00000000-0005-0000-0000-0000E8490000}"/>
    <cellStyle name="40% - Accent6 12 4 2" xfId="13009" xr:uid="{00000000-0005-0000-0000-0000E9490000}"/>
    <cellStyle name="40% - Accent6 12 4 2 2" xfId="26721" xr:uid="{00000000-0005-0000-0000-0000EA490000}"/>
    <cellStyle name="40% - Accent6 12 4 3" xfId="26815" xr:uid="{00000000-0005-0000-0000-0000EB490000}"/>
    <cellStyle name="40% - Accent6 12 5" xfId="4766" xr:uid="{00000000-0005-0000-0000-0000EC490000}"/>
    <cellStyle name="40% - Accent6 12 5 2" xfId="15470" xr:uid="{00000000-0005-0000-0000-0000ED490000}"/>
    <cellStyle name="40% - Accent6 12 5 2 2" xfId="29019" xr:uid="{00000000-0005-0000-0000-0000EE490000}"/>
    <cellStyle name="40% - Accent6 12 5 3" xfId="22757" xr:uid="{00000000-0005-0000-0000-0000EF490000}"/>
    <cellStyle name="40% - Accent6 12 6" xfId="4767" xr:uid="{00000000-0005-0000-0000-0000F0490000}"/>
    <cellStyle name="40% - Accent6 12 6 2" xfId="16426" xr:uid="{00000000-0005-0000-0000-0000F1490000}"/>
    <cellStyle name="40% - Accent6 12 6 2 2" xfId="29833" xr:uid="{00000000-0005-0000-0000-0000F2490000}"/>
    <cellStyle name="40% - Accent6 12 6 3" xfId="26816" xr:uid="{00000000-0005-0000-0000-0000F3490000}"/>
    <cellStyle name="40% - Accent6 12 7" xfId="9496" xr:uid="{00000000-0005-0000-0000-0000F4490000}"/>
    <cellStyle name="40% - Accent6 12 7 2" xfId="23971" xr:uid="{00000000-0005-0000-0000-0000F5490000}"/>
    <cellStyle name="40% - Accent6 12 8" xfId="22760" xr:uid="{00000000-0005-0000-0000-0000F6490000}"/>
    <cellStyle name="40% - Accent6 13" xfId="4768" xr:uid="{00000000-0005-0000-0000-0000F7490000}"/>
    <cellStyle name="40% - Accent6 13 2" xfId="4769" xr:uid="{00000000-0005-0000-0000-0000F8490000}"/>
    <cellStyle name="40% - Accent6 13 2 2" xfId="11225" xr:uid="{00000000-0005-0000-0000-0000F9490000}"/>
    <cellStyle name="40% - Accent6 13 2 2 2" xfId="25167" xr:uid="{00000000-0005-0000-0000-0000FA490000}"/>
    <cellStyle name="40% - Accent6 13 2 3" xfId="22755" xr:uid="{00000000-0005-0000-0000-0000FB490000}"/>
    <cellStyle name="40% - Accent6 13 3" xfId="4770" xr:uid="{00000000-0005-0000-0000-0000FC490000}"/>
    <cellStyle name="40% - Accent6 13 3 2" xfId="13011" xr:uid="{00000000-0005-0000-0000-0000FD490000}"/>
    <cellStyle name="40% - Accent6 13 3 2 2" xfId="26723" xr:uid="{00000000-0005-0000-0000-0000FE490000}"/>
    <cellStyle name="40% - Accent6 13 3 3" xfId="24185" xr:uid="{00000000-0005-0000-0000-0000FF490000}"/>
    <cellStyle name="40% - Accent6 13 4" xfId="4771" xr:uid="{00000000-0005-0000-0000-0000004A0000}"/>
    <cellStyle name="40% - Accent6 13 4 2" xfId="15472" xr:uid="{00000000-0005-0000-0000-0000014A0000}"/>
    <cellStyle name="40% - Accent6 13 4 2 2" xfId="29021" xr:uid="{00000000-0005-0000-0000-0000024A0000}"/>
    <cellStyle name="40% - Accent6 13 4 3" xfId="24186" xr:uid="{00000000-0005-0000-0000-0000034A0000}"/>
    <cellStyle name="40% - Accent6 13 5" xfId="9498" xr:uid="{00000000-0005-0000-0000-0000044A0000}"/>
    <cellStyle name="40% - Accent6 13 5 2" xfId="23973" xr:uid="{00000000-0005-0000-0000-0000054A0000}"/>
    <cellStyle name="40% - Accent6 13 6" xfId="22756" xr:uid="{00000000-0005-0000-0000-0000064A0000}"/>
    <cellStyle name="40% - Accent6 14" xfId="4772" xr:uid="{00000000-0005-0000-0000-0000074A0000}"/>
    <cellStyle name="40% - Accent6 14 2" xfId="4773" xr:uid="{00000000-0005-0000-0000-0000084A0000}"/>
    <cellStyle name="40% - Accent6 14 2 2" xfId="11226" xr:uid="{00000000-0005-0000-0000-0000094A0000}"/>
    <cellStyle name="40% - Accent6 14 2 2 2" xfId="25168" xr:uid="{00000000-0005-0000-0000-00000A4A0000}"/>
    <cellStyle name="40% - Accent6 14 2 3" xfId="22753" xr:uid="{00000000-0005-0000-0000-00000B4A0000}"/>
    <cellStyle name="40% - Accent6 14 3" xfId="4774" xr:uid="{00000000-0005-0000-0000-00000C4A0000}"/>
    <cellStyle name="40% - Accent6 14 3 2" xfId="13012" xr:uid="{00000000-0005-0000-0000-00000D4A0000}"/>
    <cellStyle name="40% - Accent6 14 3 2 2" xfId="26724" xr:uid="{00000000-0005-0000-0000-00000E4A0000}"/>
    <cellStyle name="40% - Accent6 14 3 3" xfId="24184" xr:uid="{00000000-0005-0000-0000-00000F4A0000}"/>
    <cellStyle name="40% - Accent6 14 4" xfId="4775" xr:uid="{00000000-0005-0000-0000-0000104A0000}"/>
    <cellStyle name="40% - Accent6 14 4 2" xfId="15473" xr:uid="{00000000-0005-0000-0000-0000114A0000}"/>
    <cellStyle name="40% - Accent6 14 4 2 2" xfId="29022" xr:uid="{00000000-0005-0000-0000-0000124A0000}"/>
    <cellStyle name="40% - Accent6 14 4 3" xfId="22752" xr:uid="{00000000-0005-0000-0000-0000134A0000}"/>
    <cellStyle name="40% - Accent6 14 5" xfId="9499" xr:uid="{00000000-0005-0000-0000-0000144A0000}"/>
    <cellStyle name="40% - Accent6 14 5 2" xfId="23974" xr:uid="{00000000-0005-0000-0000-0000154A0000}"/>
    <cellStyle name="40% - Accent6 14 6" xfId="22754" xr:uid="{00000000-0005-0000-0000-0000164A0000}"/>
    <cellStyle name="40% - Accent6 15" xfId="4776" xr:uid="{00000000-0005-0000-0000-0000174A0000}"/>
    <cellStyle name="40% - Accent6 15 2" xfId="4777" xr:uid="{00000000-0005-0000-0000-0000184A0000}"/>
    <cellStyle name="40% - Accent6 15 2 2" xfId="11227" xr:uid="{00000000-0005-0000-0000-0000194A0000}"/>
    <cellStyle name="40% - Accent6 15 2 2 2" xfId="25169" xr:uid="{00000000-0005-0000-0000-00001A4A0000}"/>
    <cellStyle name="40% - Accent6 15 2 3" xfId="22751" xr:uid="{00000000-0005-0000-0000-00001B4A0000}"/>
    <cellStyle name="40% - Accent6 15 3" xfId="4778" xr:uid="{00000000-0005-0000-0000-00001C4A0000}"/>
    <cellStyle name="40% - Accent6 15 3 2" xfId="13013" xr:uid="{00000000-0005-0000-0000-00001D4A0000}"/>
    <cellStyle name="40% - Accent6 15 3 2 2" xfId="26725" xr:uid="{00000000-0005-0000-0000-00001E4A0000}"/>
    <cellStyle name="40% - Accent6 15 3 3" xfId="25243" xr:uid="{00000000-0005-0000-0000-00001F4A0000}"/>
    <cellStyle name="40% - Accent6 15 4" xfId="4779" xr:uid="{00000000-0005-0000-0000-0000204A0000}"/>
    <cellStyle name="40% - Accent6 15 4 2" xfId="15474" xr:uid="{00000000-0005-0000-0000-0000214A0000}"/>
    <cellStyle name="40% - Accent6 15 4 2 2" xfId="29023" xr:uid="{00000000-0005-0000-0000-0000224A0000}"/>
    <cellStyle name="40% - Accent6 15 4 3" xfId="22750" xr:uid="{00000000-0005-0000-0000-0000234A0000}"/>
    <cellStyle name="40% - Accent6 15 5" xfId="9500" xr:uid="{00000000-0005-0000-0000-0000244A0000}"/>
    <cellStyle name="40% - Accent6 15 5 2" xfId="23975" xr:uid="{00000000-0005-0000-0000-0000254A0000}"/>
    <cellStyle name="40% - Accent6 15 6" xfId="24181" xr:uid="{00000000-0005-0000-0000-0000264A0000}"/>
    <cellStyle name="40% - Accent6 16" xfId="4780" xr:uid="{00000000-0005-0000-0000-0000274A0000}"/>
    <cellStyle name="40% - Accent6 16 2" xfId="4781" xr:uid="{00000000-0005-0000-0000-0000284A0000}"/>
    <cellStyle name="40% - Accent6 16 2 2" xfId="11228" xr:uid="{00000000-0005-0000-0000-0000294A0000}"/>
    <cellStyle name="40% - Accent6 16 2 2 2" xfId="25170" xr:uid="{00000000-0005-0000-0000-00002A4A0000}"/>
    <cellStyle name="40% - Accent6 16 2 3" xfId="29129" xr:uid="{00000000-0005-0000-0000-00002B4A0000}"/>
    <cellStyle name="40% - Accent6 16 3" xfId="4782" xr:uid="{00000000-0005-0000-0000-00002C4A0000}"/>
    <cellStyle name="40% - Accent6 16 3 2" xfId="13014" xr:uid="{00000000-0005-0000-0000-00002D4A0000}"/>
    <cellStyle name="40% - Accent6 16 3 2 2" xfId="26726" xr:uid="{00000000-0005-0000-0000-00002E4A0000}"/>
    <cellStyle name="40% - Accent6 16 3 3" xfId="22749" xr:uid="{00000000-0005-0000-0000-00002F4A0000}"/>
    <cellStyle name="40% - Accent6 16 4" xfId="4783" xr:uid="{00000000-0005-0000-0000-0000304A0000}"/>
    <cellStyle name="40% - Accent6 16 4 2" xfId="15475" xr:uid="{00000000-0005-0000-0000-0000314A0000}"/>
    <cellStyle name="40% - Accent6 16 4 2 2" xfId="29024" xr:uid="{00000000-0005-0000-0000-0000324A0000}"/>
    <cellStyle name="40% - Accent6 16 4 3" xfId="22748" xr:uid="{00000000-0005-0000-0000-0000334A0000}"/>
    <cellStyle name="40% - Accent6 16 5" xfId="9501" xr:uid="{00000000-0005-0000-0000-0000344A0000}"/>
    <cellStyle name="40% - Accent6 16 5 2" xfId="23976" xr:uid="{00000000-0005-0000-0000-0000354A0000}"/>
    <cellStyle name="40% - Accent6 16 6" xfId="24433" xr:uid="{00000000-0005-0000-0000-0000364A0000}"/>
    <cellStyle name="40% - Accent6 17" xfId="4784" xr:uid="{00000000-0005-0000-0000-0000374A0000}"/>
    <cellStyle name="40% - Accent6 17 2" xfId="4785" xr:uid="{00000000-0005-0000-0000-0000384A0000}"/>
    <cellStyle name="40% - Accent6 17 2 2" xfId="11229" xr:uid="{00000000-0005-0000-0000-0000394A0000}"/>
    <cellStyle name="40% - Accent6 17 2 2 2" xfId="25171" xr:uid="{00000000-0005-0000-0000-00003A4A0000}"/>
    <cellStyle name="40% - Accent6 17 2 3" xfId="22747" xr:uid="{00000000-0005-0000-0000-00003B4A0000}"/>
    <cellStyle name="40% - Accent6 17 3" xfId="4786" xr:uid="{00000000-0005-0000-0000-00003C4A0000}"/>
    <cellStyle name="40% - Accent6 17 3 2" xfId="13015" xr:uid="{00000000-0005-0000-0000-00003D4A0000}"/>
    <cellStyle name="40% - Accent6 17 3 2 2" xfId="26727" xr:uid="{00000000-0005-0000-0000-00003E4A0000}"/>
    <cellStyle name="40% - Accent6 17 3 3" xfId="24182" xr:uid="{00000000-0005-0000-0000-00003F4A0000}"/>
    <cellStyle name="40% - Accent6 17 4" xfId="4787" xr:uid="{00000000-0005-0000-0000-0000404A0000}"/>
    <cellStyle name="40% - Accent6 17 4 2" xfId="15476" xr:uid="{00000000-0005-0000-0000-0000414A0000}"/>
    <cellStyle name="40% - Accent6 17 4 2 2" xfId="29025" xr:uid="{00000000-0005-0000-0000-0000424A0000}"/>
    <cellStyle name="40% - Accent6 17 4 3" xfId="22746" xr:uid="{00000000-0005-0000-0000-0000434A0000}"/>
    <cellStyle name="40% - Accent6 17 5" xfId="9502" xr:uid="{00000000-0005-0000-0000-0000444A0000}"/>
    <cellStyle name="40% - Accent6 17 5 2" xfId="23977" xr:uid="{00000000-0005-0000-0000-0000454A0000}"/>
    <cellStyle name="40% - Accent6 17 6" xfId="24183" xr:uid="{00000000-0005-0000-0000-0000464A0000}"/>
    <cellStyle name="40% - Accent6 18" xfId="4788" xr:uid="{00000000-0005-0000-0000-0000474A0000}"/>
    <cellStyle name="40% - Accent6 18 2" xfId="4789" xr:uid="{00000000-0005-0000-0000-0000484A0000}"/>
    <cellStyle name="40% - Accent6 18 2 2" xfId="11230" xr:uid="{00000000-0005-0000-0000-0000494A0000}"/>
    <cellStyle name="40% - Accent6 18 2 2 2" xfId="25172" xr:uid="{00000000-0005-0000-0000-00004A4A0000}"/>
    <cellStyle name="40% - Accent6 18 2 3" xfId="24180" xr:uid="{00000000-0005-0000-0000-00004B4A0000}"/>
    <cellStyle name="40% - Accent6 18 3" xfId="4790" xr:uid="{00000000-0005-0000-0000-00004C4A0000}"/>
    <cellStyle name="40% - Accent6 18 3 2" xfId="13016" xr:uid="{00000000-0005-0000-0000-00004D4A0000}"/>
    <cellStyle name="40% - Accent6 18 3 2 2" xfId="26728" xr:uid="{00000000-0005-0000-0000-00004E4A0000}"/>
    <cellStyle name="40% - Accent6 18 3 3" xfId="22745" xr:uid="{00000000-0005-0000-0000-00004F4A0000}"/>
    <cellStyle name="40% - Accent6 18 4" xfId="4791" xr:uid="{00000000-0005-0000-0000-0000504A0000}"/>
    <cellStyle name="40% - Accent6 18 4 2" xfId="15477" xr:uid="{00000000-0005-0000-0000-0000514A0000}"/>
    <cellStyle name="40% - Accent6 18 4 2 2" xfId="29026" xr:uid="{00000000-0005-0000-0000-0000524A0000}"/>
    <cellStyle name="40% - Accent6 18 4 3" xfId="24179" xr:uid="{00000000-0005-0000-0000-0000534A0000}"/>
    <cellStyle name="40% - Accent6 18 5" xfId="9503" xr:uid="{00000000-0005-0000-0000-0000544A0000}"/>
    <cellStyle name="40% - Accent6 18 5 2" xfId="23978" xr:uid="{00000000-0005-0000-0000-0000554A0000}"/>
    <cellStyle name="40% - Accent6 18 6" xfId="23232" xr:uid="{00000000-0005-0000-0000-0000564A0000}"/>
    <cellStyle name="40% - Accent6 19" xfId="4792" xr:uid="{00000000-0005-0000-0000-0000574A0000}"/>
    <cellStyle name="40% - Accent6 19 2" xfId="4793" xr:uid="{00000000-0005-0000-0000-0000584A0000}"/>
    <cellStyle name="40% - Accent6 19 2 2" xfId="11710" xr:uid="{00000000-0005-0000-0000-0000594A0000}"/>
    <cellStyle name="40% - Accent6 19 2 2 2" xfId="25430" xr:uid="{00000000-0005-0000-0000-00005A4A0000}"/>
    <cellStyle name="40% - Accent6 19 2 3" xfId="24178" xr:uid="{00000000-0005-0000-0000-00005B4A0000}"/>
    <cellStyle name="40% - Accent6 19 3" xfId="4794" xr:uid="{00000000-0005-0000-0000-00005C4A0000}"/>
    <cellStyle name="40% - Accent6 19 3 2" xfId="13017" xr:uid="{00000000-0005-0000-0000-00005D4A0000}"/>
    <cellStyle name="40% - Accent6 19 3 2 2" xfId="26729" xr:uid="{00000000-0005-0000-0000-00005E4A0000}"/>
    <cellStyle name="40% - Accent6 19 3 3" xfId="22743" xr:uid="{00000000-0005-0000-0000-00005F4A0000}"/>
    <cellStyle name="40% - Accent6 19 4" xfId="4795" xr:uid="{00000000-0005-0000-0000-0000604A0000}"/>
    <cellStyle name="40% - Accent6 19 4 2" xfId="15478" xr:uid="{00000000-0005-0000-0000-0000614A0000}"/>
    <cellStyle name="40% - Accent6 19 4 2 2" xfId="29027" xr:uid="{00000000-0005-0000-0000-0000624A0000}"/>
    <cellStyle name="40% - Accent6 19 4 3" xfId="24177" xr:uid="{00000000-0005-0000-0000-0000634A0000}"/>
    <cellStyle name="40% - Accent6 19 5" xfId="10462" xr:uid="{00000000-0005-0000-0000-0000644A0000}"/>
    <cellStyle name="40% - Accent6 19 5 2" xfId="24421" xr:uid="{00000000-0005-0000-0000-0000654A0000}"/>
    <cellStyle name="40% - Accent6 19 6" xfId="22744" xr:uid="{00000000-0005-0000-0000-0000664A0000}"/>
    <cellStyle name="40% - Accent6 2" xfId="4796" xr:uid="{00000000-0005-0000-0000-0000674A0000}"/>
    <cellStyle name="40% - Accent6 2 10" xfId="4797" xr:uid="{00000000-0005-0000-0000-0000684A0000}"/>
    <cellStyle name="40% - Accent6 2 10 2" xfId="4798" xr:uid="{00000000-0005-0000-0000-0000694A0000}"/>
    <cellStyle name="40% - Accent6 2 10 2 2" xfId="15480" xr:uid="{00000000-0005-0000-0000-00006A4A0000}"/>
    <cellStyle name="40% - Accent6 2 10 2 2 2" xfId="29029" xr:uid="{00000000-0005-0000-0000-00006B4A0000}"/>
    <cellStyle name="40% - Accent6 2 10 2 3" xfId="24176" xr:uid="{00000000-0005-0000-0000-00006C4A0000}"/>
    <cellStyle name="40% - Accent6 2 10 3" xfId="11838" xr:uid="{00000000-0005-0000-0000-00006D4A0000}"/>
    <cellStyle name="40% - Accent6 2 10 3 2" xfId="25553" xr:uid="{00000000-0005-0000-0000-00006E4A0000}"/>
    <cellStyle name="40% - Accent6 2 10 4" xfId="24175" xr:uid="{00000000-0005-0000-0000-00006F4A0000}"/>
    <cellStyle name="40% - Accent6 2 11" xfId="4799" xr:uid="{00000000-0005-0000-0000-0000704A0000}"/>
    <cellStyle name="40% - Accent6 2 11 2" xfId="13018" xr:uid="{00000000-0005-0000-0000-0000714A0000}"/>
    <cellStyle name="40% - Accent6 2 11 2 2" xfId="26730" xr:uid="{00000000-0005-0000-0000-0000724A0000}"/>
    <cellStyle name="40% - Accent6 2 11 3" xfId="22741" xr:uid="{00000000-0005-0000-0000-0000734A0000}"/>
    <cellStyle name="40% - Accent6 2 12" xfId="4800" xr:uid="{00000000-0005-0000-0000-0000744A0000}"/>
    <cellStyle name="40% - Accent6 2 12 2" xfId="13435" xr:uid="{00000000-0005-0000-0000-0000754A0000}"/>
    <cellStyle name="40% - Accent6 2 12 2 2" xfId="26984" xr:uid="{00000000-0005-0000-0000-0000764A0000}"/>
    <cellStyle name="40% - Accent6 2 12 3" xfId="22740" xr:uid="{00000000-0005-0000-0000-0000774A0000}"/>
    <cellStyle name="40% - Accent6 2 13" xfId="4801" xr:uid="{00000000-0005-0000-0000-0000784A0000}"/>
    <cellStyle name="40% - Accent6 2 13 2" xfId="14016" xr:uid="{00000000-0005-0000-0000-0000794A0000}"/>
    <cellStyle name="40% - Accent6 2 13 2 2" xfId="27565" xr:uid="{00000000-0005-0000-0000-00007A4A0000}"/>
    <cellStyle name="40% - Accent6 2 13 3" xfId="24174" xr:uid="{00000000-0005-0000-0000-00007B4A0000}"/>
    <cellStyle name="40% - Accent6 2 14" xfId="4802" xr:uid="{00000000-0005-0000-0000-00007C4A0000}"/>
    <cellStyle name="40% - Accent6 2 14 2" xfId="15479" xr:uid="{00000000-0005-0000-0000-00007D4A0000}"/>
    <cellStyle name="40% - Accent6 2 14 2 2" xfId="29028" xr:uid="{00000000-0005-0000-0000-00007E4A0000}"/>
    <cellStyle name="40% - Accent6 2 14 3" xfId="26813" xr:uid="{00000000-0005-0000-0000-00007F4A0000}"/>
    <cellStyle name="40% - Accent6 2 15" xfId="4803" xr:uid="{00000000-0005-0000-0000-0000804A0000}"/>
    <cellStyle name="40% - Accent6 2 15 2" xfId="15902" xr:uid="{00000000-0005-0000-0000-0000814A0000}"/>
    <cellStyle name="40% - Accent6 2 15 2 2" xfId="29309" xr:uid="{00000000-0005-0000-0000-0000824A0000}"/>
    <cellStyle name="40% - Accent6 2 15 3" xfId="22739" xr:uid="{00000000-0005-0000-0000-0000834A0000}"/>
    <cellStyle name="40% - Accent6 2 16" xfId="9504" xr:uid="{00000000-0005-0000-0000-0000844A0000}"/>
    <cellStyle name="40% - Accent6 2 16 2" xfId="23979" xr:uid="{00000000-0005-0000-0000-0000854A0000}"/>
    <cellStyle name="40% - Accent6 2 17" xfId="22742" xr:uid="{00000000-0005-0000-0000-0000864A0000}"/>
    <cellStyle name="40% - Accent6 2 2" xfId="4804" xr:uid="{00000000-0005-0000-0000-0000874A0000}"/>
    <cellStyle name="40% - Accent6 2 2 10" xfId="4805" xr:uid="{00000000-0005-0000-0000-0000884A0000}"/>
    <cellStyle name="40% - Accent6 2 2 10 2" xfId="15481" xr:uid="{00000000-0005-0000-0000-0000894A0000}"/>
    <cellStyle name="40% - Accent6 2 2 10 2 2" xfId="29030" xr:uid="{00000000-0005-0000-0000-00008A4A0000}"/>
    <cellStyle name="40% - Accent6 2 2 10 3" xfId="22738" xr:uid="{00000000-0005-0000-0000-00008B4A0000}"/>
    <cellStyle name="40% - Accent6 2 2 11" xfId="4806" xr:uid="{00000000-0005-0000-0000-00008C4A0000}"/>
    <cellStyle name="40% - Accent6 2 2 11 2" xfId="15948" xr:uid="{00000000-0005-0000-0000-00008D4A0000}"/>
    <cellStyle name="40% - Accent6 2 2 11 2 2" xfId="29355" xr:uid="{00000000-0005-0000-0000-00008E4A0000}"/>
    <cellStyle name="40% - Accent6 2 2 11 3" xfId="22737" xr:uid="{00000000-0005-0000-0000-00008F4A0000}"/>
    <cellStyle name="40% - Accent6 2 2 12" xfId="9505" xr:uid="{00000000-0005-0000-0000-0000904A0000}"/>
    <cellStyle name="40% - Accent6 2 2 12 2" xfId="23980" xr:uid="{00000000-0005-0000-0000-0000914A0000}"/>
    <cellStyle name="40% - Accent6 2 2 13" xfId="26814" xr:uid="{00000000-0005-0000-0000-0000924A0000}"/>
    <cellStyle name="40% - Accent6 2 2 2" xfId="4807" xr:uid="{00000000-0005-0000-0000-0000934A0000}"/>
    <cellStyle name="40% - Accent6 2 2 2 10" xfId="4808" xr:uid="{00000000-0005-0000-0000-0000944A0000}"/>
    <cellStyle name="40% - Accent6 2 2 2 10 2" xfId="16091" xr:uid="{00000000-0005-0000-0000-0000954A0000}"/>
    <cellStyle name="40% - Accent6 2 2 2 10 2 2" xfId="29498" xr:uid="{00000000-0005-0000-0000-0000964A0000}"/>
    <cellStyle name="40% - Accent6 2 2 2 10 3" xfId="24173" xr:uid="{00000000-0005-0000-0000-0000974A0000}"/>
    <cellStyle name="40% - Accent6 2 2 2 11" xfId="9506" xr:uid="{00000000-0005-0000-0000-0000984A0000}"/>
    <cellStyle name="40% - Accent6 2 2 2 11 2" xfId="23981" xr:uid="{00000000-0005-0000-0000-0000994A0000}"/>
    <cellStyle name="40% - Accent6 2 2 2 12" xfId="24172" xr:uid="{00000000-0005-0000-0000-00009A4A0000}"/>
    <cellStyle name="40% - Accent6 2 2 2 2" xfId="4809" xr:uid="{00000000-0005-0000-0000-00009B4A0000}"/>
    <cellStyle name="40% - Accent6 2 2 2 2 10" xfId="9507" xr:uid="{00000000-0005-0000-0000-00009C4A0000}"/>
    <cellStyle name="40% - Accent6 2 2 2 2 10 2" xfId="23982" xr:uid="{00000000-0005-0000-0000-00009D4A0000}"/>
    <cellStyle name="40% - Accent6 2 2 2 2 11" xfId="22736" xr:uid="{00000000-0005-0000-0000-00009E4A0000}"/>
    <cellStyle name="40% - Accent6 2 2 2 2 2" xfId="4810" xr:uid="{00000000-0005-0000-0000-00009F4A0000}"/>
    <cellStyle name="40% - Accent6 2 2 2 2 2 2" xfId="4811" xr:uid="{00000000-0005-0000-0000-0000A04A0000}"/>
    <cellStyle name="40% - Accent6 2 2 2 2 2 2 2" xfId="11235" xr:uid="{00000000-0005-0000-0000-0000A14A0000}"/>
    <cellStyle name="40% - Accent6 2 2 2 2 2 2 2 2" xfId="25177" xr:uid="{00000000-0005-0000-0000-0000A24A0000}"/>
    <cellStyle name="40% - Accent6 2 2 2 2 2 2 3" xfId="24171" xr:uid="{00000000-0005-0000-0000-0000A34A0000}"/>
    <cellStyle name="40% - Accent6 2 2 2 2 2 3" xfId="4812" xr:uid="{00000000-0005-0000-0000-0000A44A0000}"/>
    <cellStyle name="40% - Accent6 2 2 2 2 2 3 2" xfId="13022" xr:uid="{00000000-0005-0000-0000-0000A54A0000}"/>
    <cellStyle name="40% - Accent6 2 2 2 2 2 3 2 2" xfId="26734" xr:uid="{00000000-0005-0000-0000-0000A64A0000}"/>
    <cellStyle name="40% - Accent6 2 2 2 2 2 3 3" xfId="22734" xr:uid="{00000000-0005-0000-0000-0000A74A0000}"/>
    <cellStyle name="40% - Accent6 2 2 2 2 2 4" xfId="4813" xr:uid="{00000000-0005-0000-0000-0000A84A0000}"/>
    <cellStyle name="40% - Accent6 2 2 2 2 2 4 2" xfId="15484" xr:uid="{00000000-0005-0000-0000-0000A94A0000}"/>
    <cellStyle name="40% - Accent6 2 2 2 2 2 4 2 2" xfId="29033" xr:uid="{00000000-0005-0000-0000-0000AA4A0000}"/>
    <cellStyle name="40% - Accent6 2 2 2 2 2 4 3" xfId="24168" xr:uid="{00000000-0005-0000-0000-0000AB4A0000}"/>
    <cellStyle name="40% - Accent6 2 2 2 2 2 5" xfId="4814" xr:uid="{00000000-0005-0000-0000-0000AC4A0000}"/>
    <cellStyle name="40% - Accent6 2 2 2 2 2 5 2" xfId="16961" xr:uid="{00000000-0005-0000-0000-0000AD4A0000}"/>
    <cellStyle name="40% - Accent6 2 2 2 2 2 5 2 2" xfId="30368" xr:uid="{00000000-0005-0000-0000-0000AE4A0000}"/>
    <cellStyle name="40% - Accent6 2 2 2 2 2 5 3" xfId="22733" xr:uid="{00000000-0005-0000-0000-0000AF4A0000}"/>
    <cellStyle name="40% - Accent6 2 2 2 2 2 6" xfId="9508" xr:uid="{00000000-0005-0000-0000-0000B04A0000}"/>
    <cellStyle name="40% - Accent6 2 2 2 2 2 6 2" xfId="23983" xr:uid="{00000000-0005-0000-0000-0000B14A0000}"/>
    <cellStyle name="40% - Accent6 2 2 2 2 2 7" xfId="22735" xr:uid="{00000000-0005-0000-0000-0000B24A0000}"/>
    <cellStyle name="40% - Accent6 2 2 2 2 3" xfId="4815" xr:uid="{00000000-0005-0000-0000-0000B34A0000}"/>
    <cellStyle name="40% - Accent6 2 2 2 2 3 2" xfId="4816" xr:uid="{00000000-0005-0000-0000-0000B44A0000}"/>
    <cellStyle name="40% - Accent6 2 2 2 2 3 2 2" xfId="15485" xr:uid="{00000000-0005-0000-0000-0000B54A0000}"/>
    <cellStyle name="40% - Accent6 2 2 2 2 3 2 2 2" xfId="29034" xr:uid="{00000000-0005-0000-0000-0000B64A0000}"/>
    <cellStyle name="40% - Accent6 2 2 2 2 3 2 3" xfId="22732" xr:uid="{00000000-0005-0000-0000-0000B74A0000}"/>
    <cellStyle name="40% - Accent6 2 2 2 2 3 3" xfId="11234" xr:uid="{00000000-0005-0000-0000-0000B84A0000}"/>
    <cellStyle name="40% - Accent6 2 2 2 2 3 3 2" xfId="25176" xr:uid="{00000000-0005-0000-0000-0000B94A0000}"/>
    <cellStyle name="40% - Accent6 2 2 2 2 3 4" xfId="25242" xr:uid="{00000000-0005-0000-0000-0000BA4A0000}"/>
    <cellStyle name="40% - Accent6 2 2 2 2 4" xfId="4817" xr:uid="{00000000-0005-0000-0000-0000BB4A0000}"/>
    <cellStyle name="40% - Accent6 2 2 2 2 4 2" xfId="12349" xr:uid="{00000000-0005-0000-0000-0000BC4A0000}"/>
    <cellStyle name="40% - Accent6 2 2 2 2 4 2 2" xfId="26061" xr:uid="{00000000-0005-0000-0000-0000BD4A0000}"/>
    <cellStyle name="40% - Accent6 2 2 2 2 4 3" xfId="24432" xr:uid="{00000000-0005-0000-0000-0000BE4A0000}"/>
    <cellStyle name="40% - Accent6 2 2 2 2 5" xfId="4818" xr:uid="{00000000-0005-0000-0000-0000BF4A0000}"/>
    <cellStyle name="40% - Accent6 2 2 2 2 5 2" xfId="13021" xr:uid="{00000000-0005-0000-0000-0000C04A0000}"/>
    <cellStyle name="40% - Accent6 2 2 2 2 5 2 2" xfId="26733" xr:uid="{00000000-0005-0000-0000-0000C14A0000}"/>
    <cellStyle name="40% - Accent6 2 2 2 2 5 3" xfId="29128" xr:uid="{00000000-0005-0000-0000-0000C24A0000}"/>
    <cellStyle name="40% - Accent6 2 2 2 2 6" xfId="4819" xr:uid="{00000000-0005-0000-0000-0000C34A0000}"/>
    <cellStyle name="40% - Accent6 2 2 2 2 6 2" xfId="13913" xr:uid="{00000000-0005-0000-0000-0000C44A0000}"/>
    <cellStyle name="40% - Accent6 2 2 2 2 6 2 2" xfId="27462" xr:uid="{00000000-0005-0000-0000-0000C54A0000}"/>
    <cellStyle name="40% - Accent6 2 2 2 2 6 3" xfId="22731" xr:uid="{00000000-0005-0000-0000-0000C64A0000}"/>
    <cellStyle name="40% - Accent6 2 2 2 2 7" xfId="4820" xr:uid="{00000000-0005-0000-0000-0000C74A0000}"/>
    <cellStyle name="40% - Accent6 2 2 2 2 7 2" xfId="14494" xr:uid="{00000000-0005-0000-0000-0000C84A0000}"/>
    <cellStyle name="40% - Accent6 2 2 2 2 7 2 2" xfId="28043" xr:uid="{00000000-0005-0000-0000-0000C94A0000}"/>
    <cellStyle name="40% - Accent6 2 2 2 2 7 3" xfId="22730" xr:uid="{00000000-0005-0000-0000-0000CA4A0000}"/>
    <cellStyle name="40% - Accent6 2 2 2 2 8" xfId="4821" xr:uid="{00000000-0005-0000-0000-0000CB4A0000}"/>
    <cellStyle name="40% - Accent6 2 2 2 2 8 2" xfId="15483" xr:uid="{00000000-0005-0000-0000-0000CC4A0000}"/>
    <cellStyle name="40% - Accent6 2 2 2 2 8 2 2" xfId="29032" xr:uid="{00000000-0005-0000-0000-0000CD4A0000}"/>
    <cellStyle name="40% - Accent6 2 2 2 2 8 3" xfId="24170" xr:uid="{00000000-0005-0000-0000-0000CE4A0000}"/>
    <cellStyle name="40% - Accent6 2 2 2 2 9" xfId="4822" xr:uid="{00000000-0005-0000-0000-0000CF4A0000}"/>
    <cellStyle name="40% - Accent6 2 2 2 2 9 2" xfId="16380" xr:uid="{00000000-0005-0000-0000-0000D04A0000}"/>
    <cellStyle name="40% - Accent6 2 2 2 2 9 2 2" xfId="29787" xr:uid="{00000000-0005-0000-0000-0000D14A0000}"/>
    <cellStyle name="40% - Accent6 2 2 2 2 9 3" xfId="22729" xr:uid="{00000000-0005-0000-0000-0000D24A0000}"/>
    <cellStyle name="40% - Accent6 2 2 2 3" xfId="4823" xr:uid="{00000000-0005-0000-0000-0000D34A0000}"/>
    <cellStyle name="40% - Accent6 2 2 2 3 2" xfId="4824" xr:uid="{00000000-0005-0000-0000-0000D44A0000}"/>
    <cellStyle name="40% - Accent6 2 2 2 3 2 2" xfId="11236" xr:uid="{00000000-0005-0000-0000-0000D54A0000}"/>
    <cellStyle name="40% - Accent6 2 2 2 3 2 2 2" xfId="25178" xr:uid="{00000000-0005-0000-0000-0000D64A0000}"/>
    <cellStyle name="40% - Accent6 2 2 2 3 2 3" xfId="22728" xr:uid="{00000000-0005-0000-0000-0000D74A0000}"/>
    <cellStyle name="40% - Accent6 2 2 2 3 3" xfId="4825" xr:uid="{00000000-0005-0000-0000-0000D84A0000}"/>
    <cellStyle name="40% - Accent6 2 2 2 3 3 2" xfId="13023" xr:uid="{00000000-0005-0000-0000-0000D94A0000}"/>
    <cellStyle name="40% - Accent6 2 2 2 3 3 2 2" xfId="26735" xr:uid="{00000000-0005-0000-0000-0000DA4A0000}"/>
    <cellStyle name="40% - Accent6 2 2 2 3 3 3" xfId="23251" xr:uid="{00000000-0005-0000-0000-0000DB4A0000}"/>
    <cellStyle name="40% - Accent6 2 2 2 3 4" xfId="4826" xr:uid="{00000000-0005-0000-0000-0000DC4A0000}"/>
    <cellStyle name="40% - Accent6 2 2 2 3 4 2" xfId="15486" xr:uid="{00000000-0005-0000-0000-0000DD4A0000}"/>
    <cellStyle name="40% - Accent6 2 2 2 3 4 2 2" xfId="29035" xr:uid="{00000000-0005-0000-0000-0000DE4A0000}"/>
    <cellStyle name="40% - Accent6 2 2 2 3 4 3" xfId="23282" xr:uid="{00000000-0005-0000-0000-0000DF4A0000}"/>
    <cellStyle name="40% - Accent6 2 2 2 3 5" xfId="4827" xr:uid="{00000000-0005-0000-0000-0000E04A0000}"/>
    <cellStyle name="40% - Accent6 2 2 2 3 5 2" xfId="16672" xr:uid="{00000000-0005-0000-0000-0000E14A0000}"/>
    <cellStyle name="40% - Accent6 2 2 2 3 5 2 2" xfId="30079" xr:uid="{00000000-0005-0000-0000-0000E24A0000}"/>
    <cellStyle name="40% - Accent6 2 2 2 3 5 3" xfId="22727" xr:uid="{00000000-0005-0000-0000-0000E34A0000}"/>
    <cellStyle name="40% - Accent6 2 2 2 3 6" xfId="9509" xr:uid="{00000000-0005-0000-0000-0000E44A0000}"/>
    <cellStyle name="40% - Accent6 2 2 2 3 6 2" xfId="23984" xr:uid="{00000000-0005-0000-0000-0000E54A0000}"/>
    <cellStyle name="40% - Accent6 2 2 2 3 7" xfId="24169" xr:uid="{00000000-0005-0000-0000-0000E64A0000}"/>
    <cellStyle name="40% - Accent6 2 2 2 4" xfId="4828" xr:uid="{00000000-0005-0000-0000-0000E74A0000}"/>
    <cellStyle name="40% - Accent6 2 2 2 4 2" xfId="4829" xr:uid="{00000000-0005-0000-0000-0000E84A0000}"/>
    <cellStyle name="40% - Accent6 2 2 2 4 2 2" xfId="15487" xr:uid="{00000000-0005-0000-0000-0000E94A0000}"/>
    <cellStyle name="40% - Accent6 2 2 2 4 2 2 2" xfId="29036" xr:uid="{00000000-0005-0000-0000-0000EA4A0000}"/>
    <cellStyle name="40% - Accent6 2 2 2 4 2 3" xfId="22726" xr:uid="{00000000-0005-0000-0000-0000EB4A0000}"/>
    <cellStyle name="40% - Accent6 2 2 2 4 3" xfId="11233" xr:uid="{00000000-0005-0000-0000-0000EC4A0000}"/>
    <cellStyle name="40% - Accent6 2 2 2 4 3 2" xfId="25175" xr:uid="{00000000-0005-0000-0000-0000ED4A0000}"/>
    <cellStyle name="40% - Accent6 2 2 2 4 4" xfId="24167" xr:uid="{00000000-0005-0000-0000-0000EE4A0000}"/>
    <cellStyle name="40% - Accent6 2 2 2 5" xfId="4830" xr:uid="{00000000-0005-0000-0000-0000EF4A0000}"/>
    <cellStyle name="40% - Accent6 2 2 2 5 2" xfId="12049" xr:uid="{00000000-0005-0000-0000-0000F04A0000}"/>
    <cellStyle name="40% - Accent6 2 2 2 5 2 2" xfId="25764" xr:uid="{00000000-0005-0000-0000-0000F14A0000}"/>
    <cellStyle name="40% - Accent6 2 2 2 5 3" xfId="24166" xr:uid="{00000000-0005-0000-0000-0000F24A0000}"/>
    <cellStyle name="40% - Accent6 2 2 2 6" xfId="4831" xr:uid="{00000000-0005-0000-0000-0000F34A0000}"/>
    <cellStyle name="40% - Accent6 2 2 2 6 2" xfId="13020" xr:uid="{00000000-0005-0000-0000-0000F44A0000}"/>
    <cellStyle name="40% - Accent6 2 2 2 6 2 2" xfId="26732" xr:uid="{00000000-0005-0000-0000-0000F54A0000}"/>
    <cellStyle name="40% - Accent6 2 2 2 6 3" xfId="22725" xr:uid="{00000000-0005-0000-0000-0000F64A0000}"/>
    <cellStyle name="40% - Accent6 2 2 2 7" xfId="4832" xr:uid="{00000000-0005-0000-0000-0000F74A0000}"/>
    <cellStyle name="40% - Accent6 2 2 2 7 2" xfId="13624" xr:uid="{00000000-0005-0000-0000-0000F84A0000}"/>
    <cellStyle name="40% - Accent6 2 2 2 7 2 2" xfId="27173" xr:uid="{00000000-0005-0000-0000-0000F94A0000}"/>
    <cellStyle name="40% - Accent6 2 2 2 7 3" xfId="24165" xr:uid="{00000000-0005-0000-0000-0000FA4A0000}"/>
    <cellStyle name="40% - Accent6 2 2 2 8" xfId="4833" xr:uid="{00000000-0005-0000-0000-0000FB4A0000}"/>
    <cellStyle name="40% - Accent6 2 2 2 8 2" xfId="14205" xr:uid="{00000000-0005-0000-0000-0000FC4A0000}"/>
    <cellStyle name="40% - Accent6 2 2 2 8 2 2" xfId="27754" xr:uid="{00000000-0005-0000-0000-0000FD4A0000}"/>
    <cellStyle name="40% - Accent6 2 2 2 8 3" xfId="22724" xr:uid="{00000000-0005-0000-0000-0000FE4A0000}"/>
    <cellStyle name="40% - Accent6 2 2 2 9" xfId="4834" xr:uid="{00000000-0005-0000-0000-0000FF4A0000}"/>
    <cellStyle name="40% - Accent6 2 2 2 9 2" xfId="15482" xr:uid="{00000000-0005-0000-0000-0000004B0000}"/>
    <cellStyle name="40% - Accent6 2 2 2 9 2 2" xfId="29031" xr:uid="{00000000-0005-0000-0000-0000014B0000}"/>
    <cellStyle name="40% - Accent6 2 2 2 9 3" xfId="24164" xr:uid="{00000000-0005-0000-0000-0000024B0000}"/>
    <cellStyle name="40% - Accent6 2 2 3" xfId="4835" xr:uid="{00000000-0005-0000-0000-0000034B0000}"/>
    <cellStyle name="40% - Accent6 2 2 3 10" xfId="9510" xr:uid="{00000000-0005-0000-0000-0000044B0000}"/>
    <cellStyle name="40% - Accent6 2 2 3 10 2" xfId="23985" xr:uid="{00000000-0005-0000-0000-0000054B0000}"/>
    <cellStyle name="40% - Accent6 2 2 3 11" xfId="22723" xr:uid="{00000000-0005-0000-0000-0000064B0000}"/>
    <cellStyle name="40% - Accent6 2 2 3 2" xfId="4836" xr:uid="{00000000-0005-0000-0000-0000074B0000}"/>
    <cellStyle name="40% - Accent6 2 2 3 2 2" xfId="4837" xr:uid="{00000000-0005-0000-0000-0000084B0000}"/>
    <cellStyle name="40% - Accent6 2 2 3 2 2 2" xfId="11238" xr:uid="{00000000-0005-0000-0000-0000094B0000}"/>
    <cellStyle name="40% - Accent6 2 2 3 2 2 2 2" xfId="25180" xr:uid="{00000000-0005-0000-0000-00000A4B0000}"/>
    <cellStyle name="40% - Accent6 2 2 3 2 2 3" xfId="24163" xr:uid="{00000000-0005-0000-0000-00000B4B0000}"/>
    <cellStyle name="40% - Accent6 2 2 3 2 3" xfId="4838" xr:uid="{00000000-0005-0000-0000-00000C4B0000}"/>
    <cellStyle name="40% - Accent6 2 2 3 2 3 2" xfId="13025" xr:uid="{00000000-0005-0000-0000-00000D4B0000}"/>
    <cellStyle name="40% - Accent6 2 2 3 2 3 2 2" xfId="26737" xr:uid="{00000000-0005-0000-0000-00000E4B0000}"/>
    <cellStyle name="40% - Accent6 2 2 3 2 3 3" xfId="22722" xr:uid="{00000000-0005-0000-0000-00000F4B0000}"/>
    <cellStyle name="40% - Accent6 2 2 3 2 4" xfId="4839" xr:uid="{00000000-0005-0000-0000-0000104B0000}"/>
    <cellStyle name="40% - Accent6 2 2 3 2 4 2" xfId="15489" xr:uid="{00000000-0005-0000-0000-0000114B0000}"/>
    <cellStyle name="40% - Accent6 2 2 3 2 4 2 2" xfId="29038" xr:uid="{00000000-0005-0000-0000-0000124B0000}"/>
    <cellStyle name="40% - Accent6 2 2 3 2 4 3" xfId="22721" xr:uid="{00000000-0005-0000-0000-0000134B0000}"/>
    <cellStyle name="40% - Accent6 2 2 3 2 5" xfId="4840" xr:uid="{00000000-0005-0000-0000-0000144B0000}"/>
    <cellStyle name="40% - Accent6 2 2 3 2 5 2" xfId="16818" xr:uid="{00000000-0005-0000-0000-0000154B0000}"/>
    <cellStyle name="40% - Accent6 2 2 3 2 5 2 2" xfId="30225" xr:uid="{00000000-0005-0000-0000-0000164B0000}"/>
    <cellStyle name="40% - Accent6 2 2 3 2 5 3" xfId="24161" xr:uid="{00000000-0005-0000-0000-0000174B0000}"/>
    <cellStyle name="40% - Accent6 2 2 3 2 6" xfId="9511" xr:uid="{00000000-0005-0000-0000-0000184B0000}"/>
    <cellStyle name="40% - Accent6 2 2 3 2 6 2" xfId="23986" xr:uid="{00000000-0005-0000-0000-0000194B0000}"/>
    <cellStyle name="40% - Accent6 2 2 3 2 7" xfId="24162" xr:uid="{00000000-0005-0000-0000-00001A4B0000}"/>
    <cellStyle name="40% - Accent6 2 2 3 3" xfId="4841" xr:uid="{00000000-0005-0000-0000-00001B4B0000}"/>
    <cellStyle name="40% - Accent6 2 2 3 3 2" xfId="4842" xr:uid="{00000000-0005-0000-0000-00001C4B0000}"/>
    <cellStyle name="40% - Accent6 2 2 3 3 2 2" xfId="15490" xr:uid="{00000000-0005-0000-0000-00001D4B0000}"/>
    <cellStyle name="40% - Accent6 2 2 3 3 2 2 2" xfId="29039" xr:uid="{00000000-0005-0000-0000-00001E4B0000}"/>
    <cellStyle name="40% - Accent6 2 2 3 3 2 3" xfId="22720" xr:uid="{00000000-0005-0000-0000-00001F4B0000}"/>
    <cellStyle name="40% - Accent6 2 2 3 3 3" xfId="11237" xr:uid="{00000000-0005-0000-0000-0000204B0000}"/>
    <cellStyle name="40% - Accent6 2 2 3 3 3 2" xfId="25179" xr:uid="{00000000-0005-0000-0000-0000214B0000}"/>
    <cellStyle name="40% - Accent6 2 2 3 3 4" xfId="26811" xr:uid="{00000000-0005-0000-0000-0000224B0000}"/>
    <cellStyle name="40% - Accent6 2 2 3 4" xfId="4843" xr:uid="{00000000-0005-0000-0000-0000234B0000}"/>
    <cellStyle name="40% - Accent6 2 2 3 4 2" xfId="12206" xr:uid="{00000000-0005-0000-0000-0000244B0000}"/>
    <cellStyle name="40% - Accent6 2 2 3 4 2 2" xfId="25918" xr:uid="{00000000-0005-0000-0000-0000254B0000}"/>
    <cellStyle name="40% - Accent6 2 2 3 4 3" xfId="26812" xr:uid="{00000000-0005-0000-0000-0000264B0000}"/>
    <cellStyle name="40% - Accent6 2 2 3 5" xfId="4844" xr:uid="{00000000-0005-0000-0000-0000274B0000}"/>
    <cellStyle name="40% - Accent6 2 2 3 5 2" xfId="13024" xr:uid="{00000000-0005-0000-0000-0000284B0000}"/>
    <cellStyle name="40% - Accent6 2 2 3 5 2 2" xfId="26736" xr:uid="{00000000-0005-0000-0000-0000294B0000}"/>
    <cellStyle name="40% - Accent6 2 2 3 5 3" xfId="22719" xr:uid="{00000000-0005-0000-0000-00002A4B0000}"/>
    <cellStyle name="40% - Accent6 2 2 3 6" xfId="4845" xr:uid="{00000000-0005-0000-0000-00002B4B0000}"/>
    <cellStyle name="40% - Accent6 2 2 3 6 2" xfId="13770" xr:uid="{00000000-0005-0000-0000-00002C4B0000}"/>
    <cellStyle name="40% - Accent6 2 2 3 6 2 2" xfId="27319" xr:uid="{00000000-0005-0000-0000-00002D4B0000}"/>
    <cellStyle name="40% - Accent6 2 2 3 6 3" xfId="22718" xr:uid="{00000000-0005-0000-0000-00002E4B0000}"/>
    <cellStyle name="40% - Accent6 2 2 3 7" xfId="4846" xr:uid="{00000000-0005-0000-0000-00002F4B0000}"/>
    <cellStyle name="40% - Accent6 2 2 3 7 2" xfId="14351" xr:uid="{00000000-0005-0000-0000-0000304B0000}"/>
    <cellStyle name="40% - Accent6 2 2 3 7 2 2" xfId="27900" xr:uid="{00000000-0005-0000-0000-0000314B0000}"/>
    <cellStyle name="40% - Accent6 2 2 3 7 3" xfId="24159" xr:uid="{00000000-0005-0000-0000-0000324B0000}"/>
    <cellStyle name="40% - Accent6 2 2 3 8" xfId="4847" xr:uid="{00000000-0005-0000-0000-0000334B0000}"/>
    <cellStyle name="40% - Accent6 2 2 3 8 2" xfId="15488" xr:uid="{00000000-0005-0000-0000-0000344B0000}"/>
    <cellStyle name="40% - Accent6 2 2 3 8 2 2" xfId="29037" xr:uid="{00000000-0005-0000-0000-0000354B0000}"/>
    <cellStyle name="40% - Accent6 2 2 3 8 3" xfId="24160" xr:uid="{00000000-0005-0000-0000-0000364B0000}"/>
    <cellStyle name="40% - Accent6 2 2 3 9" xfId="4848" xr:uid="{00000000-0005-0000-0000-0000374B0000}"/>
    <cellStyle name="40% - Accent6 2 2 3 9 2" xfId="16237" xr:uid="{00000000-0005-0000-0000-0000384B0000}"/>
    <cellStyle name="40% - Accent6 2 2 3 9 2 2" xfId="29644" xr:uid="{00000000-0005-0000-0000-0000394B0000}"/>
    <cellStyle name="40% - Accent6 2 2 3 9 3" xfId="22717" xr:uid="{00000000-0005-0000-0000-00003A4B0000}"/>
    <cellStyle name="40% - Accent6 2 2 4" xfId="4849" xr:uid="{00000000-0005-0000-0000-00003B4B0000}"/>
    <cellStyle name="40% - Accent6 2 2 4 2" xfId="4850" xr:uid="{00000000-0005-0000-0000-00003C4B0000}"/>
    <cellStyle name="40% - Accent6 2 2 4 2 2" xfId="11239" xr:uid="{00000000-0005-0000-0000-00003D4B0000}"/>
    <cellStyle name="40% - Accent6 2 2 4 2 2 2" xfId="25181" xr:uid="{00000000-0005-0000-0000-00003E4B0000}"/>
    <cellStyle name="40% - Accent6 2 2 4 2 3" xfId="24158" xr:uid="{00000000-0005-0000-0000-00003F4B0000}"/>
    <cellStyle name="40% - Accent6 2 2 4 3" xfId="4851" xr:uid="{00000000-0005-0000-0000-0000404B0000}"/>
    <cellStyle name="40% - Accent6 2 2 4 3 2" xfId="13026" xr:uid="{00000000-0005-0000-0000-0000414B0000}"/>
    <cellStyle name="40% - Accent6 2 2 4 3 2 2" xfId="26738" xr:uid="{00000000-0005-0000-0000-0000424B0000}"/>
    <cellStyle name="40% - Accent6 2 2 4 3 3" xfId="22715" xr:uid="{00000000-0005-0000-0000-0000434B0000}"/>
    <cellStyle name="40% - Accent6 2 2 4 4" xfId="4852" xr:uid="{00000000-0005-0000-0000-0000444B0000}"/>
    <cellStyle name="40% - Accent6 2 2 4 4 2" xfId="15491" xr:uid="{00000000-0005-0000-0000-0000454B0000}"/>
    <cellStyle name="40% - Accent6 2 2 4 4 2 2" xfId="29040" xr:uid="{00000000-0005-0000-0000-0000464B0000}"/>
    <cellStyle name="40% - Accent6 2 2 4 4 3" xfId="24155" xr:uid="{00000000-0005-0000-0000-0000474B0000}"/>
    <cellStyle name="40% - Accent6 2 2 4 5" xfId="4853" xr:uid="{00000000-0005-0000-0000-0000484B0000}"/>
    <cellStyle name="40% - Accent6 2 2 4 5 2" xfId="17165" xr:uid="{00000000-0005-0000-0000-0000494B0000}"/>
    <cellStyle name="40% - Accent6 2 2 4 5 2 2" xfId="30524" xr:uid="{00000000-0005-0000-0000-00004A4B0000}"/>
    <cellStyle name="40% - Accent6 2 2 4 5 3" xfId="22714" xr:uid="{00000000-0005-0000-0000-00004B4B0000}"/>
    <cellStyle name="40% - Accent6 2 2 4 6" xfId="9512" xr:uid="{00000000-0005-0000-0000-00004C4B0000}"/>
    <cellStyle name="40% - Accent6 2 2 4 6 2" xfId="23987" xr:uid="{00000000-0005-0000-0000-00004D4B0000}"/>
    <cellStyle name="40% - Accent6 2 2 4 7" xfId="22716" xr:uid="{00000000-0005-0000-0000-00004E4B0000}"/>
    <cellStyle name="40% - Accent6 2 2 5" xfId="4854" xr:uid="{00000000-0005-0000-0000-00004F4B0000}"/>
    <cellStyle name="40% - Accent6 2 2 5 2" xfId="4855" xr:uid="{00000000-0005-0000-0000-0000504B0000}"/>
    <cellStyle name="40% - Accent6 2 2 5 2 2" xfId="15492" xr:uid="{00000000-0005-0000-0000-0000514B0000}"/>
    <cellStyle name="40% - Accent6 2 2 5 2 2 2" xfId="29041" xr:uid="{00000000-0005-0000-0000-0000524B0000}"/>
    <cellStyle name="40% - Accent6 2 2 5 2 3" xfId="22713" xr:uid="{00000000-0005-0000-0000-0000534B0000}"/>
    <cellStyle name="40% - Accent6 2 2 5 3" xfId="4856" xr:uid="{00000000-0005-0000-0000-0000544B0000}"/>
    <cellStyle name="40% - Accent6 2 2 5 3 2" xfId="17254" xr:uid="{00000000-0005-0000-0000-0000554B0000}"/>
    <cellStyle name="40% - Accent6 2 2 5 3 2 2" xfId="30613" xr:uid="{00000000-0005-0000-0000-0000564B0000}"/>
    <cellStyle name="40% - Accent6 2 2 5 3 3" xfId="24431" xr:uid="{00000000-0005-0000-0000-0000574B0000}"/>
    <cellStyle name="40% - Accent6 2 2 5 4" xfId="11232" xr:uid="{00000000-0005-0000-0000-0000584B0000}"/>
    <cellStyle name="40% - Accent6 2 2 5 4 2" xfId="25174" xr:uid="{00000000-0005-0000-0000-0000594B0000}"/>
    <cellStyle name="40% - Accent6 2 2 5 5" xfId="25241" xr:uid="{00000000-0005-0000-0000-00005A4B0000}"/>
    <cellStyle name="40% - Accent6 2 2 6" xfId="4857" xr:uid="{00000000-0005-0000-0000-00005B4B0000}"/>
    <cellStyle name="40% - Accent6 2 2 6 2" xfId="4858" xr:uid="{00000000-0005-0000-0000-00005C4B0000}"/>
    <cellStyle name="40% - Accent6 2 2 6 2 2" xfId="16529" xr:uid="{00000000-0005-0000-0000-00005D4B0000}"/>
    <cellStyle name="40% - Accent6 2 2 6 2 2 2" xfId="29936" xr:uid="{00000000-0005-0000-0000-00005E4B0000}"/>
    <cellStyle name="40% - Accent6 2 2 6 2 3" xfId="22712" xr:uid="{00000000-0005-0000-0000-00005F4B0000}"/>
    <cellStyle name="40% - Accent6 2 2 6 3" xfId="11904" xr:uid="{00000000-0005-0000-0000-0000604B0000}"/>
    <cellStyle name="40% - Accent6 2 2 6 3 2" xfId="25619" xr:uid="{00000000-0005-0000-0000-0000614B0000}"/>
    <cellStyle name="40% - Accent6 2 2 6 4" xfId="29127" xr:uid="{00000000-0005-0000-0000-0000624B0000}"/>
    <cellStyle name="40% - Accent6 2 2 7" xfId="4859" xr:uid="{00000000-0005-0000-0000-0000634B0000}"/>
    <cellStyle name="40% - Accent6 2 2 7 2" xfId="13019" xr:uid="{00000000-0005-0000-0000-0000644B0000}"/>
    <cellStyle name="40% - Accent6 2 2 7 2 2" xfId="26731" xr:uid="{00000000-0005-0000-0000-0000654B0000}"/>
    <cellStyle name="40% - Accent6 2 2 7 3" xfId="22711" xr:uid="{00000000-0005-0000-0000-0000664B0000}"/>
    <cellStyle name="40% - Accent6 2 2 8" xfId="4860" xr:uid="{00000000-0005-0000-0000-0000674B0000}"/>
    <cellStyle name="40% - Accent6 2 2 8 2" xfId="13481" xr:uid="{00000000-0005-0000-0000-0000684B0000}"/>
    <cellStyle name="40% - Accent6 2 2 8 2 2" xfId="27030" xr:uid="{00000000-0005-0000-0000-0000694B0000}"/>
    <cellStyle name="40% - Accent6 2 2 8 3" xfId="24157" xr:uid="{00000000-0005-0000-0000-00006A4B0000}"/>
    <cellStyle name="40% - Accent6 2 2 9" xfId="4861" xr:uid="{00000000-0005-0000-0000-00006B4B0000}"/>
    <cellStyle name="40% - Accent6 2 2 9 2" xfId="14062" xr:uid="{00000000-0005-0000-0000-00006C4B0000}"/>
    <cellStyle name="40% - Accent6 2 2 9 2 2" xfId="27611" xr:uid="{00000000-0005-0000-0000-00006D4B0000}"/>
    <cellStyle name="40% - Accent6 2 2 9 3" xfId="22710" xr:uid="{00000000-0005-0000-0000-00006E4B0000}"/>
    <cellStyle name="40% - Accent6 2 3" xfId="4862" xr:uid="{00000000-0005-0000-0000-00006F4B0000}"/>
    <cellStyle name="40% - Accent6 2 3 10" xfId="4863" xr:uid="{00000000-0005-0000-0000-0000704B0000}"/>
    <cellStyle name="40% - Accent6 2 3 10 2" xfId="16045" xr:uid="{00000000-0005-0000-0000-0000714B0000}"/>
    <cellStyle name="40% - Accent6 2 3 10 2 2" xfId="29452" xr:uid="{00000000-0005-0000-0000-0000724B0000}"/>
    <cellStyle name="40% - Accent6 2 3 10 3" xfId="22709" xr:uid="{00000000-0005-0000-0000-0000734B0000}"/>
    <cellStyle name="40% - Accent6 2 3 11" xfId="9513" xr:uid="{00000000-0005-0000-0000-0000744B0000}"/>
    <cellStyle name="40% - Accent6 2 3 11 2" xfId="23988" xr:uid="{00000000-0005-0000-0000-0000754B0000}"/>
    <cellStyle name="40% - Accent6 2 3 12" xfId="24156" xr:uid="{00000000-0005-0000-0000-0000764B0000}"/>
    <cellStyle name="40% - Accent6 2 3 2" xfId="4864" xr:uid="{00000000-0005-0000-0000-0000774B0000}"/>
    <cellStyle name="40% - Accent6 2 3 2 10" xfId="9514" xr:uid="{00000000-0005-0000-0000-0000784B0000}"/>
    <cellStyle name="40% - Accent6 2 3 2 10 2" xfId="23989" xr:uid="{00000000-0005-0000-0000-0000794B0000}"/>
    <cellStyle name="40% - Accent6 2 3 2 11" xfId="23245" xr:uid="{00000000-0005-0000-0000-00007A4B0000}"/>
    <cellStyle name="40% - Accent6 2 3 2 2" xfId="4865" xr:uid="{00000000-0005-0000-0000-00007B4B0000}"/>
    <cellStyle name="40% - Accent6 2 3 2 2 2" xfId="4866" xr:uid="{00000000-0005-0000-0000-00007C4B0000}"/>
    <cellStyle name="40% - Accent6 2 3 2 2 2 2" xfId="11242" xr:uid="{00000000-0005-0000-0000-00007D4B0000}"/>
    <cellStyle name="40% - Accent6 2 3 2 2 2 2 2" xfId="25184" xr:uid="{00000000-0005-0000-0000-00007E4B0000}"/>
    <cellStyle name="40% - Accent6 2 3 2 2 2 3" xfId="22708" xr:uid="{00000000-0005-0000-0000-00007F4B0000}"/>
    <cellStyle name="40% - Accent6 2 3 2 2 3" xfId="4867" xr:uid="{00000000-0005-0000-0000-0000804B0000}"/>
    <cellStyle name="40% - Accent6 2 3 2 2 3 2" xfId="13029" xr:uid="{00000000-0005-0000-0000-0000814B0000}"/>
    <cellStyle name="40% - Accent6 2 3 2 2 3 2 2" xfId="26741" xr:uid="{00000000-0005-0000-0000-0000824B0000}"/>
    <cellStyle name="40% - Accent6 2 3 2 2 3 3" xfId="24153" xr:uid="{00000000-0005-0000-0000-0000834B0000}"/>
    <cellStyle name="40% - Accent6 2 3 2 2 4" xfId="4868" xr:uid="{00000000-0005-0000-0000-0000844B0000}"/>
    <cellStyle name="40% - Accent6 2 3 2 2 4 2" xfId="15495" xr:uid="{00000000-0005-0000-0000-0000854B0000}"/>
    <cellStyle name="40% - Accent6 2 3 2 2 4 2 2" xfId="29044" xr:uid="{00000000-0005-0000-0000-0000864B0000}"/>
    <cellStyle name="40% - Accent6 2 3 2 2 4 3" xfId="22707" xr:uid="{00000000-0005-0000-0000-0000874B0000}"/>
    <cellStyle name="40% - Accent6 2 3 2 2 5" xfId="4869" xr:uid="{00000000-0005-0000-0000-0000884B0000}"/>
    <cellStyle name="40% - Accent6 2 3 2 2 5 2" xfId="16915" xr:uid="{00000000-0005-0000-0000-0000894B0000}"/>
    <cellStyle name="40% - Accent6 2 3 2 2 5 2 2" xfId="30322" xr:uid="{00000000-0005-0000-0000-00008A4B0000}"/>
    <cellStyle name="40% - Accent6 2 3 2 2 5 3" xfId="24152" xr:uid="{00000000-0005-0000-0000-00008B4B0000}"/>
    <cellStyle name="40% - Accent6 2 3 2 2 6" xfId="9515" xr:uid="{00000000-0005-0000-0000-00008C4B0000}"/>
    <cellStyle name="40% - Accent6 2 3 2 2 6 2" xfId="23990" xr:uid="{00000000-0005-0000-0000-00008D4B0000}"/>
    <cellStyle name="40% - Accent6 2 3 2 2 7" xfId="24154" xr:uid="{00000000-0005-0000-0000-00008E4B0000}"/>
    <cellStyle name="40% - Accent6 2 3 2 3" xfId="4870" xr:uid="{00000000-0005-0000-0000-00008F4B0000}"/>
    <cellStyle name="40% - Accent6 2 3 2 3 2" xfId="4871" xr:uid="{00000000-0005-0000-0000-0000904B0000}"/>
    <cellStyle name="40% - Accent6 2 3 2 3 2 2" xfId="15496" xr:uid="{00000000-0005-0000-0000-0000914B0000}"/>
    <cellStyle name="40% - Accent6 2 3 2 3 2 2 2" xfId="29045" xr:uid="{00000000-0005-0000-0000-0000924B0000}"/>
    <cellStyle name="40% - Accent6 2 3 2 3 2 3" xfId="24151" xr:uid="{00000000-0005-0000-0000-0000934B0000}"/>
    <cellStyle name="40% - Accent6 2 3 2 3 3" xfId="11241" xr:uid="{00000000-0005-0000-0000-0000944B0000}"/>
    <cellStyle name="40% - Accent6 2 3 2 3 3 2" xfId="25183" xr:uid="{00000000-0005-0000-0000-0000954B0000}"/>
    <cellStyle name="40% - Accent6 2 3 2 3 4" xfId="22706" xr:uid="{00000000-0005-0000-0000-0000964B0000}"/>
    <cellStyle name="40% - Accent6 2 3 2 4" xfId="4872" xr:uid="{00000000-0005-0000-0000-0000974B0000}"/>
    <cellStyle name="40% - Accent6 2 3 2 4 2" xfId="12303" xr:uid="{00000000-0005-0000-0000-0000984B0000}"/>
    <cellStyle name="40% - Accent6 2 3 2 4 2 2" xfId="26015" xr:uid="{00000000-0005-0000-0000-0000994B0000}"/>
    <cellStyle name="40% - Accent6 2 3 2 4 3" xfId="22705" xr:uid="{00000000-0005-0000-0000-00009A4B0000}"/>
    <cellStyle name="40% - Accent6 2 3 2 5" xfId="4873" xr:uid="{00000000-0005-0000-0000-00009B4B0000}"/>
    <cellStyle name="40% - Accent6 2 3 2 5 2" xfId="13028" xr:uid="{00000000-0005-0000-0000-00009C4B0000}"/>
    <cellStyle name="40% - Accent6 2 3 2 5 2 2" xfId="26740" xr:uid="{00000000-0005-0000-0000-00009D4B0000}"/>
    <cellStyle name="40% - Accent6 2 3 2 5 3" xfId="24149" xr:uid="{00000000-0005-0000-0000-00009E4B0000}"/>
    <cellStyle name="40% - Accent6 2 3 2 6" xfId="4874" xr:uid="{00000000-0005-0000-0000-00009F4B0000}"/>
    <cellStyle name="40% - Accent6 2 3 2 6 2" xfId="13867" xr:uid="{00000000-0005-0000-0000-0000A04B0000}"/>
    <cellStyle name="40% - Accent6 2 3 2 6 2 2" xfId="27416" xr:uid="{00000000-0005-0000-0000-0000A14B0000}"/>
    <cellStyle name="40% - Accent6 2 3 2 6 3" xfId="24150" xr:uid="{00000000-0005-0000-0000-0000A24B0000}"/>
    <cellStyle name="40% - Accent6 2 3 2 7" xfId="4875" xr:uid="{00000000-0005-0000-0000-0000A34B0000}"/>
    <cellStyle name="40% - Accent6 2 3 2 7 2" xfId="14448" xr:uid="{00000000-0005-0000-0000-0000A44B0000}"/>
    <cellStyle name="40% - Accent6 2 3 2 7 2 2" xfId="27997" xr:uid="{00000000-0005-0000-0000-0000A54B0000}"/>
    <cellStyle name="40% - Accent6 2 3 2 7 3" xfId="22704" xr:uid="{00000000-0005-0000-0000-0000A64B0000}"/>
    <cellStyle name="40% - Accent6 2 3 2 8" xfId="4876" xr:uid="{00000000-0005-0000-0000-0000A74B0000}"/>
    <cellStyle name="40% - Accent6 2 3 2 8 2" xfId="15494" xr:uid="{00000000-0005-0000-0000-0000A84B0000}"/>
    <cellStyle name="40% - Accent6 2 3 2 8 2 2" xfId="29043" xr:uid="{00000000-0005-0000-0000-0000A94B0000}"/>
    <cellStyle name="40% - Accent6 2 3 2 8 3" xfId="22703" xr:uid="{00000000-0005-0000-0000-0000AA4B0000}"/>
    <cellStyle name="40% - Accent6 2 3 2 9" xfId="4877" xr:uid="{00000000-0005-0000-0000-0000AB4B0000}"/>
    <cellStyle name="40% - Accent6 2 3 2 9 2" xfId="16334" xr:uid="{00000000-0005-0000-0000-0000AC4B0000}"/>
    <cellStyle name="40% - Accent6 2 3 2 9 2 2" xfId="29741" xr:uid="{00000000-0005-0000-0000-0000AD4B0000}"/>
    <cellStyle name="40% - Accent6 2 3 2 9 3" xfId="24148" xr:uid="{00000000-0005-0000-0000-0000AE4B0000}"/>
    <cellStyle name="40% - Accent6 2 3 3" xfId="4878" xr:uid="{00000000-0005-0000-0000-0000AF4B0000}"/>
    <cellStyle name="40% - Accent6 2 3 3 2" xfId="4879" xr:uid="{00000000-0005-0000-0000-0000B04B0000}"/>
    <cellStyle name="40% - Accent6 2 3 3 2 2" xfId="11243" xr:uid="{00000000-0005-0000-0000-0000B14B0000}"/>
    <cellStyle name="40% - Accent6 2 3 3 2 2 2" xfId="25185" xr:uid="{00000000-0005-0000-0000-0000B24B0000}"/>
    <cellStyle name="40% - Accent6 2 3 3 2 3" xfId="22702" xr:uid="{00000000-0005-0000-0000-0000B34B0000}"/>
    <cellStyle name="40% - Accent6 2 3 3 3" xfId="4880" xr:uid="{00000000-0005-0000-0000-0000B44B0000}"/>
    <cellStyle name="40% - Accent6 2 3 3 3 2" xfId="13030" xr:uid="{00000000-0005-0000-0000-0000B54B0000}"/>
    <cellStyle name="40% - Accent6 2 3 3 3 2 2" xfId="26742" xr:uid="{00000000-0005-0000-0000-0000B64B0000}"/>
    <cellStyle name="40% - Accent6 2 3 3 3 3" xfId="26810" xr:uid="{00000000-0005-0000-0000-0000B74B0000}"/>
    <cellStyle name="40% - Accent6 2 3 3 4" xfId="4881" xr:uid="{00000000-0005-0000-0000-0000B84B0000}"/>
    <cellStyle name="40% - Accent6 2 3 3 4 2" xfId="15497" xr:uid="{00000000-0005-0000-0000-0000B94B0000}"/>
    <cellStyle name="40% - Accent6 2 3 3 4 2 2" xfId="29046" xr:uid="{00000000-0005-0000-0000-0000BA4B0000}"/>
    <cellStyle name="40% - Accent6 2 3 3 4 3" xfId="22701" xr:uid="{00000000-0005-0000-0000-0000BB4B0000}"/>
    <cellStyle name="40% - Accent6 2 3 3 5" xfId="4882" xr:uid="{00000000-0005-0000-0000-0000BC4B0000}"/>
    <cellStyle name="40% - Accent6 2 3 3 5 2" xfId="16626" xr:uid="{00000000-0005-0000-0000-0000BD4B0000}"/>
    <cellStyle name="40% - Accent6 2 3 3 5 2 2" xfId="30033" xr:uid="{00000000-0005-0000-0000-0000BE4B0000}"/>
    <cellStyle name="40% - Accent6 2 3 3 5 3" xfId="22700" xr:uid="{00000000-0005-0000-0000-0000BF4B0000}"/>
    <cellStyle name="40% - Accent6 2 3 3 6" xfId="9516" xr:uid="{00000000-0005-0000-0000-0000C04B0000}"/>
    <cellStyle name="40% - Accent6 2 3 3 6 2" xfId="23991" xr:uid="{00000000-0005-0000-0000-0000C14B0000}"/>
    <cellStyle name="40% - Accent6 2 3 3 7" xfId="26809" xr:uid="{00000000-0005-0000-0000-0000C24B0000}"/>
    <cellStyle name="40% - Accent6 2 3 4" xfId="4883" xr:uid="{00000000-0005-0000-0000-0000C34B0000}"/>
    <cellStyle name="40% - Accent6 2 3 4 2" xfId="4884" xr:uid="{00000000-0005-0000-0000-0000C44B0000}"/>
    <cellStyle name="40% - Accent6 2 3 4 2 2" xfId="15498" xr:uid="{00000000-0005-0000-0000-0000C54B0000}"/>
    <cellStyle name="40% - Accent6 2 3 4 2 2 2" xfId="29047" xr:uid="{00000000-0005-0000-0000-0000C64B0000}"/>
    <cellStyle name="40% - Accent6 2 3 4 2 3" xfId="24147" xr:uid="{00000000-0005-0000-0000-0000C74B0000}"/>
    <cellStyle name="40% - Accent6 2 3 4 3" xfId="11240" xr:uid="{00000000-0005-0000-0000-0000C84B0000}"/>
    <cellStyle name="40% - Accent6 2 3 4 3 2" xfId="25182" xr:uid="{00000000-0005-0000-0000-0000C94B0000}"/>
    <cellStyle name="40% - Accent6 2 3 4 4" xfId="24146" xr:uid="{00000000-0005-0000-0000-0000CA4B0000}"/>
    <cellStyle name="40% - Accent6 2 3 5" xfId="4885" xr:uid="{00000000-0005-0000-0000-0000CB4B0000}"/>
    <cellStyle name="40% - Accent6 2 3 5 2" xfId="12003" xr:uid="{00000000-0005-0000-0000-0000CC4B0000}"/>
    <cellStyle name="40% - Accent6 2 3 5 2 2" xfId="25718" xr:uid="{00000000-0005-0000-0000-0000CD4B0000}"/>
    <cellStyle name="40% - Accent6 2 3 5 3" xfId="22699" xr:uid="{00000000-0005-0000-0000-0000CE4B0000}"/>
    <cellStyle name="40% - Accent6 2 3 6" xfId="4886" xr:uid="{00000000-0005-0000-0000-0000CF4B0000}"/>
    <cellStyle name="40% - Accent6 2 3 6 2" xfId="13027" xr:uid="{00000000-0005-0000-0000-0000D04B0000}"/>
    <cellStyle name="40% - Accent6 2 3 6 2 2" xfId="26739" xr:uid="{00000000-0005-0000-0000-0000D14B0000}"/>
    <cellStyle name="40% - Accent6 2 3 6 3" xfId="22698" xr:uid="{00000000-0005-0000-0000-0000D24B0000}"/>
    <cellStyle name="40% - Accent6 2 3 7" xfId="4887" xr:uid="{00000000-0005-0000-0000-0000D34B0000}"/>
    <cellStyle name="40% - Accent6 2 3 7 2" xfId="13578" xr:uid="{00000000-0005-0000-0000-0000D44B0000}"/>
    <cellStyle name="40% - Accent6 2 3 7 2 2" xfId="27127" xr:uid="{00000000-0005-0000-0000-0000D54B0000}"/>
    <cellStyle name="40% - Accent6 2 3 7 3" xfId="24145" xr:uid="{00000000-0005-0000-0000-0000D64B0000}"/>
    <cellStyle name="40% - Accent6 2 3 8" xfId="4888" xr:uid="{00000000-0005-0000-0000-0000D74B0000}"/>
    <cellStyle name="40% - Accent6 2 3 8 2" xfId="14159" xr:uid="{00000000-0005-0000-0000-0000D84B0000}"/>
    <cellStyle name="40% - Accent6 2 3 8 2 2" xfId="27708" xr:uid="{00000000-0005-0000-0000-0000D94B0000}"/>
    <cellStyle name="40% - Accent6 2 3 8 3" xfId="22697" xr:uid="{00000000-0005-0000-0000-0000DA4B0000}"/>
    <cellStyle name="40% - Accent6 2 3 9" xfId="4889" xr:uid="{00000000-0005-0000-0000-0000DB4B0000}"/>
    <cellStyle name="40% - Accent6 2 3 9 2" xfId="15493" xr:uid="{00000000-0005-0000-0000-0000DC4B0000}"/>
    <cellStyle name="40% - Accent6 2 3 9 2 2" xfId="29042" xr:uid="{00000000-0005-0000-0000-0000DD4B0000}"/>
    <cellStyle name="40% - Accent6 2 3 9 3" xfId="24142" xr:uid="{00000000-0005-0000-0000-0000DE4B0000}"/>
    <cellStyle name="40% - Accent6 2 4" xfId="4890" xr:uid="{00000000-0005-0000-0000-0000DF4B0000}"/>
    <cellStyle name="40% - Accent6 2 4 10" xfId="9517" xr:uid="{00000000-0005-0000-0000-0000E04B0000}"/>
    <cellStyle name="40% - Accent6 2 4 10 2" xfId="23992" xr:uid="{00000000-0005-0000-0000-0000E14B0000}"/>
    <cellStyle name="40% - Accent6 2 4 11" xfId="22696" xr:uid="{00000000-0005-0000-0000-0000E24B0000}"/>
    <cellStyle name="40% - Accent6 2 4 2" xfId="4891" xr:uid="{00000000-0005-0000-0000-0000E34B0000}"/>
    <cellStyle name="40% - Accent6 2 4 2 2" xfId="4892" xr:uid="{00000000-0005-0000-0000-0000E44B0000}"/>
    <cellStyle name="40% - Accent6 2 4 2 2 2" xfId="11245" xr:uid="{00000000-0005-0000-0000-0000E54B0000}"/>
    <cellStyle name="40% - Accent6 2 4 2 2 2 2" xfId="25187" xr:uid="{00000000-0005-0000-0000-0000E64B0000}"/>
    <cellStyle name="40% - Accent6 2 4 2 2 3" xfId="22695" xr:uid="{00000000-0005-0000-0000-0000E74B0000}"/>
    <cellStyle name="40% - Accent6 2 4 2 3" xfId="4893" xr:uid="{00000000-0005-0000-0000-0000E84B0000}"/>
    <cellStyle name="40% - Accent6 2 4 2 3 2" xfId="13032" xr:uid="{00000000-0005-0000-0000-0000E94B0000}"/>
    <cellStyle name="40% - Accent6 2 4 2 3 2 2" xfId="26744" xr:uid="{00000000-0005-0000-0000-0000EA4B0000}"/>
    <cellStyle name="40% - Accent6 2 4 2 3 3" xfId="24430" xr:uid="{00000000-0005-0000-0000-0000EB4B0000}"/>
    <cellStyle name="40% - Accent6 2 4 2 4" xfId="4894" xr:uid="{00000000-0005-0000-0000-0000EC4B0000}"/>
    <cellStyle name="40% - Accent6 2 4 2 4 2" xfId="15500" xr:uid="{00000000-0005-0000-0000-0000ED4B0000}"/>
    <cellStyle name="40% - Accent6 2 4 2 4 2 2" xfId="29049" xr:uid="{00000000-0005-0000-0000-0000EE4B0000}"/>
    <cellStyle name="40% - Accent6 2 4 2 4 3" xfId="29126" xr:uid="{00000000-0005-0000-0000-0000EF4B0000}"/>
    <cellStyle name="40% - Accent6 2 4 2 5" xfId="4895" xr:uid="{00000000-0005-0000-0000-0000F04B0000}"/>
    <cellStyle name="40% - Accent6 2 4 2 5 2" xfId="16772" xr:uid="{00000000-0005-0000-0000-0000F14B0000}"/>
    <cellStyle name="40% - Accent6 2 4 2 5 2 2" xfId="30179" xr:uid="{00000000-0005-0000-0000-0000F24B0000}"/>
    <cellStyle name="40% - Accent6 2 4 2 5 3" xfId="22694" xr:uid="{00000000-0005-0000-0000-0000F34B0000}"/>
    <cellStyle name="40% - Accent6 2 4 2 6" xfId="9518" xr:uid="{00000000-0005-0000-0000-0000F44B0000}"/>
    <cellStyle name="40% - Accent6 2 4 2 6 2" xfId="23993" xr:uid="{00000000-0005-0000-0000-0000F54B0000}"/>
    <cellStyle name="40% - Accent6 2 4 2 7" xfId="25240" xr:uid="{00000000-0005-0000-0000-0000F64B0000}"/>
    <cellStyle name="40% - Accent6 2 4 3" xfId="4896" xr:uid="{00000000-0005-0000-0000-0000F74B0000}"/>
    <cellStyle name="40% - Accent6 2 4 3 2" xfId="4897" xr:uid="{00000000-0005-0000-0000-0000F84B0000}"/>
    <cellStyle name="40% - Accent6 2 4 3 2 2" xfId="15501" xr:uid="{00000000-0005-0000-0000-0000F94B0000}"/>
    <cellStyle name="40% - Accent6 2 4 3 2 2 2" xfId="29050" xr:uid="{00000000-0005-0000-0000-0000FA4B0000}"/>
    <cellStyle name="40% - Accent6 2 4 3 2 3" xfId="24144" xr:uid="{00000000-0005-0000-0000-0000FB4B0000}"/>
    <cellStyle name="40% - Accent6 2 4 3 3" xfId="11244" xr:uid="{00000000-0005-0000-0000-0000FC4B0000}"/>
    <cellStyle name="40% - Accent6 2 4 3 3 2" xfId="25186" xr:uid="{00000000-0005-0000-0000-0000FD4B0000}"/>
    <cellStyle name="40% - Accent6 2 4 3 4" xfId="22693" xr:uid="{00000000-0005-0000-0000-0000FE4B0000}"/>
    <cellStyle name="40% - Accent6 2 4 4" xfId="4898" xr:uid="{00000000-0005-0000-0000-0000FF4B0000}"/>
    <cellStyle name="40% - Accent6 2 4 4 2" xfId="12160" xr:uid="{00000000-0005-0000-0000-0000004C0000}"/>
    <cellStyle name="40% - Accent6 2 4 4 2 2" xfId="25872" xr:uid="{00000000-0005-0000-0000-0000014C0000}"/>
    <cellStyle name="40% - Accent6 2 4 4 3" xfId="22692" xr:uid="{00000000-0005-0000-0000-0000024C0000}"/>
    <cellStyle name="40% - Accent6 2 4 5" xfId="4899" xr:uid="{00000000-0005-0000-0000-0000034C0000}"/>
    <cellStyle name="40% - Accent6 2 4 5 2" xfId="13031" xr:uid="{00000000-0005-0000-0000-0000044C0000}"/>
    <cellStyle name="40% - Accent6 2 4 5 2 2" xfId="26743" xr:uid="{00000000-0005-0000-0000-0000054C0000}"/>
    <cellStyle name="40% - Accent6 2 4 5 3" xfId="24143" xr:uid="{00000000-0005-0000-0000-0000064C0000}"/>
    <cellStyle name="40% - Accent6 2 4 6" xfId="4900" xr:uid="{00000000-0005-0000-0000-0000074C0000}"/>
    <cellStyle name="40% - Accent6 2 4 6 2" xfId="13724" xr:uid="{00000000-0005-0000-0000-0000084C0000}"/>
    <cellStyle name="40% - Accent6 2 4 6 2 2" xfId="27273" xr:uid="{00000000-0005-0000-0000-0000094C0000}"/>
    <cellStyle name="40% - Accent6 2 4 6 3" xfId="22691" xr:uid="{00000000-0005-0000-0000-00000A4C0000}"/>
    <cellStyle name="40% - Accent6 2 4 7" xfId="4901" xr:uid="{00000000-0005-0000-0000-00000B4C0000}"/>
    <cellStyle name="40% - Accent6 2 4 7 2" xfId="14305" xr:uid="{00000000-0005-0000-0000-00000C4C0000}"/>
    <cellStyle name="40% - Accent6 2 4 7 2 2" xfId="27854" xr:uid="{00000000-0005-0000-0000-00000D4C0000}"/>
    <cellStyle name="40% - Accent6 2 4 7 3" xfId="23241" xr:uid="{00000000-0005-0000-0000-00000E4C0000}"/>
    <cellStyle name="40% - Accent6 2 4 8" xfId="4902" xr:uid="{00000000-0005-0000-0000-00000F4C0000}"/>
    <cellStyle name="40% - Accent6 2 4 8 2" xfId="15499" xr:uid="{00000000-0005-0000-0000-0000104C0000}"/>
    <cellStyle name="40% - Accent6 2 4 8 2 2" xfId="29048" xr:uid="{00000000-0005-0000-0000-0000114C0000}"/>
    <cellStyle name="40% - Accent6 2 4 8 3" xfId="24141" xr:uid="{00000000-0005-0000-0000-0000124C0000}"/>
    <cellStyle name="40% - Accent6 2 4 9" xfId="4903" xr:uid="{00000000-0005-0000-0000-0000134C0000}"/>
    <cellStyle name="40% - Accent6 2 4 9 2" xfId="16191" xr:uid="{00000000-0005-0000-0000-0000144C0000}"/>
    <cellStyle name="40% - Accent6 2 4 9 2 2" xfId="29598" xr:uid="{00000000-0005-0000-0000-0000154C0000}"/>
    <cellStyle name="40% - Accent6 2 4 9 3" xfId="22690" xr:uid="{00000000-0005-0000-0000-0000164C0000}"/>
    <cellStyle name="40% - Accent6 2 5" xfId="4904" xr:uid="{00000000-0005-0000-0000-0000174C0000}"/>
    <cellStyle name="40% - Accent6 2 5 2" xfId="4905" xr:uid="{00000000-0005-0000-0000-0000184C0000}"/>
    <cellStyle name="40% - Accent6 2 5 2 2" xfId="4906" xr:uid="{00000000-0005-0000-0000-0000194C0000}"/>
    <cellStyle name="40% - Accent6 2 5 2 2 2" xfId="11247" xr:uid="{00000000-0005-0000-0000-00001A4C0000}"/>
    <cellStyle name="40% - Accent6 2 5 2 2 2 2" xfId="25189" xr:uid="{00000000-0005-0000-0000-00001B4C0000}"/>
    <cellStyle name="40% - Accent6 2 5 2 2 3" xfId="24139" xr:uid="{00000000-0005-0000-0000-00001C4C0000}"/>
    <cellStyle name="40% - Accent6 2 5 2 3" xfId="4907" xr:uid="{00000000-0005-0000-0000-00001D4C0000}"/>
    <cellStyle name="40% - Accent6 2 5 2 3 2" xfId="13034" xr:uid="{00000000-0005-0000-0000-00001E4C0000}"/>
    <cellStyle name="40% - Accent6 2 5 2 3 2 2" xfId="26746" xr:uid="{00000000-0005-0000-0000-00001F4C0000}"/>
    <cellStyle name="40% - Accent6 2 5 2 3 3" xfId="22688" xr:uid="{00000000-0005-0000-0000-0000204C0000}"/>
    <cellStyle name="40% - Accent6 2 5 2 4" xfId="4908" xr:uid="{00000000-0005-0000-0000-0000214C0000}"/>
    <cellStyle name="40% - Accent6 2 5 2 4 2" xfId="15503" xr:uid="{00000000-0005-0000-0000-0000224C0000}"/>
    <cellStyle name="40% - Accent6 2 5 2 4 2 2" xfId="29052" xr:uid="{00000000-0005-0000-0000-0000234C0000}"/>
    <cellStyle name="40% - Accent6 2 5 2 4 3" xfId="24138" xr:uid="{00000000-0005-0000-0000-0000244C0000}"/>
    <cellStyle name="40% - Accent6 2 5 2 5" xfId="9520" xr:uid="{00000000-0005-0000-0000-0000254C0000}"/>
    <cellStyle name="40% - Accent6 2 5 2 5 2" xfId="23995" xr:uid="{00000000-0005-0000-0000-0000264C0000}"/>
    <cellStyle name="40% - Accent6 2 5 2 6" xfId="22689" xr:uid="{00000000-0005-0000-0000-0000274C0000}"/>
    <cellStyle name="40% - Accent6 2 5 3" xfId="4909" xr:uid="{00000000-0005-0000-0000-0000284C0000}"/>
    <cellStyle name="40% - Accent6 2 5 3 2" xfId="11246" xr:uid="{00000000-0005-0000-0000-0000294C0000}"/>
    <cellStyle name="40% - Accent6 2 5 3 2 2" xfId="25188" xr:uid="{00000000-0005-0000-0000-00002A4C0000}"/>
    <cellStyle name="40% - Accent6 2 5 3 3" xfId="22687" xr:uid="{00000000-0005-0000-0000-00002B4C0000}"/>
    <cellStyle name="40% - Accent6 2 5 4" xfId="4910" xr:uid="{00000000-0005-0000-0000-00002C4C0000}"/>
    <cellStyle name="40% - Accent6 2 5 4 2" xfId="13033" xr:uid="{00000000-0005-0000-0000-00002D4C0000}"/>
    <cellStyle name="40% - Accent6 2 5 4 2 2" xfId="26745" xr:uid="{00000000-0005-0000-0000-00002E4C0000}"/>
    <cellStyle name="40% - Accent6 2 5 4 3" xfId="24136" xr:uid="{00000000-0005-0000-0000-00002F4C0000}"/>
    <cellStyle name="40% - Accent6 2 5 5" xfId="4911" xr:uid="{00000000-0005-0000-0000-0000304C0000}"/>
    <cellStyle name="40% - Accent6 2 5 5 2" xfId="15502" xr:uid="{00000000-0005-0000-0000-0000314C0000}"/>
    <cellStyle name="40% - Accent6 2 5 5 2 2" xfId="29051" xr:uid="{00000000-0005-0000-0000-0000324C0000}"/>
    <cellStyle name="40% - Accent6 2 5 5 3" xfId="24137" xr:uid="{00000000-0005-0000-0000-0000334C0000}"/>
    <cellStyle name="40% - Accent6 2 5 6" xfId="4912" xr:uid="{00000000-0005-0000-0000-0000344C0000}"/>
    <cellStyle name="40% - Accent6 2 5 6 2" xfId="17007" xr:uid="{00000000-0005-0000-0000-0000354C0000}"/>
    <cellStyle name="40% - Accent6 2 5 6 2 2" xfId="30414" xr:uid="{00000000-0005-0000-0000-0000364C0000}"/>
    <cellStyle name="40% - Accent6 2 5 6 3" xfId="22686" xr:uid="{00000000-0005-0000-0000-0000374C0000}"/>
    <cellStyle name="40% - Accent6 2 5 7" xfId="9519" xr:uid="{00000000-0005-0000-0000-0000384C0000}"/>
    <cellStyle name="40% - Accent6 2 5 7 2" xfId="23994" xr:uid="{00000000-0005-0000-0000-0000394C0000}"/>
    <cellStyle name="40% - Accent6 2 5 8" xfId="24140" xr:uid="{00000000-0005-0000-0000-00003A4C0000}"/>
    <cellStyle name="40% - Accent6 2 6" xfId="4913" xr:uid="{00000000-0005-0000-0000-00003B4C0000}"/>
    <cellStyle name="40% - Accent6 2 6 2" xfId="4914" xr:uid="{00000000-0005-0000-0000-00003C4C0000}"/>
    <cellStyle name="40% - Accent6 2 6 2 2" xfId="11248" xr:uid="{00000000-0005-0000-0000-00003D4C0000}"/>
    <cellStyle name="40% - Accent6 2 6 2 2 2" xfId="25190" xr:uid="{00000000-0005-0000-0000-00003E4C0000}"/>
    <cellStyle name="40% - Accent6 2 6 2 3" xfId="24135" xr:uid="{00000000-0005-0000-0000-00003F4C0000}"/>
    <cellStyle name="40% - Accent6 2 6 3" xfId="4915" xr:uid="{00000000-0005-0000-0000-0000404C0000}"/>
    <cellStyle name="40% - Accent6 2 6 3 2" xfId="13035" xr:uid="{00000000-0005-0000-0000-0000414C0000}"/>
    <cellStyle name="40% - Accent6 2 6 3 2 2" xfId="26747" xr:uid="{00000000-0005-0000-0000-0000424C0000}"/>
    <cellStyle name="40% - Accent6 2 6 3 3" xfId="26807" xr:uid="{00000000-0005-0000-0000-0000434C0000}"/>
    <cellStyle name="40% - Accent6 2 6 4" xfId="4916" xr:uid="{00000000-0005-0000-0000-0000444C0000}"/>
    <cellStyle name="40% - Accent6 2 6 4 2" xfId="15504" xr:uid="{00000000-0005-0000-0000-0000454C0000}"/>
    <cellStyle name="40% - Accent6 2 6 4 2 2" xfId="29053" xr:uid="{00000000-0005-0000-0000-0000464C0000}"/>
    <cellStyle name="40% - Accent6 2 6 4 3" xfId="22684" xr:uid="{00000000-0005-0000-0000-0000474C0000}"/>
    <cellStyle name="40% - Accent6 2 6 5" xfId="4917" xr:uid="{00000000-0005-0000-0000-0000484C0000}"/>
    <cellStyle name="40% - Accent6 2 6 5 2" xfId="17119" xr:uid="{00000000-0005-0000-0000-0000494C0000}"/>
    <cellStyle name="40% - Accent6 2 6 5 2 2" xfId="30478" xr:uid="{00000000-0005-0000-0000-00004A4C0000}"/>
    <cellStyle name="40% - Accent6 2 6 5 3" xfId="26808" xr:uid="{00000000-0005-0000-0000-00004B4C0000}"/>
    <cellStyle name="40% - Accent6 2 6 6" xfId="9521" xr:uid="{00000000-0005-0000-0000-00004C4C0000}"/>
    <cellStyle name="40% - Accent6 2 6 6 2" xfId="23996" xr:uid="{00000000-0005-0000-0000-00004D4C0000}"/>
    <cellStyle name="40% - Accent6 2 6 7" xfId="22685" xr:uid="{00000000-0005-0000-0000-00004E4C0000}"/>
    <cellStyle name="40% - Accent6 2 7" xfId="4918" xr:uid="{00000000-0005-0000-0000-00004F4C0000}"/>
    <cellStyle name="40% - Accent6 2 7 2" xfId="4919" xr:uid="{00000000-0005-0000-0000-0000504C0000}"/>
    <cellStyle name="40% - Accent6 2 7 2 2" xfId="11249" xr:uid="{00000000-0005-0000-0000-0000514C0000}"/>
    <cellStyle name="40% - Accent6 2 7 2 2 2" xfId="25191" xr:uid="{00000000-0005-0000-0000-0000524C0000}"/>
    <cellStyle name="40% - Accent6 2 7 2 3" xfId="22682" xr:uid="{00000000-0005-0000-0000-0000534C0000}"/>
    <cellStyle name="40% - Accent6 2 7 3" xfId="4920" xr:uid="{00000000-0005-0000-0000-0000544C0000}"/>
    <cellStyle name="40% - Accent6 2 7 3 2" xfId="13036" xr:uid="{00000000-0005-0000-0000-0000554C0000}"/>
    <cellStyle name="40% - Accent6 2 7 3 2 2" xfId="26748" xr:uid="{00000000-0005-0000-0000-0000564C0000}"/>
    <cellStyle name="40% - Accent6 2 7 3 3" xfId="24133" xr:uid="{00000000-0005-0000-0000-0000574C0000}"/>
    <cellStyle name="40% - Accent6 2 7 4" xfId="4921" xr:uid="{00000000-0005-0000-0000-0000584C0000}"/>
    <cellStyle name="40% - Accent6 2 7 4 2" xfId="15505" xr:uid="{00000000-0005-0000-0000-0000594C0000}"/>
    <cellStyle name="40% - Accent6 2 7 4 2 2" xfId="29054" xr:uid="{00000000-0005-0000-0000-00005A4C0000}"/>
    <cellStyle name="40% - Accent6 2 7 4 3" xfId="24134" xr:uid="{00000000-0005-0000-0000-00005B4C0000}"/>
    <cellStyle name="40% - Accent6 2 7 5" xfId="4922" xr:uid="{00000000-0005-0000-0000-00005C4C0000}"/>
    <cellStyle name="40% - Accent6 2 7 5 2" xfId="17208" xr:uid="{00000000-0005-0000-0000-00005D4C0000}"/>
    <cellStyle name="40% - Accent6 2 7 5 2 2" xfId="30567" xr:uid="{00000000-0005-0000-0000-00005E4C0000}"/>
    <cellStyle name="40% - Accent6 2 7 5 3" xfId="22681" xr:uid="{00000000-0005-0000-0000-00005F4C0000}"/>
    <cellStyle name="40% - Accent6 2 7 6" xfId="9522" xr:uid="{00000000-0005-0000-0000-0000604C0000}"/>
    <cellStyle name="40% - Accent6 2 7 6 2" xfId="23997" xr:uid="{00000000-0005-0000-0000-0000614C0000}"/>
    <cellStyle name="40% - Accent6 2 7 7" xfId="22683" xr:uid="{00000000-0005-0000-0000-0000624C0000}"/>
    <cellStyle name="40% - Accent6 2 8" xfId="4923" xr:uid="{00000000-0005-0000-0000-0000634C0000}"/>
    <cellStyle name="40% - Accent6 2 8 2" xfId="4924" xr:uid="{00000000-0005-0000-0000-0000644C0000}"/>
    <cellStyle name="40% - Accent6 2 8 2 2" xfId="13037" xr:uid="{00000000-0005-0000-0000-0000654C0000}"/>
    <cellStyle name="40% - Accent6 2 8 2 2 2" xfId="26749" xr:uid="{00000000-0005-0000-0000-0000664C0000}"/>
    <cellStyle name="40% - Accent6 2 8 2 3" xfId="24132" xr:uid="{00000000-0005-0000-0000-0000674C0000}"/>
    <cellStyle name="40% - Accent6 2 8 3" xfId="4925" xr:uid="{00000000-0005-0000-0000-0000684C0000}"/>
    <cellStyle name="40% - Accent6 2 8 3 2" xfId="15506" xr:uid="{00000000-0005-0000-0000-0000694C0000}"/>
    <cellStyle name="40% - Accent6 2 8 3 2 2" xfId="29055" xr:uid="{00000000-0005-0000-0000-00006A4C0000}"/>
    <cellStyle name="40% - Accent6 2 8 3 3" xfId="22679" xr:uid="{00000000-0005-0000-0000-00006B4C0000}"/>
    <cellStyle name="40% - Accent6 2 8 4" xfId="4926" xr:uid="{00000000-0005-0000-0000-00006C4C0000}"/>
    <cellStyle name="40% - Accent6 2 8 4 2" xfId="16483" xr:uid="{00000000-0005-0000-0000-00006D4C0000}"/>
    <cellStyle name="40% - Accent6 2 8 4 2 2" xfId="29890" xr:uid="{00000000-0005-0000-0000-00006E4C0000}"/>
    <cellStyle name="40% - Accent6 2 8 4 3" xfId="24129" xr:uid="{00000000-0005-0000-0000-00006F4C0000}"/>
    <cellStyle name="40% - Accent6 2 8 5" xfId="10528" xr:uid="{00000000-0005-0000-0000-0000704C0000}"/>
    <cellStyle name="40% - Accent6 2 8 5 2" xfId="24470" xr:uid="{00000000-0005-0000-0000-0000714C0000}"/>
    <cellStyle name="40% - Accent6 2 8 6" xfId="22680" xr:uid="{00000000-0005-0000-0000-0000724C0000}"/>
    <cellStyle name="40% - Accent6 2 9" xfId="4927" xr:uid="{00000000-0005-0000-0000-0000734C0000}"/>
    <cellStyle name="40% - Accent6 2 9 2" xfId="4928" xr:uid="{00000000-0005-0000-0000-0000744C0000}"/>
    <cellStyle name="40% - Accent6 2 9 2 2" xfId="13038" xr:uid="{00000000-0005-0000-0000-0000754C0000}"/>
    <cellStyle name="40% - Accent6 2 9 2 2 2" xfId="26750" xr:uid="{00000000-0005-0000-0000-0000764C0000}"/>
    <cellStyle name="40% - Accent6 2 9 2 3" xfId="25239" xr:uid="{00000000-0005-0000-0000-0000774C0000}"/>
    <cellStyle name="40% - Accent6 2 9 3" xfId="4929" xr:uid="{00000000-0005-0000-0000-0000784C0000}"/>
    <cellStyle name="40% - Accent6 2 9 3 2" xfId="15507" xr:uid="{00000000-0005-0000-0000-0000794C0000}"/>
    <cellStyle name="40% - Accent6 2 9 3 2 2" xfId="29056" xr:uid="{00000000-0005-0000-0000-00007A4C0000}"/>
    <cellStyle name="40% - Accent6 2 9 3 3" xfId="22677" xr:uid="{00000000-0005-0000-0000-00007B4C0000}"/>
    <cellStyle name="40% - Accent6 2 9 4" xfId="11231" xr:uid="{00000000-0005-0000-0000-00007C4C0000}"/>
    <cellStyle name="40% - Accent6 2 9 4 2" xfId="25173" xr:uid="{00000000-0005-0000-0000-00007D4C0000}"/>
    <cellStyle name="40% - Accent6 2 9 5" xfId="22678" xr:uid="{00000000-0005-0000-0000-00007E4C0000}"/>
    <cellStyle name="40% - Accent6 20" xfId="4930" xr:uid="{00000000-0005-0000-0000-00007F4C0000}"/>
    <cellStyle name="40% - Accent6 20 2" xfId="4931" xr:uid="{00000000-0005-0000-0000-0000804C0000}"/>
    <cellStyle name="40% - Accent6 20 2 2" xfId="13039" xr:uid="{00000000-0005-0000-0000-0000814C0000}"/>
    <cellStyle name="40% - Accent6 20 2 2 2" xfId="26751" xr:uid="{00000000-0005-0000-0000-0000824C0000}"/>
    <cellStyle name="40% - Accent6 20 2 3" xfId="29125" xr:uid="{00000000-0005-0000-0000-0000834C0000}"/>
    <cellStyle name="40% - Accent6 20 3" xfId="4932" xr:uid="{00000000-0005-0000-0000-0000844C0000}"/>
    <cellStyle name="40% - Accent6 20 3 2" xfId="15508" xr:uid="{00000000-0005-0000-0000-0000854C0000}"/>
    <cellStyle name="40% - Accent6 20 3 2 2" xfId="29057" xr:uid="{00000000-0005-0000-0000-0000864C0000}"/>
    <cellStyle name="40% - Accent6 20 3 3" xfId="22676" xr:uid="{00000000-0005-0000-0000-0000874C0000}"/>
    <cellStyle name="40% - Accent6 20 4" xfId="10503" xr:uid="{00000000-0005-0000-0000-0000884C0000}"/>
    <cellStyle name="40% - Accent6 20 4 2" xfId="24451" xr:uid="{00000000-0005-0000-0000-0000894C0000}"/>
    <cellStyle name="40% - Accent6 20 5" xfId="24429" xr:uid="{00000000-0005-0000-0000-00008A4C0000}"/>
    <cellStyle name="40% - Accent6 21" xfId="4933" xr:uid="{00000000-0005-0000-0000-00008B4C0000}"/>
    <cellStyle name="40% - Accent6 21 2" xfId="4934" xr:uid="{00000000-0005-0000-0000-00008C4C0000}"/>
    <cellStyle name="40% - Accent6 21 2 2" xfId="13040" xr:uid="{00000000-0005-0000-0000-00008D4C0000}"/>
    <cellStyle name="40% - Accent6 21 2 2 2" xfId="26752" xr:uid="{00000000-0005-0000-0000-00008E4C0000}"/>
    <cellStyle name="40% - Accent6 21 2 3" xfId="24131" xr:uid="{00000000-0005-0000-0000-00008F4C0000}"/>
    <cellStyle name="40% - Accent6 21 3" xfId="4935" xr:uid="{00000000-0005-0000-0000-0000904C0000}"/>
    <cellStyle name="40% - Accent6 21 3 2" xfId="15509" xr:uid="{00000000-0005-0000-0000-0000914C0000}"/>
    <cellStyle name="40% - Accent6 21 3 2 2" xfId="29058" xr:uid="{00000000-0005-0000-0000-0000924C0000}"/>
    <cellStyle name="40% - Accent6 21 3 3" xfId="22674" xr:uid="{00000000-0005-0000-0000-0000934C0000}"/>
    <cellStyle name="40% - Accent6 21 4" xfId="11220" xr:uid="{00000000-0005-0000-0000-0000944C0000}"/>
    <cellStyle name="40% - Accent6 21 4 2" xfId="25162" xr:uid="{00000000-0005-0000-0000-0000954C0000}"/>
    <cellStyle name="40% - Accent6 21 5" xfId="22675" xr:uid="{00000000-0005-0000-0000-0000964C0000}"/>
    <cellStyle name="40% - Accent6 22" xfId="4936" xr:uid="{00000000-0005-0000-0000-0000974C0000}"/>
    <cellStyle name="40% - Accent6 22 2" xfId="11739" xr:uid="{00000000-0005-0000-0000-0000984C0000}"/>
    <cellStyle name="40% - Accent6 22 2 2" xfId="25454" xr:uid="{00000000-0005-0000-0000-0000994C0000}"/>
    <cellStyle name="40% - Accent6 22 3" xfId="24130" xr:uid="{00000000-0005-0000-0000-00009A4C0000}"/>
    <cellStyle name="40% - Accent6 23" xfId="4937" xr:uid="{00000000-0005-0000-0000-00009B4C0000}"/>
    <cellStyle name="40% - Accent6 23 2" xfId="13005" xr:uid="{00000000-0005-0000-0000-00009C4C0000}"/>
    <cellStyle name="40% - Accent6 23 2 2" xfId="26717" xr:uid="{00000000-0005-0000-0000-00009D4C0000}"/>
    <cellStyle name="40% - Accent6 23 3" xfId="22673" xr:uid="{00000000-0005-0000-0000-00009E4C0000}"/>
    <cellStyle name="40% - Accent6 24" xfId="4938" xr:uid="{00000000-0005-0000-0000-00009F4C0000}"/>
    <cellStyle name="40% - Accent6 24 2" xfId="13378" xr:uid="{00000000-0005-0000-0000-0000A04C0000}"/>
    <cellStyle name="40% - Accent6 24 2 2" xfId="26927" xr:uid="{00000000-0005-0000-0000-0000A14C0000}"/>
    <cellStyle name="40% - Accent6 24 3" xfId="23238" xr:uid="{00000000-0005-0000-0000-0000A24C0000}"/>
    <cellStyle name="40% - Accent6 25" xfId="4939" xr:uid="{00000000-0005-0000-0000-0000A34C0000}"/>
    <cellStyle name="40% - Accent6 25 2" xfId="13959" xr:uid="{00000000-0005-0000-0000-0000A44C0000}"/>
    <cellStyle name="40% - Accent6 25 2 2" xfId="27508" xr:uid="{00000000-0005-0000-0000-0000A54C0000}"/>
    <cellStyle name="40% - Accent6 25 3" xfId="24128" xr:uid="{00000000-0005-0000-0000-0000A64C0000}"/>
    <cellStyle name="40% - Accent6 26" xfId="4940" xr:uid="{00000000-0005-0000-0000-0000A74C0000}"/>
    <cellStyle name="40% - Accent6 26 2" xfId="15466" xr:uid="{00000000-0005-0000-0000-0000A84C0000}"/>
    <cellStyle name="40% - Accent6 26 2 2" xfId="29015" xr:uid="{00000000-0005-0000-0000-0000A94C0000}"/>
    <cellStyle name="40% - Accent6 26 3" xfId="22672" xr:uid="{00000000-0005-0000-0000-0000AA4C0000}"/>
    <cellStyle name="40% - Accent6 27" xfId="4941" xr:uid="{00000000-0005-0000-0000-0000AB4C0000}"/>
    <cellStyle name="40% - Accent6 27 2" xfId="15819" xr:uid="{00000000-0005-0000-0000-0000AC4C0000}"/>
    <cellStyle name="40% - Accent6 27 2 2" xfId="29226" xr:uid="{00000000-0005-0000-0000-0000AD4C0000}"/>
    <cellStyle name="40% - Accent6 27 3" xfId="24127" xr:uid="{00000000-0005-0000-0000-0000AE4C0000}"/>
    <cellStyle name="40% - Accent6 28" xfId="4942" xr:uid="{00000000-0005-0000-0000-0000AF4C0000}"/>
    <cellStyle name="40% - Accent6 28 2" xfId="15845" xr:uid="{00000000-0005-0000-0000-0000B04C0000}"/>
    <cellStyle name="40% - Accent6 28 2 2" xfId="29252" xr:uid="{00000000-0005-0000-0000-0000B14C0000}"/>
    <cellStyle name="40% - Accent6 28 3" xfId="22671" xr:uid="{00000000-0005-0000-0000-0000B24C0000}"/>
    <cellStyle name="40% - Accent6 29" xfId="4943" xr:uid="{00000000-0005-0000-0000-0000B34C0000}"/>
    <cellStyle name="40% - Accent6 29 2" xfId="9493" xr:uid="{00000000-0005-0000-0000-0000B44C0000}"/>
    <cellStyle name="40% - Accent6 29 2 2" xfId="23968" xr:uid="{00000000-0005-0000-0000-0000B54C0000}"/>
    <cellStyle name="40% - Accent6 29 3" xfId="24126" xr:uid="{00000000-0005-0000-0000-0000B64C0000}"/>
    <cellStyle name="40% - Accent6 3" xfId="4944" xr:uid="{00000000-0005-0000-0000-0000B74C0000}"/>
    <cellStyle name="40% - Accent6 3 10" xfId="4945" xr:uid="{00000000-0005-0000-0000-0000B84C0000}"/>
    <cellStyle name="40% - Accent6 3 10 2" xfId="14039" xr:uid="{00000000-0005-0000-0000-0000B94C0000}"/>
    <cellStyle name="40% - Accent6 3 10 2 2" xfId="27588" xr:uid="{00000000-0005-0000-0000-0000BA4C0000}"/>
    <cellStyle name="40% - Accent6 3 10 3" xfId="24125" xr:uid="{00000000-0005-0000-0000-0000BB4C0000}"/>
    <cellStyle name="40% - Accent6 3 11" xfId="4946" xr:uid="{00000000-0005-0000-0000-0000BC4C0000}"/>
    <cellStyle name="40% - Accent6 3 11 2" xfId="15510" xr:uid="{00000000-0005-0000-0000-0000BD4C0000}"/>
    <cellStyle name="40% - Accent6 3 11 2 2" xfId="29059" xr:uid="{00000000-0005-0000-0000-0000BE4C0000}"/>
    <cellStyle name="40% - Accent6 3 11 3" xfId="22669" xr:uid="{00000000-0005-0000-0000-0000BF4C0000}"/>
    <cellStyle name="40% - Accent6 3 12" xfId="4947" xr:uid="{00000000-0005-0000-0000-0000C04C0000}"/>
    <cellStyle name="40% - Accent6 3 12 2" xfId="15925" xr:uid="{00000000-0005-0000-0000-0000C14C0000}"/>
    <cellStyle name="40% - Accent6 3 12 2 2" xfId="29332" xr:uid="{00000000-0005-0000-0000-0000C24C0000}"/>
    <cellStyle name="40% - Accent6 3 12 3" xfId="24123" xr:uid="{00000000-0005-0000-0000-0000C34C0000}"/>
    <cellStyle name="40% - Accent6 3 13" xfId="9523" xr:uid="{00000000-0005-0000-0000-0000C44C0000}"/>
    <cellStyle name="40% - Accent6 3 13 2" xfId="23998" xr:uid="{00000000-0005-0000-0000-0000C54C0000}"/>
    <cellStyle name="40% - Accent6 3 14" xfId="22670" xr:uid="{00000000-0005-0000-0000-0000C64C0000}"/>
    <cellStyle name="40% - Accent6 3 2" xfId="4948" xr:uid="{00000000-0005-0000-0000-0000C74C0000}"/>
    <cellStyle name="40% - Accent6 3 2 10" xfId="4949" xr:uid="{00000000-0005-0000-0000-0000C84C0000}"/>
    <cellStyle name="40% - Accent6 3 2 10 2" xfId="16068" xr:uid="{00000000-0005-0000-0000-0000C94C0000}"/>
    <cellStyle name="40% - Accent6 3 2 10 2 2" xfId="29475" xr:uid="{00000000-0005-0000-0000-0000CA4C0000}"/>
    <cellStyle name="40% - Accent6 3 2 10 3" xfId="22668" xr:uid="{00000000-0005-0000-0000-0000CB4C0000}"/>
    <cellStyle name="40% - Accent6 3 2 11" xfId="9524" xr:uid="{00000000-0005-0000-0000-0000CC4C0000}"/>
    <cellStyle name="40% - Accent6 3 2 11 2" xfId="23999" xr:uid="{00000000-0005-0000-0000-0000CD4C0000}"/>
    <cellStyle name="40% - Accent6 3 2 12" xfId="24124" xr:uid="{00000000-0005-0000-0000-0000CE4C0000}"/>
    <cellStyle name="40% - Accent6 3 2 2" xfId="4950" xr:uid="{00000000-0005-0000-0000-0000CF4C0000}"/>
    <cellStyle name="40% - Accent6 3 2 2 10" xfId="9525" xr:uid="{00000000-0005-0000-0000-0000D04C0000}"/>
    <cellStyle name="40% - Accent6 3 2 2 10 2" xfId="24000" xr:uid="{00000000-0005-0000-0000-0000D14C0000}"/>
    <cellStyle name="40% - Accent6 3 2 2 11" xfId="22667" xr:uid="{00000000-0005-0000-0000-0000D24C0000}"/>
    <cellStyle name="40% - Accent6 3 2 2 2" xfId="4951" xr:uid="{00000000-0005-0000-0000-0000D34C0000}"/>
    <cellStyle name="40% - Accent6 3 2 2 2 2" xfId="4952" xr:uid="{00000000-0005-0000-0000-0000D44C0000}"/>
    <cellStyle name="40% - Accent6 3 2 2 2 2 2" xfId="11253" xr:uid="{00000000-0005-0000-0000-0000D54C0000}"/>
    <cellStyle name="40% - Accent6 3 2 2 2 2 2 2" xfId="25195" xr:uid="{00000000-0005-0000-0000-0000D64C0000}"/>
    <cellStyle name="40% - Accent6 3 2 2 2 2 3" xfId="26805" xr:uid="{00000000-0005-0000-0000-0000D74C0000}"/>
    <cellStyle name="40% - Accent6 3 2 2 2 3" xfId="4953" xr:uid="{00000000-0005-0000-0000-0000D84C0000}"/>
    <cellStyle name="40% - Accent6 3 2 2 2 3 2" xfId="13044" xr:uid="{00000000-0005-0000-0000-0000D94C0000}"/>
    <cellStyle name="40% - Accent6 3 2 2 2 3 2 2" xfId="26756" xr:uid="{00000000-0005-0000-0000-0000DA4C0000}"/>
    <cellStyle name="40% - Accent6 3 2 2 2 3 3" xfId="22666" xr:uid="{00000000-0005-0000-0000-0000DB4C0000}"/>
    <cellStyle name="40% - Accent6 3 2 2 2 4" xfId="4954" xr:uid="{00000000-0005-0000-0000-0000DC4C0000}"/>
    <cellStyle name="40% - Accent6 3 2 2 2 4 2" xfId="15513" xr:uid="{00000000-0005-0000-0000-0000DD4C0000}"/>
    <cellStyle name="40% - Accent6 3 2 2 2 4 2 2" xfId="29062" xr:uid="{00000000-0005-0000-0000-0000DE4C0000}"/>
    <cellStyle name="40% - Accent6 3 2 2 2 4 3" xfId="26806" xr:uid="{00000000-0005-0000-0000-0000DF4C0000}"/>
    <cellStyle name="40% - Accent6 3 2 2 2 5" xfId="4955" xr:uid="{00000000-0005-0000-0000-0000E04C0000}"/>
    <cellStyle name="40% - Accent6 3 2 2 2 5 2" xfId="16938" xr:uid="{00000000-0005-0000-0000-0000E14C0000}"/>
    <cellStyle name="40% - Accent6 3 2 2 2 5 2 2" xfId="30345" xr:uid="{00000000-0005-0000-0000-0000E24C0000}"/>
    <cellStyle name="40% - Accent6 3 2 2 2 5 3" xfId="22665" xr:uid="{00000000-0005-0000-0000-0000E34C0000}"/>
    <cellStyle name="40% - Accent6 3 2 2 2 6" xfId="9526" xr:uid="{00000000-0005-0000-0000-0000E44C0000}"/>
    <cellStyle name="40% - Accent6 3 2 2 2 6 2" xfId="24001" xr:uid="{00000000-0005-0000-0000-0000E54C0000}"/>
    <cellStyle name="40% - Accent6 3 2 2 2 7" xfId="24122" xr:uid="{00000000-0005-0000-0000-0000E64C0000}"/>
    <cellStyle name="40% - Accent6 3 2 2 3" xfId="4956" xr:uid="{00000000-0005-0000-0000-0000E74C0000}"/>
    <cellStyle name="40% - Accent6 3 2 2 3 2" xfId="4957" xr:uid="{00000000-0005-0000-0000-0000E84C0000}"/>
    <cellStyle name="40% - Accent6 3 2 2 3 2 2" xfId="15514" xr:uid="{00000000-0005-0000-0000-0000E94C0000}"/>
    <cellStyle name="40% - Accent6 3 2 2 3 2 2 2" xfId="29063" xr:uid="{00000000-0005-0000-0000-0000EA4C0000}"/>
    <cellStyle name="40% - Accent6 3 2 2 3 2 3" xfId="24120" xr:uid="{00000000-0005-0000-0000-0000EB4C0000}"/>
    <cellStyle name="40% - Accent6 3 2 2 3 3" xfId="11252" xr:uid="{00000000-0005-0000-0000-0000EC4C0000}"/>
    <cellStyle name="40% - Accent6 3 2 2 3 3 2" xfId="25194" xr:uid="{00000000-0005-0000-0000-0000ED4C0000}"/>
    <cellStyle name="40% - Accent6 3 2 2 3 4" xfId="22664" xr:uid="{00000000-0005-0000-0000-0000EE4C0000}"/>
    <cellStyle name="40% - Accent6 3 2 2 4" xfId="4958" xr:uid="{00000000-0005-0000-0000-0000EF4C0000}"/>
    <cellStyle name="40% - Accent6 3 2 2 4 2" xfId="12326" xr:uid="{00000000-0005-0000-0000-0000F04C0000}"/>
    <cellStyle name="40% - Accent6 3 2 2 4 2 2" xfId="26038" xr:uid="{00000000-0005-0000-0000-0000F14C0000}"/>
    <cellStyle name="40% - Accent6 3 2 2 4 3" xfId="24121" xr:uid="{00000000-0005-0000-0000-0000F24C0000}"/>
    <cellStyle name="40% - Accent6 3 2 2 5" xfId="4959" xr:uid="{00000000-0005-0000-0000-0000F34C0000}"/>
    <cellStyle name="40% - Accent6 3 2 2 5 2" xfId="13043" xr:uid="{00000000-0005-0000-0000-0000F44C0000}"/>
    <cellStyle name="40% - Accent6 3 2 2 5 2 2" xfId="26755" xr:uid="{00000000-0005-0000-0000-0000F54C0000}"/>
    <cellStyle name="40% - Accent6 3 2 2 5 3" xfId="22663" xr:uid="{00000000-0005-0000-0000-0000F64C0000}"/>
    <cellStyle name="40% - Accent6 3 2 2 6" xfId="4960" xr:uid="{00000000-0005-0000-0000-0000F74C0000}"/>
    <cellStyle name="40% - Accent6 3 2 2 6 2" xfId="13890" xr:uid="{00000000-0005-0000-0000-0000F84C0000}"/>
    <cellStyle name="40% - Accent6 3 2 2 6 2 2" xfId="27439" xr:uid="{00000000-0005-0000-0000-0000F94C0000}"/>
    <cellStyle name="40% - Accent6 3 2 2 6 3" xfId="22662" xr:uid="{00000000-0005-0000-0000-0000FA4C0000}"/>
    <cellStyle name="40% - Accent6 3 2 2 7" xfId="4961" xr:uid="{00000000-0005-0000-0000-0000FB4C0000}"/>
    <cellStyle name="40% - Accent6 3 2 2 7 2" xfId="14471" xr:uid="{00000000-0005-0000-0000-0000FC4C0000}"/>
    <cellStyle name="40% - Accent6 3 2 2 7 2 2" xfId="28020" xr:uid="{00000000-0005-0000-0000-0000FD4C0000}"/>
    <cellStyle name="40% - Accent6 3 2 2 7 3" xfId="24119" xr:uid="{00000000-0005-0000-0000-0000FE4C0000}"/>
    <cellStyle name="40% - Accent6 3 2 2 8" xfId="4962" xr:uid="{00000000-0005-0000-0000-0000FF4C0000}"/>
    <cellStyle name="40% - Accent6 3 2 2 8 2" xfId="15512" xr:uid="{00000000-0005-0000-0000-0000004D0000}"/>
    <cellStyle name="40% - Accent6 3 2 2 8 2 2" xfId="29061" xr:uid="{00000000-0005-0000-0000-0000014D0000}"/>
    <cellStyle name="40% - Accent6 3 2 2 8 3" xfId="22661" xr:uid="{00000000-0005-0000-0000-0000024D0000}"/>
    <cellStyle name="40% - Accent6 3 2 2 9" xfId="4963" xr:uid="{00000000-0005-0000-0000-0000034D0000}"/>
    <cellStyle name="40% - Accent6 3 2 2 9 2" xfId="16357" xr:uid="{00000000-0005-0000-0000-0000044D0000}"/>
    <cellStyle name="40% - Accent6 3 2 2 9 2 2" xfId="29764" xr:uid="{00000000-0005-0000-0000-0000054D0000}"/>
    <cellStyle name="40% - Accent6 3 2 2 9 3" xfId="24116" xr:uid="{00000000-0005-0000-0000-0000064D0000}"/>
    <cellStyle name="40% - Accent6 3 2 3" xfId="4964" xr:uid="{00000000-0005-0000-0000-0000074D0000}"/>
    <cellStyle name="40% - Accent6 3 2 3 2" xfId="4965" xr:uid="{00000000-0005-0000-0000-0000084D0000}"/>
    <cellStyle name="40% - Accent6 3 2 3 2 2" xfId="11254" xr:uid="{00000000-0005-0000-0000-0000094D0000}"/>
    <cellStyle name="40% - Accent6 3 2 3 2 2 2" xfId="25196" xr:uid="{00000000-0005-0000-0000-00000A4D0000}"/>
    <cellStyle name="40% - Accent6 3 2 3 2 3" xfId="25238" xr:uid="{00000000-0005-0000-0000-00000B4D0000}"/>
    <cellStyle name="40% - Accent6 3 2 3 3" xfId="4966" xr:uid="{00000000-0005-0000-0000-00000C4D0000}"/>
    <cellStyle name="40% - Accent6 3 2 3 3 2" xfId="13045" xr:uid="{00000000-0005-0000-0000-00000D4D0000}"/>
    <cellStyle name="40% - Accent6 3 2 3 3 2 2" xfId="26757" xr:uid="{00000000-0005-0000-0000-00000E4D0000}"/>
    <cellStyle name="40% - Accent6 3 2 3 3 3" xfId="22659" xr:uid="{00000000-0005-0000-0000-00000F4D0000}"/>
    <cellStyle name="40% - Accent6 3 2 3 4" xfId="4967" xr:uid="{00000000-0005-0000-0000-0000104D0000}"/>
    <cellStyle name="40% - Accent6 3 2 3 4 2" xfId="15515" xr:uid="{00000000-0005-0000-0000-0000114D0000}"/>
    <cellStyle name="40% - Accent6 3 2 3 4 2 2" xfId="29064" xr:uid="{00000000-0005-0000-0000-0000124D0000}"/>
    <cellStyle name="40% - Accent6 3 2 3 4 3" xfId="24428" xr:uid="{00000000-0005-0000-0000-0000134D0000}"/>
    <cellStyle name="40% - Accent6 3 2 3 5" xfId="4968" xr:uid="{00000000-0005-0000-0000-0000144D0000}"/>
    <cellStyle name="40% - Accent6 3 2 3 5 2" xfId="16649" xr:uid="{00000000-0005-0000-0000-0000154D0000}"/>
    <cellStyle name="40% - Accent6 3 2 3 5 2 2" xfId="30056" xr:uid="{00000000-0005-0000-0000-0000164D0000}"/>
    <cellStyle name="40% - Accent6 3 2 3 5 3" xfId="29124" xr:uid="{00000000-0005-0000-0000-0000174D0000}"/>
    <cellStyle name="40% - Accent6 3 2 3 6" xfId="9527" xr:uid="{00000000-0005-0000-0000-0000184D0000}"/>
    <cellStyle name="40% - Accent6 3 2 3 6 2" xfId="24002" xr:uid="{00000000-0005-0000-0000-0000194D0000}"/>
    <cellStyle name="40% - Accent6 3 2 3 7" xfId="22660" xr:uid="{00000000-0005-0000-0000-00001A4D0000}"/>
    <cellStyle name="40% - Accent6 3 2 4" xfId="4969" xr:uid="{00000000-0005-0000-0000-00001B4D0000}"/>
    <cellStyle name="40% - Accent6 3 2 4 2" xfId="4970" xr:uid="{00000000-0005-0000-0000-00001C4D0000}"/>
    <cellStyle name="40% - Accent6 3 2 4 2 2" xfId="15516" xr:uid="{00000000-0005-0000-0000-00001D4D0000}"/>
    <cellStyle name="40% - Accent6 3 2 4 2 2 2" xfId="29065" xr:uid="{00000000-0005-0000-0000-00001E4D0000}"/>
    <cellStyle name="40% - Accent6 3 2 4 2 3" xfId="22657" xr:uid="{00000000-0005-0000-0000-00001F4D0000}"/>
    <cellStyle name="40% - Accent6 3 2 4 3" xfId="11251" xr:uid="{00000000-0005-0000-0000-0000204D0000}"/>
    <cellStyle name="40% - Accent6 3 2 4 3 2" xfId="25193" xr:uid="{00000000-0005-0000-0000-0000214D0000}"/>
    <cellStyle name="40% - Accent6 3 2 4 4" xfId="22658" xr:uid="{00000000-0005-0000-0000-0000224D0000}"/>
    <cellStyle name="40% - Accent6 3 2 5" xfId="4971" xr:uid="{00000000-0005-0000-0000-0000234D0000}"/>
    <cellStyle name="40% - Accent6 3 2 5 2" xfId="12026" xr:uid="{00000000-0005-0000-0000-0000244D0000}"/>
    <cellStyle name="40% - Accent6 3 2 5 2 2" xfId="25741" xr:uid="{00000000-0005-0000-0000-0000254D0000}"/>
    <cellStyle name="40% - Accent6 3 2 5 3" xfId="24118" xr:uid="{00000000-0005-0000-0000-0000264D0000}"/>
    <cellStyle name="40% - Accent6 3 2 6" xfId="4972" xr:uid="{00000000-0005-0000-0000-0000274D0000}"/>
    <cellStyle name="40% - Accent6 3 2 6 2" xfId="13042" xr:uid="{00000000-0005-0000-0000-0000284D0000}"/>
    <cellStyle name="40% - Accent6 3 2 6 2 2" xfId="26754" xr:uid="{00000000-0005-0000-0000-0000294D0000}"/>
    <cellStyle name="40% - Accent6 3 2 6 3" xfId="22656" xr:uid="{00000000-0005-0000-0000-00002A4D0000}"/>
    <cellStyle name="40% - Accent6 3 2 7" xfId="4973" xr:uid="{00000000-0005-0000-0000-00002B4D0000}"/>
    <cellStyle name="40% - Accent6 3 2 7 2" xfId="13601" xr:uid="{00000000-0005-0000-0000-00002C4D0000}"/>
    <cellStyle name="40% - Accent6 3 2 7 2 2" xfId="27150" xr:uid="{00000000-0005-0000-0000-00002D4D0000}"/>
    <cellStyle name="40% - Accent6 3 2 7 3" xfId="24117" xr:uid="{00000000-0005-0000-0000-00002E4D0000}"/>
    <cellStyle name="40% - Accent6 3 2 8" xfId="4974" xr:uid="{00000000-0005-0000-0000-00002F4D0000}"/>
    <cellStyle name="40% - Accent6 3 2 8 2" xfId="14182" xr:uid="{00000000-0005-0000-0000-0000304D0000}"/>
    <cellStyle name="40% - Accent6 3 2 8 2 2" xfId="27731" xr:uid="{00000000-0005-0000-0000-0000314D0000}"/>
    <cellStyle name="40% - Accent6 3 2 8 3" xfId="22655" xr:uid="{00000000-0005-0000-0000-0000324D0000}"/>
    <cellStyle name="40% - Accent6 3 2 9" xfId="4975" xr:uid="{00000000-0005-0000-0000-0000334D0000}"/>
    <cellStyle name="40% - Accent6 3 2 9 2" xfId="15511" xr:uid="{00000000-0005-0000-0000-0000344D0000}"/>
    <cellStyle name="40% - Accent6 3 2 9 2 2" xfId="29060" xr:uid="{00000000-0005-0000-0000-0000354D0000}"/>
    <cellStyle name="40% - Accent6 3 2 9 3" xfId="23234" xr:uid="{00000000-0005-0000-0000-0000364D0000}"/>
    <cellStyle name="40% - Accent6 3 3" xfId="4976" xr:uid="{00000000-0005-0000-0000-0000374D0000}"/>
    <cellStyle name="40% - Accent6 3 3 10" xfId="9528" xr:uid="{00000000-0005-0000-0000-0000384D0000}"/>
    <cellStyle name="40% - Accent6 3 3 10 2" xfId="24003" xr:uid="{00000000-0005-0000-0000-0000394D0000}"/>
    <cellStyle name="40% - Accent6 3 3 11" xfId="24115" xr:uid="{00000000-0005-0000-0000-00003A4D0000}"/>
    <cellStyle name="40% - Accent6 3 3 2" xfId="4977" xr:uid="{00000000-0005-0000-0000-00003B4D0000}"/>
    <cellStyle name="40% - Accent6 3 3 2 2" xfId="4978" xr:uid="{00000000-0005-0000-0000-00003C4D0000}"/>
    <cellStyle name="40% - Accent6 3 3 2 2 2" xfId="11256" xr:uid="{00000000-0005-0000-0000-00003D4D0000}"/>
    <cellStyle name="40% - Accent6 3 3 2 2 2 2" xfId="25198" xr:uid="{00000000-0005-0000-0000-00003E4D0000}"/>
    <cellStyle name="40% - Accent6 3 3 2 2 3" xfId="24114" xr:uid="{00000000-0005-0000-0000-00003F4D0000}"/>
    <cellStyle name="40% - Accent6 3 3 2 3" xfId="4979" xr:uid="{00000000-0005-0000-0000-0000404D0000}"/>
    <cellStyle name="40% - Accent6 3 3 2 3 2" xfId="13047" xr:uid="{00000000-0005-0000-0000-0000414D0000}"/>
    <cellStyle name="40% - Accent6 3 3 2 3 2 2" xfId="26759" xr:uid="{00000000-0005-0000-0000-0000424D0000}"/>
    <cellStyle name="40% - Accent6 3 3 2 3 3" xfId="22653" xr:uid="{00000000-0005-0000-0000-0000434D0000}"/>
    <cellStyle name="40% - Accent6 3 3 2 4" xfId="4980" xr:uid="{00000000-0005-0000-0000-0000444D0000}"/>
    <cellStyle name="40% - Accent6 3 3 2 4 2" xfId="15518" xr:uid="{00000000-0005-0000-0000-0000454D0000}"/>
    <cellStyle name="40% - Accent6 3 3 2 4 2 2" xfId="29067" xr:uid="{00000000-0005-0000-0000-0000464D0000}"/>
    <cellStyle name="40% - Accent6 3 3 2 4 3" xfId="24113" xr:uid="{00000000-0005-0000-0000-0000474D0000}"/>
    <cellStyle name="40% - Accent6 3 3 2 5" xfId="4981" xr:uid="{00000000-0005-0000-0000-0000484D0000}"/>
    <cellStyle name="40% - Accent6 3 3 2 5 2" xfId="16795" xr:uid="{00000000-0005-0000-0000-0000494D0000}"/>
    <cellStyle name="40% - Accent6 3 3 2 5 2 2" xfId="30202" xr:uid="{00000000-0005-0000-0000-00004A4D0000}"/>
    <cellStyle name="40% - Accent6 3 3 2 5 3" xfId="22652" xr:uid="{00000000-0005-0000-0000-00004B4D0000}"/>
    <cellStyle name="40% - Accent6 3 3 2 6" xfId="9529" xr:uid="{00000000-0005-0000-0000-00004C4D0000}"/>
    <cellStyle name="40% - Accent6 3 3 2 6 2" xfId="24004" xr:uid="{00000000-0005-0000-0000-00004D4D0000}"/>
    <cellStyle name="40% - Accent6 3 3 2 7" xfId="22654" xr:uid="{00000000-0005-0000-0000-00004E4D0000}"/>
    <cellStyle name="40% - Accent6 3 3 3" xfId="4982" xr:uid="{00000000-0005-0000-0000-00004F4D0000}"/>
    <cellStyle name="40% - Accent6 3 3 3 2" xfId="4983" xr:uid="{00000000-0005-0000-0000-0000504D0000}"/>
    <cellStyle name="40% - Accent6 3 3 3 2 2" xfId="15519" xr:uid="{00000000-0005-0000-0000-0000514D0000}"/>
    <cellStyle name="40% - Accent6 3 3 3 2 2 2" xfId="29068" xr:uid="{00000000-0005-0000-0000-0000524D0000}"/>
    <cellStyle name="40% - Accent6 3 3 3 2 3" xfId="22651" xr:uid="{00000000-0005-0000-0000-0000534D0000}"/>
    <cellStyle name="40% - Accent6 3 3 3 3" xfId="11255" xr:uid="{00000000-0005-0000-0000-0000544D0000}"/>
    <cellStyle name="40% - Accent6 3 3 3 3 2" xfId="25197" xr:uid="{00000000-0005-0000-0000-0000554D0000}"/>
    <cellStyle name="40% - Accent6 3 3 3 4" xfId="24112" xr:uid="{00000000-0005-0000-0000-0000564D0000}"/>
    <cellStyle name="40% - Accent6 3 3 4" xfId="4984" xr:uid="{00000000-0005-0000-0000-0000574D0000}"/>
    <cellStyle name="40% - Accent6 3 3 4 2" xfId="12183" xr:uid="{00000000-0005-0000-0000-0000584D0000}"/>
    <cellStyle name="40% - Accent6 3 3 4 2 2" xfId="25895" xr:uid="{00000000-0005-0000-0000-0000594D0000}"/>
    <cellStyle name="40% - Accent6 3 3 4 3" xfId="24110" xr:uid="{00000000-0005-0000-0000-00005A4D0000}"/>
    <cellStyle name="40% - Accent6 3 3 5" xfId="4985" xr:uid="{00000000-0005-0000-0000-00005B4D0000}"/>
    <cellStyle name="40% - Accent6 3 3 5 2" xfId="13046" xr:uid="{00000000-0005-0000-0000-00005C4D0000}"/>
    <cellStyle name="40% - Accent6 3 3 5 2 2" xfId="26758" xr:uid="{00000000-0005-0000-0000-00005D4D0000}"/>
    <cellStyle name="40% - Accent6 3 3 5 3" xfId="24111" xr:uid="{00000000-0005-0000-0000-00005E4D0000}"/>
    <cellStyle name="40% - Accent6 3 3 6" xfId="4986" xr:uid="{00000000-0005-0000-0000-00005F4D0000}"/>
    <cellStyle name="40% - Accent6 3 3 6 2" xfId="13747" xr:uid="{00000000-0005-0000-0000-0000604D0000}"/>
    <cellStyle name="40% - Accent6 3 3 6 2 2" xfId="27296" xr:uid="{00000000-0005-0000-0000-0000614D0000}"/>
    <cellStyle name="40% - Accent6 3 3 6 3" xfId="22650" xr:uid="{00000000-0005-0000-0000-0000624D0000}"/>
    <cellStyle name="40% - Accent6 3 3 7" xfId="4987" xr:uid="{00000000-0005-0000-0000-0000634D0000}"/>
    <cellStyle name="40% - Accent6 3 3 7 2" xfId="14328" xr:uid="{00000000-0005-0000-0000-0000644D0000}"/>
    <cellStyle name="40% - Accent6 3 3 7 2 2" xfId="27877" xr:uid="{00000000-0005-0000-0000-0000654D0000}"/>
    <cellStyle name="40% - Accent6 3 3 7 3" xfId="22649" xr:uid="{00000000-0005-0000-0000-0000664D0000}"/>
    <cellStyle name="40% - Accent6 3 3 8" xfId="4988" xr:uid="{00000000-0005-0000-0000-0000674D0000}"/>
    <cellStyle name="40% - Accent6 3 3 8 2" xfId="15517" xr:uid="{00000000-0005-0000-0000-0000684D0000}"/>
    <cellStyle name="40% - Accent6 3 3 8 2 2" xfId="29066" xr:uid="{00000000-0005-0000-0000-0000694D0000}"/>
    <cellStyle name="40% - Accent6 3 3 8 3" xfId="24109" xr:uid="{00000000-0005-0000-0000-00006A4D0000}"/>
    <cellStyle name="40% - Accent6 3 3 9" xfId="4989" xr:uid="{00000000-0005-0000-0000-00006B4D0000}"/>
    <cellStyle name="40% - Accent6 3 3 9 2" xfId="16214" xr:uid="{00000000-0005-0000-0000-00006C4D0000}"/>
    <cellStyle name="40% - Accent6 3 3 9 2 2" xfId="29621" xr:uid="{00000000-0005-0000-0000-00006D4D0000}"/>
    <cellStyle name="40% - Accent6 3 3 9 3" xfId="26803" xr:uid="{00000000-0005-0000-0000-00006E4D0000}"/>
    <cellStyle name="40% - Accent6 3 4" xfId="4990" xr:uid="{00000000-0005-0000-0000-00006F4D0000}"/>
    <cellStyle name="40% - Accent6 3 4 2" xfId="4991" xr:uid="{00000000-0005-0000-0000-0000704D0000}"/>
    <cellStyle name="40% - Accent6 3 4 2 2" xfId="11257" xr:uid="{00000000-0005-0000-0000-0000714D0000}"/>
    <cellStyle name="40% - Accent6 3 4 2 2 2" xfId="25199" xr:uid="{00000000-0005-0000-0000-0000724D0000}"/>
    <cellStyle name="40% - Accent6 3 4 2 3" xfId="26804" xr:uid="{00000000-0005-0000-0000-0000734D0000}"/>
    <cellStyle name="40% - Accent6 3 4 3" xfId="4992" xr:uid="{00000000-0005-0000-0000-0000744D0000}"/>
    <cellStyle name="40% - Accent6 3 4 3 2" xfId="13048" xr:uid="{00000000-0005-0000-0000-0000754D0000}"/>
    <cellStyle name="40% - Accent6 3 4 3 2 2" xfId="26760" xr:uid="{00000000-0005-0000-0000-0000764D0000}"/>
    <cellStyle name="40% - Accent6 3 4 3 3" xfId="22647" xr:uid="{00000000-0005-0000-0000-0000774D0000}"/>
    <cellStyle name="40% - Accent6 3 4 4" xfId="4993" xr:uid="{00000000-0005-0000-0000-0000784D0000}"/>
    <cellStyle name="40% - Accent6 3 4 4 2" xfId="15520" xr:uid="{00000000-0005-0000-0000-0000794D0000}"/>
    <cellStyle name="40% - Accent6 3 4 4 2 2" xfId="29069" xr:uid="{00000000-0005-0000-0000-00007A4D0000}"/>
    <cellStyle name="40% - Accent6 3 4 4 3" xfId="22646" xr:uid="{00000000-0005-0000-0000-00007B4D0000}"/>
    <cellStyle name="40% - Accent6 3 4 5" xfId="4994" xr:uid="{00000000-0005-0000-0000-00007C4D0000}"/>
    <cellStyle name="40% - Accent6 3 4 5 2" xfId="17142" xr:uid="{00000000-0005-0000-0000-00007D4D0000}"/>
    <cellStyle name="40% - Accent6 3 4 5 2 2" xfId="30501" xr:uid="{00000000-0005-0000-0000-00007E4D0000}"/>
    <cellStyle name="40% - Accent6 3 4 5 3" xfId="24107" xr:uid="{00000000-0005-0000-0000-00007F4D0000}"/>
    <cellStyle name="40% - Accent6 3 4 6" xfId="9530" xr:uid="{00000000-0005-0000-0000-0000804D0000}"/>
    <cellStyle name="40% - Accent6 3 4 6 2" xfId="24005" xr:uid="{00000000-0005-0000-0000-0000814D0000}"/>
    <cellStyle name="40% - Accent6 3 4 7" xfId="22648" xr:uid="{00000000-0005-0000-0000-0000824D0000}"/>
    <cellStyle name="40% - Accent6 3 5" xfId="4995" xr:uid="{00000000-0005-0000-0000-0000834D0000}"/>
    <cellStyle name="40% - Accent6 3 5 2" xfId="4996" xr:uid="{00000000-0005-0000-0000-0000844D0000}"/>
    <cellStyle name="40% - Accent6 3 5 2 2" xfId="11258" xr:uid="{00000000-0005-0000-0000-0000854D0000}"/>
    <cellStyle name="40% - Accent6 3 5 2 2 2" xfId="25200" xr:uid="{00000000-0005-0000-0000-0000864D0000}"/>
    <cellStyle name="40% - Accent6 3 5 2 3" xfId="22645" xr:uid="{00000000-0005-0000-0000-0000874D0000}"/>
    <cellStyle name="40% - Accent6 3 5 3" xfId="4997" xr:uid="{00000000-0005-0000-0000-0000884D0000}"/>
    <cellStyle name="40% - Accent6 3 5 3 2" xfId="13049" xr:uid="{00000000-0005-0000-0000-0000894D0000}"/>
    <cellStyle name="40% - Accent6 3 5 3 2 2" xfId="26761" xr:uid="{00000000-0005-0000-0000-00008A4D0000}"/>
    <cellStyle name="40% - Accent6 3 5 3 3" xfId="22644" xr:uid="{00000000-0005-0000-0000-00008B4D0000}"/>
    <cellStyle name="40% - Accent6 3 5 4" xfId="4998" xr:uid="{00000000-0005-0000-0000-00008C4D0000}"/>
    <cellStyle name="40% - Accent6 3 5 4 2" xfId="15521" xr:uid="{00000000-0005-0000-0000-00008D4D0000}"/>
    <cellStyle name="40% - Accent6 3 5 4 2 2" xfId="29070" xr:uid="{00000000-0005-0000-0000-00008E4D0000}"/>
    <cellStyle name="40% - Accent6 3 5 4 3" xfId="24106" xr:uid="{00000000-0005-0000-0000-00008F4D0000}"/>
    <cellStyle name="40% - Accent6 3 5 5" xfId="4999" xr:uid="{00000000-0005-0000-0000-0000904D0000}"/>
    <cellStyle name="40% - Accent6 3 5 5 2" xfId="17231" xr:uid="{00000000-0005-0000-0000-0000914D0000}"/>
    <cellStyle name="40% - Accent6 3 5 5 2 2" xfId="30590" xr:uid="{00000000-0005-0000-0000-0000924D0000}"/>
    <cellStyle name="40% - Accent6 3 5 5 3" xfId="22643" xr:uid="{00000000-0005-0000-0000-0000934D0000}"/>
    <cellStyle name="40% - Accent6 3 5 6" xfId="9531" xr:uid="{00000000-0005-0000-0000-0000944D0000}"/>
    <cellStyle name="40% - Accent6 3 5 6 2" xfId="24006" xr:uid="{00000000-0005-0000-0000-0000954D0000}"/>
    <cellStyle name="40% - Accent6 3 5 7" xfId="24108" xr:uid="{00000000-0005-0000-0000-0000964D0000}"/>
    <cellStyle name="40% - Accent6 3 6" xfId="5000" xr:uid="{00000000-0005-0000-0000-0000974D0000}"/>
    <cellStyle name="40% - Accent6 3 6 2" xfId="5001" xr:uid="{00000000-0005-0000-0000-0000984D0000}"/>
    <cellStyle name="40% - Accent6 3 6 2 2" xfId="15522" xr:uid="{00000000-0005-0000-0000-0000994D0000}"/>
    <cellStyle name="40% - Accent6 3 6 2 2 2" xfId="29071" xr:uid="{00000000-0005-0000-0000-00009A4D0000}"/>
    <cellStyle name="40% - Accent6 3 6 2 3" xfId="22642" xr:uid="{00000000-0005-0000-0000-00009B4D0000}"/>
    <cellStyle name="40% - Accent6 3 6 3" xfId="5002" xr:uid="{00000000-0005-0000-0000-00009C4D0000}"/>
    <cellStyle name="40% - Accent6 3 6 3 2" xfId="16506" xr:uid="{00000000-0005-0000-0000-00009D4D0000}"/>
    <cellStyle name="40% - Accent6 3 6 3 2 2" xfId="29913" xr:uid="{00000000-0005-0000-0000-00009E4D0000}"/>
    <cellStyle name="40% - Accent6 3 6 3 3" xfId="25237" xr:uid="{00000000-0005-0000-0000-00009F4D0000}"/>
    <cellStyle name="40% - Accent6 3 6 4" xfId="11250" xr:uid="{00000000-0005-0000-0000-0000A04D0000}"/>
    <cellStyle name="40% - Accent6 3 6 4 2" xfId="25192" xr:uid="{00000000-0005-0000-0000-0000A14D0000}"/>
    <cellStyle name="40% - Accent6 3 6 5" xfId="24103" xr:uid="{00000000-0005-0000-0000-0000A24D0000}"/>
    <cellStyle name="40% - Accent6 3 7" xfId="5003" xr:uid="{00000000-0005-0000-0000-0000A34D0000}"/>
    <cellStyle name="40% - Accent6 3 7 2" xfId="11878" xr:uid="{00000000-0005-0000-0000-0000A44D0000}"/>
    <cellStyle name="40% - Accent6 3 7 2 2" xfId="25593" xr:uid="{00000000-0005-0000-0000-0000A54D0000}"/>
    <cellStyle name="40% - Accent6 3 7 3" xfId="22641" xr:uid="{00000000-0005-0000-0000-0000A64D0000}"/>
    <cellStyle name="40% - Accent6 3 8" xfId="5004" xr:uid="{00000000-0005-0000-0000-0000A74D0000}"/>
    <cellStyle name="40% - Accent6 3 8 2" xfId="13041" xr:uid="{00000000-0005-0000-0000-0000A84D0000}"/>
    <cellStyle name="40% - Accent6 3 8 2 2" xfId="26753" xr:uid="{00000000-0005-0000-0000-0000A94D0000}"/>
    <cellStyle name="40% - Accent6 3 8 3" xfId="24427" xr:uid="{00000000-0005-0000-0000-0000AA4D0000}"/>
    <cellStyle name="40% - Accent6 3 9" xfId="5005" xr:uid="{00000000-0005-0000-0000-0000AB4D0000}"/>
    <cellStyle name="40% - Accent6 3 9 2" xfId="13458" xr:uid="{00000000-0005-0000-0000-0000AC4D0000}"/>
    <cellStyle name="40% - Accent6 3 9 2 2" xfId="27007" xr:uid="{00000000-0005-0000-0000-0000AD4D0000}"/>
    <cellStyle name="40% - Accent6 3 9 3" xfId="29123" xr:uid="{00000000-0005-0000-0000-0000AE4D0000}"/>
    <cellStyle name="40% - Accent6 30" xfId="23253" xr:uid="{00000000-0005-0000-0000-0000AF4D0000}"/>
    <cellStyle name="40% - Accent6 4" xfId="5006" xr:uid="{00000000-0005-0000-0000-0000B04D0000}"/>
    <cellStyle name="40% - Accent6 4 10" xfId="5007" xr:uid="{00000000-0005-0000-0000-0000B14D0000}"/>
    <cellStyle name="40% - Accent6 4 10 2" xfId="15523" xr:uid="{00000000-0005-0000-0000-0000B24D0000}"/>
    <cellStyle name="40% - Accent6 4 10 2 2" xfId="29072" xr:uid="{00000000-0005-0000-0000-0000B34D0000}"/>
    <cellStyle name="40% - Accent6 4 10 3" xfId="22639" xr:uid="{00000000-0005-0000-0000-0000B44D0000}"/>
    <cellStyle name="40% - Accent6 4 11" xfId="5008" xr:uid="{00000000-0005-0000-0000-0000B54D0000}"/>
    <cellStyle name="40% - Accent6 4 11 2" xfId="15879" xr:uid="{00000000-0005-0000-0000-0000B64D0000}"/>
    <cellStyle name="40% - Accent6 4 11 2 2" xfId="29286" xr:uid="{00000000-0005-0000-0000-0000B74D0000}"/>
    <cellStyle name="40% - Accent6 4 11 3" xfId="24105" xr:uid="{00000000-0005-0000-0000-0000B84D0000}"/>
    <cellStyle name="40% - Accent6 4 12" xfId="9532" xr:uid="{00000000-0005-0000-0000-0000B94D0000}"/>
    <cellStyle name="40% - Accent6 4 12 2" xfId="24007" xr:uid="{00000000-0005-0000-0000-0000BA4D0000}"/>
    <cellStyle name="40% - Accent6 4 13" xfId="22640" xr:uid="{00000000-0005-0000-0000-0000BB4D0000}"/>
    <cellStyle name="40% - Accent6 4 2" xfId="5009" xr:uid="{00000000-0005-0000-0000-0000BC4D0000}"/>
    <cellStyle name="40% - Accent6 4 2 10" xfId="5010" xr:uid="{00000000-0005-0000-0000-0000BD4D0000}"/>
    <cellStyle name="40% - Accent6 4 2 10 2" xfId="16022" xr:uid="{00000000-0005-0000-0000-0000BE4D0000}"/>
    <cellStyle name="40% - Accent6 4 2 10 2 2" xfId="29429" xr:uid="{00000000-0005-0000-0000-0000BF4D0000}"/>
    <cellStyle name="40% - Accent6 4 2 10 3" xfId="24104" xr:uid="{00000000-0005-0000-0000-0000C04D0000}"/>
    <cellStyle name="40% - Accent6 4 2 11" xfId="9533" xr:uid="{00000000-0005-0000-0000-0000C14D0000}"/>
    <cellStyle name="40% - Accent6 4 2 11 2" xfId="24008" xr:uid="{00000000-0005-0000-0000-0000C24D0000}"/>
    <cellStyle name="40% - Accent6 4 2 12" xfId="22638" xr:uid="{00000000-0005-0000-0000-0000C34D0000}"/>
    <cellStyle name="40% - Accent6 4 2 2" xfId="5011" xr:uid="{00000000-0005-0000-0000-0000C44D0000}"/>
    <cellStyle name="40% - Accent6 4 2 2 10" xfId="9534" xr:uid="{00000000-0005-0000-0000-0000C54D0000}"/>
    <cellStyle name="40% - Accent6 4 2 2 10 2" xfId="24009" xr:uid="{00000000-0005-0000-0000-0000C64D0000}"/>
    <cellStyle name="40% - Accent6 4 2 2 11" xfId="22637" xr:uid="{00000000-0005-0000-0000-0000C74D0000}"/>
    <cellStyle name="40% - Accent6 4 2 2 2" xfId="5012" xr:uid="{00000000-0005-0000-0000-0000C84D0000}"/>
    <cellStyle name="40% - Accent6 4 2 2 2 2" xfId="5013" xr:uid="{00000000-0005-0000-0000-0000C94D0000}"/>
    <cellStyle name="40% - Accent6 4 2 2 2 2 2" xfId="11262" xr:uid="{00000000-0005-0000-0000-0000CA4D0000}"/>
    <cellStyle name="40% - Accent6 4 2 2 2 2 2 2" xfId="25204" xr:uid="{00000000-0005-0000-0000-0000CB4D0000}"/>
    <cellStyle name="40% - Accent6 4 2 2 2 2 3" xfId="24102" xr:uid="{00000000-0005-0000-0000-0000CC4D0000}"/>
    <cellStyle name="40% - Accent6 4 2 2 2 3" xfId="5014" xr:uid="{00000000-0005-0000-0000-0000CD4D0000}"/>
    <cellStyle name="40% - Accent6 4 2 2 2 3 2" xfId="13053" xr:uid="{00000000-0005-0000-0000-0000CE4D0000}"/>
    <cellStyle name="40% - Accent6 4 2 2 2 3 2 2" xfId="26765" xr:uid="{00000000-0005-0000-0000-0000CF4D0000}"/>
    <cellStyle name="40% - Accent6 4 2 2 2 3 3" xfId="22636" xr:uid="{00000000-0005-0000-0000-0000D04D0000}"/>
    <cellStyle name="40% - Accent6 4 2 2 2 4" xfId="5015" xr:uid="{00000000-0005-0000-0000-0000D14D0000}"/>
    <cellStyle name="40% - Accent6 4 2 2 2 4 2" xfId="15526" xr:uid="{00000000-0005-0000-0000-0000D24D0000}"/>
    <cellStyle name="40% - Accent6 4 2 2 2 4 2 2" xfId="29075" xr:uid="{00000000-0005-0000-0000-0000D34D0000}"/>
    <cellStyle name="40% - Accent6 4 2 2 2 4 3" xfId="24101" xr:uid="{00000000-0005-0000-0000-0000D44D0000}"/>
    <cellStyle name="40% - Accent6 4 2 2 2 5" xfId="5016" xr:uid="{00000000-0005-0000-0000-0000D54D0000}"/>
    <cellStyle name="40% - Accent6 4 2 2 2 5 2" xfId="16892" xr:uid="{00000000-0005-0000-0000-0000D64D0000}"/>
    <cellStyle name="40% - Accent6 4 2 2 2 5 2 2" xfId="30299" xr:uid="{00000000-0005-0000-0000-0000D74D0000}"/>
    <cellStyle name="40% - Accent6 4 2 2 2 5 3" xfId="22635" xr:uid="{00000000-0005-0000-0000-0000D84D0000}"/>
    <cellStyle name="40% - Accent6 4 2 2 2 6" xfId="9535" xr:uid="{00000000-0005-0000-0000-0000D94D0000}"/>
    <cellStyle name="40% - Accent6 4 2 2 2 6 2" xfId="24010" xr:uid="{00000000-0005-0000-0000-0000DA4D0000}"/>
    <cellStyle name="40% - Accent6 4 2 2 2 7" xfId="23254" xr:uid="{00000000-0005-0000-0000-0000DB4D0000}"/>
    <cellStyle name="40% - Accent6 4 2 2 3" xfId="5017" xr:uid="{00000000-0005-0000-0000-0000DC4D0000}"/>
    <cellStyle name="40% - Accent6 4 2 2 3 2" xfId="5018" xr:uid="{00000000-0005-0000-0000-0000DD4D0000}"/>
    <cellStyle name="40% - Accent6 4 2 2 3 2 2" xfId="15527" xr:uid="{00000000-0005-0000-0000-0000DE4D0000}"/>
    <cellStyle name="40% - Accent6 4 2 2 3 2 2 2" xfId="29076" xr:uid="{00000000-0005-0000-0000-0000DF4D0000}"/>
    <cellStyle name="40% - Accent6 4 2 2 3 2 3" xfId="22634" xr:uid="{00000000-0005-0000-0000-0000E04D0000}"/>
    <cellStyle name="40% - Accent6 4 2 2 3 3" xfId="11261" xr:uid="{00000000-0005-0000-0000-0000E14D0000}"/>
    <cellStyle name="40% - Accent6 4 2 2 3 3 2" xfId="25203" xr:uid="{00000000-0005-0000-0000-0000E24D0000}"/>
    <cellStyle name="40% - Accent6 4 2 2 3 4" xfId="24100" xr:uid="{00000000-0005-0000-0000-0000E34D0000}"/>
    <cellStyle name="40% - Accent6 4 2 2 4" xfId="5019" xr:uid="{00000000-0005-0000-0000-0000E44D0000}"/>
    <cellStyle name="40% - Accent6 4 2 2 4 2" xfId="12280" xr:uid="{00000000-0005-0000-0000-0000E54D0000}"/>
    <cellStyle name="40% - Accent6 4 2 2 4 2 2" xfId="25992" xr:uid="{00000000-0005-0000-0000-0000E64D0000}"/>
    <cellStyle name="40% - Accent6 4 2 2 4 3" xfId="24099" xr:uid="{00000000-0005-0000-0000-0000E74D0000}"/>
    <cellStyle name="40% - Accent6 4 2 2 5" xfId="5020" xr:uid="{00000000-0005-0000-0000-0000E84D0000}"/>
    <cellStyle name="40% - Accent6 4 2 2 5 2" xfId="13052" xr:uid="{00000000-0005-0000-0000-0000E94D0000}"/>
    <cellStyle name="40% - Accent6 4 2 2 5 2 2" xfId="26764" xr:uid="{00000000-0005-0000-0000-0000EA4D0000}"/>
    <cellStyle name="40% - Accent6 4 2 2 5 3" xfId="22633" xr:uid="{00000000-0005-0000-0000-0000EB4D0000}"/>
    <cellStyle name="40% - Accent6 4 2 2 6" xfId="5021" xr:uid="{00000000-0005-0000-0000-0000EC4D0000}"/>
    <cellStyle name="40% - Accent6 4 2 2 6 2" xfId="13844" xr:uid="{00000000-0005-0000-0000-0000ED4D0000}"/>
    <cellStyle name="40% - Accent6 4 2 2 6 2 2" xfId="27393" xr:uid="{00000000-0005-0000-0000-0000EE4D0000}"/>
    <cellStyle name="40% - Accent6 4 2 2 6 3" xfId="24097" xr:uid="{00000000-0005-0000-0000-0000EF4D0000}"/>
    <cellStyle name="40% - Accent6 4 2 2 7" xfId="5022" xr:uid="{00000000-0005-0000-0000-0000F04D0000}"/>
    <cellStyle name="40% - Accent6 4 2 2 7 2" xfId="14425" xr:uid="{00000000-0005-0000-0000-0000F14D0000}"/>
    <cellStyle name="40% - Accent6 4 2 2 7 2 2" xfId="27974" xr:uid="{00000000-0005-0000-0000-0000F24D0000}"/>
    <cellStyle name="40% - Accent6 4 2 2 7 3" xfId="24098" xr:uid="{00000000-0005-0000-0000-0000F34D0000}"/>
    <cellStyle name="40% - Accent6 4 2 2 8" xfId="5023" xr:uid="{00000000-0005-0000-0000-0000F44D0000}"/>
    <cellStyle name="40% - Accent6 4 2 2 8 2" xfId="15525" xr:uid="{00000000-0005-0000-0000-0000F54D0000}"/>
    <cellStyle name="40% - Accent6 4 2 2 8 2 2" xfId="29074" xr:uid="{00000000-0005-0000-0000-0000F64D0000}"/>
    <cellStyle name="40% - Accent6 4 2 2 8 3" xfId="22632" xr:uid="{00000000-0005-0000-0000-0000F74D0000}"/>
    <cellStyle name="40% - Accent6 4 2 2 9" xfId="5024" xr:uid="{00000000-0005-0000-0000-0000F84D0000}"/>
    <cellStyle name="40% - Accent6 4 2 2 9 2" xfId="16311" xr:uid="{00000000-0005-0000-0000-0000F94D0000}"/>
    <cellStyle name="40% - Accent6 4 2 2 9 2 2" xfId="29718" xr:uid="{00000000-0005-0000-0000-0000FA4D0000}"/>
    <cellStyle name="40% - Accent6 4 2 2 9 3" xfId="22631" xr:uid="{00000000-0005-0000-0000-0000FB4D0000}"/>
    <cellStyle name="40% - Accent6 4 2 3" xfId="5025" xr:uid="{00000000-0005-0000-0000-0000FC4D0000}"/>
    <cellStyle name="40% - Accent6 4 2 3 2" xfId="5026" xr:uid="{00000000-0005-0000-0000-0000FD4D0000}"/>
    <cellStyle name="40% - Accent6 4 2 3 2 2" xfId="11263" xr:uid="{00000000-0005-0000-0000-0000FE4D0000}"/>
    <cellStyle name="40% - Accent6 4 2 3 2 2 2" xfId="25205" xr:uid="{00000000-0005-0000-0000-0000FF4D0000}"/>
    <cellStyle name="40% - Accent6 4 2 3 2 3" xfId="26801" xr:uid="{00000000-0005-0000-0000-0000004E0000}"/>
    <cellStyle name="40% - Accent6 4 2 3 3" xfId="5027" xr:uid="{00000000-0005-0000-0000-0000014E0000}"/>
    <cellStyle name="40% - Accent6 4 2 3 3 2" xfId="13054" xr:uid="{00000000-0005-0000-0000-0000024E0000}"/>
    <cellStyle name="40% - Accent6 4 2 3 3 2 2" xfId="26766" xr:uid="{00000000-0005-0000-0000-0000034E0000}"/>
    <cellStyle name="40% - Accent6 4 2 3 3 3" xfId="22630" xr:uid="{00000000-0005-0000-0000-0000044E0000}"/>
    <cellStyle name="40% - Accent6 4 2 3 4" xfId="5028" xr:uid="{00000000-0005-0000-0000-0000054E0000}"/>
    <cellStyle name="40% - Accent6 4 2 3 4 2" xfId="15528" xr:uid="{00000000-0005-0000-0000-0000064E0000}"/>
    <cellStyle name="40% - Accent6 4 2 3 4 2 2" xfId="29077" xr:uid="{00000000-0005-0000-0000-0000074E0000}"/>
    <cellStyle name="40% - Accent6 4 2 3 4 3" xfId="26802" xr:uid="{00000000-0005-0000-0000-0000084E0000}"/>
    <cellStyle name="40% - Accent6 4 2 3 5" xfId="5029" xr:uid="{00000000-0005-0000-0000-0000094E0000}"/>
    <cellStyle name="40% - Accent6 4 2 3 5 2" xfId="16603" xr:uid="{00000000-0005-0000-0000-00000A4E0000}"/>
    <cellStyle name="40% - Accent6 4 2 3 5 2 2" xfId="30010" xr:uid="{00000000-0005-0000-0000-00000B4E0000}"/>
    <cellStyle name="40% - Accent6 4 2 3 5 3" xfId="22629" xr:uid="{00000000-0005-0000-0000-00000C4E0000}"/>
    <cellStyle name="40% - Accent6 4 2 3 6" xfId="9536" xr:uid="{00000000-0005-0000-0000-00000D4E0000}"/>
    <cellStyle name="40% - Accent6 4 2 3 6 2" xfId="24011" xr:uid="{00000000-0005-0000-0000-00000E4E0000}"/>
    <cellStyle name="40% - Accent6 4 2 3 7" xfId="24096" xr:uid="{00000000-0005-0000-0000-00000F4E0000}"/>
    <cellStyle name="40% - Accent6 4 2 4" xfId="5030" xr:uid="{00000000-0005-0000-0000-0000104E0000}"/>
    <cellStyle name="40% - Accent6 4 2 4 2" xfId="5031" xr:uid="{00000000-0005-0000-0000-0000114E0000}"/>
    <cellStyle name="40% - Accent6 4 2 4 2 2" xfId="15529" xr:uid="{00000000-0005-0000-0000-0000124E0000}"/>
    <cellStyle name="40% - Accent6 4 2 4 2 2 2" xfId="29078" xr:uid="{00000000-0005-0000-0000-0000134E0000}"/>
    <cellStyle name="40% - Accent6 4 2 4 2 3" xfId="24094" xr:uid="{00000000-0005-0000-0000-0000144E0000}"/>
    <cellStyle name="40% - Accent6 4 2 4 3" xfId="11260" xr:uid="{00000000-0005-0000-0000-0000154E0000}"/>
    <cellStyle name="40% - Accent6 4 2 4 3 2" xfId="25202" xr:uid="{00000000-0005-0000-0000-0000164E0000}"/>
    <cellStyle name="40% - Accent6 4 2 4 4" xfId="22628" xr:uid="{00000000-0005-0000-0000-0000174E0000}"/>
    <cellStyle name="40% - Accent6 4 2 5" xfId="5032" xr:uid="{00000000-0005-0000-0000-0000184E0000}"/>
    <cellStyle name="40% - Accent6 4 2 5 2" xfId="11980" xr:uid="{00000000-0005-0000-0000-0000194E0000}"/>
    <cellStyle name="40% - Accent6 4 2 5 2 2" xfId="25695" xr:uid="{00000000-0005-0000-0000-00001A4E0000}"/>
    <cellStyle name="40% - Accent6 4 2 5 3" xfId="24095" xr:uid="{00000000-0005-0000-0000-00001B4E0000}"/>
    <cellStyle name="40% - Accent6 4 2 6" xfId="5033" xr:uid="{00000000-0005-0000-0000-00001C4E0000}"/>
    <cellStyle name="40% - Accent6 4 2 6 2" xfId="13051" xr:uid="{00000000-0005-0000-0000-00001D4E0000}"/>
    <cellStyle name="40% - Accent6 4 2 6 2 2" xfId="26763" xr:uid="{00000000-0005-0000-0000-00001E4E0000}"/>
    <cellStyle name="40% - Accent6 4 2 6 3" xfId="22627" xr:uid="{00000000-0005-0000-0000-00001F4E0000}"/>
    <cellStyle name="40% - Accent6 4 2 7" xfId="5034" xr:uid="{00000000-0005-0000-0000-0000204E0000}"/>
    <cellStyle name="40% - Accent6 4 2 7 2" xfId="13555" xr:uid="{00000000-0005-0000-0000-0000214E0000}"/>
    <cellStyle name="40% - Accent6 4 2 7 2 2" xfId="27104" xr:uid="{00000000-0005-0000-0000-0000224E0000}"/>
    <cellStyle name="40% - Accent6 4 2 7 3" xfId="22626" xr:uid="{00000000-0005-0000-0000-0000234E0000}"/>
    <cellStyle name="40% - Accent6 4 2 8" xfId="5035" xr:uid="{00000000-0005-0000-0000-0000244E0000}"/>
    <cellStyle name="40% - Accent6 4 2 8 2" xfId="14136" xr:uid="{00000000-0005-0000-0000-0000254E0000}"/>
    <cellStyle name="40% - Accent6 4 2 8 2 2" xfId="27685" xr:uid="{00000000-0005-0000-0000-0000264E0000}"/>
    <cellStyle name="40% - Accent6 4 2 8 3" xfId="24093" xr:uid="{00000000-0005-0000-0000-0000274E0000}"/>
    <cellStyle name="40% - Accent6 4 2 9" xfId="5036" xr:uid="{00000000-0005-0000-0000-0000284E0000}"/>
    <cellStyle name="40% - Accent6 4 2 9 2" xfId="15524" xr:uid="{00000000-0005-0000-0000-0000294E0000}"/>
    <cellStyle name="40% - Accent6 4 2 9 2 2" xfId="29073" xr:uid="{00000000-0005-0000-0000-00002A4E0000}"/>
    <cellStyle name="40% - Accent6 4 2 9 3" xfId="22625" xr:uid="{00000000-0005-0000-0000-00002B4E0000}"/>
    <cellStyle name="40% - Accent6 4 3" xfId="5037" xr:uid="{00000000-0005-0000-0000-00002C4E0000}"/>
    <cellStyle name="40% - Accent6 4 3 10" xfId="9537" xr:uid="{00000000-0005-0000-0000-00002D4E0000}"/>
    <cellStyle name="40% - Accent6 4 3 10 2" xfId="24012" xr:uid="{00000000-0005-0000-0000-00002E4E0000}"/>
    <cellStyle name="40% - Accent6 4 3 11" xfId="24090" xr:uid="{00000000-0005-0000-0000-00002F4E0000}"/>
    <cellStyle name="40% - Accent6 4 3 2" xfId="5038" xr:uid="{00000000-0005-0000-0000-0000304E0000}"/>
    <cellStyle name="40% - Accent6 4 3 2 2" xfId="5039" xr:uid="{00000000-0005-0000-0000-0000314E0000}"/>
    <cellStyle name="40% - Accent6 4 3 2 2 2" xfId="11265" xr:uid="{00000000-0005-0000-0000-0000324E0000}"/>
    <cellStyle name="40% - Accent6 4 3 2 2 2 2" xfId="25207" xr:uid="{00000000-0005-0000-0000-0000334E0000}"/>
    <cellStyle name="40% - Accent6 4 3 2 2 3" xfId="25236" xr:uid="{00000000-0005-0000-0000-0000344E0000}"/>
    <cellStyle name="40% - Accent6 4 3 2 3" xfId="5040" xr:uid="{00000000-0005-0000-0000-0000354E0000}"/>
    <cellStyle name="40% - Accent6 4 3 2 3 2" xfId="13056" xr:uid="{00000000-0005-0000-0000-0000364E0000}"/>
    <cellStyle name="40% - Accent6 4 3 2 3 2 2" xfId="26768" xr:uid="{00000000-0005-0000-0000-0000374E0000}"/>
    <cellStyle name="40% - Accent6 4 3 2 3 3" xfId="22623" xr:uid="{00000000-0005-0000-0000-0000384E0000}"/>
    <cellStyle name="40% - Accent6 4 3 2 4" xfId="5041" xr:uid="{00000000-0005-0000-0000-0000394E0000}"/>
    <cellStyle name="40% - Accent6 4 3 2 4 2" xfId="15531" xr:uid="{00000000-0005-0000-0000-00003A4E0000}"/>
    <cellStyle name="40% - Accent6 4 3 2 4 2 2" xfId="29080" xr:uid="{00000000-0005-0000-0000-00003B4E0000}"/>
    <cellStyle name="40% - Accent6 4 3 2 4 3" xfId="24426" xr:uid="{00000000-0005-0000-0000-00003C4E0000}"/>
    <cellStyle name="40% - Accent6 4 3 2 5" xfId="5042" xr:uid="{00000000-0005-0000-0000-00003D4E0000}"/>
    <cellStyle name="40% - Accent6 4 3 2 5 2" xfId="16752" xr:uid="{00000000-0005-0000-0000-00003E4E0000}"/>
    <cellStyle name="40% - Accent6 4 3 2 5 2 2" xfId="30159" xr:uid="{00000000-0005-0000-0000-00003F4E0000}"/>
    <cellStyle name="40% - Accent6 4 3 2 5 3" xfId="29122" xr:uid="{00000000-0005-0000-0000-0000404E0000}"/>
    <cellStyle name="40% - Accent6 4 3 2 6" xfId="9538" xr:uid="{00000000-0005-0000-0000-0000414E0000}"/>
    <cellStyle name="40% - Accent6 4 3 2 6 2" xfId="24013" xr:uid="{00000000-0005-0000-0000-0000424E0000}"/>
    <cellStyle name="40% - Accent6 4 3 2 7" xfId="22624" xr:uid="{00000000-0005-0000-0000-0000434E0000}"/>
    <cellStyle name="40% - Accent6 4 3 3" xfId="5043" xr:uid="{00000000-0005-0000-0000-0000444E0000}"/>
    <cellStyle name="40% - Accent6 4 3 3 2" xfId="5044" xr:uid="{00000000-0005-0000-0000-0000454E0000}"/>
    <cellStyle name="40% - Accent6 4 3 3 2 2" xfId="15532" xr:uid="{00000000-0005-0000-0000-0000464E0000}"/>
    <cellStyle name="40% - Accent6 4 3 3 2 2 2" xfId="29081" xr:uid="{00000000-0005-0000-0000-0000474E0000}"/>
    <cellStyle name="40% - Accent6 4 3 3 2 3" xfId="22621" xr:uid="{00000000-0005-0000-0000-0000484E0000}"/>
    <cellStyle name="40% - Accent6 4 3 3 3" xfId="11264" xr:uid="{00000000-0005-0000-0000-0000494E0000}"/>
    <cellStyle name="40% - Accent6 4 3 3 3 2" xfId="25206" xr:uid="{00000000-0005-0000-0000-00004A4E0000}"/>
    <cellStyle name="40% - Accent6 4 3 3 4" xfId="22622" xr:uid="{00000000-0005-0000-0000-00004B4E0000}"/>
    <cellStyle name="40% - Accent6 4 3 4" xfId="5045" xr:uid="{00000000-0005-0000-0000-00004C4E0000}"/>
    <cellStyle name="40% - Accent6 4 3 4 2" xfId="12140" xr:uid="{00000000-0005-0000-0000-00004D4E0000}"/>
    <cellStyle name="40% - Accent6 4 3 4 2 2" xfId="25852" xr:uid="{00000000-0005-0000-0000-00004E4E0000}"/>
    <cellStyle name="40% - Accent6 4 3 4 3" xfId="24092" xr:uid="{00000000-0005-0000-0000-00004F4E0000}"/>
    <cellStyle name="40% - Accent6 4 3 5" xfId="5046" xr:uid="{00000000-0005-0000-0000-0000504E0000}"/>
    <cellStyle name="40% - Accent6 4 3 5 2" xfId="13055" xr:uid="{00000000-0005-0000-0000-0000514E0000}"/>
    <cellStyle name="40% - Accent6 4 3 5 2 2" xfId="26767" xr:uid="{00000000-0005-0000-0000-0000524E0000}"/>
    <cellStyle name="40% - Accent6 4 3 5 3" xfId="22620" xr:uid="{00000000-0005-0000-0000-0000534E0000}"/>
    <cellStyle name="40% - Accent6 4 3 6" xfId="5047" xr:uid="{00000000-0005-0000-0000-0000544E0000}"/>
    <cellStyle name="40% - Accent6 4 3 6 2" xfId="13704" xr:uid="{00000000-0005-0000-0000-0000554E0000}"/>
    <cellStyle name="40% - Accent6 4 3 6 2 2" xfId="27253" xr:uid="{00000000-0005-0000-0000-0000564E0000}"/>
    <cellStyle name="40% - Accent6 4 3 6 3" xfId="24091" xr:uid="{00000000-0005-0000-0000-0000574E0000}"/>
    <cellStyle name="40% - Accent6 4 3 7" xfId="5048" xr:uid="{00000000-0005-0000-0000-0000584E0000}"/>
    <cellStyle name="40% - Accent6 4 3 7 2" xfId="14285" xr:uid="{00000000-0005-0000-0000-0000594E0000}"/>
    <cellStyle name="40% - Accent6 4 3 7 2 2" xfId="27834" xr:uid="{00000000-0005-0000-0000-00005A4E0000}"/>
    <cellStyle name="40% - Accent6 4 3 7 3" xfId="22619" xr:uid="{00000000-0005-0000-0000-00005B4E0000}"/>
    <cellStyle name="40% - Accent6 4 3 8" xfId="5049" xr:uid="{00000000-0005-0000-0000-00005C4E0000}"/>
    <cellStyle name="40% - Accent6 4 3 8 2" xfId="15530" xr:uid="{00000000-0005-0000-0000-00005D4E0000}"/>
    <cellStyle name="40% - Accent6 4 3 8 2 2" xfId="29079" xr:uid="{00000000-0005-0000-0000-00005E4E0000}"/>
    <cellStyle name="40% - Accent6 4 3 8 3" xfId="23250" xr:uid="{00000000-0005-0000-0000-00005F4E0000}"/>
    <cellStyle name="40% - Accent6 4 3 9" xfId="5050" xr:uid="{00000000-0005-0000-0000-0000604E0000}"/>
    <cellStyle name="40% - Accent6 4 3 9 2" xfId="16171" xr:uid="{00000000-0005-0000-0000-0000614E0000}"/>
    <cellStyle name="40% - Accent6 4 3 9 2 2" xfId="29578" xr:uid="{00000000-0005-0000-0000-0000624E0000}"/>
    <cellStyle name="40% - Accent6 4 3 9 3" xfId="24089" xr:uid="{00000000-0005-0000-0000-0000634E0000}"/>
    <cellStyle name="40% - Accent6 4 4" xfId="5051" xr:uid="{00000000-0005-0000-0000-0000644E0000}"/>
    <cellStyle name="40% - Accent6 4 4 2" xfId="5052" xr:uid="{00000000-0005-0000-0000-0000654E0000}"/>
    <cellStyle name="40% - Accent6 4 4 2 2" xfId="11266" xr:uid="{00000000-0005-0000-0000-0000664E0000}"/>
    <cellStyle name="40% - Accent6 4 4 2 2 2" xfId="25208" xr:uid="{00000000-0005-0000-0000-0000674E0000}"/>
    <cellStyle name="40% - Accent6 4 4 2 3" xfId="24088" xr:uid="{00000000-0005-0000-0000-0000684E0000}"/>
    <cellStyle name="40% - Accent6 4 4 3" xfId="5053" xr:uid="{00000000-0005-0000-0000-0000694E0000}"/>
    <cellStyle name="40% - Accent6 4 4 3 2" xfId="13057" xr:uid="{00000000-0005-0000-0000-00006A4E0000}"/>
    <cellStyle name="40% - Accent6 4 4 3 2 2" xfId="26769" xr:uid="{00000000-0005-0000-0000-00006B4E0000}"/>
    <cellStyle name="40% - Accent6 4 4 3 3" xfId="22617" xr:uid="{00000000-0005-0000-0000-00006C4E0000}"/>
    <cellStyle name="40% - Accent6 4 4 4" xfId="5054" xr:uid="{00000000-0005-0000-0000-00006D4E0000}"/>
    <cellStyle name="40% - Accent6 4 4 4 2" xfId="15533" xr:uid="{00000000-0005-0000-0000-00006E4E0000}"/>
    <cellStyle name="40% - Accent6 4 4 4 2 2" xfId="29082" xr:uid="{00000000-0005-0000-0000-00006F4E0000}"/>
    <cellStyle name="40% - Accent6 4 4 4 3" xfId="24087" xr:uid="{00000000-0005-0000-0000-0000704E0000}"/>
    <cellStyle name="40% - Accent6 4 4 5" xfId="5055" xr:uid="{00000000-0005-0000-0000-0000714E0000}"/>
    <cellStyle name="40% - Accent6 4 4 5 2" xfId="16460" xr:uid="{00000000-0005-0000-0000-0000724E0000}"/>
    <cellStyle name="40% - Accent6 4 4 5 2 2" xfId="29867" xr:uid="{00000000-0005-0000-0000-0000734E0000}"/>
    <cellStyle name="40% - Accent6 4 4 5 3" xfId="22616" xr:uid="{00000000-0005-0000-0000-0000744E0000}"/>
    <cellStyle name="40% - Accent6 4 4 6" xfId="9539" xr:uid="{00000000-0005-0000-0000-0000754E0000}"/>
    <cellStyle name="40% - Accent6 4 4 6 2" xfId="24014" xr:uid="{00000000-0005-0000-0000-0000764E0000}"/>
    <cellStyle name="40% - Accent6 4 4 7" xfId="22618" xr:uid="{00000000-0005-0000-0000-0000774E0000}"/>
    <cellStyle name="40% - Accent6 4 5" xfId="5056" xr:uid="{00000000-0005-0000-0000-0000784E0000}"/>
    <cellStyle name="40% - Accent6 4 5 2" xfId="5057" xr:uid="{00000000-0005-0000-0000-0000794E0000}"/>
    <cellStyle name="40% - Accent6 4 5 2 2" xfId="15534" xr:uid="{00000000-0005-0000-0000-00007A4E0000}"/>
    <cellStyle name="40% - Accent6 4 5 2 2 2" xfId="29083" xr:uid="{00000000-0005-0000-0000-00007B4E0000}"/>
    <cellStyle name="40% - Accent6 4 5 2 3" xfId="22615" xr:uid="{00000000-0005-0000-0000-00007C4E0000}"/>
    <cellStyle name="40% - Accent6 4 5 3" xfId="11259" xr:uid="{00000000-0005-0000-0000-00007D4E0000}"/>
    <cellStyle name="40% - Accent6 4 5 3 2" xfId="25201" xr:uid="{00000000-0005-0000-0000-00007E4E0000}"/>
    <cellStyle name="40% - Accent6 4 5 4" xfId="24086" xr:uid="{00000000-0005-0000-0000-00007F4E0000}"/>
    <cellStyle name="40% - Accent6 4 6" xfId="5058" xr:uid="{00000000-0005-0000-0000-0000804E0000}"/>
    <cellStyle name="40% - Accent6 4 6 2" xfId="11811" xr:uid="{00000000-0005-0000-0000-0000814E0000}"/>
    <cellStyle name="40% - Accent6 4 6 2 2" xfId="25526" xr:uid="{00000000-0005-0000-0000-0000824E0000}"/>
    <cellStyle name="40% - Accent6 4 6 3" xfId="24084" xr:uid="{00000000-0005-0000-0000-0000834E0000}"/>
    <cellStyle name="40% - Accent6 4 7" xfId="5059" xr:uid="{00000000-0005-0000-0000-0000844E0000}"/>
    <cellStyle name="40% - Accent6 4 7 2" xfId="13050" xr:uid="{00000000-0005-0000-0000-0000854E0000}"/>
    <cellStyle name="40% - Accent6 4 7 2 2" xfId="26762" xr:uid="{00000000-0005-0000-0000-0000864E0000}"/>
    <cellStyle name="40% - Accent6 4 7 3" xfId="24085" xr:uid="{00000000-0005-0000-0000-0000874E0000}"/>
    <cellStyle name="40% - Accent6 4 8" xfId="5060" xr:uid="{00000000-0005-0000-0000-0000884E0000}"/>
    <cellStyle name="40% - Accent6 4 8 2" xfId="13412" xr:uid="{00000000-0005-0000-0000-0000894E0000}"/>
    <cellStyle name="40% - Accent6 4 8 2 2" xfId="26961" xr:uid="{00000000-0005-0000-0000-00008A4E0000}"/>
    <cellStyle name="40% - Accent6 4 8 3" xfId="22614" xr:uid="{00000000-0005-0000-0000-00008B4E0000}"/>
    <cellStyle name="40% - Accent6 4 9" xfId="5061" xr:uid="{00000000-0005-0000-0000-00008C4E0000}"/>
    <cellStyle name="40% - Accent6 4 9 2" xfId="13993" xr:uid="{00000000-0005-0000-0000-00008D4E0000}"/>
    <cellStyle name="40% - Accent6 4 9 2 2" xfId="27542" xr:uid="{00000000-0005-0000-0000-00008E4E0000}"/>
    <cellStyle name="40% - Accent6 4 9 3" xfId="22613" xr:uid="{00000000-0005-0000-0000-00008F4E0000}"/>
    <cellStyle name="40% - Accent6 5" xfId="5062" xr:uid="{00000000-0005-0000-0000-0000904E0000}"/>
    <cellStyle name="40% - Accent6 5 10" xfId="5063" xr:uid="{00000000-0005-0000-0000-0000914E0000}"/>
    <cellStyle name="40% - Accent6 5 10 2" xfId="15535" xr:uid="{00000000-0005-0000-0000-0000924E0000}"/>
    <cellStyle name="40% - Accent6 5 10 2 2" xfId="29084" xr:uid="{00000000-0005-0000-0000-0000934E0000}"/>
    <cellStyle name="40% - Accent6 5 10 3" xfId="26799" xr:uid="{00000000-0005-0000-0000-0000944E0000}"/>
    <cellStyle name="40% - Accent6 5 11" xfId="5064" xr:uid="{00000000-0005-0000-0000-0000954E0000}"/>
    <cellStyle name="40% - Accent6 5 11 2" xfId="15862" xr:uid="{00000000-0005-0000-0000-0000964E0000}"/>
    <cellStyle name="40% - Accent6 5 11 2 2" xfId="29269" xr:uid="{00000000-0005-0000-0000-0000974E0000}"/>
    <cellStyle name="40% - Accent6 5 11 3" xfId="22612" xr:uid="{00000000-0005-0000-0000-0000984E0000}"/>
    <cellStyle name="40% - Accent6 5 12" xfId="9540" xr:uid="{00000000-0005-0000-0000-0000994E0000}"/>
    <cellStyle name="40% - Accent6 5 12 2" xfId="24015" xr:uid="{00000000-0005-0000-0000-00009A4E0000}"/>
    <cellStyle name="40% - Accent6 5 13" xfId="24083" xr:uid="{00000000-0005-0000-0000-00009B4E0000}"/>
    <cellStyle name="40% - Accent6 5 2" xfId="5065" xr:uid="{00000000-0005-0000-0000-00009C4E0000}"/>
    <cellStyle name="40% - Accent6 5 2 10" xfId="5066" xr:uid="{00000000-0005-0000-0000-00009D4E0000}"/>
    <cellStyle name="40% - Accent6 5 2 10 2" xfId="16005" xr:uid="{00000000-0005-0000-0000-00009E4E0000}"/>
    <cellStyle name="40% - Accent6 5 2 10 2 2" xfId="29412" xr:uid="{00000000-0005-0000-0000-00009F4E0000}"/>
    <cellStyle name="40% - Accent6 5 2 10 3" xfId="22611" xr:uid="{00000000-0005-0000-0000-0000A04E0000}"/>
    <cellStyle name="40% - Accent6 5 2 11" xfId="9541" xr:uid="{00000000-0005-0000-0000-0000A14E0000}"/>
    <cellStyle name="40% - Accent6 5 2 11 2" xfId="24016" xr:uid="{00000000-0005-0000-0000-0000A24E0000}"/>
    <cellStyle name="40% - Accent6 5 2 12" xfId="26800" xr:uid="{00000000-0005-0000-0000-0000A34E0000}"/>
    <cellStyle name="40% - Accent6 5 2 2" xfId="5067" xr:uid="{00000000-0005-0000-0000-0000A44E0000}"/>
    <cellStyle name="40% - Accent6 5 2 2 10" xfId="9542" xr:uid="{00000000-0005-0000-0000-0000A54E0000}"/>
    <cellStyle name="40% - Accent6 5 2 2 10 2" xfId="24017" xr:uid="{00000000-0005-0000-0000-0000A64E0000}"/>
    <cellStyle name="40% - Accent6 5 2 2 11" xfId="22610" xr:uid="{00000000-0005-0000-0000-0000A74E0000}"/>
    <cellStyle name="40% - Accent6 5 2 2 2" xfId="5068" xr:uid="{00000000-0005-0000-0000-0000A84E0000}"/>
    <cellStyle name="40% - Accent6 5 2 2 2 2" xfId="5069" xr:uid="{00000000-0005-0000-0000-0000A94E0000}"/>
    <cellStyle name="40% - Accent6 5 2 2 2 2 2" xfId="11270" xr:uid="{00000000-0005-0000-0000-0000AA4E0000}"/>
    <cellStyle name="40% - Accent6 5 2 2 2 2 2 2" xfId="25212" xr:uid="{00000000-0005-0000-0000-0000AB4E0000}"/>
    <cellStyle name="40% - Accent6 5 2 2 2 2 3" xfId="24082" xr:uid="{00000000-0005-0000-0000-0000AC4E0000}"/>
    <cellStyle name="40% - Accent6 5 2 2 2 3" xfId="5070" xr:uid="{00000000-0005-0000-0000-0000AD4E0000}"/>
    <cellStyle name="40% - Accent6 5 2 2 2 3 2" xfId="13061" xr:uid="{00000000-0005-0000-0000-0000AE4E0000}"/>
    <cellStyle name="40% - Accent6 5 2 2 2 3 2 2" xfId="26773" xr:uid="{00000000-0005-0000-0000-0000AF4E0000}"/>
    <cellStyle name="40% - Accent6 5 2 2 2 3 3" xfId="22609" xr:uid="{00000000-0005-0000-0000-0000B04E0000}"/>
    <cellStyle name="40% - Accent6 5 2 2 2 4" xfId="5071" xr:uid="{00000000-0005-0000-0000-0000B14E0000}"/>
    <cellStyle name="40% - Accent6 5 2 2 2 4 2" xfId="15538" xr:uid="{00000000-0005-0000-0000-0000B24E0000}"/>
    <cellStyle name="40% - Accent6 5 2 2 2 4 2 2" xfId="29087" xr:uid="{00000000-0005-0000-0000-0000B34E0000}"/>
    <cellStyle name="40% - Accent6 5 2 2 2 4 3" xfId="22608" xr:uid="{00000000-0005-0000-0000-0000B44E0000}"/>
    <cellStyle name="40% - Accent6 5 2 2 2 5" xfId="5072" xr:uid="{00000000-0005-0000-0000-0000B54E0000}"/>
    <cellStyle name="40% - Accent6 5 2 2 2 5 2" xfId="16875" xr:uid="{00000000-0005-0000-0000-0000B64E0000}"/>
    <cellStyle name="40% - Accent6 5 2 2 2 5 2 2" xfId="30282" xr:uid="{00000000-0005-0000-0000-0000B74E0000}"/>
    <cellStyle name="40% - Accent6 5 2 2 2 5 3" xfId="24080" xr:uid="{00000000-0005-0000-0000-0000B84E0000}"/>
    <cellStyle name="40% - Accent6 5 2 2 2 6" xfId="9543" xr:uid="{00000000-0005-0000-0000-0000B94E0000}"/>
    <cellStyle name="40% - Accent6 5 2 2 2 6 2" xfId="24018" xr:uid="{00000000-0005-0000-0000-0000BA4E0000}"/>
    <cellStyle name="40% - Accent6 5 2 2 2 7" xfId="24081" xr:uid="{00000000-0005-0000-0000-0000BB4E0000}"/>
    <cellStyle name="40% - Accent6 5 2 2 3" xfId="5073" xr:uid="{00000000-0005-0000-0000-0000BC4E0000}"/>
    <cellStyle name="40% - Accent6 5 2 2 3 2" xfId="5074" xr:uid="{00000000-0005-0000-0000-0000BD4E0000}"/>
    <cellStyle name="40% - Accent6 5 2 2 3 2 2" xfId="15539" xr:uid="{00000000-0005-0000-0000-0000BE4E0000}"/>
    <cellStyle name="40% - Accent6 5 2 2 3 2 2 2" xfId="29088" xr:uid="{00000000-0005-0000-0000-0000BF4E0000}"/>
    <cellStyle name="40% - Accent6 5 2 2 3 2 3" xfId="24077" xr:uid="{00000000-0005-0000-0000-0000C04E0000}"/>
    <cellStyle name="40% - Accent6 5 2 2 3 3" xfId="11269" xr:uid="{00000000-0005-0000-0000-0000C14E0000}"/>
    <cellStyle name="40% - Accent6 5 2 2 3 3 2" xfId="25211" xr:uid="{00000000-0005-0000-0000-0000C24E0000}"/>
    <cellStyle name="40% - Accent6 5 2 2 3 4" xfId="22607" xr:uid="{00000000-0005-0000-0000-0000C34E0000}"/>
    <cellStyle name="40% - Accent6 5 2 2 4" xfId="5075" xr:uid="{00000000-0005-0000-0000-0000C44E0000}"/>
    <cellStyle name="40% - Accent6 5 2 2 4 2" xfId="12263" xr:uid="{00000000-0005-0000-0000-0000C54E0000}"/>
    <cellStyle name="40% - Accent6 5 2 2 4 2 2" xfId="25975" xr:uid="{00000000-0005-0000-0000-0000C64E0000}"/>
    <cellStyle name="40% - Accent6 5 2 2 4 3" xfId="22606" xr:uid="{00000000-0005-0000-0000-0000C74E0000}"/>
    <cellStyle name="40% - Accent6 5 2 2 5" xfId="5076" xr:uid="{00000000-0005-0000-0000-0000C84E0000}"/>
    <cellStyle name="40% - Accent6 5 2 2 5 2" xfId="13060" xr:uid="{00000000-0005-0000-0000-0000C94E0000}"/>
    <cellStyle name="40% - Accent6 5 2 2 5 2 2" xfId="26772" xr:uid="{00000000-0005-0000-0000-0000CA4E0000}"/>
    <cellStyle name="40% - Accent6 5 2 2 5 3" xfId="25235" xr:uid="{00000000-0005-0000-0000-0000CB4E0000}"/>
    <cellStyle name="40% - Accent6 5 2 2 6" xfId="5077" xr:uid="{00000000-0005-0000-0000-0000CC4E0000}"/>
    <cellStyle name="40% - Accent6 5 2 2 6 2" xfId="13827" xr:uid="{00000000-0005-0000-0000-0000CD4E0000}"/>
    <cellStyle name="40% - Accent6 5 2 2 6 2 2" xfId="27376" xr:uid="{00000000-0005-0000-0000-0000CE4E0000}"/>
    <cellStyle name="40% - Accent6 5 2 2 6 3" xfId="22605" xr:uid="{00000000-0005-0000-0000-0000CF4E0000}"/>
    <cellStyle name="40% - Accent6 5 2 2 7" xfId="5078" xr:uid="{00000000-0005-0000-0000-0000D04E0000}"/>
    <cellStyle name="40% - Accent6 5 2 2 7 2" xfId="14408" xr:uid="{00000000-0005-0000-0000-0000D14E0000}"/>
    <cellStyle name="40% - Accent6 5 2 2 7 2 2" xfId="27957" xr:uid="{00000000-0005-0000-0000-0000D24E0000}"/>
    <cellStyle name="40% - Accent6 5 2 2 7 3" xfId="24425" xr:uid="{00000000-0005-0000-0000-0000D34E0000}"/>
    <cellStyle name="40% - Accent6 5 2 2 8" xfId="5079" xr:uid="{00000000-0005-0000-0000-0000D44E0000}"/>
    <cellStyle name="40% - Accent6 5 2 2 8 2" xfId="15537" xr:uid="{00000000-0005-0000-0000-0000D54E0000}"/>
    <cellStyle name="40% - Accent6 5 2 2 8 2 2" xfId="29086" xr:uid="{00000000-0005-0000-0000-0000D64E0000}"/>
    <cellStyle name="40% - Accent6 5 2 2 8 3" xfId="29121" xr:uid="{00000000-0005-0000-0000-0000D74E0000}"/>
    <cellStyle name="40% - Accent6 5 2 2 9" xfId="5080" xr:uid="{00000000-0005-0000-0000-0000D84E0000}"/>
    <cellStyle name="40% - Accent6 5 2 2 9 2" xfId="16294" xr:uid="{00000000-0005-0000-0000-0000D94E0000}"/>
    <cellStyle name="40% - Accent6 5 2 2 9 2 2" xfId="29701" xr:uid="{00000000-0005-0000-0000-0000DA4E0000}"/>
    <cellStyle name="40% - Accent6 5 2 2 9 3" xfId="22604" xr:uid="{00000000-0005-0000-0000-0000DB4E0000}"/>
    <cellStyle name="40% - Accent6 5 2 3" xfId="5081" xr:uid="{00000000-0005-0000-0000-0000DC4E0000}"/>
    <cellStyle name="40% - Accent6 5 2 3 2" xfId="5082" xr:uid="{00000000-0005-0000-0000-0000DD4E0000}"/>
    <cellStyle name="40% - Accent6 5 2 3 2 2" xfId="11271" xr:uid="{00000000-0005-0000-0000-0000DE4E0000}"/>
    <cellStyle name="40% - Accent6 5 2 3 2 2 2" xfId="25213" xr:uid="{00000000-0005-0000-0000-0000DF4E0000}"/>
    <cellStyle name="40% - Accent6 5 2 3 2 3" xfId="24079" xr:uid="{00000000-0005-0000-0000-0000E04E0000}"/>
    <cellStyle name="40% - Accent6 5 2 3 3" xfId="5083" xr:uid="{00000000-0005-0000-0000-0000E14E0000}"/>
    <cellStyle name="40% - Accent6 5 2 3 3 2" xfId="13062" xr:uid="{00000000-0005-0000-0000-0000E24E0000}"/>
    <cellStyle name="40% - Accent6 5 2 3 3 2 2" xfId="26774" xr:uid="{00000000-0005-0000-0000-0000E34E0000}"/>
    <cellStyle name="40% - Accent6 5 2 3 3 3" xfId="22602" xr:uid="{00000000-0005-0000-0000-0000E44E0000}"/>
    <cellStyle name="40% - Accent6 5 2 3 4" xfId="5084" xr:uid="{00000000-0005-0000-0000-0000E54E0000}"/>
    <cellStyle name="40% - Accent6 5 2 3 4 2" xfId="15540" xr:uid="{00000000-0005-0000-0000-0000E64E0000}"/>
    <cellStyle name="40% - Accent6 5 2 3 4 2 2" xfId="29089" xr:uid="{00000000-0005-0000-0000-0000E74E0000}"/>
    <cellStyle name="40% - Accent6 5 2 3 4 3" xfId="24078" xr:uid="{00000000-0005-0000-0000-0000E84E0000}"/>
    <cellStyle name="40% - Accent6 5 2 3 5" xfId="5085" xr:uid="{00000000-0005-0000-0000-0000E94E0000}"/>
    <cellStyle name="40% - Accent6 5 2 3 5 2" xfId="16586" xr:uid="{00000000-0005-0000-0000-0000EA4E0000}"/>
    <cellStyle name="40% - Accent6 5 2 3 5 2 2" xfId="29993" xr:uid="{00000000-0005-0000-0000-0000EB4E0000}"/>
    <cellStyle name="40% - Accent6 5 2 3 5 3" xfId="22601" xr:uid="{00000000-0005-0000-0000-0000EC4E0000}"/>
    <cellStyle name="40% - Accent6 5 2 3 6" xfId="9544" xr:uid="{00000000-0005-0000-0000-0000ED4E0000}"/>
    <cellStyle name="40% - Accent6 5 2 3 6 2" xfId="24019" xr:uid="{00000000-0005-0000-0000-0000EE4E0000}"/>
    <cellStyle name="40% - Accent6 5 2 3 7" xfId="22603" xr:uid="{00000000-0005-0000-0000-0000EF4E0000}"/>
    <cellStyle name="40% - Accent6 5 2 4" xfId="5086" xr:uid="{00000000-0005-0000-0000-0000F04E0000}"/>
    <cellStyle name="40% - Accent6 5 2 4 2" xfId="5087" xr:uid="{00000000-0005-0000-0000-0000F14E0000}"/>
    <cellStyle name="40% - Accent6 5 2 4 2 2" xfId="15541" xr:uid="{00000000-0005-0000-0000-0000F24E0000}"/>
    <cellStyle name="40% - Accent6 5 2 4 2 2 2" xfId="29090" xr:uid="{00000000-0005-0000-0000-0000F34E0000}"/>
    <cellStyle name="40% - Accent6 5 2 4 2 3" xfId="24076" xr:uid="{00000000-0005-0000-0000-0000F44E0000}"/>
    <cellStyle name="40% - Accent6 5 2 4 3" xfId="11268" xr:uid="{00000000-0005-0000-0000-0000F54E0000}"/>
    <cellStyle name="40% - Accent6 5 2 4 3 2" xfId="25210" xr:uid="{00000000-0005-0000-0000-0000F64E0000}"/>
    <cellStyle name="40% - Accent6 5 2 4 4" xfId="23248" xr:uid="{00000000-0005-0000-0000-0000F74E0000}"/>
    <cellStyle name="40% - Accent6 5 2 5" xfId="5088" xr:uid="{00000000-0005-0000-0000-0000F84E0000}"/>
    <cellStyle name="40% - Accent6 5 2 5 2" xfId="11963" xr:uid="{00000000-0005-0000-0000-0000F94E0000}"/>
    <cellStyle name="40% - Accent6 5 2 5 2 2" xfId="25678" xr:uid="{00000000-0005-0000-0000-0000FA4E0000}"/>
    <cellStyle name="40% - Accent6 5 2 5 3" xfId="22600" xr:uid="{00000000-0005-0000-0000-0000FB4E0000}"/>
    <cellStyle name="40% - Accent6 5 2 6" xfId="5089" xr:uid="{00000000-0005-0000-0000-0000FC4E0000}"/>
    <cellStyle name="40% - Accent6 5 2 6 2" xfId="13059" xr:uid="{00000000-0005-0000-0000-0000FD4E0000}"/>
    <cellStyle name="40% - Accent6 5 2 6 2 2" xfId="26771" xr:uid="{00000000-0005-0000-0000-0000FE4E0000}"/>
    <cellStyle name="40% - Accent6 5 2 6 3" xfId="24075" xr:uid="{00000000-0005-0000-0000-0000FF4E0000}"/>
    <cellStyle name="40% - Accent6 5 2 7" xfId="5090" xr:uid="{00000000-0005-0000-0000-0000004F0000}"/>
    <cellStyle name="40% - Accent6 5 2 7 2" xfId="13538" xr:uid="{00000000-0005-0000-0000-0000014F0000}"/>
    <cellStyle name="40% - Accent6 5 2 7 2 2" xfId="27087" xr:uid="{00000000-0005-0000-0000-0000024F0000}"/>
    <cellStyle name="40% - Accent6 5 2 7 3" xfId="22599" xr:uid="{00000000-0005-0000-0000-0000034F0000}"/>
    <cellStyle name="40% - Accent6 5 2 8" xfId="5091" xr:uid="{00000000-0005-0000-0000-0000044F0000}"/>
    <cellStyle name="40% - Accent6 5 2 8 2" xfId="14119" xr:uid="{00000000-0005-0000-0000-0000054F0000}"/>
    <cellStyle name="40% - Accent6 5 2 8 2 2" xfId="27668" xr:uid="{00000000-0005-0000-0000-0000064F0000}"/>
    <cellStyle name="40% - Accent6 5 2 8 3" xfId="24074" xr:uid="{00000000-0005-0000-0000-0000074F0000}"/>
    <cellStyle name="40% - Accent6 5 2 9" xfId="5092" xr:uid="{00000000-0005-0000-0000-0000084F0000}"/>
    <cellStyle name="40% - Accent6 5 2 9 2" xfId="15536" xr:uid="{00000000-0005-0000-0000-0000094F0000}"/>
    <cellStyle name="40% - Accent6 5 2 9 2 2" xfId="29085" xr:uid="{00000000-0005-0000-0000-00000A4F0000}"/>
    <cellStyle name="40% - Accent6 5 2 9 3" xfId="22598" xr:uid="{00000000-0005-0000-0000-00000B4F0000}"/>
    <cellStyle name="40% - Accent6 5 3" xfId="5093" xr:uid="{00000000-0005-0000-0000-00000C4F0000}"/>
    <cellStyle name="40% - Accent6 5 3 10" xfId="9545" xr:uid="{00000000-0005-0000-0000-00000D4F0000}"/>
    <cellStyle name="40% - Accent6 5 3 10 2" xfId="24020" xr:uid="{00000000-0005-0000-0000-00000E4F0000}"/>
    <cellStyle name="40% - Accent6 5 3 11" xfId="24073" xr:uid="{00000000-0005-0000-0000-00000F4F0000}"/>
    <cellStyle name="40% - Accent6 5 3 2" xfId="5094" xr:uid="{00000000-0005-0000-0000-0000104F0000}"/>
    <cellStyle name="40% - Accent6 5 3 2 2" xfId="5095" xr:uid="{00000000-0005-0000-0000-0000114F0000}"/>
    <cellStyle name="40% - Accent6 5 3 2 2 2" xfId="11273" xr:uid="{00000000-0005-0000-0000-0000124F0000}"/>
    <cellStyle name="40% - Accent6 5 3 2 2 2 2" xfId="25215" xr:uid="{00000000-0005-0000-0000-0000134F0000}"/>
    <cellStyle name="40% - Accent6 5 3 2 2 3" xfId="24071" xr:uid="{00000000-0005-0000-0000-0000144F0000}"/>
    <cellStyle name="40% - Accent6 5 3 2 3" xfId="5096" xr:uid="{00000000-0005-0000-0000-0000154F0000}"/>
    <cellStyle name="40% - Accent6 5 3 2 3 2" xfId="13064" xr:uid="{00000000-0005-0000-0000-0000164F0000}"/>
    <cellStyle name="40% - Accent6 5 3 2 3 2 2" xfId="26776" xr:uid="{00000000-0005-0000-0000-0000174F0000}"/>
    <cellStyle name="40% - Accent6 5 3 2 3 3" xfId="24072" xr:uid="{00000000-0005-0000-0000-0000184F0000}"/>
    <cellStyle name="40% - Accent6 5 3 2 4" xfId="5097" xr:uid="{00000000-0005-0000-0000-0000194F0000}"/>
    <cellStyle name="40% - Accent6 5 3 2 4 2" xfId="15543" xr:uid="{00000000-0005-0000-0000-00001A4F0000}"/>
    <cellStyle name="40% - Accent6 5 3 2 4 2 2" xfId="29092" xr:uid="{00000000-0005-0000-0000-00001B4F0000}"/>
    <cellStyle name="40% - Accent6 5 3 2 4 3" xfId="22596" xr:uid="{00000000-0005-0000-0000-00001C4F0000}"/>
    <cellStyle name="40% - Accent6 5 3 2 5" xfId="5098" xr:uid="{00000000-0005-0000-0000-00001D4F0000}"/>
    <cellStyle name="40% - Accent6 5 3 2 5 2" xfId="16735" xr:uid="{00000000-0005-0000-0000-00001E4F0000}"/>
    <cellStyle name="40% - Accent6 5 3 2 5 2 2" xfId="30142" xr:uid="{00000000-0005-0000-0000-00001F4F0000}"/>
    <cellStyle name="40% - Accent6 5 3 2 5 3" xfId="22595" xr:uid="{00000000-0005-0000-0000-0000204F0000}"/>
    <cellStyle name="40% - Accent6 5 3 2 6" xfId="9546" xr:uid="{00000000-0005-0000-0000-0000214F0000}"/>
    <cellStyle name="40% - Accent6 5 3 2 6 2" xfId="24021" xr:uid="{00000000-0005-0000-0000-0000224F0000}"/>
    <cellStyle name="40% - Accent6 5 3 2 7" xfId="22597" xr:uid="{00000000-0005-0000-0000-0000234F0000}"/>
    <cellStyle name="40% - Accent6 5 3 3" xfId="5099" xr:uid="{00000000-0005-0000-0000-0000244F0000}"/>
    <cellStyle name="40% - Accent6 5 3 3 2" xfId="5100" xr:uid="{00000000-0005-0000-0000-0000254F0000}"/>
    <cellStyle name="40% - Accent6 5 3 3 2 2" xfId="15544" xr:uid="{00000000-0005-0000-0000-0000264F0000}"/>
    <cellStyle name="40% - Accent6 5 3 3 2 2 2" xfId="29093" xr:uid="{00000000-0005-0000-0000-0000274F0000}"/>
    <cellStyle name="40% - Accent6 5 3 3 2 3" xfId="26797" xr:uid="{00000000-0005-0000-0000-0000284F0000}"/>
    <cellStyle name="40% - Accent6 5 3 3 3" xfId="11272" xr:uid="{00000000-0005-0000-0000-0000294F0000}"/>
    <cellStyle name="40% - Accent6 5 3 3 3 2" xfId="25214" xr:uid="{00000000-0005-0000-0000-00002A4F0000}"/>
    <cellStyle name="40% - Accent6 5 3 3 4" xfId="24070" xr:uid="{00000000-0005-0000-0000-00002B4F0000}"/>
    <cellStyle name="40% - Accent6 5 3 4" xfId="5101" xr:uid="{00000000-0005-0000-0000-00002C4F0000}"/>
    <cellStyle name="40% - Accent6 5 3 4 2" xfId="12123" xr:uid="{00000000-0005-0000-0000-00002D4F0000}"/>
    <cellStyle name="40% - Accent6 5 3 4 2 2" xfId="25835" xr:uid="{00000000-0005-0000-0000-00002E4F0000}"/>
    <cellStyle name="40% - Accent6 5 3 4 3" xfId="22594" xr:uid="{00000000-0005-0000-0000-00002F4F0000}"/>
    <cellStyle name="40% - Accent6 5 3 5" xfId="5102" xr:uid="{00000000-0005-0000-0000-0000304F0000}"/>
    <cellStyle name="40% - Accent6 5 3 5 2" xfId="13063" xr:uid="{00000000-0005-0000-0000-0000314F0000}"/>
    <cellStyle name="40% - Accent6 5 3 5 2 2" xfId="26775" xr:uid="{00000000-0005-0000-0000-0000324F0000}"/>
    <cellStyle name="40% - Accent6 5 3 5 3" xfId="26798" xr:uid="{00000000-0005-0000-0000-0000334F0000}"/>
    <cellStyle name="40% - Accent6 5 3 6" xfId="5103" xr:uid="{00000000-0005-0000-0000-0000344F0000}"/>
    <cellStyle name="40% - Accent6 5 3 6 2" xfId="13687" xr:uid="{00000000-0005-0000-0000-0000354F0000}"/>
    <cellStyle name="40% - Accent6 5 3 6 2 2" xfId="27236" xr:uid="{00000000-0005-0000-0000-0000364F0000}"/>
    <cellStyle name="40% - Accent6 5 3 6 3" xfId="22593" xr:uid="{00000000-0005-0000-0000-0000374F0000}"/>
    <cellStyle name="40% - Accent6 5 3 7" xfId="5104" xr:uid="{00000000-0005-0000-0000-0000384F0000}"/>
    <cellStyle name="40% - Accent6 5 3 7 2" xfId="14268" xr:uid="{00000000-0005-0000-0000-0000394F0000}"/>
    <cellStyle name="40% - Accent6 5 3 7 2 2" xfId="27817" xr:uid="{00000000-0005-0000-0000-00003A4F0000}"/>
    <cellStyle name="40% - Accent6 5 3 7 3" xfId="22592" xr:uid="{00000000-0005-0000-0000-00003B4F0000}"/>
    <cellStyle name="40% - Accent6 5 3 8" xfId="5105" xr:uid="{00000000-0005-0000-0000-00003C4F0000}"/>
    <cellStyle name="40% - Accent6 5 3 8 2" xfId="15542" xr:uid="{00000000-0005-0000-0000-00003D4F0000}"/>
    <cellStyle name="40% - Accent6 5 3 8 2 2" xfId="29091" xr:uid="{00000000-0005-0000-0000-00003E4F0000}"/>
    <cellStyle name="40% - Accent6 5 3 8 3" xfId="24068" xr:uid="{00000000-0005-0000-0000-00003F4F0000}"/>
    <cellStyle name="40% - Accent6 5 3 9" xfId="5106" xr:uid="{00000000-0005-0000-0000-0000404F0000}"/>
    <cellStyle name="40% - Accent6 5 3 9 2" xfId="16154" xr:uid="{00000000-0005-0000-0000-0000414F0000}"/>
    <cellStyle name="40% - Accent6 5 3 9 2 2" xfId="29561" xr:uid="{00000000-0005-0000-0000-0000424F0000}"/>
    <cellStyle name="40% - Accent6 5 3 9 3" xfId="24069" xr:uid="{00000000-0005-0000-0000-0000434F0000}"/>
    <cellStyle name="40% - Accent6 5 4" xfId="5107" xr:uid="{00000000-0005-0000-0000-0000444F0000}"/>
    <cellStyle name="40% - Accent6 5 4 2" xfId="5108" xr:uid="{00000000-0005-0000-0000-0000454F0000}"/>
    <cellStyle name="40% - Accent6 5 4 2 2" xfId="11274" xr:uid="{00000000-0005-0000-0000-0000464F0000}"/>
    <cellStyle name="40% - Accent6 5 4 2 2 2" xfId="25216" xr:uid="{00000000-0005-0000-0000-0000474F0000}"/>
    <cellStyle name="40% - Accent6 5 4 2 3" xfId="22590" xr:uid="{00000000-0005-0000-0000-0000484F0000}"/>
    <cellStyle name="40% - Accent6 5 4 3" xfId="5109" xr:uid="{00000000-0005-0000-0000-0000494F0000}"/>
    <cellStyle name="40% - Accent6 5 4 3 2" xfId="13065" xr:uid="{00000000-0005-0000-0000-00004A4F0000}"/>
    <cellStyle name="40% - Accent6 5 4 3 2 2" xfId="26777" xr:uid="{00000000-0005-0000-0000-00004B4F0000}"/>
    <cellStyle name="40% - Accent6 5 4 3 3" xfId="24067" xr:uid="{00000000-0005-0000-0000-00004C4F0000}"/>
    <cellStyle name="40% - Accent6 5 4 4" xfId="5110" xr:uid="{00000000-0005-0000-0000-00004D4F0000}"/>
    <cellStyle name="40% - Accent6 5 4 4 2" xfId="15545" xr:uid="{00000000-0005-0000-0000-00004E4F0000}"/>
    <cellStyle name="40% - Accent6 5 4 4 2 2" xfId="29094" xr:uid="{00000000-0005-0000-0000-00004F4F0000}"/>
    <cellStyle name="40% - Accent6 5 4 4 3" xfId="22589" xr:uid="{00000000-0005-0000-0000-0000504F0000}"/>
    <cellStyle name="40% - Accent6 5 4 5" xfId="5111" xr:uid="{00000000-0005-0000-0000-0000514F0000}"/>
    <cellStyle name="40% - Accent6 5 4 5 2" xfId="16443" xr:uid="{00000000-0005-0000-0000-0000524F0000}"/>
    <cellStyle name="40% - Accent6 5 4 5 2 2" xfId="29850" xr:uid="{00000000-0005-0000-0000-0000534F0000}"/>
    <cellStyle name="40% - Accent6 5 4 5 3" xfId="24064" xr:uid="{00000000-0005-0000-0000-0000544F0000}"/>
    <cellStyle name="40% - Accent6 5 4 6" xfId="9547" xr:uid="{00000000-0005-0000-0000-0000554F0000}"/>
    <cellStyle name="40% - Accent6 5 4 6 2" xfId="24022" xr:uid="{00000000-0005-0000-0000-0000564F0000}"/>
    <cellStyle name="40% - Accent6 5 4 7" xfId="22591" xr:uid="{00000000-0005-0000-0000-0000574F0000}"/>
    <cellStyle name="40% - Accent6 5 5" xfId="5112" xr:uid="{00000000-0005-0000-0000-0000584F0000}"/>
    <cellStyle name="40% - Accent6 5 5 2" xfId="5113" xr:uid="{00000000-0005-0000-0000-0000594F0000}"/>
    <cellStyle name="40% - Accent6 5 5 2 2" xfId="15546" xr:uid="{00000000-0005-0000-0000-00005A4F0000}"/>
    <cellStyle name="40% - Accent6 5 5 2 2 2" xfId="29095" xr:uid="{00000000-0005-0000-0000-00005B4F0000}"/>
    <cellStyle name="40% - Accent6 5 5 2 3" xfId="25234" xr:uid="{00000000-0005-0000-0000-00005C4F0000}"/>
    <cellStyle name="40% - Accent6 5 5 3" xfId="11267" xr:uid="{00000000-0005-0000-0000-00005D4F0000}"/>
    <cellStyle name="40% - Accent6 5 5 3 2" xfId="25209" xr:uid="{00000000-0005-0000-0000-00005E4F0000}"/>
    <cellStyle name="40% - Accent6 5 5 4" xfId="22588" xr:uid="{00000000-0005-0000-0000-00005F4F0000}"/>
    <cellStyle name="40% - Accent6 5 6" xfId="5114" xr:uid="{00000000-0005-0000-0000-0000604F0000}"/>
    <cellStyle name="40% - Accent6 5 6 2" xfId="11794" xr:uid="{00000000-0005-0000-0000-0000614F0000}"/>
    <cellStyle name="40% - Accent6 5 6 2 2" xfId="25509" xr:uid="{00000000-0005-0000-0000-0000624F0000}"/>
    <cellStyle name="40% - Accent6 5 6 3" xfId="22587" xr:uid="{00000000-0005-0000-0000-0000634F0000}"/>
    <cellStyle name="40% - Accent6 5 7" xfId="5115" xr:uid="{00000000-0005-0000-0000-0000644F0000}"/>
    <cellStyle name="40% - Accent6 5 7 2" xfId="13058" xr:uid="{00000000-0005-0000-0000-0000654F0000}"/>
    <cellStyle name="40% - Accent6 5 7 2 2" xfId="26770" xr:uid="{00000000-0005-0000-0000-0000664F0000}"/>
    <cellStyle name="40% - Accent6 5 7 3" xfId="24424" xr:uid="{00000000-0005-0000-0000-0000674F0000}"/>
    <cellStyle name="40% - Accent6 5 8" xfId="5116" xr:uid="{00000000-0005-0000-0000-0000684F0000}"/>
    <cellStyle name="40% - Accent6 5 8 2" xfId="13395" xr:uid="{00000000-0005-0000-0000-0000694F0000}"/>
    <cellStyle name="40% - Accent6 5 8 2 2" xfId="26944" xr:uid="{00000000-0005-0000-0000-00006A4F0000}"/>
    <cellStyle name="40% - Accent6 5 8 3" xfId="29120" xr:uid="{00000000-0005-0000-0000-00006B4F0000}"/>
    <cellStyle name="40% - Accent6 5 9" xfId="5117" xr:uid="{00000000-0005-0000-0000-00006C4F0000}"/>
    <cellStyle name="40% - Accent6 5 9 2" xfId="13976" xr:uid="{00000000-0005-0000-0000-00006D4F0000}"/>
    <cellStyle name="40% - Accent6 5 9 2 2" xfId="27525" xr:uid="{00000000-0005-0000-0000-00006E4F0000}"/>
    <cellStyle name="40% - Accent6 5 9 3" xfId="22586" xr:uid="{00000000-0005-0000-0000-00006F4F0000}"/>
    <cellStyle name="40% - Accent6 6" xfId="5118" xr:uid="{00000000-0005-0000-0000-0000704F0000}"/>
    <cellStyle name="40% - Accent6 6 10" xfId="5119" xr:uid="{00000000-0005-0000-0000-0000714F0000}"/>
    <cellStyle name="40% - Accent6 6 10 2" xfId="15547" xr:uid="{00000000-0005-0000-0000-0000724F0000}"/>
    <cellStyle name="40% - Accent6 6 10 2 2" xfId="29096" xr:uid="{00000000-0005-0000-0000-0000734F0000}"/>
    <cellStyle name="40% - Accent6 6 10 3" xfId="24066" xr:uid="{00000000-0005-0000-0000-0000744F0000}"/>
    <cellStyle name="40% - Accent6 6 11" xfId="5120" xr:uid="{00000000-0005-0000-0000-0000754F0000}"/>
    <cellStyle name="40% - Accent6 6 11 2" xfId="15968" xr:uid="{00000000-0005-0000-0000-0000764F0000}"/>
    <cellStyle name="40% - Accent6 6 11 2 2" xfId="29375" xr:uid="{00000000-0005-0000-0000-0000774F0000}"/>
    <cellStyle name="40% - Accent6 6 11 3" xfId="22584" xr:uid="{00000000-0005-0000-0000-0000784F0000}"/>
    <cellStyle name="40% - Accent6 6 12" xfId="9548" xr:uid="{00000000-0005-0000-0000-0000794F0000}"/>
    <cellStyle name="40% - Accent6 6 12 2" xfId="24023" xr:uid="{00000000-0005-0000-0000-00007A4F0000}"/>
    <cellStyle name="40% - Accent6 6 13" xfId="22585" xr:uid="{00000000-0005-0000-0000-00007B4F0000}"/>
    <cellStyle name="40% - Accent6 6 2" xfId="5121" xr:uid="{00000000-0005-0000-0000-00007C4F0000}"/>
    <cellStyle name="40% - Accent6 6 2 10" xfId="5122" xr:uid="{00000000-0005-0000-0000-00007D4F0000}"/>
    <cellStyle name="40% - Accent6 6 2 10 2" xfId="16111" xr:uid="{00000000-0005-0000-0000-00007E4F0000}"/>
    <cellStyle name="40% - Accent6 6 2 10 2 2" xfId="29518" xr:uid="{00000000-0005-0000-0000-00007F4F0000}"/>
    <cellStyle name="40% - Accent6 6 2 10 3" xfId="22583" xr:uid="{00000000-0005-0000-0000-0000804F0000}"/>
    <cellStyle name="40% - Accent6 6 2 11" xfId="9549" xr:uid="{00000000-0005-0000-0000-0000814F0000}"/>
    <cellStyle name="40% - Accent6 6 2 11 2" xfId="24024" xr:uid="{00000000-0005-0000-0000-0000824F0000}"/>
    <cellStyle name="40% - Accent6 6 2 12" xfId="24065" xr:uid="{00000000-0005-0000-0000-0000834F0000}"/>
    <cellStyle name="40% - Accent6 6 2 2" xfId="5123" xr:uid="{00000000-0005-0000-0000-0000844F0000}"/>
    <cellStyle name="40% - Accent6 6 2 2 10" xfId="9550" xr:uid="{00000000-0005-0000-0000-0000854F0000}"/>
    <cellStyle name="40% - Accent6 6 2 2 10 2" xfId="24025" xr:uid="{00000000-0005-0000-0000-0000864F0000}"/>
    <cellStyle name="40% - Accent6 6 2 2 11" xfId="23244" xr:uid="{00000000-0005-0000-0000-0000874F0000}"/>
    <cellStyle name="40% - Accent6 6 2 2 2" xfId="5124" xr:uid="{00000000-0005-0000-0000-0000884F0000}"/>
    <cellStyle name="40% - Accent6 6 2 2 2 2" xfId="5125" xr:uid="{00000000-0005-0000-0000-0000894F0000}"/>
    <cellStyle name="40% - Accent6 6 2 2 2 2 2" xfId="11278" xr:uid="{00000000-0005-0000-0000-00008A4F0000}"/>
    <cellStyle name="40% - Accent6 6 2 2 2 2 2 2" xfId="25220" xr:uid="{00000000-0005-0000-0000-00008B4F0000}"/>
    <cellStyle name="40% - Accent6 6 2 2 2 2 3" xfId="22582" xr:uid="{00000000-0005-0000-0000-00008C4F0000}"/>
    <cellStyle name="40% - Accent6 6 2 2 2 3" xfId="5126" xr:uid="{00000000-0005-0000-0000-00008D4F0000}"/>
    <cellStyle name="40% - Accent6 6 2 2 2 3 2" xfId="13069" xr:uid="{00000000-0005-0000-0000-00008E4F0000}"/>
    <cellStyle name="40% - Accent6 6 2 2 2 3 2 2" xfId="26781" xr:uid="{00000000-0005-0000-0000-00008F4F0000}"/>
    <cellStyle name="40% - Accent6 6 2 2 2 3 3" xfId="24062" xr:uid="{00000000-0005-0000-0000-0000904F0000}"/>
    <cellStyle name="40% - Accent6 6 2 2 2 4" xfId="5127" xr:uid="{00000000-0005-0000-0000-0000914F0000}"/>
    <cellStyle name="40% - Accent6 6 2 2 2 4 2" xfId="15550" xr:uid="{00000000-0005-0000-0000-0000924F0000}"/>
    <cellStyle name="40% - Accent6 6 2 2 2 4 2 2" xfId="29099" xr:uid="{00000000-0005-0000-0000-0000934F0000}"/>
    <cellStyle name="40% - Accent6 6 2 2 2 4 3" xfId="22581" xr:uid="{00000000-0005-0000-0000-0000944F0000}"/>
    <cellStyle name="40% - Accent6 6 2 2 2 5" xfId="5128" xr:uid="{00000000-0005-0000-0000-0000954F0000}"/>
    <cellStyle name="40% - Accent6 6 2 2 2 5 2" xfId="16981" xr:uid="{00000000-0005-0000-0000-0000964F0000}"/>
    <cellStyle name="40% - Accent6 6 2 2 2 5 2 2" xfId="30388" xr:uid="{00000000-0005-0000-0000-0000974F0000}"/>
    <cellStyle name="40% - Accent6 6 2 2 2 5 3" xfId="24061" xr:uid="{00000000-0005-0000-0000-0000984F0000}"/>
    <cellStyle name="40% - Accent6 6 2 2 2 6" xfId="9551" xr:uid="{00000000-0005-0000-0000-0000994F0000}"/>
    <cellStyle name="40% - Accent6 6 2 2 2 6 2" xfId="24026" xr:uid="{00000000-0005-0000-0000-00009A4F0000}"/>
    <cellStyle name="40% - Accent6 6 2 2 2 7" xfId="24063" xr:uid="{00000000-0005-0000-0000-00009B4F0000}"/>
    <cellStyle name="40% - Accent6 6 2 2 3" xfId="5129" xr:uid="{00000000-0005-0000-0000-00009C4F0000}"/>
    <cellStyle name="40% - Accent6 6 2 2 3 2" xfId="5130" xr:uid="{00000000-0005-0000-0000-00009D4F0000}"/>
    <cellStyle name="40% - Accent6 6 2 2 3 2 2" xfId="15551" xr:uid="{00000000-0005-0000-0000-00009E4F0000}"/>
    <cellStyle name="40% - Accent6 6 2 2 3 2 2 2" xfId="29100" xr:uid="{00000000-0005-0000-0000-00009F4F0000}"/>
    <cellStyle name="40% - Accent6 6 2 2 3 2 3" xfId="24060" xr:uid="{00000000-0005-0000-0000-0000A04F0000}"/>
    <cellStyle name="40% - Accent6 6 2 2 3 3" xfId="11277" xr:uid="{00000000-0005-0000-0000-0000A14F0000}"/>
    <cellStyle name="40% - Accent6 6 2 2 3 3 2" xfId="25219" xr:uid="{00000000-0005-0000-0000-0000A24F0000}"/>
    <cellStyle name="40% - Accent6 6 2 2 3 4" xfId="22580" xr:uid="{00000000-0005-0000-0000-0000A34F0000}"/>
    <cellStyle name="40% - Accent6 6 2 2 4" xfId="5131" xr:uid="{00000000-0005-0000-0000-0000A44F0000}"/>
    <cellStyle name="40% - Accent6 6 2 2 4 2" xfId="12369" xr:uid="{00000000-0005-0000-0000-0000A54F0000}"/>
    <cellStyle name="40% - Accent6 6 2 2 4 2 2" xfId="26081" xr:uid="{00000000-0005-0000-0000-0000A64F0000}"/>
    <cellStyle name="40% - Accent6 6 2 2 4 3" xfId="22579" xr:uid="{00000000-0005-0000-0000-0000A74F0000}"/>
    <cellStyle name="40% - Accent6 6 2 2 5" xfId="5132" xr:uid="{00000000-0005-0000-0000-0000A84F0000}"/>
    <cellStyle name="40% - Accent6 6 2 2 5 2" xfId="13068" xr:uid="{00000000-0005-0000-0000-0000A94F0000}"/>
    <cellStyle name="40% - Accent6 6 2 2 5 2 2" xfId="26780" xr:uid="{00000000-0005-0000-0000-0000AA4F0000}"/>
    <cellStyle name="40% - Accent6 6 2 2 5 3" xfId="24058" xr:uid="{00000000-0005-0000-0000-0000AB4F0000}"/>
    <cellStyle name="40% - Accent6 6 2 2 6" xfId="5133" xr:uid="{00000000-0005-0000-0000-0000AC4F0000}"/>
    <cellStyle name="40% - Accent6 6 2 2 6 2" xfId="13933" xr:uid="{00000000-0005-0000-0000-0000AD4F0000}"/>
    <cellStyle name="40% - Accent6 6 2 2 6 2 2" xfId="27482" xr:uid="{00000000-0005-0000-0000-0000AE4F0000}"/>
    <cellStyle name="40% - Accent6 6 2 2 6 3" xfId="24059" xr:uid="{00000000-0005-0000-0000-0000AF4F0000}"/>
    <cellStyle name="40% - Accent6 6 2 2 7" xfId="5134" xr:uid="{00000000-0005-0000-0000-0000B04F0000}"/>
    <cellStyle name="40% - Accent6 6 2 2 7 2" xfId="14514" xr:uid="{00000000-0005-0000-0000-0000B14F0000}"/>
    <cellStyle name="40% - Accent6 6 2 2 7 2 2" xfId="28063" xr:uid="{00000000-0005-0000-0000-0000B24F0000}"/>
    <cellStyle name="40% - Accent6 6 2 2 7 3" xfId="22578" xr:uid="{00000000-0005-0000-0000-0000B34F0000}"/>
    <cellStyle name="40% - Accent6 6 2 2 8" xfId="5135" xr:uid="{00000000-0005-0000-0000-0000B44F0000}"/>
    <cellStyle name="40% - Accent6 6 2 2 8 2" xfId="15549" xr:uid="{00000000-0005-0000-0000-0000B54F0000}"/>
    <cellStyle name="40% - Accent6 6 2 2 8 2 2" xfId="29098" xr:uid="{00000000-0005-0000-0000-0000B64F0000}"/>
    <cellStyle name="40% - Accent6 6 2 2 8 3" xfId="22577" xr:uid="{00000000-0005-0000-0000-0000B74F0000}"/>
    <cellStyle name="40% - Accent6 6 2 2 9" xfId="5136" xr:uid="{00000000-0005-0000-0000-0000B84F0000}"/>
    <cellStyle name="40% - Accent6 6 2 2 9 2" xfId="16400" xr:uid="{00000000-0005-0000-0000-0000B94F0000}"/>
    <cellStyle name="40% - Accent6 6 2 2 9 2 2" xfId="29807" xr:uid="{00000000-0005-0000-0000-0000BA4F0000}"/>
    <cellStyle name="40% - Accent6 6 2 2 9 3" xfId="24057" xr:uid="{00000000-0005-0000-0000-0000BB4F0000}"/>
    <cellStyle name="40% - Accent6 6 2 3" xfId="5137" xr:uid="{00000000-0005-0000-0000-0000BC4F0000}"/>
    <cellStyle name="40% - Accent6 6 2 3 2" xfId="5138" xr:uid="{00000000-0005-0000-0000-0000BD4F0000}"/>
    <cellStyle name="40% - Accent6 6 2 3 2 2" xfId="11279" xr:uid="{00000000-0005-0000-0000-0000BE4F0000}"/>
    <cellStyle name="40% - Accent6 6 2 3 2 2 2" xfId="25221" xr:uid="{00000000-0005-0000-0000-0000BF4F0000}"/>
    <cellStyle name="40% - Accent6 6 2 3 2 3" xfId="22576" xr:uid="{00000000-0005-0000-0000-0000C04F0000}"/>
    <cellStyle name="40% - Accent6 6 2 3 3" xfId="5139" xr:uid="{00000000-0005-0000-0000-0000C14F0000}"/>
    <cellStyle name="40% - Accent6 6 2 3 3 2" xfId="13070" xr:uid="{00000000-0005-0000-0000-0000C24F0000}"/>
    <cellStyle name="40% - Accent6 6 2 3 3 2 2" xfId="26782" xr:uid="{00000000-0005-0000-0000-0000C34F0000}"/>
    <cellStyle name="40% - Accent6 6 2 3 3 3" xfId="26796" xr:uid="{00000000-0005-0000-0000-0000C44F0000}"/>
    <cellStyle name="40% - Accent6 6 2 3 4" xfId="5140" xr:uid="{00000000-0005-0000-0000-0000C54F0000}"/>
    <cellStyle name="40% - Accent6 6 2 3 4 2" xfId="15552" xr:uid="{00000000-0005-0000-0000-0000C64F0000}"/>
    <cellStyle name="40% - Accent6 6 2 3 4 2 2" xfId="29101" xr:uid="{00000000-0005-0000-0000-0000C74F0000}"/>
    <cellStyle name="40% - Accent6 6 2 3 4 3" xfId="22575" xr:uid="{00000000-0005-0000-0000-0000C84F0000}"/>
    <cellStyle name="40% - Accent6 6 2 3 5" xfId="5141" xr:uid="{00000000-0005-0000-0000-0000C94F0000}"/>
    <cellStyle name="40% - Accent6 6 2 3 5 2" xfId="16692" xr:uid="{00000000-0005-0000-0000-0000CA4F0000}"/>
    <cellStyle name="40% - Accent6 6 2 3 5 2 2" xfId="30099" xr:uid="{00000000-0005-0000-0000-0000CB4F0000}"/>
    <cellStyle name="40% - Accent6 6 2 3 5 3" xfId="22574" xr:uid="{00000000-0005-0000-0000-0000CC4F0000}"/>
    <cellStyle name="40% - Accent6 6 2 3 6" xfId="9552" xr:uid="{00000000-0005-0000-0000-0000CD4F0000}"/>
    <cellStyle name="40% - Accent6 6 2 3 6 2" xfId="24027" xr:uid="{00000000-0005-0000-0000-0000CE4F0000}"/>
    <cellStyle name="40% - Accent6 6 2 3 7" xfId="26795" xr:uid="{00000000-0005-0000-0000-0000CF4F0000}"/>
    <cellStyle name="40% - Accent6 6 2 4" xfId="5142" xr:uid="{00000000-0005-0000-0000-0000D04F0000}"/>
    <cellStyle name="40% - Accent6 6 2 4 2" xfId="5143" xr:uid="{00000000-0005-0000-0000-0000D14F0000}"/>
    <cellStyle name="40% - Accent6 6 2 4 2 2" xfId="15553" xr:uid="{00000000-0005-0000-0000-0000D24F0000}"/>
    <cellStyle name="40% - Accent6 6 2 4 2 2 2" xfId="29102" xr:uid="{00000000-0005-0000-0000-0000D34F0000}"/>
    <cellStyle name="40% - Accent6 6 2 4 2 3" xfId="24056" xr:uid="{00000000-0005-0000-0000-0000D44F0000}"/>
    <cellStyle name="40% - Accent6 6 2 4 3" xfId="11276" xr:uid="{00000000-0005-0000-0000-0000D54F0000}"/>
    <cellStyle name="40% - Accent6 6 2 4 3 2" xfId="25218" xr:uid="{00000000-0005-0000-0000-0000D64F0000}"/>
    <cellStyle name="40% - Accent6 6 2 4 4" xfId="24055" xr:uid="{00000000-0005-0000-0000-0000D74F0000}"/>
    <cellStyle name="40% - Accent6 6 2 5" xfId="5144" xr:uid="{00000000-0005-0000-0000-0000D84F0000}"/>
    <cellStyle name="40% - Accent6 6 2 5 2" xfId="12069" xr:uid="{00000000-0005-0000-0000-0000D94F0000}"/>
    <cellStyle name="40% - Accent6 6 2 5 2 2" xfId="25784" xr:uid="{00000000-0005-0000-0000-0000DA4F0000}"/>
    <cellStyle name="40% - Accent6 6 2 5 3" xfId="22573" xr:uid="{00000000-0005-0000-0000-0000DB4F0000}"/>
    <cellStyle name="40% - Accent6 6 2 6" xfId="5145" xr:uid="{00000000-0005-0000-0000-0000DC4F0000}"/>
    <cellStyle name="40% - Accent6 6 2 6 2" xfId="13067" xr:uid="{00000000-0005-0000-0000-0000DD4F0000}"/>
    <cellStyle name="40% - Accent6 6 2 6 2 2" xfId="26779" xr:uid="{00000000-0005-0000-0000-0000DE4F0000}"/>
    <cellStyle name="40% - Accent6 6 2 6 3" xfId="22572" xr:uid="{00000000-0005-0000-0000-0000DF4F0000}"/>
    <cellStyle name="40% - Accent6 6 2 7" xfId="5146" xr:uid="{00000000-0005-0000-0000-0000E04F0000}"/>
    <cellStyle name="40% - Accent6 6 2 7 2" xfId="13644" xr:uid="{00000000-0005-0000-0000-0000E14F0000}"/>
    <cellStyle name="40% - Accent6 6 2 7 2 2" xfId="27193" xr:uid="{00000000-0005-0000-0000-0000E24F0000}"/>
    <cellStyle name="40% - Accent6 6 2 7 3" xfId="24054" xr:uid="{00000000-0005-0000-0000-0000E34F0000}"/>
    <cellStyle name="40% - Accent6 6 2 8" xfId="5147" xr:uid="{00000000-0005-0000-0000-0000E44F0000}"/>
    <cellStyle name="40% - Accent6 6 2 8 2" xfId="14225" xr:uid="{00000000-0005-0000-0000-0000E54F0000}"/>
    <cellStyle name="40% - Accent6 6 2 8 2 2" xfId="27774" xr:uid="{00000000-0005-0000-0000-0000E64F0000}"/>
    <cellStyle name="40% - Accent6 6 2 8 3" xfId="22571" xr:uid="{00000000-0005-0000-0000-0000E74F0000}"/>
    <cellStyle name="40% - Accent6 6 2 9" xfId="5148" xr:uid="{00000000-0005-0000-0000-0000E84F0000}"/>
    <cellStyle name="40% - Accent6 6 2 9 2" xfId="15548" xr:uid="{00000000-0005-0000-0000-0000E94F0000}"/>
    <cellStyle name="40% - Accent6 6 2 9 2 2" xfId="29097" xr:uid="{00000000-0005-0000-0000-0000EA4F0000}"/>
    <cellStyle name="40% - Accent6 6 2 9 3" xfId="24051" xr:uid="{00000000-0005-0000-0000-0000EB4F0000}"/>
    <cellStyle name="40% - Accent6 6 3" xfId="5149" xr:uid="{00000000-0005-0000-0000-0000EC4F0000}"/>
    <cellStyle name="40% - Accent6 6 3 10" xfId="9553" xr:uid="{00000000-0005-0000-0000-0000ED4F0000}"/>
    <cellStyle name="40% - Accent6 6 3 10 2" xfId="24028" xr:uid="{00000000-0005-0000-0000-0000EE4F0000}"/>
    <cellStyle name="40% - Accent6 6 3 11" xfId="22570" xr:uid="{00000000-0005-0000-0000-0000EF4F0000}"/>
    <cellStyle name="40% - Accent6 6 3 2" xfId="5150" xr:uid="{00000000-0005-0000-0000-0000F04F0000}"/>
    <cellStyle name="40% - Accent6 6 3 2 2" xfId="5151" xr:uid="{00000000-0005-0000-0000-0000F14F0000}"/>
    <cellStyle name="40% - Accent6 6 3 2 2 2" xfId="11281" xr:uid="{00000000-0005-0000-0000-0000F24F0000}"/>
    <cellStyle name="40% - Accent6 6 3 2 2 2 2" xfId="25223" xr:uid="{00000000-0005-0000-0000-0000F34F0000}"/>
    <cellStyle name="40% - Accent6 6 3 2 2 3" xfId="22569" xr:uid="{00000000-0005-0000-0000-0000F44F0000}"/>
    <cellStyle name="40% - Accent6 6 3 2 3" xfId="5152" xr:uid="{00000000-0005-0000-0000-0000F54F0000}"/>
    <cellStyle name="40% - Accent6 6 3 2 3 2" xfId="13072" xr:uid="{00000000-0005-0000-0000-0000F64F0000}"/>
    <cellStyle name="40% - Accent6 6 3 2 3 2 2" xfId="26784" xr:uid="{00000000-0005-0000-0000-0000F74F0000}"/>
    <cellStyle name="40% - Accent6 6 3 2 3 3" xfId="24423" xr:uid="{00000000-0005-0000-0000-0000F84F0000}"/>
    <cellStyle name="40% - Accent6 6 3 2 4" xfId="5153" xr:uid="{00000000-0005-0000-0000-0000F94F0000}"/>
    <cellStyle name="40% - Accent6 6 3 2 4 2" xfId="15555" xr:uid="{00000000-0005-0000-0000-0000FA4F0000}"/>
    <cellStyle name="40% - Accent6 6 3 2 4 2 2" xfId="29104" xr:uid="{00000000-0005-0000-0000-0000FB4F0000}"/>
    <cellStyle name="40% - Accent6 6 3 2 4 3" xfId="29119" xr:uid="{00000000-0005-0000-0000-0000FC4F0000}"/>
    <cellStyle name="40% - Accent6 6 3 2 5" xfId="5154" xr:uid="{00000000-0005-0000-0000-0000FD4F0000}"/>
    <cellStyle name="40% - Accent6 6 3 2 5 2" xfId="16838" xr:uid="{00000000-0005-0000-0000-0000FE4F0000}"/>
    <cellStyle name="40% - Accent6 6 3 2 5 2 2" xfId="30245" xr:uid="{00000000-0005-0000-0000-0000FF4F0000}"/>
    <cellStyle name="40% - Accent6 6 3 2 5 3" xfId="22568" xr:uid="{00000000-0005-0000-0000-000000500000}"/>
    <cellStyle name="40% - Accent6 6 3 2 6" xfId="9554" xr:uid="{00000000-0005-0000-0000-000001500000}"/>
    <cellStyle name="40% - Accent6 6 3 2 6 2" xfId="24029" xr:uid="{00000000-0005-0000-0000-000002500000}"/>
    <cellStyle name="40% - Accent6 6 3 2 7" xfId="25233" xr:uid="{00000000-0005-0000-0000-000003500000}"/>
    <cellStyle name="40% - Accent6 6 3 3" xfId="5155" xr:uid="{00000000-0005-0000-0000-000004500000}"/>
    <cellStyle name="40% - Accent6 6 3 3 2" xfId="5156" xr:uid="{00000000-0005-0000-0000-000005500000}"/>
    <cellStyle name="40% - Accent6 6 3 3 2 2" xfId="15556" xr:uid="{00000000-0005-0000-0000-000006500000}"/>
    <cellStyle name="40% - Accent6 6 3 3 2 2 2" xfId="29105" xr:uid="{00000000-0005-0000-0000-000007500000}"/>
    <cellStyle name="40% - Accent6 6 3 3 2 3" xfId="24053" xr:uid="{00000000-0005-0000-0000-000008500000}"/>
    <cellStyle name="40% - Accent6 6 3 3 3" xfId="11280" xr:uid="{00000000-0005-0000-0000-000009500000}"/>
    <cellStyle name="40% - Accent6 6 3 3 3 2" xfId="25222" xr:uid="{00000000-0005-0000-0000-00000A500000}"/>
    <cellStyle name="40% - Accent6 6 3 3 4" xfId="22567" xr:uid="{00000000-0005-0000-0000-00000B500000}"/>
    <cellStyle name="40% - Accent6 6 3 4" xfId="5157" xr:uid="{00000000-0005-0000-0000-00000C500000}"/>
    <cellStyle name="40% - Accent6 6 3 4 2" xfId="12226" xr:uid="{00000000-0005-0000-0000-00000D500000}"/>
    <cellStyle name="40% - Accent6 6 3 4 2 2" xfId="25938" xr:uid="{00000000-0005-0000-0000-00000E500000}"/>
    <cellStyle name="40% - Accent6 6 3 4 3" xfId="22566" xr:uid="{00000000-0005-0000-0000-00000F500000}"/>
    <cellStyle name="40% - Accent6 6 3 5" xfId="5158" xr:uid="{00000000-0005-0000-0000-000010500000}"/>
    <cellStyle name="40% - Accent6 6 3 5 2" xfId="13071" xr:uid="{00000000-0005-0000-0000-000011500000}"/>
    <cellStyle name="40% - Accent6 6 3 5 2 2" xfId="26783" xr:uid="{00000000-0005-0000-0000-000012500000}"/>
    <cellStyle name="40% - Accent6 6 3 5 3" xfId="24052" xr:uid="{00000000-0005-0000-0000-000013500000}"/>
    <cellStyle name="40% - Accent6 6 3 6" xfId="5159" xr:uid="{00000000-0005-0000-0000-000014500000}"/>
    <cellStyle name="40% - Accent6 6 3 6 2" xfId="13790" xr:uid="{00000000-0005-0000-0000-000015500000}"/>
    <cellStyle name="40% - Accent6 6 3 6 2 2" xfId="27339" xr:uid="{00000000-0005-0000-0000-000016500000}"/>
    <cellStyle name="40% - Accent6 6 3 6 3" xfId="22565" xr:uid="{00000000-0005-0000-0000-000017500000}"/>
    <cellStyle name="40% - Accent6 6 3 7" xfId="5160" xr:uid="{00000000-0005-0000-0000-000018500000}"/>
    <cellStyle name="40% - Accent6 6 3 7 2" xfId="14371" xr:uid="{00000000-0005-0000-0000-000019500000}"/>
    <cellStyle name="40% - Accent6 6 3 7 2 2" xfId="27920" xr:uid="{00000000-0005-0000-0000-00001A500000}"/>
    <cellStyle name="40% - Accent6 6 3 7 3" xfId="23240" xr:uid="{00000000-0005-0000-0000-00001B500000}"/>
    <cellStyle name="40% - Accent6 6 3 8" xfId="5161" xr:uid="{00000000-0005-0000-0000-00001C500000}"/>
    <cellStyle name="40% - Accent6 6 3 8 2" xfId="15554" xr:uid="{00000000-0005-0000-0000-00001D500000}"/>
    <cellStyle name="40% - Accent6 6 3 8 2 2" xfId="29103" xr:uid="{00000000-0005-0000-0000-00001E500000}"/>
    <cellStyle name="40% - Accent6 6 3 8 3" xfId="24050" xr:uid="{00000000-0005-0000-0000-00001F500000}"/>
    <cellStyle name="40% - Accent6 6 3 9" xfId="5162" xr:uid="{00000000-0005-0000-0000-000020500000}"/>
    <cellStyle name="40% - Accent6 6 3 9 2" xfId="16257" xr:uid="{00000000-0005-0000-0000-000021500000}"/>
    <cellStyle name="40% - Accent6 6 3 9 2 2" xfId="29664" xr:uid="{00000000-0005-0000-0000-000022500000}"/>
    <cellStyle name="40% - Accent6 6 3 9 3" xfId="22564" xr:uid="{00000000-0005-0000-0000-000023500000}"/>
    <cellStyle name="40% - Accent6 6 4" xfId="5163" xr:uid="{00000000-0005-0000-0000-000024500000}"/>
    <cellStyle name="40% - Accent6 6 4 2" xfId="5164" xr:uid="{00000000-0005-0000-0000-000025500000}"/>
    <cellStyle name="40% - Accent6 6 4 2 2" xfId="11282" xr:uid="{00000000-0005-0000-0000-000026500000}"/>
    <cellStyle name="40% - Accent6 6 4 2 2 2" xfId="25224" xr:uid="{00000000-0005-0000-0000-000027500000}"/>
    <cellStyle name="40% - Accent6 6 4 2 3" xfId="22563" xr:uid="{00000000-0005-0000-0000-000028500000}"/>
    <cellStyle name="40% - Accent6 6 4 3" xfId="5165" xr:uid="{00000000-0005-0000-0000-000029500000}"/>
    <cellStyle name="40% - Accent6 6 4 3 2" xfId="13073" xr:uid="{00000000-0005-0000-0000-00002A500000}"/>
    <cellStyle name="40% - Accent6 6 4 3 2 2" xfId="26785" xr:uid="{00000000-0005-0000-0000-00002B500000}"/>
    <cellStyle name="40% - Accent6 6 4 3 3" xfId="24048" xr:uid="{00000000-0005-0000-0000-00002C500000}"/>
    <cellStyle name="40% - Accent6 6 4 4" xfId="5166" xr:uid="{00000000-0005-0000-0000-00002D500000}"/>
    <cellStyle name="40% - Accent6 6 4 4 2" xfId="15557" xr:uid="{00000000-0005-0000-0000-00002E500000}"/>
    <cellStyle name="40% - Accent6 6 4 4 2 2" xfId="29106" xr:uid="{00000000-0005-0000-0000-00002F500000}"/>
    <cellStyle name="40% - Accent6 6 4 4 3" xfId="22562" xr:uid="{00000000-0005-0000-0000-000030500000}"/>
    <cellStyle name="40% - Accent6 6 4 5" xfId="5167" xr:uid="{00000000-0005-0000-0000-000031500000}"/>
    <cellStyle name="40% - Accent6 6 4 5 2" xfId="16549" xr:uid="{00000000-0005-0000-0000-000032500000}"/>
    <cellStyle name="40% - Accent6 6 4 5 2 2" xfId="29956" xr:uid="{00000000-0005-0000-0000-000033500000}"/>
    <cellStyle name="40% - Accent6 6 4 5 3" xfId="24047" xr:uid="{00000000-0005-0000-0000-000034500000}"/>
    <cellStyle name="40% - Accent6 6 4 6" xfId="9555" xr:uid="{00000000-0005-0000-0000-000035500000}"/>
    <cellStyle name="40% - Accent6 6 4 6 2" xfId="24030" xr:uid="{00000000-0005-0000-0000-000036500000}"/>
    <cellStyle name="40% - Accent6 6 4 7" xfId="24049" xr:uid="{00000000-0005-0000-0000-000037500000}"/>
    <cellStyle name="40% - Accent6 6 5" xfId="5168" xr:uid="{00000000-0005-0000-0000-000038500000}"/>
    <cellStyle name="40% - Accent6 6 5 2" xfId="5169" xr:uid="{00000000-0005-0000-0000-000039500000}"/>
    <cellStyle name="40% - Accent6 6 5 2 2" xfId="15558" xr:uid="{00000000-0005-0000-0000-00003A500000}"/>
    <cellStyle name="40% - Accent6 6 5 2 2 2" xfId="29107" xr:uid="{00000000-0005-0000-0000-00003B500000}"/>
    <cellStyle name="40% - Accent6 6 5 2 3" xfId="24045" xr:uid="{00000000-0005-0000-0000-00003C500000}"/>
    <cellStyle name="40% - Accent6 6 5 3" xfId="11275" xr:uid="{00000000-0005-0000-0000-00003D500000}"/>
    <cellStyle name="40% - Accent6 6 5 3 2" xfId="25217" xr:uid="{00000000-0005-0000-0000-00003E500000}"/>
    <cellStyle name="40% - Accent6 6 5 4" xfId="22561" xr:uid="{00000000-0005-0000-0000-00003F500000}"/>
    <cellStyle name="40% - Accent6 6 6" xfId="5170" xr:uid="{00000000-0005-0000-0000-000040500000}"/>
    <cellStyle name="40% - Accent6 6 6 2" xfId="11924" xr:uid="{00000000-0005-0000-0000-000041500000}"/>
    <cellStyle name="40% - Accent6 6 6 2 2" xfId="25639" xr:uid="{00000000-0005-0000-0000-000042500000}"/>
    <cellStyle name="40% - Accent6 6 6 3" xfId="24046" xr:uid="{00000000-0005-0000-0000-000043500000}"/>
    <cellStyle name="40% - Accent6 6 7" xfId="5171" xr:uid="{00000000-0005-0000-0000-000044500000}"/>
    <cellStyle name="40% - Accent6 6 7 2" xfId="13066" xr:uid="{00000000-0005-0000-0000-000045500000}"/>
    <cellStyle name="40% - Accent6 6 7 2 2" xfId="26778" xr:uid="{00000000-0005-0000-0000-000046500000}"/>
    <cellStyle name="40% - Accent6 6 7 3" xfId="22560" xr:uid="{00000000-0005-0000-0000-000047500000}"/>
    <cellStyle name="40% - Accent6 6 8" xfId="5172" xr:uid="{00000000-0005-0000-0000-000048500000}"/>
    <cellStyle name="40% - Accent6 6 8 2" xfId="13501" xr:uid="{00000000-0005-0000-0000-000049500000}"/>
    <cellStyle name="40% - Accent6 6 8 2 2" xfId="27050" xr:uid="{00000000-0005-0000-0000-00004A500000}"/>
    <cellStyle name="40% - Accent6 6 8 3" xfId="22559" xr:uid="{00000000-0005-0000-0000-00004B500000}"/>
    <cellStyle name="40% - Accent6 6 9" xfId="5173" xr:uid="{00000000-0005-0000-0000-00004C500000}"/>
    <cellStyle name="40% - Accent6 6 9 2" xfId="14082" xr:uid="{00000000-0005-0000-0000-00004D500000}"/>
    <cellStyle name="40% - Accent6 6 9 2 2" xfId="27631" xr:uid="{00000000-0005-0000-0000-00004E500000}"/>
    <cellStyle name="40% - Accent6 6 9 3" xfId="24044" xr:uid="{00000000-0005-0000-0000-00004F500000}"/>
    <cellStyle name="40% - Accent6 7" xfId="5174" xr:uid="{00000000-0005-0000-0000-000050500000}"/>
    <cellStyle name="40% - Accent6 7 10" xfId="5175" xr:uid="{00000000-0005-0000-0000-000051500000}"/>
    <cellStyle name="40% - Accent6 7 10 2" xfId="15988" xr:uid="{00000000-0005-0000-0000-000052500000}"/>
    <cellStyle name="40% - Accent6 7 10 2 2" xfId="29395" xr:uid="{00000000-0005-0000-0000-000053500000}"/>
    <cellStyle name="40% - Accent6 7 10 3" xfId="22558" xr:uid="{00000000-0005-0000-0000-000054500000}"/>
    <cellStyle name="40% - Accent6 7 11" xfId="9556" xr:uid="{00000000-0005-0000-0000-000055500000}"/>
    <cellStyle name="40% - Accent6 7 11 2" xfId="24031" xr:uid="{00000000-0005-0000-0000-000056500000}"/>
    <cellStyle name="40% - Accent6 7 12" xfId="26793" xr:uid="{00000000-0005-0000-0000-000057500000}"/>
    <cellStyle name="40% - Accent6 7 2" xfId="5176" xr:uid="{00000000-0005-0000-0000-000058500000}"/>
    <cellStyle name="40% - Accent6 7 2 10" xfId="9557" xr:uid="{00000000-0005-0000-0000-000059500000}"/>
    <cellStyle name="40% - Accent6 7 2 10 2" xfId="24032" xr:uid="{00000000-0005-0000-0000-00005A500000}"/>
    <cellStyle name="40% - Accent6 7 2 11" xfId="26794" xr:uid="{00000000-0005-0000-0000-00005B500000}"/>
    <cellStyle name="40% - Accent6 7 2 2" xfId="5177" xr:uid="{00000000-0005-0000-0000-00005C500000}"/>
    <cellStyle name="40% - Accent6 7 2 2 2" xfId="5178" xr:uid="{00000000-0005-0000-0000-00005D500000}"/>
    <cellStyle name="40% - Accent6 7 2 2 2 2" xfId="11285" xr:uid="{00000000-0005-0000-0000-00005E500000}"/>
    <cellStyle name="40% - Accent6 7 2 2 2 2 2" xfId="25227" xr:uid="{00000000-0005-0000-0000-00005F500000}"/>
    <cellStyle name="40% - Accent6 7 2 2 2 3" xfId="22556" xr:uid="{00000000-0005-0000-0000-000060500000}"/>
    <cellStyle name="40% - Accent6 7 2 2 3" xfId="5179" xr:uid="{00000000-0005-0000-0000-000061500000}"/>
    <cellStyle name="40% - Accent6 7 2 2 3 2" xfId="13076" xr:uid="{00000000-0005-0000-0000-000062500000}"/>
    <cellStyle name="40% - Accent6 7 2 2 3 2 2" xfId="26788" xr:uid="{00000000-0005-0000-0000-000063500000}"/>
    <cellStyle name="40% - Accent6 7 2 2 3 3" xfId="24042" xr:uid="{00000000-0005-0000-0000-000064500000}"/>
    <cellStyle name="40% - Accent6 7 2 2 4" xfId="5180" xr:uid="{00000000-0005-0000-0000-000065500000}"/>
    <cellStyle name="40% - Accent6 7 2 2 4 2" xfId="15561" xr:uid="{00000000-0005-0000-0000-000066500000}"/>
    <cellStyle name="40% - Accent6 7 2 2 4 2 2" xfId="29110" xr:uid="{00000000-0005-0000-0000-000067500000}"/>
    <cellStyle name="40% - Accent6 7 2 2 4 3" xfId="24043" xr:uid="{00000000-0005-0000-0000-000068500000}"/>
    <cellStyle name="40% - Accent6 7 2 2 5" xfId="5181" xr:uid="{00000000-0005-0000-0000-000069500000}"/>
    <cellStyle name="40% - Accent6 7 2 2 5 2" xfId="16858" xr:uid="{00000000-0005-0000-0000-00006A500000}"/>
    <cellStyle name="40% - Accent6 7 2 2 5 2 2" xfId="30265" xr:uid="{00000000-0005-0000-0000-00006B500000}"/>
    <cellStyle name="40% - Accent6 7 2 2 5 3" xfId="22555" xr:uid="{00000000-0005-0000-0000-00006C500000}"/>
    <cellStyle name="40% - Accent6 7 2 2 6" xfId="9558" xr:uid="{00000000-0005-0000-0000-00006D500000}"/>
    <cellStyle name="40% - Accent6 7 2 2 6 2" xfId="24033" xr:uid="{00000000-0005-0000-0000-00006E500000}"/>
    <cellStyle name="40% - Accent6 7 2 2 7" xfId="22557" xr:uid="{00000000-0005-0000-0000-00006F500000}"/>
    <cellStyle name="40% - Accent6 7 2 3" xfId="5182" xr:uid="{00000000-0005-0000-0000-000070500000}"/>
    <cellStyle name="40% - Accent6 7 2 3 2" xfId="5183" xr:uid="{00000000-0005-0000-0000-000071500000}"/>
    <cellStyle name="40% - Accent6 7 2 3 2 2" xfId="15562" xr:uid="{00000000-0005-0000-0000-000072500000}"/>
    <cellStyle name="40% - Accent6 7 2 3 2 2 2" xfId="29111" xr:uid="{00000000-0005-0000-0000-000073500000}"/>
    <cellStyle name="40% - Accent6 7 2 3 2 3" xfId="24041" xr:uid="{00000000-0005-0000-0000-000074500000}"/>
    <cellStyle name="40% - Accent6 7 2 3 3" xfId="11284" xr:uid="{00000000-0005-0000-0000-000075500000}"/>
    <cellStyle name="40% - Accent6 7 2 3 3 2" xfId="25226" xr:uid="{00000000-0005-0000-0000-000076500000}"/>
    <cellStyle name="40% - Accent6 7 2 3 4" xfId="22554" xr:uid="{00000000-0005-0000-0000-000077500000}"/>
    <cellStyle name="40% - Accent6 7 2 4" xfId="5184" xr:uid="{00000000-0005-0000-0000-000078500000}"/>
    <cellStyle name="40% - Accent6 7 2 4 2" xfId="12246" xr:uid="{00000000-0005-0000-0000-000079500000}"/>
    <cellStyle name="40% - Accent6 7 2 4 2 2" xfId="25958" xr:uid="{00000000-0005-0000-0000-00007A500000}"/>
    <cellStyle name="40% - Accent6 7 2 4 3" xfId="22553" xr:uid="{00000000-0005-0000-0000-00007B500000}"/>
    <cellStyle name="40% - Accent6 7 2 5" xfId="5185" xr:uid="{00000000-0005-0000-0000-00007C500000}"/>
    <cellStyle name="40% - Accent6 7 2 5 2" xfId="13075" xr:uid="{00000000-0005-0000-0000-00007D500000}"/>
    <cellStyle name="40% - Accent6 7 2 5 2 2" xfId="26787" xr:uid="{00000000-0005-0000-0000-00007E500000}"/>
    <cellStyle name="40% - Accent6 7 2 5 3" xfId="24038" xr:uid="{00000000-0005-0000-0000-00007F500000}"/>
    <cellStyle name="40% - Accent6 7 2 6" xfId="5186" xr:uid="{00000000-0005-0000-0000-000080500000}"/>
    <cellStyle name="40% - Accent6 7 2 6 2" xfId="13810" xr:uid="{00000000-0005-0000-0000-000081500000}"/>
    <cellStyle name="40% - Accent6 7 2 6 2 2" xfId="27359" xr:uid="{00000000-0005-0000-0000-000082500000}"/>
    <cellStyle name="40% - Accent6 7 2 6 3" xfId="22552" xr:uid="{00000000-0005-0000-0000-000083500000}"/>
    <cellStyle name="40% - Accent6 7 2 7" xfId="5187" xr:uid="{00000000-0005-0000-0000-000084500000}"/>
    <cellStyle name="40% - Accent6 7 2 7 2" xfId="14391" xr:uid="{00000000-0005-0000-0000-000085500000}"/>
    <cellStyle name="40% - Accent6 7 2 7 2 2" xfId="27940" xr:uid="{00000000-0005-0000-0000-000086500000}"/>
    <cellStyle name="40% - Accent6 7 2 7 3" xfId="25232" xr:uid="{00000000-0005-0000-0000-000087500000}"/>
    <cellStyle name="40% - Accent6 7 2 8" xfId="5188" xr:uid="{00000000-0005-0000-0000-000088500000}"/>
    <cellStyle name="40% - Accent6 7 2 8 2" xfId="15560" xr:uid="{00000000-0005-0000-0000-000089500000}"/>
    <cellStyle name="40% - Accent6 7 2 8 2 2" xfId="29109" xr:uid="{00000000-0005-0000-0000-00008A500000}"/>
    <cellStyle name="40% - Accent6 7 2 8 3" xfId="22551" xr:uid="{00000000-0005-0000-0000-00008B500000}"/>
    <cellStyle name="40% - Accent6 7 2 9" xfId="5189" xr:uid="{00000000-0005-0000-0000-00008C500000}"/>
    <cellStyle name="40% - Accent6 7 2 9 2" xfId="16277" xr:uid="{00000000-0005-0000-0000-00008D500000}"/>
    <cellStyle name="40% - Accent6 7 2 9 2 2" xfId="29684" xr:uid="{00000000-0005-0000-0000-00008E500000}"/>
    <cellStyle name="40% - Accent6 7 2 9 3" xfId="24422" xr:uid="{00000000-0005-0000-0000-00008F500000}"/>
    <cellStyle name="40% - Accent6 7 3" xfId="5190" xr:uid="{00000000-0005-0000-0000-000090500000}"/>
    <cellStyle name="40% - Accent6 7 3 2" xfId="5191" xr:uid="{00000000-0005-0000-0000-000091500000}"/>
    <cellStyle name="40% - Accent6 7 3 2 2" xfId="11286" xr:uid="{00000000-0005-0000-0000-000092500000}"/>
    <cellStyle name="40% - Accent6 7 3 2 2 2" xfId="25228" xr:uid="{00000000-0005-0000-0000-000093500000}"/>
    <cellStyle name="40% - Accent6 7 3 2 3" xfId="22550" xr:uid="{00000000-0005-0000-0000-000094500000}"/>
    <cellStyle name="40% - Accent6 7 3 3" xfId="5192" xr:uid="{00000000-0005-0000-0000-000095500000}"/>
    <cellStyle name="40% - Accent6 7 3 3 2" xfId="13077" xr:uid="{00000000-0005-0000-0000-000096500000}"/>
    <cellStyle name="40% - Accent6 7 3 3 2 2" xfId="26789" xr:uid="{00000000-0005-0000-0000-000097500000}"/>
    <cellStyle name="40% - Accent6 7 3 3 3" xfId="22549" xr:uid="{00000000-0005-0000-0000-000098500000}"/>
    <cellStyle name="40% - Accent6 7 3 4" xfId="5193" xr:uid="{00000000-0005-0000-0000-000099500000}"/>
    <cellStyle name="40% - Accent6 7 3 4 2" xfId="15563" xr:uid="{00000000-0005-0000-0000-00009A500000}"/>
    <cellStyle name="40% - Accent6 7 3 4 2 2" xfId="29112" xr:uid="{00000000-0005-0000-0000-00009B500000}"/>
    <cellStyle name="40% - Accent6 7 3 4 3" xfId="24040" xr:uid="{00000000-0005-0000-0000-00009C500000}"/>
    <cellStyle name="40% - Accent6 7 3 5" xfId="5194" xr:uid="{00000000-0005-0000-0000-00009D500000}"/>
    <cellStyle name="40% - Accent6 7 3 5 2" xfId="16569" xr:uid="{00000000-0005-0000-0000-00009E500000}"/>
    <cellStyle name="40% - Accent6 7 3 5 2 2" xfId="29976" xr:uid="{00000000-0005-0000-0000-00009F500000}"/>
    <cellStyle name="40% - Accent6 7 3 5 3" xfId="22548" xr:uid="{00000000-0005-0000-0000-0000A0500000}"/>
    <cellStyle name="40% - Accent6 7 3 6" xfId="9559" xr:uid="{00000000-0005-0000-0000-0000A1500000}"/>
    <cellStyle name="40% - Accent6 7 3 6 2" xfId="24034" xr:uid="{00000000-0005-0000-0000-0000A2500000}"/>
    <cellStyle name="40% - Accent6 7 3 7" xfId="29118" xr:uid="{00000000-0005-0000-0000-0000A3500000}"/>
    <cellStyle name="40% - Accent6 7 4" xfId="5195" xr:uid="{00000000-0005-0000-0000-0000A4500000}"/>
    <cellStyle name="40% - Accent6 7 4 2" xfId="5196" xr:uid="{00000000-0005-0000-0000-0000A5500000}"/>
    <cellStyle name="40% - Accent6 7 4 2 2" xfId="15564" xr:uid="{00000000-0005-0000-0000-0000A6500000}"/>
    <cellStyle name="40% - Accent6 7 4 2 2 2" xfId="29113" xr:uid="{00000000-0005-0000-0000-0000A7500000}"/>
    <cellStyle name="40% - Accent6 7 4 2 3" xfId="22547" xr:uid="{00000000-0005-0000-0000-0000A8500000}"/>
    <cellStyle name="40% - Accent6 7 4 3" xfId="11283" xr:uid="{00000000-0005-0000-0000-0000A9500000}"/>
    <cellStyle name="40% - Accent6 7 4 3 2" xfId="25225" xr:uid="{00000000-0005-0000-0000-0000AA500000}"/>
    <cellStyle name="40% - Accent6 7 4 4" xfId="24039" xr:uid="{00000000-0005-0000-0000-0000AB500000}"/>
    <cellStyle name="40% - Accent6 7 5" xfId="5197" xr:uid="{00000000-0005-0000-0000-0000AC500000}"/>
    <cellStyle name="40% - Accent6 7 5 2" xfId="11944" xr:uid="{00000000-0005-0000-0000-0000AD500000}"/>
    <cellStyle name="40% - Accent6 7 5 2 2" xfId="25659" xr:uid="{00000000-0005-0000-0000-0000AE500000}"/>
    <cellStyle name="40% - Accent6 7 5 3" xfId="23237" xr:uid="{00000000-0005-0000-0000-0000AF500000}"/>
    <cellStyle name="40% - Accent6 7 6" xfId="5198" xr:uid="{00000000-0005-0000-0000-0000B0500000}"/>
    <cellStyle name="40% - Accent6 7 6 2" xfId="13074" xr:uid="{00000000-0005-0000-0000-0000B1500000}"/>
    <cellStyle name="40% - Accent6 7 6 2 2" xfId="26786" xr:uid="{00000000-0005-0000-0000-0000B2500000}"/>
    <cellStyle name="40% - Accent6 7 6 3" xfId="22546" xr:uid="{00000000-0005-0000-0000-0000B3500000}"/>
    <cellStyle name="40% - Accent6 7 7" xfId="5199" xr:uid="{00000000-0005-0000-0000-0000B4500000}"/>
    <cellStyle name="40% - Accent6 7 7 2" xfId="13521" xr:uid="{00000000-0005-0000-0000-0000B5500000}"/>
    <cellStyle name="40% - Accent6 7 7 2 2" xfId="27070" xr:uid="{00000000-0005-0000-0000-0000B6500000}"/>
    <cellStyle name="40% - Accent6 7 7 3" xfId="22545" xr:uid="{00000000-0005-0000-0000-0000B7500000}"/>
    <cellStyle name="40% - Accent6 7 8" xfId="5200" xr:uid="{00000000-0005-0000-0000-0000B8500000}"/>
    <cellStyle name="40% - Accent6 7 8 2" xfId="14102" xr:uid="{00000000-0005-0000-0000-0000B9500000}"/>
    <cellStyle name="40% - Accent6 7 8 2 2" xfId="27651" xr:uid="{00000000-0005-0000-0000-0000BA500000}"/>
    <cellStyle name="40% - Accent6 7 8 3" xfId="22544" xr:uid="{00000000-0005-0000-0000-0000BB500000}"/>
    <cellStyle name="40% - Accent6 7 9" xfId="5201" xr:uid="{00000000-0005-0000-0000-0000BC500000}"/>
    <cellStyle name="40% - Accent6 7 9 2" xfId="15559" xr:uid="{00000000-0005-0000-0000-0000BD500000}"/>
    <cellStyle name="40% - Accent6 7 9 2 2" xfId="29108" xr:uid="{00000000-0005-0000-0000-0000BE500000}"/>
    <cellStyle name="40% - Accent6 7 9 3" xfId="22543" xr:uid="{00000000-0005-0000-0000-0000BF500000}"/>
    <cellStyle name="40% - Accent6 8" xfId="5202" xr:uid="{00000000-0005-0000-0000-0000C0500000}"/>
    <cellStyle name="40% - Accent6 8 10" xfId="9560" xr:uid="{00000000-0005-0000-0000-0000C1500000}"/>
    <cellStyle name="40% - Accent6 8 10 2" xfId="24035" xr:uid="{00000000-0005-0000-0000-0000C2500000}"/>
    <cellStyle name="40% - Accent6 8 11" xfId="22542" xr:uid="{00000000-0005-0000-0000-0000C3500000}"/>
    <cellStyle name="40% - Accent6 8 2" xfId="5203" xr:uid="{00000000-0005-0000-0000-0000C4500000}"/>
    <cellStyle name="40% - Accent6 8 2 2" xfId="5204" xr:uid="{00000000-0005-0000-0000-0000C5500000}"/>
    <cellStyle name="40% - Accent6 8 2 2 2" xfId="11288" xr:uid="{00000000-0005-0000-0000-0000C6500000}"/>
    <cellStyle name="40% - Accent6 8 2 2 2 2" xfId="25230" xr:uid="{00000000-0005-0000-0000-0000C7500000}"/>
    <cellStyle name="40% - Accent6 8 2 2 3" xfId="22540" xr:uid="{00000000-0005-0000-0000-0000C8500000}"/>
    <cellStyle name="40% - Accent6 8 2 3" xfId="5205" xr:uid="{00000000-0005-0000-0000-0000C9500000}"/>
    <cellStyle name="40% - Accent6 8 2 3 2" xfId="13079" xr:uid="{00000000-0005-0000-0000-0000CA500000}"/>
    <cellStyle name="40% - Accent6 8 2 3 2 2" xfId="26791" xr:uid="{00000000-0005-0000-0000-0000CB500000}"/>
    <cellStyle name="40% - Accent6 8 2 3 3" xfId="22539" xr:uid="{00000000-0005-0000-0000-0000CC500000}"/>
    <cellStyle name="40% - Accent6 8 2 4" xfId="5206" xr:uid="{00000000-0005-0000-0000-0000CD500000}"/>
    <cellStyle name="40% - Accent6 8 2 4 2" xfId="15566" xr:uid="{00000000-0005-0000-0000-0000CE500000}"/>
    <cellStyle name="40% - Accent6 8 2 4 2 2" xfId="29115" xr:uid="{00000000-0005-0000-0000-0000CF500000}"/>
    <cellStyle name="40% - Accent6 8 2 4 3" xfId="22538" xr:uid="{00000000-0005-0000-0000-0000D0500000}"/>
    <cellStyle name="40% - Accent6 8 2 5" xfId="5207" xr:uid="{00000000-0005-0000-0000-0000D1500000}"/>
    <cellStyle name="40% - Accent6 8 2 5 2" xfId="16712" xr:uid="{00000000-0005-0000-0000-0000D2500000}"/>
    <cellStyle name="40% - Accent6 8 2 5 2 2" xfId="30119" xr:uid="{00000000-0005-0000-0000-0000D3500000}"/>
    <cellStyle name="40% - Accent6 8 2 5 3" xfId="22537" xr:uid="{00000000-0005-0000-0000-0000D4500000}"/>
    <cellStyle name="40% - Accent6 8 2 6" xfId="9561" xr:uid="{00000000-0005-0000-0000-0000D5500000}"/>
    <cellStyle name="40% - Accent6 8 2 6 2" xfId="24036" xr:uid="{00000000-0005-0000-0000-0000D6500000}"/>
    <cellStyle name="40% - Accent6 8 2 7" xfId="22541" xr:uid="{00000000-0005-0000-0000-0000D7500000}"/>
    <cellStyle name="40% - Accent6 8 3" xfId="5208" xr:uid="{00000000-0005-0000-0000-0000D8500000}"/>
    <cellStyle name="40% - Accent6 8 3 2" xfId="5209" xr:uid="{00000000-0005-0000-0000-0000D9500000}"/>
    <cellStyle name="40% - Accent6 8 3 2 2" xfId="15567" xr:uid="{00000000-0005-0000-0000-0000DA500000}"/>
    <cellStyle name="40% - Accent6 8 3 2 2 2" xfId="29116" xr:uid="{00000000-0005-0000-0000-0000DB500000}"/>
    <cellStyle name="40% - Accent6 8 3 2 3" xfId="22535" xr:uid="{00000000-0005-0000-0000-0000DC500000}"/>
    <cellStyle name="40% - Accent6 8 3 3" xfId="11287" xr:uid="{00000000-0005-0000-0000-0000DD500000}"/>
    <cellStyle name="40% - Accent6 8 3 3 2" xfId="25229" xr:uid="{00000000-0005-0000-0000-0000DE500000}"/>
    <cellStyle name="40% - Accent6 8 3 4" xfId="22536" xr:uid="{00000000-0005-0000-0000-0000DF500000}"/>
    <cellStyle name="40% - Accent6 8 4" xfId="5210" xr:uid="{00000000-0005-0000-0000-0000E0500000}"/>
    <cellStyle name="40% - Accent6 8 4 2" xfId="12090" xr:uid="{00000000-0005-0000-0000-0000E1500000}"/>
    <cellStyle name="40% - Accent6 8 4 2 2" xfId="25804" xr:uid="{00000000-0005-0000-0000-0000E2500000}"/>
    <cellStyle name="40% - Accent6 8 4 3" xfId="22534" xr:uid="{00000000-0005-0000-0000-0000E3500000}"/>
    <cellStyle name="40% - Accent6 8 5" xfId="5211" xr:uid="{00000000-0005-0000-0000-0000E4500000}"/>
    <cellStyle name="40% - Accent6 8 5 2" xfId="13078" xr:uid="{00000000-0005-0000-0000-0000E5500000}"/>
    <cellStyle name="40% - Accent6 8 5 2 2" xfId="26790" xr:uid="{00000000-0005-0000-0000-0000E6500000}"/>
    <cellStyle name="40% - Accent6 8 5 3" xfId="22533" xr:uid="{00000000-0005-0000-0000-0000E7500000}"/>
    <cellStyle name="40% - Accent6 8 6" xfId="5212" xr:uid="{00000000-0005-0000-0000-0000E8500000}"/>
    <cellStyle name="40% - Accent6 8 6 2" xfId="13664" xr:uid="{00000000-0005-0000-0000-0000E9500000}"/>
    <cellStyle name="40% - Accent6 8 6 2 2" xfId="27213" xr:uid="{00000000-0005-0000-0000-0000EA500000}"/>
    <cellStyle name="40% - Accent6 8 6 3" xfId="22532" xr:uid="{00000000-0005-0000-0000-0000EB500000}"/>
    <cellStyle name="40% - Accent6 8 7" xfId="5213" xr:uid="{00000000-0005-0000-0000-0000EC500000}"/>
    <cellStyle name="40% - Accent6 8 7 2" xfId="14245" xr:uid="{00000000-0005-0000-0000-0000ED500000}"/>
    <cellStyle name="40% - Accent6 8 7 2 2" xfId="27794" xr:uid="{00000000-0005-0000-0000-0000EE500000}"/>
    <cellStyle name="40% - Accent6 8 7 3" xfId="22531" xr:uid="{00000000-0005-0000-0000-0000EF500000}"/>
    <cellStyle name="40% - Accent6 8 8" xfId="5214" xr:uid="{00000000-0005-0000-0000-0000F0500000}"/>
    <cellStyle name="40% - Accent6 8 8 2" xfId="15565" xr:uid="{00000000-0005-0000-0000-0000F1500000}"/>
    <cellStyle name="40% - Accent6 8 8 2 2" xfId="29114" xr:uid="{00000000-0005-0000-0000-0000F2500000}"/>
    <cellStyle name="40% - Accent6 8 8 3" xfId="22530" xr:uid="{00000000-0005-0000-0000-0000F3500000}"/>
    <cellStyle name="40% - Accent6 8 9" xfId="5215" xr:uid="{00000000-0005-0000-0000-0000F4500000}"/>
    <cellStyle name="40% - Accent6 8 9 2" xfId="16131" xr:uid="{00000000-0005-0000-0000-0000F5500000}"/>
    <cellStyle name="40% - Accent6 8 9 2 2" xfId="29538" xr:uid="{00000000-0005-0000-0000-0000F6500000}"/>
    <cellStyle name="40% - Accent6 8 9 3" xfId="22529" xr:uid="{00000000-0005-0000-0000-0000F7500000}"/>
    <cellStyle name="40% - Accent6 9" xfId="5216" xr:uid="{00000000-0005-0000-0000-0000F8500000}"/>
    <cellStyle name="40% - Accent6 9 2" xfId="5217" xr:uid="{00000000-0005-0000-0000-0000F9500000}"/>
    <cellStyle name="40% - Accent6 9 2 2" xfId="11289" xr:uid="{00000000-0005-0000-0000-0000FA500000}"/>
    <cellStyle name="40% - Accent6 9 2 2 2" xfId="25231" xr:uid="{00000000-0005-0000-0000-0000FB500000}"/>
    <cellStyle name="40% - Accent6 9 2 3" xfId="22527" xr:uid="{00000000-0005-0000-0000-0000FC500000}"/>
    <cellStyle name="40% - Accent6 9 3" xfId="5218" xr:uid="{00000000-0005-0000-0000-0000FD500000}"/>
    <cellStyle name="40% - Accent6 9 3 2" xfId="13080" xr:uid="{00000000-0005-0000-0000-0000FE500000}"/>
    <cellStyle name="40% - Accent6 9 3 2 2" xfId="26792" xr:uid="{00000000-0005-0000-0000-0000FF500000}"/>
    <cellStyle name="40% - Accent6 9 3 3" xfId="22526" xr:uid="{00000000-0005-0000-0000-000000510000}"/>
    <cellStyle name="40% - Accent6 9 4" xfId="5219" xr:uid="{00000000-0005-0000-0000-000001510000}"/>
    <cellStyle name="40% - Accent6 9 4 2" xfId="15568" xr:uid="{00000000-0005-0000-0000-000002510000}"/>
    <cellStyle name="40% - Accent6 9 4 2 2" xfId="29117" xr:uid="{00000000-0005-0000-0000-000003510000}"/>
    <cellStyle name="40% - Accent6 9 4 3" xfId="22525" xr:uid="{00000000-0005-0000-0000-000004510000}"/>
    <cellStyle name="40% - Accent6 9 5" xfId="5220" xr:uid="{00000000-0005-0000-0000-000005510000}"/>
    <cellStyle name="40% - Accent6 9 5 2" xfId="17096" xr:uid="{00000000-0005-0000-0000-000006510000}"/>
    <cellStyle name="40% - Accent6 9 5 2 2" xfId="30455" xr:uid="{00000000-0005-0000-0000-000007510000}"/>
    <cellStyle name="40% - Accent6 9 5 3" xfId="22524" xr:uid="{00000000-0005-0000-0000-000008510000}"/>
    <cellStyle name="40% - Accent6 9 6" xfId="9562" xr:uid="{00000000-0005-0000-0000-000009510000}"/>
    <cellStyle name="40% - Accent6 9 6 2" xfId="24037" xr:uid="{00000000-0005-0000-0000-00000A510000}"/>
    <cellStyle name="40% - Accent6 9 7" xfId="22528" xr:uid="{00000000-0005-0000-0000-00000B510000}"/>
    <cellStyle name="60% - Accent1" xfId="20" builtinId="32" customBuiltin="1"/>
    <cellStyle name="60% - Accent1 10" xfId="5221" xr:uid="{00000000-0005-0000-0000-00000D510000}"/>
    <cellStyle name="60% - Accent1 10 2" xfId="9564" xr:uid="{00000000-0005-0000-0000-00000E510000}"/>
    <cellStyle name="60% - Accent1 10 3" xfId="22523" xr:uid="{00000000-0005-0000-0000-00000F510000}"/>
    <cellStyle name="60% - Accent1 11" xfId="5222" xr:uid="{00000000-0005-0000-0000-000010510000}"/>
    <cellStyle name="60% - Accent1 11 2" xfId="9565" xr:uid="{00000000-0005-0000-0000-000011510000}"/>
    <cellStyle name="60% - Accent1 11 3" xfId="22522" xr:uid="{00000000-0005-0000-0000-000012510000}"/>
    <cellStyle name="60% - Accent1 12" xfId="5223" xr:uid="{00000000-0005-0000-0000-000013510000}"/>
    <cellStyle name="60% - Accent1 12 2" xfId="5224" xr:uid="{00000000-0005-0000-0000-000014510000}"/>
    <cellStyle name="60% - Accent1 12 2 2" xfId="15569" xr:uid="{00000000-0005-0000-0000-000015510000}"/>
    <cellStyle name="60% - Accent1 12 2 3" xfId="22520" xr:uid="{00000000-0005-0000-0000-000016510000}"/>
    <cellStyle name="60% - Accent1 12 3" xfId="10463" xr:uid="{00000000-0005-0000-0000-000017510000}"/>
    <cellStyle name="60% - Accent1 12 4" xfId="22521" xr:uid="{00000000-0005-0000-0000-000018510000}"/>
    <cellStyle name="60% - Accent1 13" xfId="5225" xr:uid="{00000000-0005-0000-0000-000019510000}"/>
    <cellStyle name="60% - Accent1 13 2" xfId="11290" xr:uid="{00000000-0005-0000-0000-00001A510000}"/>
    <cellStyle name="60% - Accent1 13 3" xfId="22519" xr:uid="{00000000-0005-0000-0000-00001B510000}"/>
    <cellStyle name="60% - Accent1 14" xfId="5226" xr:uid="{00000000-0005-0000-0000-00001C510000}"/>
    <cellStyle name="60% - Accent1 14 2" xfId="9563" xr:uid="{00000000-0005-0000-0000-00001D510000}"/>
    <cellStyle name="60% - Accent1 14 3" xfId="22518" xr:uid="{00000000-0005-0000-0000-00001E510000}"/>
    <cellStyle name="60% - Accent1 2" xfId="5227" xr:uid="{00000000-0005-0000-0000-00001F510000}"/>
    <cellStyle name="60% - Accent1 2 2" xfId="9566" xr:uid="{00000000-0005-0000-0000-000020510000}"/>
    <cellStyle name="60% - Accent1 2 3" xfId="22517" xr:uid="{00000000-0005-0000-0000-000021510000}"/>
    <cellStyle name="60% - Accent1 3" xfId="5228" xr:uid="{00000000-0005-0000-0000-000022510000}"/>
    <cellStyle name="60% - Accent1 3 2" xfId="5229" xr:uid="{00000000-0005-0000-0000-000023510000}"/>
    <cellStyle name="60% - Accent1 3 2 2" xfId="9568" xr:uid="{00000000-0005-0000-0000-000024510000}"/>
    <cellStyle name="60% - Accent1 3 2 3" xfId="22515" xr:uid="{00000000-0005-0000-0000-000025510000}"/>
    <cellStyle name="60% - Accent1 3 3" xfId="9567" xr:uid="{00000000-0005-0000-0000-000026510000}"/>
    <cellStyle name="60% - Accent1 3 4" xfId="22516" xr:uid="{00000000-0005-0000-0000-000027510000}"/>
    <cellStyle name="60% - Accent1 4" xfId="5230" xr:uid="{00000000-0005-0000-0000-000028510000}"/>
    <cellStyle name="60% - Accent1 4 2" xfId="5231" xr:uid="{00000000-0005-0000-0000-000029510000}"/>
    <cellStyle name="60% - Accent1 4 2 2" xfId="13082" xr:uid="{00000000-0005-0000-0000-00002A510000}"/>
    <cellStyle name="60% - Accent1 4 2 3" xfId="22513" xr:uid="{00000000-0005-0000-0000-00002B510000}"/>
    <cellStyle name="60% - Accent1 4 3" xfId="5232" xr:uid="{00000000-0005-0000-0000-00002C510000}"/>
    <cellStyle name="60% - Accent1 4 3 2" xfId="13081" xr:uid="{00000000-0005-0000-0000-00002D510000}"/>
    <cellStyle name="60% - Accent1 4 3 3" xfId="22512" xr:uid="{00000000-0005-0000-0000-00002E510000}"/>
    <cellStyle name="60% - Accent1 4 4" xfId="9569" xr:uid="{00000000-0005-0000-0000-00002F510000}"/>
    <cellStyle name="60% - Accent1 4 5" xfId="22514" xr:uid="{00000000-0005-0000-0000-000030510000}"/>
    <cellStyle name="60% - Accent1 5" xfId="5233" xr:uid="{00000000-0005-0000-0000-000031510000}"/>
    <cellStyle name="60% - Accent1 5 2" xfId="5234" xr:uid="{00000000-0005-0000-0000-000032510000}"/>
    <cellStyle name="60% - Accent1 5 2 2" xfId="9571" xr:uid="{00000000-0005-0000-0000-000033510000}"/>
    <cellStyle name="60% - Accent1 5 2 3" xfId="22510" xr:uid="{00000000-0005-0000-0000-000034510000}"/>
    <cellStyle name="60% - Accent1 5 3" xfId="9570" xr:uid="{00000000-0005-0000-0000-000035510000}"/>
    <cellStyle name="60% - Accent1 5 4" xfId="22511" xr:uid="{00000000-0005-0000-0000-000036510000}"/>
    <cellStyle name="60% - Accent1 6" xfId="5235" xr:uid="{00000000-0005-0000-0000-000037510000}"/>
    <cellStyle name="60% - Accent1 6 2" xfId="9572" xr:uid="{00000000-0005-0000-0000-000038510000}"/>
    <cellStyle name="60% - Accent1 6 3" xfId="22509" xr:uid="{00000000-0005-0000-0000-000039510000}"/>
    <cellStyle name="60% - Accent1 7" xfId="5236" xr:uid="{00000000-0005-0000-0000-00003A510000}"/>
    <cellStyle name="60% - Accent1 7 2" xfId="9573" xr:uid="{00000000-0005-0000-0000-00003B510000}"/>
    <cellStyle name="60% - Accent1 7 3" xfId="22508" xr:uid="{00000000-0005-0000-0000-00003C510000}"/>
    <cellStyle name="60% - Accent1 8" xfId="5237" xr:uid="{00000000-0005-0000-0000-00003D510000}"/>
    <cellStyle name="60% - Accent1 8 2" xfId="9574" xr:uid="{00000000-0005-0000-0000-00003E510000}"/>
    <cellStyle name="60% - Accent1 8 3" xfId="22507" xr:uid="{00000000-0005-0000-0000-00003F510000}"/>
    <cellStyle name="60% - Accent1 9" xfId="5238" xr:uid="{00000000-0005-0000-0000-000040510000}"/>
    <cellStyle name="60% - Accent1 9 2" xfId="9575" xr:uid="{00000000-0005-0000-0000-000041510000}"/>
    <cellStyle name="60% - Accent1 9 3" xfId="22506" xr:uid="{00000000-0005-0000-0000-000042510000}"/>
    <cellStyle name="60% - Accent2" xfId="24" builtinId="36" customBuiltin="1"/>
    <cellStyle name="60% - Accent2 10" xfId="5239" xr:uid="{00000000-0005-0000-0000-000044510000}"/>
    <cellStyle name="60% - Accent2 10 2" xfId="9577" xr:uid="{00000000-0005-0000-0000-000045510000}"/>
    <cellStyle name="60% - Accent2 10 3" xfId="22505" xr:uid="{00000000-0005-0000-0000-000046510000}"/>
    <cellStyle name="60% - Accent2 11" xfId="5240" xr:uid="{00000000-0005-0000-0000-000047510000}"/>
    <cellStyle name="60% - Accent2 11 2" xfId="9578" xr:uid="{00000000-0005-0000-0000-000048510000}"/>
    <cellStyle name="60% - Accent2 11 3" xfId="22504" xr:uid="{00000000-0005-0000-0000-000049510000}"/>
    <cellStyle name="60% - Accent2 12" xfId="5241" xr:uid="{00000000-0005-0000-0000-00004A510000}"/>
    <cellStyle name="60% - Accent2 12 2" xfId="5242" xr:uid="{00000000-0005-0000-0000-00004B510000}"/>
    <cellStyle name="60% - Accent2 12 2 2" xfId="15570" xr:uid="{00000000-0005-0000-0000-00004C510000}"/>
    <cellStyle name="60% - Accent2 12 2 3" xfId="22502" xr:uid="{00000000-0005-0000-0000-00004D510000}"/>
    <cellStyle name="60% - Accent2 12 3" xfId="10464" xr:uid="{00000000-0005-0000-0000-00004E510000}"/>
    <cellStyle name="60% - Accent2 12 4" xfId="22503" xr:uid="{00000000-0005-0000-0000-00004F510000}"/>
    <cellStyle name="60% - Accent2 13" xfId="5243" xr:uid="{00000000-0005-0000-0000-000050510000}"/>
    <cellStyle name="60% - Accent2 13 2" xfId="11291" xr:uid="{00000000-0005-0000-0000-000051510000}"/>
    <cellStyle name="60% - Accent2 13 3" xfId="22501" xr:uid="{00000000-0005-0000-0000-000052510000}"/>
    <cellStyle name="60% - Accent2 14" xfId="5244" xr:uid="{00000000-0005-0000-0000-000053510000}"/>
    <cellStyle name="60% - Accent2 14 2" xfId="9576" xr:uid="{00000000-0005-0000-0000-000054510000}"/>
    <cellStyle name="60% - Accent2 14 3" xfId="22500" xr:uid="{00000000-0005-0000-0000-000055510000}"/>
    <cellStyle name="60% - Accent2 2" xfId="5245" xr:uid="{00000000-0005-0000-0000-000056510000}"/>
    <cellStyle name="60% - Accent2 2 2" xfId="9579" xr:uid="{00000000-0005-0000-0000-000057510000}"/>
    <cellStyle name="60% - Accent2 2 3" xfId="22499" xr:uid="{00000000-0005-0000-0000-000058510000}"/>
    <cellStyle name="60% - Accent2 3" xfId="5246" xr:uid="{00000000-0005-0000-0000-000059510000}"/>
    <cellStyle name="60% - Accent2 3 2" xfId="5247" xr:uid="{00000000-0005-0000-0000-00005A510000}"/>
    <cellStyle name="60% - Accent2 3 2 2" xfId="9581" xr:uid="{00000000-0005-0000-0000-00005B510000}"/>
    <cellStyle name="60% - Accent2 3 2 3" xfId="22497" xr:uid="{00000000-0005-0000-0000-00005C510000}"/>
    <cellStyle name="60% - Accent2 3 3" xfId="9580" xr:uid="{00000000-0005-0000-0000-00005D510000}"/>
    <cellStyle name="60% - Accent2 3 4" xfId="22498" xr:uid="{00000000-0005-0000-0000-00005E510000}"/>
    <cellStyle name="60% - Accent2 4" xfId="5248" xr:uid="{00000000-0005-0000-0000-00005F510000}"/>
    <cellStyle name="60% - Accent2 4 2" xfId="5249" xr:uid="{00000000-0005-0000-0000-000060510000}"/>
    <cellStyle name="60% - Accent2 4 2 2" xfId="13084" xr:uid="{00000000-0005-0000-0000-000061510000}"/>
    <cellStyle name="60% - Accent2 4 2 3" xfId="22495" xr:uid="{00000000-0005-0000-0000-000062510000}"/>
    <cellStyle name="60% - Accent2 4 3" xfId="5250" xr:uid="{00000000-0005-0000-0000-000063510000}"/>
    <cellStyle name="60% - Accent2 4 3 2" xfId="13083" xr:uid="{00000000-0005-0000-0000-000064510000}"/>
    <cellStyle name="60% - Accent2 4 3 3" xfId="22494" xr:uid="{00000000-0005-0000-0000-000065510000}"/>
    <cellStyle name="60% - Accent2 4 4" xfId="9582" xr:uid="{00000000-0005-0000-0000-000066510000}"/>
    <cellStyle name="60% - Accent2 4 5" xfId="22496" xr:uid="{00000000-0005-0000-0000-000067510000}"/>
    <cellStyle name="60% - Accent2 5" xfId="5251" xr:uid="{00000000-0005-0000-0000-000068510000}"/>
    <cellStyle name="60% - Accent2 5 2" xfId="5252" xr:uid="{00000000-0005-0000-0000-000069510000}"/>
    <cellStyle name="60% - Accent2 5 2 2" xfId="9584" xr:uid="{00000000-0005-0000-0000-00006A510000}"/>
    <cellStyle name="60% - Accent2 5 2 3" xfId="22492" xr:uid="{00000000-0005-0000-0000-00006B510000}"/>
    <cellStyle name="60% - Accent2 5 3" xfId="9583" xr:uid="{00000000-0005-0000-0000-00006C510000}"/>
    <cellStyle name="60% - Accent2 5 4" xfId="22493" xr:uid="{00000000-0005-0000-0000-00006D510000}"/>
    <cellStyle name="60% - Accent2 6" xfId="5253" xr:uid="{00000000-0005-0000-0000-00006E510000}"/>
    <cellStyle name="60% - Accent2 6 2" xfId="9585" xr:uid="{00000000-0005-0000-0000-00006F510000}"/>
    <cellStyle name="60% - Accent2 6 3" xfId="22491" xr:uid="{00000000-0005-0000-0000-000070510000}"/>
    <cellStyle name="60% - Accent2 7" xfId="5254" xr:uid="{00000000-0005-0000-0000-000071510000}"/>
    <cellStyle name="60% - Accent2 7 2" xfId="9586" xr:uid="{00000000-0005-0000-0000-000072510000}"/>
    <cellStyle name="60% - Accent2 7 3" xfId="22490" xr:uid="{00000000-0005-0000-0000-000073510000}"/>
    <cellStyle name="60% - Accent2 8" xfId="5255" xr:uid="{00000000-0005-0000-0000-000074510000}"/>
    <cellStyle name="60% - Accent2 8 2" xfId="9587" xr:uid="{00000000-0005-0000-0000-000075510000}"/>
    <cellStyle name="60% - Accent2 8 3" xfId="22489" xr:uid="{00000000-0005-0000-0000-000076510000}"/>
    <cellStyle name="60% - Accent2 9" xfId="5256" xr:uid="{00000000-0005-0000-0000-000077510000}"/>
    <cellStyle name="60% - Accent2 9 2" xfId="9588" xr:uid="{00000000-0005-0000-0000-000078510000}"/>
    <cellStyle name="60% - Accent2 9 3" xfId="22488" xr:uid="{00000000-0005-0000-0000-000079510000}"/>
    <cellStyle name="60% - Accent3" xfId="28" builtinId="40" customBuiltin="1"/>
    <cellStyle name="60% - Accent3 10" xfId="5257" xr:uid="{00000000-0005-0000-0000-00007B510000}"/>
    <cellStyle name="60% - Accent3 10 2" xfId="9590" xr:uid="{00000000-0005-0000-0000-00007C510000}"/>
    <cellStyle name="60% - Accent3 10 3" xfId="22487" xr:uid="{00000000-0005-0000-0000-00007D510000}"/>
    <cellStyle name="60% - Accent3 11" xfId="5258" xr:uid="{00000000-0005-0000-0000-00007E510000}"/>
    <cellStyle name="60% - Accent3 11 2" xfId="9591" xr:uid="{00000000-0005-0000-0000-00007F510000}"/>
    <cellStyle name="60% - Accent3 11 3" xfId="22486" xr:uid="{00000000-0005-0000-0000-000080510000}"/>
    <cellStyle name="60% - Accent3 12" xfId="5259" xr:uid="{00000000-0005-0000-0000-000081510000}"/>
    <cellStyle name="60% - Accent3 12 2" xfId="5260" xr:uid="{00000000-0005-0000-0000-000082510000}"/>
    <cellStyle name="60% - Accent3 12 2 2" xfId="15571" xr:uid="{00000000-0005-0000-0000-000083510000}"/>
    <cellStyle name="60% - Accent3 12 2 3" xfId="22484" xr:uid="{00000000-0005-0000-0000-000084510000}"/>
    <cellStyle name="60% - Accent3 12 3" xfId="10465" xr:uid="{00000000-0005-0000-0000-000085510000}"/>
    <cellStyle name="60% - Accent3 12 4" xfId="22485" xr:uid="{00000000-0005-0000-0000-000086510000}"/>
    <cellStyle name="60% - Accent3 13" xfId="5261" xr:uid="{00000000-0005-0000-0000-000087510000}"/>
    <cellStyle name="60% - Accent3 13 2" xfId="11292" xr:uid="{00000000-0005-0000-0000-000088510000}"/>
    <cellStyle name="60% - Accent3 13 3" xfId="22483" xr:uid="{00000000-0005-0000-0000-000089510000}"/>
    <cellStyle name="60% - Accent3 14" xfId="5262" xr:uid="{00000000-0005-0000-0000-00008A510000}"/>
    <cellStyle name="60% - Accent3 14 2" xfId="9589" xr:uid="{00000000-0005-0000-0000-00008B510000}"/>
    <cellStyle name="60% - Accent3 14 3" xfId="22482" xr:uid="{00000000-0005-0000-0000-00008C510000}"/>
    <cellStyle name="60% - Accent3 2" xfId="5263" xr:uid="{00000000-0005-0000-0000-00008D510000}"/>
    <cellStyle name="60% - Accent3 2 2" xfId="9592" xr:uid="{00000000-0005-0000-0000-00008E510000}"/>
    <cellStyle name="60% - Accent3 2 3" xfId="22481" xr:uid="{00000000-0005-0000-0000-00008F510000}"/>
    <cellStyle name="60% - Accent3 3" xfId="5264" xr:uid="{00000000-0005-0000-0000-000090510000}"/>
    <cellStyle name="60% - Accent3 3 2" xfId="5265" xr:uid="{00000000-0005-0000-0000-000091510000}"/>
    <cellStyle name="60% - Accent3 3 2 2" xfId="9594" xr:uid="{00000000-0005-0000-0000-000092510000}"/>
    <cellStyle name="60% - Accent3 3 2 3" xfId="22479" xr:uid="{00000000-0005-0000-0000-000093510000}"/>
    <cellStyle name="60% - Accent3 3 3" xfId="9593" xr:uid="{00000000-0005-0000-0000-000094510000}"/>
    <cellStyle name="60% - Accent3 3 4" xfId="22480" xr:uid="{00000000-0005-0000-0000-000095510000}"/>
    <cellStyle name="60% - Accent3 4" xfId="5266" xr:uid="{00000000-0005-0000-0000-000096510000}"/>
    <cellStyle name="60% - Accent3 4 2" xfId="5267" xr:uid="{00000000-0005-0000-0000-000097510000}"/>
    <cellStyle name="60% - Accent3 4 2 2" xfId="13086" xr:uid="{00000000-0005-0000-0000-000098510000}"/>
    <cellStyle name="60% - Accent3 4 2 3" xfId="22477" xr:uid="{00000000-0005-0000-0000-000099510000}"/>
    <cellStyle name="60% - Accent3 4 3" xfId="5268" xr:uid="{00000000-0005-0000-0000-00009A510000}"/>
    <cellStyle name="60% - Accent3 4 3 2" xfId="13085" xr:uid="{00000000-0005-0000-0000-00009B510000}"/>
    <cellStyle name="60% - Accent3 4 3 3" xfId="22476" xr:uid="{00000000-0005-0000-0000-00009C510000}"/>
    <cellStyle name="60% - Accent3 4 4" xfId="9595" xr:uid="{00000000-0005-0000-0000-00009D510000}"/>
    <cellStyle name="60% - Accent3 4 5" xfId="22478" xr:uid="{00000000-0005-0000-0000-00009E510000}"/>
    <cellStyle name="60% - Accent3 5" xfId="5269" xr:uid="{00000000-0005-0000-0000-00009F510000}"/>
    <cellStyle name="60% - Accent3 5 2" xfId="5270" xr:uid="{00000000-0005-0000-0000-0000A0510000}"/>
    <cellStyle name="60% - Accent3 5 2 2" xfId="9597" xr:uid="{00000000-0005-0000-0000-0000A1510000}"/>
    <cellStyle name="60% - Accent3 5 2 3" xfId="22474" xr:uid="{00000000-0005-0000-0000-0000A2510000}"/>
    <cellStyle name="60% - Accent3 5 3" xfId="9596" xr:uid="{00000000-0005-0000-0000-0000A3510000}"/>
    <cellStyle name="60% - Accent3 5 4" xfId="22475" xr:uid="{00000000-0005-0000-0000-0000A4510000}"/>
    <cellStyle name="60% - Accent3 6" xfId="5271" xr:uid="{00000000-0005-0000-0000-0000A5510000}"/>
    <cellStyle name="60% - Accent3 6 2" xfId="9598" xr:uid="{00000000-0005-0000-0000-0000A6510000}"/>
    <cellStyle name="60% - Accent3 6 3" xfId="22473" xr:uid="{00000000-0005-0000-0000-0000A7510000}"/>
    <cellStyle name="60% - Accent3 7" xfId="5272" xr:uid="{00000000-0005-0000-0000-0000A8510000}"/>
    <cellStyle name="60% - Accent3 7 2" xfId="9599" xr:uid="{00000000-0005-0000-0000-0000A9510000}"/>
    <cellStyle name="60% - Accent3 7 3" xfId="22472" xr:uid="{00000000-0005-0000-0000-0000AA510000}"/>
    <cellStyle name="60% - Accent3 8" xfId="5273" xr:uid="{00000000-0005-0000-0000-0000AB510000}"/>
    <cellStyle name="60% - Accent3 8 2" xfId="9600" xr:uid="{00000000-0005-0000-0000-0000AC510000}"/>
    <cellStyle name="60% - Accent3 8 3" xfId="22471" xr:uid="{00000000-0005-0000-0000-0000AD510000}"/>
    <cellStyle name="60% - Accent3 9" xfId="5274" xr:uid="{00000000-0005-0000-0000-0000AE510000}"/>
    <cellStyle name="60% - Accent3 9 2" xfId="9601" xr:uid="{00000000-0005-0000-0000-0000AF510000}"/>
    <cellStyle name="60% - Accent3 9 3" xfId="22470" xr:uid="{00000000-0005-0000-0000-0000B0510000}"/>
    <cellStyle name="60% - Accent4" xfId="32" builtinId="44" customBuiltin="1"/>
    <cellStyle name="60% - Accent4 10" xfId="5275" xr:uid="{00000000-0005-0000-0000-0000B2510000}"/>
    <cellStyle name="60% - Accent4 10 2" xfId="9603" xr:uid="{00000000-0005-0000-0000-0000B3510000}"/>
    <cellStyle name="60% - Accent4 10 3" xfId="22469" xr:uid="{00000000-0005-0000-0000-0000B4510000}"/>
    <cellStyle name="60% - Accent4 11" xfId="5276" xr:uid="{00000000-0005-0000-0000-0000B5510000}"/>
    <cellStyle name="60% - Accent4 11 2" xfId="9604" xr:uid="{00000000-0005-0000-0000-0000B6510000}"/>
    <cellStyle name="60% - Accent4 11 3" xfId="22468" xr:uid="{00000000-0005-0000-0000-0000B7510000}"/>
    <cellStyle name="60% - Accent4 12" xfId="5277" xr:uid="{00000000-0005-0000-0000-0000B8510000}"/>
    <cellStyle name="60% - Accent4 12 2" xfId="5278" xr:uid="{00000000-0005-0000-0000-0000B9510000}"/>
    <cellStyle name="60% - Accent4 12 2 2" xfId="15572" xr:uid="{00000000-0005-0000-0000-0000BA510000}"/>
    <cellStyle name="60% - Accent4 12 2 3" xfId="22466" xr:uid="{00000000-0005-0000-0000-0000BB510000}"/>
    <cellStyle name="60% - Accent4 12 3" xfId="10466" xr:uid="{00000000-0005-0000-0000-0000BC510000}"/>
    <cellStyle name="60% - Accent4 12 4" xfId="22467" xr:uid="{00000000-0005-0000-0000-0000BD510000}"/>
    <cellStyle name="60% - Accent4 13" xfId="5279" xr:uid="{00000000-0005-0000-0000-0000BE510000}"/>
    <cellStyle name="60% - Accent4 13 2" xfId="11293" xr:uid="{00000000-0005-0000-0000-0000BF510000}"/>
    <cellStyle name="60% - Accent4 13 3" xfId="22465" xr:uid="{00000000-0005-0000-0000-0000C0510000}"/>
    <cellStyle name="60% - Accent4 14" xfId="5280" xr:uid="{00000000-0005-0000-0000-0000C1510000}"/>
    <cellStyle name="60% - Accent4 14 2" xfId="9602" xr:uid="{00000000-0005-0000-0000-0000C2510000}"/>
    <cellStyle name="60% - Accent4 14 3" xfId="22464" xr:uid="{00000000-0005-0000-0000-0000C3510000}"/>
    <cellStyle name="60% - Accent4 2" xfId="5281" xr:uid="{00000000-0005-0000-0000-0000C4510000}"/>
    <cellStyle name="60% - Accent4 2 2" xfId="9605" xr:uid="{00000000-0005-0000-0000-0000C5510000}"/>
    <cellStyle name="60% - Accent4 2 3" xfId="22463" xr:uid="{00000000-0005-0000-0000-0000C6510000}"/>
    <cellStyle name="60% - Accent4 3" xfId="5282" xr:uid="{00000000-0005-0000-0000-0000C7510000}"/>
    <cellStyle name="60% - Accent4 3 2" xfId="5283" xr:uid="{00000000-0005-0000-0000-0000C8510000}"/>
    <cellStyle name="60% - Accent4 3 2 2" xfId="9607" xr:uid="{00000000-0005-0000-0000-0000C9510000}"/>
    <cellStyle name="60% - Accent4 3 2 3" xfId="22461" xr:uid="{00000000-0005-0000-0000-0000CA510000}"/>
    <cellStyle name="60% - Accent4 3 3" xfId="9606" xr:uid="{00000000-0005-0000-0000-0000CB510000}"/>
    <cellStyle name="60% - Accent4 3 4" xfId="22462" xr:uid="{00000000-0005-0000-0000-0000CC510000}"/>
    <cellStyle name="60% - Accent4 4" xfId="5284" xr:uid="{00000000-0005-0000-0000-0000CD510000}"/>
    <cellStyle name="60% - Accent4 4 2" xfId="5285" xr:uid="{00000000-0005-0000-0000-0000CE510000}"/>
    <cellStyle name="60% - Accent4 4 2 2" xfId="13088" xr:uid="{00000000-0005-0000-0000-0000CF510000}"/>
    <cellStyle name="60% - Accent4 4 2 3" xfId="22459" xr:uid="{00000000-0005-0000-0000-0000D0510000}"/>
    <cellStyle name="60% - Accent4 4 3" xfId="5286" xr:uid="{00000000-0005-0000-0000-0000D1510000}"/>
    <cellStyle name="60% - Accent4 4 3 2" xfId="13087" xr:uid="{00000000-0005-0000-0000-0000D2510000}"/>
    <cellStyle name="60% - Accent4 4 3 3" xfId="22458" xr:uid="{00000000-0005-0000-0000-0000D3510000}"/>
    <cellStyle name="60% - Accent4 4 4" xfId="9608" xr:uid="{00000000-0005-0000-0000-0000D4510000}"/>
    <cellStyle name="60% - Accent4 4 5" xfId="22460" xr:uid="{00000000-0005-0000-0000-0000D5510000}"/>
    <cellStyle name="60% - Accent4 5" xfId="5287" xr:uid="{00000000-0005-0000-0000-0000D6510000}"/>
    <cellStyle name="60% - Accent4 5 2" xfId="5288" xr:uid="{00000000-0005-0000-0000-0000D7510000}"/>
    <cellStyle name="60% - Accent4 5 2 2" xfId="9610" xr:uid="{00000000-0005-0000-0000-0000D8510000}"/>
    <cellStyle name="60% - Accent4 5 2 3" xfId="22456" xr:uid="{00000000-0005-0000-0000-0000D9510000}"/>
    <cellStyle name="60% - Accent4 5 3" xfId="9609" xr:uid="{00000000-0005-0000-0000-0000DA510000}"/>
    <cellStyle name="60% - Accent4 5 4" xfId="22457" xr:uid="{00000000-0005-0000-0000-0000DB510000}"/>
    <cellStyle name="60% - Accent4 6" xfId="5289" xr:uid="{00000000-0005-0000-0000-0000DC510000}"/>
    <cellStyle name="60% - Accent4 6 2" xfId="9611" xr:uid="{00000000-0005-0000-0000-0000DD510000}"/>
    <cellStyle name="60% - Accent4 6 3" xfId="22455" xr:uid="{00000000-0005-0000-0000-0000DE510000}"/>
    <cellStyle name="60% - Accent4 7" xfId="5290" xr:uid="{00000000-0005-0000-0000-0000DF510000}"/>
    <cellStyle name="60% - Accent4 7 2" xfId="9612" xr:uid="{00000000-0005-0000-0000-0000E0510000}"/>
    <cellStyle name="60% - Accent4 7 3" xfId="22454" xr:uid="{00000000-0005-0000-0000-0000E1510000}"/>
    <cellStyle name="60% - Accent4 8" xfId="5291" xr:uid="{00000000-0005-0000-0000-0000E2510000}"/>
    <cellStyle name="60% - Accent4 8 2" xfId="9613" xr:uid="{00000000-0005-0000-0000-0000E3510000}"/>
    <cellStyle name="60% - Accent4 8 3" xfId="22453" xr:uid="{00000000-0005-0000-0000-0000E4510000}"/>
    <cellStyle name="60% - Accent4 9" xfId="5292" xr:uid="{00000000-0005-0000-0000-0000E5510000}"/>
    <cellStyle name="60% - Accent4 9 2" xfId="9614" xr:uid="{00000000-0005-0000-0000-0000E6510000}"/>
    <cellStyle name="60% - Accent4 9 3" xfId="22452" xr:uid="{00000000-0005-0000-0000-0000E7510000}"/>
    <cellStyle name="60% - Accent5" xfId="35" builtinId="48" customBuiltin="1"/>
    <cellStyle name="60% - Accent5 10" xfId="5293" xr:uid="{00000000-0005-0000-0000-0000E9510000}"/>
    <cellStyle name="60% - Accent5 10 2" xfId="9616" xr:uid="{00000000-0005-0000-0000-0000EA510000}"/>
    <cellStyle name="60% - Accent5 10 3" xfId="22451" xr:uid="{00000000-0005-0000-0000-0000EB510000}"/>
    <cellStyle name="60% - Accent5 11" xfId="5294" xr:uid="{00000000-0005-0000-0000-0000EC510000}"/>
    <cellStyle name="60% - Accent5 11 2" xfId="9617" xr:uid="{00000000-0005-0000-0000-0000ED510000}"/>
    <cellStyle name="60% - Accent5 11 3" xfId="22450" xr:uid="{00000000-0005-0000-0000-0000EE510000}"/>
    <cellStyle name="60% - Accent5 12" xfId="5295" xr:uid="{00000000-0005-0000-0000-0000EF510000}"/>
    <cellStyle name="60% - Accent5 12 2" xfId="5296" xr:uid="{00000000-0005-0000-0000-0000F0510000}"/>
    <cellStyle name="60% - Accent5 12 2 2" xfId="15573" xr:uid="{00000000-0005-0000-0000-0000F1510000}"/>
    <cellStyle name="60% - Accent5 12 2 3" xfId="22448" xr:uid="{00000000-0005-0000-0000-0000F2510000}"/>
    <cellStyle name="60% - Accent5 12 3" xfId="10467" xr:uid="{00000000-0005-0000-0000-0000F3510000}"/>
    <cellStyle name="60% - Accent5 12 4" xfId="22449" xr:uid="{00000000-0005-0000-0000-0000F4510000}"/>
    <cellStyle name="60% - Accent5 13" xfId="5297" xr:uid="{00000000-0005-0000-0000-0000F5510000}"/>
    <cellStyle name="60% - Accent5 13 2" xfId="11294" xr:uid="{00000000-0005-0000-0000-0000F6510000}"/>
    <cellStyle name="60% - Accent5 13 3" xfId="22447" xr:uid="{00000000-0005-0000-0000-0000F7510000}"/>
    <cellStyle name="60% - Accent5 14" xfId="5298" xr:uid="{00000000-0005-0000-0000-0000F8510000}"/>
    <cellStyle name="60% - Accent5 14 2" xfId="9615" xr:uid="{00000000-0005-0000-0000-0000F9510000}"/>
    <cellStyle name="60% - Accent5 14 3" xfId="22446" xr:uid="{00000000-0005-0000-0000-0000FA510000}"/>
    <cellStyle name="60% - Accent5 2" xfId="5299" xr:uid="{00000000-0005-0000-0000-0000FB510000}"/>
    <cellStyle name="60% - Accent5 2 2" xfId="9618" xr:uid="{00000000-0005-0000-0000-0000FC510000}"/>
    <cellStyle name="60% - Accent5 2 3" xfId="22445" xr:uid="{00000000-0005-0000-0000-0000FD510000}"/>
    <cellStyle name="60% - Accent5 3" xfId="5300" xr:uid="{00000000-0005-0000-0000-0000FE510000}"/>
    <cellStyle name="60% - Accent5 3 2" xfId="5301" xr:uid="{00000000-0005-0000-0000-0000FF510000}"/>
    <cellStyle name="60% - Accent5 3 2 2" xfId="9620" xr:uid="{00000000-0005-0000-0000-000000520000}"/>
    <cellStyle name="60% - Accent5 3 2 3" xfId="22443" xr:uid="{00000000-0005-0000-0000-000001520000}"/>
    <cellStyle name="60% - Accent5 3 3" xfId="9619" xr:uid="{00000000-0005-0000-0000-000002520000}"/>
    <cellStyle name="60% - Accent5 3 4" xfId="22444" xr:uid="{00000000-0005-0000-0000-000003520000}"/>
    <cellStyle name="60% - Accent5 4" xfId="5302" xr:uid="{00000000-0005-0000-0000-000004520000}"/>
    <cellStyle name="60% - Accent5 4 2" xfId="5303" xr:uid="{00000000-0005-0000-0000-000005520000}"/>
    <cellStyle name="60% - Accent5 4 2 2" xfId="13090" xr:uid="{00000000-0005-0000-0000-000006520000}"/>
    <cellStyle name="60% - Accent5 4 2 3" xfId="22441" xr:uid="{00000000-0005-0000-0000-000007520000}"/>
    <cellStyle name="60% - Accent5 4 3" xfId="5304" xr:uid="{00000000-0005-0000-0000-000008520000}"/>
    <cellStyle name="60% - Accent5 4 3 2" xfId="13089" xr:uid="{00000000-0005-0000-0000-000009520000}"/>
    <cellStyle name="60% - Accent5 4 3 3" xfId="22440" xr:uid="{00000000-0005-0000-0000-00000A520000}"/>
    <cellStyle name="60% - Accent5 4 4" xfId="9621" xr:uid="{00000000-0005-0000-0000-00000B520000}"/>
    <cellStyle name="60% - Accent5 4 5" xfId="22442" xr:uid="{00000000-0005-0000-0000-00000C520000}"/>
    <cellStyle name="60% - Accent5 5" xfId="5305" xr:uid="{00000000-0005-0000-0000-00000D520000}"/>
    <cellStyle name="60% - Accent5 5 2" xfId="5306" xr:uid="{00000000-0005-0000-0000-00000E520000}"/>
    <cellStyle name="60% - Accent5 5 2 2" xfId="9623" xr:uid="{00000000-0005-0000-0000-00000F520000}"/>
    <cellStyle name="60% - Accent5 5 2 3" xfId="22438" xr:uid="{00000000-0005-0000-0000-000010520000}"/>
    <cellStyle name="60% - Accent5 5 3" xfId="9622" xr:uid="{00000000-0005-0000-0000-000011520000}"/>
    <cellStyle name="60% - Accent5 5 4" xfId="22439" xr:uid="{00000000-0005-0000-0000-000012520000}"/>
    <cellStyle name="60% - Accent5 6" xfId="5307" xr:uid="{00000000-0005-0000-0000-000013520000}"/>
    <cellStyle name="60% - Accent5 6 2" xfId="9624" xr:uid="{00000000-0005-0000-0000-000014520000}"/>
    <cellStyle name="60% - Accent5 6 3" xfId="22437" xr:uid="{00000000-0005-0000-0000-000015520000}"/>
    <cellStyle name="60% - Accent5 7" xfId="5308" xr:uid="{00000000-0005-0000-0000-000016520000}"/>
    <cellStyle name="60% - Accent5 7 2" xfId="9625" xr:uid="{00000000-0005-0000-0000-000017520000}"/>
    <cellStyle name="60% - Accent5 7 3" xfId="22436" xr:uid="{00000000-0005-0000-0000-000018520000}"/>
    <cellStyle name="60% - Accent5 8" xfId="5309" xr:uid="{00000000-0005-0000-0000-000019520000}"/>
    <cellStyle name="60% - Accent5 8 2" xfId="9626" xr:uid="{00000000-0005-0000-0000-00001A520000}"/>
    <cellStyle name="60% - Accent5 8 3" xfId="22435" xr:uid="{00000000-0005-0000-0000-00001B520000}"/>
    <cellStyle name="60% - Accent5 9" xfId="5310" xr:uid="{00000000-0005-0000-0000-00001C520000}"/>
    <cellStyle name="60% - Accent5 9 2" xfId="9627" xr:uid="{00000000-0005-0000-0000-00001D520000}"/>
    <cellStyle name="60% - Accent5 9 3" xfId="22434" xr:uid="{00000000-0005-0000-0000-00001E520000}"/>
    <cellStyle name="60% - Accent6" xfId="39" builtinId="52" customBuiltin="1"/>
    <cellStyle name="60% - Accent6 10" xfId="5311" xr:uid="{00000000-0005-0000-0000-000020520000}"/>
    <cellStyle name="60% - Accent6 10 2" xfId="9629" xr:uid="{00000000-0005-0000-0000-000021520000}"/>
    <cellStyle name="60% - Accent6 10 3" xfId="22433" xr:uid="{00000000-0005-0000-0000-000022520000}"/>
    <cellStyle name="60% - Accent6 11" xfId="5312" xr:uid="{00000000-0005-0000-0000-000023520000}"/>
    <cellStyle name="60% - Accent6 11 2" xfId="9630" xr:uid="{00000000-0005-0000-0000-000024520000}"/>
    <cellStyle name="60% - Accent6 11 3" xfId="22432" xr:uid="{00000000-0005-0000-0000-000025520000}"/>
    <cellStyle name="60% - Accent6 12" xfId="5313" xr:uid="{00000000-0005-0000-0000-000026520000}"/>
    <cellStyle name="60% - Accent6 12 2" xfId="5314" xr:uid="{00000000-0005-0000-0000-000027520000}"/>
    <cellStyle name="60% - Accent6 12 2 2" xfId="15574" xr:uid="{00000000-0005-0000-0000-000028520000}"/>
    <cellStyle name="60% - Accent6 12 2 3" xfId="22430" xr:uid="{00000000-0005-0000-0000-000029520000}"/>
    <cellStyle name="60% - Accent6 12 3" xfId="10468" xr:uid="{00000000-0005-0000-0000-00002A520000}"/>
    <cellStyle name="60% - Accent6 12 4" xfId="22431" xr:uid="{00000000-0005-0000-0000-00002B520000}"/>
    <cellStyle name="60% - Accent6 13" xfId="5315" xr:uid="{00000000-0005-0000-0000-00002C520000}"/>
    <cellStyle name="60% - Accent6 13 2" xfId="11295" xr:uid="{00000000-0005-0000-0000-00002D520000}"/>
    <cellStyle name="60% - Accent6 13 3" xfId="22429" xr:uid="{00000000-0005-0000-0000-00002E520000}"/>
    <cellStyle name="60% - Accent6 14" xfId="5316" xr:uid="{00000000-0005-0000-0000-00002F520000}"/>
    <cellStyle name="60% - Accent6 14 2" xfId="9628" xr:uid="{00000000-0005-0000-0000-000030520000}"/>
    <cellStyle name="60% - Accent6 14 3" xfId="22428" xr:uid="{00000000-0005-0000-0000-000031520000}"/>
    <cellStyle name="60% - Accent6 2" xfId="5317" xr:uid="{00000000-0005-0000-0000-000032520000}"/>
    <cellStyle name="60% - Accent6 2 2" xfId="9631" xr:uid="{00000000-0005-0000-0000-000033520000}"/>
    <cellStyle name="60% - Accent6 2 3" xfId="22427" xr:uid="{00000000-0005-0000-0000-000034520000}"/>
    <cellStyle name="60% - Accent6 3" xfId="5318" xr:uid="{00000000-0005-0000-0000-000035520000}"/>
    <cellStyle name="60% - Accent6 3 2" xfId="5319" xr:uid="{00000000-0005-0000-0000-000036520000}"/>
    <cellStyle name="60% - Accent6 3 2 2" xfId="9633" xr:uid="{00000000-0005-0000-0000-000037520000}"/>
    <cellStyle name="60% - Accent6 3 2 3" xfId="22425" xr:uid="{00000000-0005-0000-0000-000038520000}"/>
    <cellStyle name="60% - Accent6 3 3" xfId="9632" xr:uid="{00000000-0005-0000-0000-000039520000}"/>
    <cellStyle name="60% - Accent6 3 4" xfId="22426" xr:uid="{00000000-0005-0000-0000-00003A520000}"/>
    <cellStyle name="60% - Accent6 4" xfId="5320" xr:uid="{00000000-0005-0000-0000-00003B520000}"/>
    <cellStyle name="60% - Accent6 4 2" xfId="5321" xr:uid="{00000000-0005-0000-0000-00003C520000}"/>
    <cellStyle name="60% - Accent6 4 2 2" xfId="13092" xr:uid="{00000000-0005-0000-0000-00003D520000}"/>
    <cellStyle name="60% - Accent6 4 2 3" xfId="22423" xr:uid="{00000000-0005-0000-0000-00003E520000}"/>
    <cellStyle name="60% - Accent6 4 3" xfId="5322" xr:uid="{00000000-0005-0000-0000-00003F520000}"/>
    <cellStyle name="60% - Accent6 4 3 2" xfId="13091" xr:uid="{00000000-0005-0000-0000-000040520000}"/>
    <cellStyle name="60% - Accent6 4 3 3" xfId="22422" xr:uid="{00000000-0005-0000-0000-000041520000}"/>
    <cellStyle name="60% - Accent6 4 4" xfId="9634" xr:uid="{00000000-0005-0000-0000-000042520000}"/>
    <cellStyle name="60% - Accent6 4 5" xfId="22424" xr:uid="{00000000-0005-0000-0000-000043520000}"/>
    <cellStyle name="60% - Accent6 5" xfId="5323" xr:uid="{00000000-0005-0000-0000-000044520000}"/>
    <cellStyle name="60% - Accent6 5 2" xfId="5324" xr:uid="{00000000-0005-0000-0000-000045520000}"/>
    <cellStyle name="60% - Accent6 5 2 2" xfId="9636" xr:uid="{00000000-0005-0000-0000-000046520000}"/>
    <cellStyle name="60% - Accent6 5 2 3" xfId="22420" xr:uid="{00000000-0005-0000-0000-000047520000}"/>
    <cellStyle name="60% - Accent6 5 3" xfId="9635" xr:uid="{00000000-0005-0000-0000-000048520000}"/>
    <cellStyle name="60% - Accent6 5 4" xfId="22421" xr:uid="{00000000-0005-0000-0000-000049520000}"/>
    <cellStyle name="60% - Accent6 6" xfId="5325" xr:uid="{00000000-0005-0000-0000-00004A520000}"/>
    <cellStyle name="60% - Accent6 6 2" xfId="9637" xr:uid="{00000000-0005-0000-0000-00004B520000}"/>
    <cellStyle name="60% - Accent6 6 3" xfId="22419" xr:uid="{00000000-0005-0000-0000-00004C520000}"/>
    <cellStyle name="60% - Accent6 7" xfId="5326" xr:uid="{00000000-0005-0000-0000-00004D520000}"/>
    <cellStyle name="60% - Accent6 7 2" xfId="9638" xr:uid="{00000000-0005-0000-0000-00004E520000}"/>
    <cellStyle name="60% - Accent6 7 3" xfId="22418" xr:uid="{00000000-0005-0000-0000-00004F520000}"/>
    <cellStyle name="60% - Accent6 8" xfId="5327" xr:uid="{00000000-0005-0000-0000-000050520000}"/>
    <cellStyle name="60% - Accent6 8 2" xfId="9639" xr:uid="{00000000-0005-0000-0000-000051520000}"/>
    <cellStyle name="60% - Accent6 8 3" xfId="22417" xr:uid="{00000000-0005-0000-0000-000052520000}"/>
    <cellStyle name="60% - Accent6 9" xfId="5328" xr:uid="{00000000-0005-0000-0000-000053520000}"/>
    <cellStyle name="60% - Accent6 9 2" xfId="9640" xr:uid="{00000000-0005-0000-0000-000054520000}"/>
    <cellStyle name="60% - Accent6 9 3" xfId="22416" xr:uid="{00000000-0005-0000-0000-000055520000}"/>
    <cellStyle name="Accent1" xfId="17" builtinId="29" customBuiltin="1"/>
    <cellStyle name="Accent1 10" xfId="5329" xr:uid="{00000000-0005-0000-0000-000057520000}"/>
    <cellStyle name="Accent1 10 2" xfId="9642" xr:uid="{00000000-0005-0000-0000-000058520000}"/>
    <cellStyle name="Accent1 10 3" xfId="22415" xr:uid="{00000000-0005-0000-0000-000059520000}"/>
    <cellStyle name="Accent1 11" xfId="5330" xr:uid="{00000000-0005-0000-0000-00005A520000}"/>
    <cellStyle name="Accent1 11 2" xfId="9643" xr:uid="{00000000-0005-0000-0000-00005B520000}"/>
    <cellStyle name="Accent1 11 3" xfId="22414" xr:uid="{00000000-0005-0000-0000-00005C520000}"/>
    <cellStyle name="Accent1 12" xfId="5331" xr:uid="{00000000-0005-0000-0000-00005D520000}"/>
    <cellStyle name="Accent1 12 2" xfId="5332" xr:uid="{00000000-0005-0000-0000-00005E520000}"/>
    <cellStyle name="Accent1 12 2 2" xfId="15575" xr:uid="{00000000-0005-0000-0000-00005F520000}"/>
    <cellStyle name="Accent1 12 2 3" xfId="22412" xr:uid="{00000000-0005-0000-0000-000060520000}"/>
    <cellStyle name="Accent1 12 3" xfId="10469" xr:uid="{00000000-0005-0000-0000-000061520000}"/>
    <cellStyle name="Accent1 12 4" xfId="22413" xr:uid="{00000000-0005-0000-0000-000062520000}"/>
    <cellStyle name="Accent1 13" xfId="5333" xr:uid="{00000000-0005-0000-0000-000063520000}"/>
    <cellStyle name="Accent1 13 2" xfId="11296" xr:uid="{00000000-0005-0000-0000-000064520000}"/>
    <cellStyle name="Accent1 13 3" xfId="22411" xr:uid="{00000000-0005-0000-0000-000065520000}"/>
    <cellStyle name="Accent1 14" xfId="5334" xr:uid="{00000000-0005-0000-0000-000066520000}"/>
    <cellStyle name="Accent1 14 2" xfId="9641" xr:uid="{00000000-0005-0000-0000-000067520000}"/>
    <cellStyle name="Accent1 14 3" xfId="22410" xr:uid="{00000000-0005-0000-0000-000068520000}"/>
    <cellStyle name="Accent1 2" xfId="5335" xr:uid="{00000000-0005-0000-0000-000069520000}"/>
    <cellStyle name="Accent1 2 2" xfId="9644" xr:uid="{00000000-0005-0000-0000-00006A520000}"/>
    <cellStyle name="Accent1 2 3" xfId="22409" xr:uid="{00000000-0005-0000-0000-00006B520000}"/>
    <cellStyle name="Accent1 3" xfId="5336" xr:uid="{00000000-0005-0000-0000-00006C520000}"/>
    <cellStyle name="Accent1 3 2" xfId="5337" xr:uid="{00000000-0005-0000-0000-00006D520000}"/>
    <cellStyle name="Accent1 3 2 2" xfId="9646" xr:uid="{00000000-0005-0000-0000-00006E520000}"/>
    <cellStyle name="Accent1 3 2 3" xfId="22407" xr:uid="{00000000-0005-0000-0000-00006F520000}"/>
    <cellStyle name="Accent1 3 3" xfId="9645" xr:uid="{00000000-0005-0000-0000-000070520000}"/>
    <cellStyle name="Accent1 3 4" xfId="22408" xr:uid="{00000000-0005-0000-0000-000071520000}"/>
    <cellStyle name="Accent1 4" xfId="5338" xr:uid="{00000000-0005-0000-0000-000072520000}"/>
    <cellStyle name="Accent1 4 2" xfId="5339" xr:uid="{00000000-0005-0000-0000-000073520000}"/>
    <cellStyle name="Accent1 4 2 2" xfId="13094" xr:uid="{00000000-0005-0000-0000-000074520000}"/>
    <cellStyle name="Accent1 4 2 3" xfId="22405" xr:uid="{00000000-0005-0000-0000-000075520000}"/>
    <cellStyle name="Accent1 4 3" xfId="5340" xr:uid="{00000000-0005-0000-0000-000076520000}"/>
    <cellStyle name="Accent1 4 3 2" xfId="13093" xr:uid="{00000000-0005-0000-0000-000077520000}"/>
    <cellStyle name="Accent1 4 3 3" xfId="22404" xr:uid="{00000000-0005-0000-0000-000078520000}"/>
    <cellStyle name="Accent1 4 4" xfId="9647" xr:uid="{00000000-0005-0000-0000-000079520000}"/>
    <cellStyle name="Accent1 4 5" xfId="22406" xr:uid="{00000000-0005-0000-0000-00007A520000}"/>
    <cellStyle name="Accent1 5" xfId="5341" xr:uid="{00000000-0005-0000-0000-00007B520000}"/>
    <cellStyle name="Accent1 5 2" xfId="5342" xr:uid="{00000000-0005-0000-0000-00007C520000}"/>
    <cellStyle name="Accent1 5 2 2" xfId="9649" xr:uid="{00000000-0005-0000-0000-00007D520000}"/>
    <cellStyle name="Accent1 5 2 3" xfId="22402" xr:uid="{00000000-0005-0000-0000-00007E520000}"/>
    <cellStyle name="Accent1 5 3" xfId="9648" xr:uid="{00000000-0005-0000-0000-00007F520000}"/>
    <cellStyle name="Accent1 5 4" xfId="22403" xr:uid="{00000000-0005-0000-0000-000080520000}"/>
    <cellStyle name="Accent1 6" xfId="5343" xr:uid="{00000000-0005-0000-0000-000081520000}"/>
    <cellStyle name="Accent1 6 2" xfId="9650" xr:uid="{00000000-0005-0000-0000-000082520000}"/>
    <cellStyle name="Accent1 6 3" xfId="22401" xr:uid="{00000000-0005-0000-0000-000083520000}"/>
    <cellStyle name="Accent1 7" xfId="5344" xr:uid="{00000000-0005-0000-0000-000084520000}"/>
    <cellStyle name="Accent1 7 2" xfId="9651" xr:uid="{00000000-0005-0000-0000-000085520000}"/>
    <cellStyle name="Accent1 7 3" xfId="22400" xr:uid="{00000000-0005-0000-0000-000086520000}"/>
    <cellStyle name="Accent1 8" xfId="5345" xr:uid="{00000000-0005-0000-0000-000087520000}"/>
    <cellStyle name="Accent1 8 2" xfId="9652" xr:uid="{00000000-0005-0000-0000-000088520000}"/>
    <cellStyle name="Accent1 8 3" xfId="22399" xr:uid="{00000000-0005-0000-0000-000089520000}"/>
    <cellStyle name="Accent1 9" xfId="5346" xr:uid="{00000000-0005-0000-0000-00008A520000}"/>
    <cellStyle name="Accent1 9 2" xfId="9653" xr:uid="{00000000-0005-0000-0000-00008B520000}"/>
    <cellStyle name="Accent1 9 3" xfId="22398" xr:uid="{00000000-0005-0000-0000-00008C520000}"/>
    <cellStyle name="Accent2" xfId="21" builtinId="33" customBuiltin="1"/>
    <cellStyle name="Accent2 10" xfId="5347" xr:uid="{00000000-0005-0000-0000-00008E520000}"/>
    <cellStyle name="Accent2 10 2" xfId="9655" xr:uid="{00000000-0005-0000-0000-00008F520000}"/>
    <cellStyle name="Accent2 10 3" xfId="22397" xr:uid="{00000000-0005-0000-0000-000090520000}"/>
    <cellStyle name="Accent2 11" xfId="5348" xr:uid="{00000000-0005-0000-0000-000091520000}"/>
    <cellStyle name="Accent2 11 2" xfId="9656" xr:uid="{00000000-0005-0000-0000-000092520000}"/>
    <cellStyle name="Accent2 11 3" xfId="22396" xr:uid="{00000000-0005-0000-0000-000093520000}"/>
    <cellStyle name="Accent2 12" xfId="5349" xr:uid="{00000000-0005-0000-0000-000094520000}"/>
    <cellStyle name="Accent2 12 2" xfId="5350" xr:uid="{00000000-0005-0000-0000-000095520000}"/>
    <cellStyle name="Accent2 12 2 2" xfId="15576" xr:uid="{00000000-0005-0000-0000-000096520000}"/>
    <cellStyle name="Accent2 12 2 3" xfId="22394" xr:uid="{00000000-0005-0000-0000-000097520000}"/>
    <cellStyle name="Accent2 12 3" xfId="10470" xr:uid="{00000000-0005-0000-0000-000098520000}"/>
    <cellStyle name="Accent2 12 4" xfId="22395" xr:uid="{00000000-0005-0000-0000-000099520000}"/>
    <cellStyle name="Accent2 13" xfId="5351" xr:uid="{00000000-0005-0000-0000-00009A520000}"/>
    <cellStyle name="Accent2 13 2" xfId="11297" xr:uid="{00000000-0005-0000-0000-00009B520000}"/>
    <cellStyle name="Accent2 13 3" xfId="22393" xr:uid="{00000000-0005-0000-0000-00009C520000}"/>
    <cellStyle name="Accent2 14" xfId="5352" xr:uid="{00000000-0005-0000-0000-00009D520000}"/>
    <cellStyle name="Accent2 14 2" xfId="9654" xr:uid="{00000000-0005-0000-0000-00009E520000}"/>
    <cellStyle name="Accent2 14 3" xfId="22392" xr:uid="{00000000-0005-0000-0000-00009F520000}"/>
    <cellStyle name="Accent2 2" xfId="5353" xr:uid="{00000000-0005-0000-0000-0000A0520000}"/>
    <cellStyle name="Accent2 2 2" xfId="9657" xr:uid="{00000000-0005-0000-0000-0000A1520000}"/>
    <cellStyle name="Accent2 2 3" xfId="22391" xr:uid="{00000000-0005-0000-0000-0000A2520000}"/>
    <cellStyle name="Accent2 3" xfId="5354" xr:uid="{00000000-0005-0000-0000-0000A3520000}"/>
    <cellStyle name="Accent2 3 2" xfId="5355" xr:uid="{00000000-0005-0000-0000-0000A4520000}"/>
    <cellStyle name="Accent2 3 2 2" xfId="9659" xr:uid="{00000000-0005-0000-0000-0000A5520000}"/>
    <cellStyle name="Accent2 3 2 3" xfId="22389" xr:uid="{00000000-0005-0000-0000-0000A6520000}"/>
    <cellStyle name="Accent2 3 3" xfId="9658" xr:uid="{00000000-0005-0000-0000-0000A7520000}"/>
    <cellStyle name="Accent2 3 4" xfId="22390" xr:uid="{00000000-0005-0000-0000-0000A8520000}"/>
    <cellStyle name="Accent2 4" xfId="5356" xr:uid="{00000000-0005-0000-0000-0000A9520000}"/>
    <cellStyle name="Accent2 4 2" xfId="5357" xr:uid="{00000000-0005-0000-0000-0000AA520000}"/>
    <cellStyle name="Accent2 4 2 2" xfId="13096" xr:uid="{00000000-0005-0000-0000-0000AB520000}"/>
    <cellStyle name="Accent2 4 2 3" xfId="22387" xr:uid="{00000000-0005-0000-0000-0000AC520000}"/>
    <cellStyle name="Accent2 4 3" xfId="5358" xr:uid="{00000000-0005-0000-0000-0000AD520000}"/>
    <cellStyle name="Accent2 4 3 2" xfId="13095" xr:uid="{00000000-0005-0000-0000-0000AE520000}"/>
    <cellStyle name="Accent2 4 3 3" xfId="22386" xr:uid="{00000000-0005-0000-0000-0000AF520000}"/>
    <cellStyle name="Accent2 4 4" xfId="9660" xr:uid="{00000000-0005-0000-0000-0000B0520000}"/>
    <cellStyle name="Accent2 4 5" xfId="22388" xr:uid="{00000000-0005-0000-0000-0000B1520000}"/>
    <cellStyle name="Accent2 5" xfId="5359" xr:uid="{00000000-0005-0000-0000-0000B2520000}"/>
    <cellStyle name="Accent2 5 2" xfId="5360" xr:uid="{00000000-0005-0000-0000-0000B3520000}"/>
    <cellStyle name="Accent2 5 2 2" xfId="9662" xr:uid="{00000000-0005-0000-0000-0000B4520000}"/>
    <cellStyle name="Accent2 5 2 3" xfId="22384" xr:uid="{00000000-0005-0000-0000-0000B5520000}"/>
    <cellStyle name="Accent2 5 3" xfId="9661" xr:uid="{00000000-0005-0000-0000-0000B6520000}"/>
    <cellStyle name="Accent2 5 4" xfId="22385" xr:uid="{00000000-0005-0000-0000-0000B7520000}"/>
    <cellStyle name="Accent2 6" xfId="5361" xr:uid="{00000000-0005-0000-0000-0000B8520000}"/>
    <cellStyle name="Accent2 6 2" xfId="9663" xr:uid="{00000000-0005-0000-0000-0000B9520000}"/>
    <cellStyle name="Accent2 6 3" xfId="22383" xr:uid="{00000000-0005-0000-0000-0000BA520000}"/>
    <cellStyle name="Accent2 7" xfId="5362" xr:uid="{00000000-0005-0000-0000-0000BB520000}"/>
    <cellStyle name="Accent2 7 2" xfId="9664" xr:uid="{00000000-0005-0000-0000-0000BC520000}"/>
    <cellStyle name="Accent2 7 3" xfId="22382" xr:uid="{00000000-0005-0000-0000-0000BD520000}"/>
    <cellStyle name="Accent2 8" xfId="5363" xr:uid="{00000000-0005-0000-0000-0000BE520000}"/>
    <cellStyle name="Accent2 8 2" xfId="9665" xr:uid="{00000000-0005-0000-0000-0000BF520000}"/>
    <cellStyle name="Accent2 8 3" xfId="22381" xr:uid="{00000000-0005-0000-0000-0000C0520000}"/>
    <cellStyle name="Accent2 9" xfId="5364" xr:uid="{00000000-0005-0000-0000-0000C1520000}"/>
    <cellStyle name="Accent2 9 2" xfId="9666" xr:uid="{00000000-0005-0000-0000-0000C2520000}"/>
    <cellStyle name="Accent2 9 3" xfId="22380" xr:uid="{00000000-0005-0000-0000-0000C3520000}"/>
    <cellStyle name="Accent3" xfId="25" builtinId="37" customBuiltin="1"/>
    <cellStyle name="Accent3 10" xfId="5365" xr:uid="{00000000-0005-0000-0000-0000C5520000}"/>
    <cellStyle name="Accent3 10 2" xfId="9668" xr:uid="{00000000-0005-0000-0000-0000C6520000}"/>
    <cellStyle name="Accent3 10 3" xfId="22379" xr:uid="{00000000-0005-0000-0000-0000C7520000}"/>
    <cellStyle name="Accent3 11" xfId="5366" xr:uid="{00000000-0005-0000-0000-0000C8520000}"/>
    <cellStyle name="Accent3 11 2" xfId="9669" xr:uid="{00000000-0005-0000-0000-0000C9520000}"/>
    <cellStyle name="Accent3 11 3" xfId="22378" xr:uid="{00000000-0005-0000-0000-0000CA520000}"/>
    <cellStyle name="Accent3 12" xfId="5367" xr:uid="{00000000-0005-0000-0000-0000CB520000}"/>
    <cellStyle name="Accent3 12 2" xfId="5368" xr:uid="{00000000-0005-0000-0000-0000CC520000}"/>
    <cellStyle name="Accent3 12 2 2" xfId="15577" xr:uid="{00000000-0005-0000-0000-0000CD520000}"/>
    <cellStyle name="Accent3 12 2 3" xfId="22376" xr:uid="{00000000-0005-0000-0000-0000CE520000}"/>
    <cellStyle name="Accent3 12 3" xfId="10471" xr:uid="{00000000-0005-0000-0000-0000CF520000}"/>
    <cellStyle name="Accent3 12 4" xfId="22377" xr:uid="{00000000-0005-0000-0000-0000D0520000}"/>
    <cellStyle name="Accent3 13" xfId="5369" xr:uid="{00000000-0005-0000-0000-0000D1520000}"/>
    <cellStyle name="Accent3 13 2" xfId="11298" xr:uid="{00000000-0005-0000-0000-0000D2520000}"/>
    <cellStyle name="Accent3 13 3" xfId="22375" xr:uid="{00000000-0005-0000-0000-0000D3520000}"/>
    <cellStyle name="Accent3 14" xfId="5370" xr:uid="{00000000-0005-0000-0000-0000D4520000}"/>
    <cellStyle name="Accent3 14 2" xfId="9667" xr:uid="{00000000-0005-0000-0000-0000D5520000}"/>
    <cellStyle name="Accent3 14 3" xfId="22374" xr:uid="{00000000-0005-0000-0000-0000D6520000}"/>
    <cellStyle name="Accent3 2" xfId="5371" xr:uid="{00000000-0005-0000-0000-0000D7520000}"/>
    <cellStyle name="Accent3 2 2" xfId="9670" xr:uid="{00000000-0005-0000-0000-0000D8520000}"/>
    <cellStyle name="Accent3 2 3" xfId="22373" xr:uid="{00000000-0005-0000-0000-0000D9520000}"/>
    <cellStyle name="Accent3 3" xfId="5372" xr:uid="{00000000-0005-0000-0000-0000DA520000}"/>
    <cellStyle name="Accent3 3 2" xfId="5373" xr:uid="{00000000-0005-0000-0000-0000DB520000}"/>
    <cellStyle name="Accent3 3 2 2" xfId="9672" xr:uid="{00000000-0005-0000-0000-0000DC520000}"/>
    <cellStyle name="Accent3 3 2 3" xfId="22371" xr:uid="{00000000-0005-0000-0000-0000DD520000}"/>
    <cellStyle name="Accent3 3 3" xfId="9671" xr:uid="{00000000-0005-0000-0000-0000DE520000}"/>
    <cellStyle name="Accent3 3 4" xfId="22372" xr:uid="{00000000-0005-0000-0000-0000DF520000}"/>
    <cellStyle name="Accent3 4" xfId="5374" xr:uid="{00000000-0005-0000-0000-0000E0520000}"/>
    <cellStyle name="Accent3 4 2" xfId="5375" xr:uid="{00000000-0005-0000-0000-0000E1520000}"/>
    <cellStyle name="Accent3 4 2 2" xfId="13098" xr:uid="{00000000-0005-0000-0000-0000E2520000}"/>
    <cellStyle name="Accent3 4 2 3" xfId="22369" xr:uid="{00000000-0005-0000-0000-0000E3520000}"/>
    <cellStyle name="Accent3 4 3" xfId="5376" xr:uid="{00000000-0005-0000-0000-0000E4520000}"/>
    <cellStyle name="Accent3 4 3 2" xfId="13097" xr:uid="{00000000-0005-0000-0000-0000E5520000}"/>
    <cellStyle name="Accent3 4 3 3" xfId="22368" xr:uid="{00000000-0005-0000-0000-0000E6520000}"/>
    <cellStyle name="Accent3 4 4" xfId="9673" xr:uid="{00000000-0005-0000-0000-0000E7520000}"/>
    <cellStyle name="Accent3 4 5" xfId="22370" xr:uid="{00000000-0005-0000-0000-0000E8520000}"/>
    <cellStyle name="Accent3 5" xfId="5377" xr:uid="{00000000-0005-0000-0000-0000E9520000}"/>
    <cellStyle name="Accent3 5 2" xfId="5378" xr:uid="{00000000-0005-0000-0000-0000EA520000}"/>
    <cellStyle name="Accent3 5 2 2" xfId="9675" xr:uid="{00000000-0005-0000-0000-0000EB520000}"/>
    <cellStyle name="Accent3 5 2 3" xfId="22366" xr:uid="{00000000-0005-0000-0000-0000EC520000}"/>
    <cellStyle name="Accent3 5 3" xfId="9674" xr:uid="{00000000-0005-0000-0000-0000ED520000}"/>
    <cellStyle name="Accent3 5 4" xfId="22367" xr:uid="{00000000-0005-0000-0000-0000EE520000}"/>
    <cellStyle name="Accent3 6" xfId="5379" xr:uid="{00000000-0005-0000-0000-0000EF520000}"/>
    <cellStyle name="Accent3 6 2" xfId="9676" xr:uid="{00000000-0005-0000-0000-0000F0520000}"/>
    <cellStyle name="Accent3 6 3" xfId="22365" xr:uid="{00000000-0005-0000-0000-0000F1520000}"/>
    <cellStyle name="Accent3 7" xfId="5380" xr:uid="{00000000-0005-0000-0000-0000F2520000}"/>
    <cellStyle name="Accent3 7 2" xfId="9677" xr:uid="{00000000-0005-0000-0000-0000F3520000}"/>
    <cellStyle name="Accent3 7 3" xfId="22364" xr:uid="{00000000-0005-0000-0000-0000F4520000}"/>
    <cellStyle name="Accent3 8" xfId="5381" xr:uid="{00000000-0005-0000-0000-0000F5520000}"/>
    <cellStyle name="Accent3 8 2" xfId="9678" xr:uid="{00000000-0005-0000-0000-0000F6520000}"/>
    <cellStyle name="Accent3 8 3" xfId="22363" xr:uid="{00000000-0005-0000-0000-0000F7520000}"/>
    <cellStyle name="Accent3 9" xfId="5382" xr:uid="{00000000-0005-0000-0000-0000F8520000}"/>
    <cellStyle name="Accent3 9 2" xfId="9679" xr:uid="{00000000-0005-0000-0000-0000F9520000}"/>
    <cellStyle name="Accent3 9 3" xfId="22362" xr:uid="{00000000-0005-0000-0000-0000FA520000}"/>
    <cellStyle name="Accent4" xfId="29" builtinId="41" customBuiltin="1"/>
    <cellStyle name="Accent4 10" xfId="5383" xr:uid="{00000000-0005-0000-0000-0000FC520000}"/>
    <cellStyle name="Accent4 10 2" xfId="9681" xr:uid="{00000000-0005-0000-0000-0000FD520000}"/>
    <cellStyle name="Accent4 10 3" xfId="22361" xr:uid="{00000000-0005-0000-0000-0000FE520000}"/>
    <cellStyle name="Accent4 11" xfId="5384" xr:uid="{00000000-0005-0000-0000-0000FF520000}"/>
    <cellStyle name="Accent4 11 2" xfId="9682" xr:uid="{00000000-0005-0000-0000-000000530000}"/>
    <cellStyle name="Accent4 11 3" xfId="22360" xr:uid="{00000000-0005-0000-0000-000001530000}"/>
    <cellStyle name="Accent4 12" xfId="5385" xr:uid="{00000000-0005-0000-0000-000002530000}"/>
    <cellStyle name="Accent4 12 2" xfId="5386" xr:uid="{00000000-0005-0000-0000-000003530000}"/>
    <cellStyle name="Accent4 12 2 2" xfId="15578" xr:uid="{00000000-0005-0000-0000-000004530000}"/>
    <cellStyle name="Accent4 12 2 3" xfId="22358" xr:uid="{00000000-0005-0000-0000-000005530000}"/>
    <cellStyle name="Accent4 12 3" xfId="10472" xr:uid="{00000000-0005-0000-0000-000006530000}"/>
    <cellStyle name="Accent4 12 4" xfId="22359" xr:uid="{00000000-0005-0000-0000-000007530000}"/>
    <cellStyle name="Accent4 13" xfId="5387" xr:uid="{00000000-0005-0000-0000-000008530000}"/>
    <cellStyle name="Accent4 13 2" xfId="11299" xr:uid="{00000000-0005-0000-0000-000009530000}"/>
    <cellStyle name="Accent4 13 3" xfId="22357" xr:uid="{00000000-0005-0000-0000-00000A530000}"/>
    <cellStyle name="Accent4 14" xfId="5388" xr:uid="{00000000-0005-0000-0000-00000B530000}"/>
    <cellStyle name="Accent4 14 2" xfId="9680" xr:uid="{00000000-0005-0000-0000-00000C530000}"/>
    <cellStyle name="Accent4 14 3" xfId="22356" xr:uid="{00000000-0005-0000-0000-00000D530000}"/>
    <cellStyle name="Accent4 2" xfId="5389" xr:uid="{00000000-0005-0000-0000-00000E530000}"/>
    <cellStyle name="Accent4 2 2" xfId="9683" xr:uid="{00000000-0005-0000-0000-00000F530000}"/>
    <cellStyle name="Accent4 2 3" xfId="22355" xr:uid="{00000000-0005-0000-0000-000010530000}"/>
    <cellStyle name="Accent4 3" xfId="5390" xr:uid="{00000000-0005-0000-0000-000011530000}"/>
    <cellStyle name="Accent4 3 2" xfId="5391" xr:uid="{00000000-0005-0000-0000-000012530000}"/>
    <cellStyle name="Accent4 3 2 2" xfId="9685" xr:uid="{00000000-0005-0000-0000-000013530000}"/>
    <cellStyle name="Accent4 3 2 3" xfId="22353" xr:uid="{00000000-0005-0000-0000-000014530000}"/>
    <cellStyle name="Accent4 3 3" xfId="9684" xr:uid="{00000000-0005-0000-0000-000015530000}"/>
    <cellStyle name="Accent4 3 4" xfId="22354" xr:uid="{00000000-0005-0000-0000-000016530000}"/>
    <cellStyle name="Accent4 4" xfId="5392" xr:uid="{00000000-0005-0000-0000-000017530000}"/>
    <cellStyle name="Accent4 4 2" xfId="5393" xr:uid="{00000000-0005-0000-0000-000018530000}"/>
    <cellStyle name="Accent4 4 2 2" xfId="13100" xr:uid="{00000000-0005-0000-0000-000019530000}"/>
    <cellStyle name="Accent4 4 2 3" xfId="22351" xr:uid="{00000000-0005-0000-0000-00001A530000}"/>
    <cellStyle name="Accent4 4 3" xfId="5394" xr:uid="{00000000-0005-0000-0000-00001B530000}"/>
    <cellStyle name="Accent4 4 3 2" xfId="13099" xr:uid="{00000000-0005-0000-0000-00001C530000}"/>
    <cellStyle name="Accent4 4 3 3" xfId="22350" xr:uid="{00000000-0005-0000-0000-00001D530000}"/>
    <cellStyle name="Accent4 4 4" xfId="9686" xr:uid="{00000000-0005-0000-0000-00001E530000}"/>
    <cellStyle name="Accent4 4 5" xfId="22352" xr:uid="{00000000-0005-0000-0000-00001F530000}"/>
    <cellStyle name="Accent4 5" xfId="5395" xr:uid="{00000000-0005-0000-0000-000020530000}"/>
    <cellStyle name="Accent4 5 2" xfId="5396" xr:uid="{00000000-0005-0000-0000-000021530000}"/>
    <cellStyle name="Accent4 5 2 2" xfId="9688" xr:uid="{00000000-0005-0000-0000-000022530000}"/>
    <cellStyle name="Accent4 5 2 3" xfId="22348" xr:uid="{00000000-0005-0000-0000-000023530000}"/>
    <cellStyle name="Accent4 5 3" xfId="9687" xr:uid="{00000000-0005-0000-0000-000024530000}"/>
    <cellStyle name="Accent4 5 4" xfId="22349" xr:uid="{00000000-0005-0000-0000-000025530000}"/>
    <cellStyle name="Accent4 6" xfId="5397" xr:uid="{00000000-0005-0000-0000-000026530000}"/>
    <cellStyle name="Accent4 6 2" xfId="9689" xr:uid="{00000000-0005-0000-0000-000027530000}"/>
    <cellStyle name="Accent4 6 3" xfId="22347" xr:uid="{00000000-0005-0000-0000-000028530000}"/>
    <cellStyle name="Accent4 7" xfId="5398" xr:uid="{00000000-0005-0000-0000-000029530000}"/>
    <cellStyle name="Accent4 7 2" xfId="9690" xr:uid="{00000000-0005-0000-0000-00002A530000}"/>
    <cellStyle name="Accent4 7 3" xfId="22346" xr:uid="{00000000-0005-0000-0000-00002B530000}"/>
    <cellStyle name="Accent4 8" xfId="5399" xr:uid="{00000000-0005-0000-0000-00002C530000}"/>
    <cellStyle name="Accent4 8 2" xfId="9691" xr:uid="{00000000-0005-0000-0000-00002D530000}"/>
    <cellStyle name="Accent4 8 3" xfId="22345" xr:uid="{00000000-0005-0000-0000-00002E530000}"/>
    <cellStyle name="Accent4 9" xfId="5400" xr:uid="{00000000-0005-0000-0000-00002F530000}"/>
    <cellStyle name="Accent4 9 2" xfId="9692" xr:uid="{00000000-0005-0000-0000-000030530000}"/>
    <cellStyle name="Accent4 9 3" xfId="22344" xr:uid="{00000000-0005-0000-0000-000031530000}"/>
    <cellStyle name="Accent5" xfId="33026" builtinId="45" customBuiltin="1"/>
    <cellStyle name="Accent5 2" xfId="8806" xr:uid="{00000000-0005-0000-0000-000033530000}"/>
    <cellStyle name="Accent5 3" xfId="22343" xr:uid="{00000000-0005-0000-0000-000034530000}"/>
    <cellStyle name="Accent5 4" xfId="5401" xr:uid="{00000000-0005-0000-0000-000035530000}"/>
    <cellStyle name="Accent6" xfId="36" builtinId="49" customBuiltin="1"/>
    <cellStyle name="Accent6 10" xfId="5402" xr:uid="{00000000-0005-0000-0000-000037530000}"/>
    <cellStyle name="Accent6 10 2" xfId="9694" xr:uid="{00000000-0005-0000-0000-000038530000}"/>
    <cellStyle name="Accent6 10 3" xfId="22342" xr:uid="{00000000-0005-0000-0000-000039530000}"/>
    <cellStyle name="Accent6 11" xfId="5403" xr:uid="{00000000-0005-0000-0000-00003A530000}"/>
    <cellStyle name="Accent6 11 2" xfId="9695" xr:uid="{00000000-0005-0000-0000-00003B530000}"/>
    <cellStyle name="Accent6 11 3" xfId="22341" xr:uid="{00000000-0005-0000-0000-00003C530000}"/>
    <cellStyle name="Accent6 12" xfId="5404" xr:uid="{00000000-0005-0000-0000-00003D530000}"/>
    <cellStyle name="Accent6 12 2" xfId="5405" xr:uid="{00000000-0005-0000-0000-00003E530000}"/>
    <cellStyle name="Accent6 12 2 2" xfId="15579" xr:uid="{00000000-0005-0000-0000-00003F530000}"/>
    <cellStyle name="Accent6 12 2 3" xfId="22339" xr:uid="{00000000-0005-0000-0000-000040530000}"/>
    <cellStyle name="Accent6 12 3" xfId="10473" xr:uid="{00000000-0005-0000-0000-000041530000}"/>
    <cellStyle name="Accent6 12 4" xfId="22340" xr:uid="{00000000-0005-0000-0000-000042530000}"/>
    <cellStyle name="Accent6 13" xfId="5406" xr:uid="{00000000-0005-0000-0000-000043530000}"/>
    <cellStyle name="Accent6 13 2" xfId="11300" xr:uid="{00000000-0005-0000-0000-000044530000}"/>
    <cellStyle name="Accent6 13 3" xfId="22338" xr:uid="{00000000-0005-0000-0000-000045530000}"/>
    <cellStyle name="Accent6 14" xfId="5407" xr:uid="{00000000-0005-0000-0000-000046530000}"/>
    <cellStyle name="Accent6 14 2" xfId="9693" xr:uid="{00000000-0005-0000-0000-000047530000}"/>
    <cellStyle name="Accent6 14 3" xfId="22337" xr:uid="{00000000-0005-0000-0000-000048530000}"/>
    <cellStyle name="Accent6 2" xfId="5408" xr:uid="{00000000-0005-0000-0000-000049530000}"/>
    <cellStyle name="Accent6 2 2" xfId="9696" xr:uid="{00000000-0005-0000-0000-00004A530000}"/>
    <cellStyle name="Accent6 2 3" xfId="22336" xr:uid="{00000000-0005-0000-0000-00004B530000}"/>
    <cellStyle name="Accent6 3" xfId="5409" xr:uid="{00000000-0005-0000-0000-00004C530000}"/>
    <cellStyle name="Accent6 3 2" xfId="5410" xr:uid="{00000000-0005-0000-0000-00004D530000}"/>
    <cellStyle name="Accent6 3 2 2" xfId="9698" xr:uid="{00000000-0005-0000-0000-00004E530000}"/>
    <cellStyle name="Accent6 3 2 3" xfId="22334" xr:uid="{00000000-0005-0000-0000-00004F530000}"/>
    <cellStyle name="Accent6 3 3" xfId="9697" xr:uid="{00000000-0005-0000-0000-000050530000}"/>
    <cellStyle name="Accent6 3 4" xfId="22335" xr:uid="{00000000-0005-0000-0000-000051530000}"/>
    <cellStyle name="Accent6 4" xfId="5411" xr:uid="{00000000-0005-0000-0000-000052530000}"/>
    <cellStyle name="Accent6 4 2" xfId="5412" xr:uid="{00000000-0005-0000-0000-000053530000}"/>
    <cellStyle name="Accent6 4 2 2" xfId="13102" xr:uid="{00000000-0005-0000-0000-000054530000}"/>
    <cellStyle name="Accent6 4 2 3" xfId="22332" xr:uid="{00000000-0005-0000-0000-000055530000}"/>
    <cellStyle name="Accent6 4 3" xfId="5413" xr:uid="{00000000-0005-0000-0000-000056530000}"/>
    <cellStyle name="Accent6 4 3 2" xfId="13101" xr:uid="{00000000-0005-0000-0000-000057530000}"/>
    <cellStyle name="Accent6 4 3 3" xfId="22331" xr:uid="{00000000-0005-0000-0000-000058530000}"/>
    <cellStyle name="Accent6 4 4" xfId="9699" xr:uid="{00000000-0005-0000-0000-000059530000}"/>
    <cellStyle name="Accent6 4 5" xfId="22333" xr:uid="{00000000-0005-0000-0000-00005A530000}"/>
    <cellStyle name="Accent6 5" xfId="5414" xr:uid="{00000000-0005-0000-0000-00005B530000}"/>
    <cellStyle name="Accent6 5 2" xfId="5415" xr:uid="{00000000-0005-0000-0000-00005C530000}"/>
    <cellStyle name="Accent6 5 2 2" xfId="9701" xr:uid="{00000000-0005-0000-0000-00005D530000}"/>
    <cellStyle name="Accent6 5 2 3" xfId="22329" xr:uid="{00000000-0005-0000-0000-00005E530000}"/>
    <cellStyle name="Accent6 5 3" xfId="9700" xr:uid="{00000000-0005-0000-0000-00005F530000}"/>
    <cellStyle name="Accent6 5 4" xfId="22330" xr:uid="{00000000-0005-0000-0000-000060530000}"/>
    <cellStyle name="Accent6 6" xfId="5416" xr:uid="{00000000-0005-0000-0000-000061530000}"/>
    <cellStyle name="Accent6 6 2" xfId="9702" xr:uid="{00000000-0005-0000-0000-000062530000}"/>
    <cellStyle name="Accent6 6 3" xfId="22328" xr:uid="{00000000-0005-0000-0000-000063530000}"/>
    <cellStyle name="Accent6 7" xfId="5417" xr:uid="{00000000-0005-0000-0000-000064530000}"/>
    <cellStyle name="Accent6 7 2" xfId="9703" xr:uid="{00000000-0005-0000-0000-000065530000}"/>
    <cellStyle name="Accent6 7 3" xfId="22327" xr:uid="{00000000-0005-0000-0000-000066530000}"/>
    <cellStyle name="Accent6 8" xfId="5418" xr:uid="{00000000-0005-0000-0000-000067530000}"/>
    <cellStyle name="Accent6 8 2" xfId="9704" xr:uid="{00000000-0005-0000-0000-000068530000}"/>
    <cellStyle name="Accent6 8 3" xfId="22326" xr:uid="{00000000-0005-0000-0000-000069530000}"/>
    <cellStyle name="Accent6 9" xfId="5419" xr:uid="{00000000-0005-0000-0000-00006A530000}"/>
    <cellStyle name="Accent6 9 2" xfId="9705" xr:uid="{00000000-0005-0000-0000-00006B530000}"/>
    <cellStyle name="Accent6 9 3" xfId="22325" xr:uid="{00000000-0005-0000-0000-00006C530000}"/>
    <cellStyle name="Bad" xfId="10" builtinId="27" customBuiltin="1"/>
    <cellStyle name="Bad 10" xfId="5420" xr:uid="{00000000-0005-0000-0000-00006E530000}"/>
    <cellStyle name="Bad 10 2" xfId="9707" xr:uid="{00000000-0005-0000-0000-00006F530000}"/>
    <cellStyle name="Bad 10 3" xfId="22324" xr:uid="{00000000-0005-0000-0000-000070530000}"/>
    <cellStyle name="Bad 11" xfId="5421" xr:uid="{00000000-0005-0000-0000-000071530000}"/>
    <cellStyle name="Bad 11 2" xfId="9708" xr:uid="{00000000-0005-0000-0000-000072530000}"/>
    <cellStyle name="Bad 11 3" xfId="22323" xr:uid="{00000000-0005-0000-0000-000073530000}"/>
    <cellStyle name="Bad 12" xfId="5422" xr:uid="{00000000-0005-0000-0000-000074530000}"/>
    <cellStyle name="Bad 12 2" xfId="5423" xr:uid="{00000000-0005-0000-0000-000075530000}"/>
    <cellStyle name="Bad 12 2 2" xfId="15580" xr:uid="{00000000-0005-0000-0000-000076530000}"/>
    <cellStyle name="Bad 12 2 3" xfId="22321" xr:uid="{00000000-0005-0000-0000-000077530000}"/>
    <cellStyle name="Bad 12 3" xfId="10474" xr:uid="{00000000-0005-0000-0000-000078530000}"/>
    <cellStyle name="Bad 12 4" xfId="22322" xr:uid="{00000000-0005-0000-0000-000079530000}"/>
    <cellStyle name="Bad 13" xfId="5424" xr:uid="{00000000-0005-0000-0000-00007A530000}"/>
    <cellStyle name="Bad 13 2" xfId="11301" xr:uid="{00000000-0005-0000-0000-00007B530000}"/>
    <cellStyle name="Bad 13 3" xfId="22320" xr:uid="{00000000-0005-0000-0000-00007C530000}"/>
    <cellStyle name="Bad 14" xfId="5425" xr:uid="{00000000-0005-0000-0000-00007D530000}"/>
    <cellStyle name="Bad 14 2" xfId="9706" xr:uid="{00000000-0005-0000-0000-00007E530000}"/>
    <cellStyle name="Bad 14 3" xfId="22319" xr:uid="{00000000-0005-0000-0000-00007F530000}"/>
    <cellStyle name="Bad 2" xfId="5426" xr:uid="{00000000-0005-0000-0000-000080530000}"/>
    <cellStyle name="Bad 2 2" xfId="9709" xr:uid="{00000000-0005-0000-0000-000081530000}"/>
    <cellStyle name="Bad 2 3" xfId="22318" xr:uid="{00000000-0005-0000-0000-000082530000}"/>
    <cellStyle name="Bad 3" xfId="5427" xr:uid="{00000000-0005-0000-0000-000083530000}"/>
    <cellStyle name="Bad 3 2" xfId="5428" xr:uid="{00000000-0005-0000-0000-000084530000}"/>
    <cellStyle name="Bad 3 2 2" xfId="9711" xr:uid="{00000000-0005-0000-0000-000085530000}"/>
    <cellStyle name="Bad 3 2 3" xfId="22316" xr:uid="{00000000-0005-0000-0000-000086530000}"/>
    <cellStyle name="Bad 3 3" xfId="9710" xr:uid="{00000000-0005-0000-0000-000087530000}"/>
    <cellStyle name="Bad 3 4" xfId="22317" xr:uid="{00000000-0005-0000-0000-000088530000}"/>
    <cellStyle name="Bad 4" xfId="5429" xr:uid="{00000000-0005-0000-0000-000089530000}"/>
    <cellStyle name="Bad 4 2" xfId="5430" xr:uid="{00000000-0005-0000-0000-00008A530000}"/>
    <cellStyle name="Bad 4 2 2" xfId="13104" xr:uid="{00000000-0005-0000-0000-00008B530000}"/>
    <cellStyle name="Bad 4 2 3" xfId="22314" xr:uid="{00000000-0005-0000-0000-00008C530000}"/>
    <cellStyle name="Bad 4 3" xfId="5431" xr:uid="{00000000-0005-0000-0000-00008D530000}"/>
    <cellStyle name="Bad 4 3 2" xfId="13103" xr:uid="{00000000-0005-0000-0000-00008E530000}"/>
    <cellStyle name="Bad 4 3 3" xfId="22313" xr:uid="{00000000-0005-0000-0000-00008F530000}"/>
    <cellStyle name="Bad 4 4" xfId="9712" xr:uid="{00000000-0005-0000-0000-000090530000}"/>
    <cellStyle name="Bad 4 5" xfId="22315" xr:uid="{00000000-0005-0000-0000-000091530000}"/>
    <cellStyle name="Bad 5" xfId="5432" xr:uid="{00000000-0005-0000-0000-000092530000}"/>
    <cellStyle name="Bad 5 2" xfId="5433" xr:uid="{00000000-0005-0000-0000-000093530000}"/>
    <cellStyle name="Bad 5 2 2" xfId="9714" xr:uid="{00000000-0005-0000-0000-000094530000}"/>
    <cellStyle name="Bad 5 2 3" xfId="22311" xr:uid="{00000000-0005-0000-0000-000095530000}"/>
    <cellStyle name="Bad 5 3" xfId="9713" xr:uid="{00000000-0005-0000-0000-000096530000}"/>
    <cellStyle name="Bad 5 4" xfId="22312" xr:uid="{00000000-0005-0000-0000-000097530000}"/>
    <cellStyle name="Bad 6" xfId="5434" xr:uid="{00000000-0005-0000-0000-000098530000}"/>
    <cellStyle name="Bad 6 2" xfId="9715" xr:uid="{00000000-0005-0000-0000-000099530000}"/>
    <cellStyle name="Bad 6 3" xfId="22310" xr:uid="{00000000-0005-0000-0000-00009A530000}"/>
    <cellStyle name="Bad 7" xfId="5435" xr:uid="{00000000-0005-0000-0000-00009B530000}"/>
    <cellStyle name="Bad 7 2" xfId="9716" xr:uid="{00000000-0005-0000-0000-00009C530000}"/>
    <cellStyle name="Bad 7 3" xfId="22309" xr:uid="{00000000-0005-0000-0000-00009D530000}"/>
    <cellStyle name="Bad 8" xfId="5436" xr:uid="{00000000-0005-0000-0000-00009E530000}"/>
    <cellStyle name="Bad 8 2" xfId="9717" xr:uid="{00000000-0005-0000-0000-00009F530000}"/>
    <cellStyle name="Bad 8 3" xfId="22308" xr:uid="{00000000-0005-0000-0000-0000A0530000}"/>
    <cellStyle name="Bad 9" xfId="5437" xr:uid="{00000000-0005-0000-0000-0000A1530000}"/>
    <cellStyle name="Bad 9 2" xfId="9718" xr:uid="{00000000-0005-0000-0000-0000A2530000}"/>
    <cellStyle name="Bad 9 3" xfId="22307" xr:uid="{00000000-0005-0000-0000-0000A3530000}"/>
    <cellStyle name="Calculation" xfId="14" builtinId="22" customBuiltin="1"/>
    <cellStyle name="Calculation 10" xfId="5438" xr:uid="{00000000-0005-0000-0000-0000A5530000}"/>
    <cellStyle name="Calculation 10 2" xfId="9720" xr:uid="{00000000-0005-0000-0000-0000A6530000}"/>
    <cellStyle name="Calculation 10 3" xfId="22306" xr:uid="{00000000-0005-0000-0000-0000A7530000}"/>
    <cellStyle name="Calculation 11" xfId="5439" xr:uid="{00000000-0005-0000-0000-0000A8530000}"/>
    <cellStyle name="Calculation 11 2" xfId="9721" xr:uid="{00000000-0005-0000-0000-0000A9530000}"/>
    <cellStyle name="Calculation 11 3" xfId="22305" xr:uid="{00000000-0005-0000-0000-0000AA530000}"/>
    <cellStyle name="Calculation 12" xfId="5440" xr:uid="{00000000-0005-0000-0000-0000AB530000}"/>
    <cellStyle name="Calculation 12 2" xfId="5441" xr:uid="{00000000-0005-0000-0000-0000AC530000}"/>
    <cellStyle name="Calculation 12 2 2" xfId="15581" xr:uid="{00000000-0005-0000-0000-0000AD530000}"/>
    <cellStyle name="Calculation 12 2 3" xfId="22303" xr:uid="{00000000-0005-0000-0000-0000AE530000}"/>
    <cellStyle name="Calculation 12 3" xfId="10475" xr:uid="{00000000-0005-0000-0000-0000AF530000}"/>
    <cellStyle name="Calculation 12 4" xfId="22304" xr:uid="{00000000-0005-0000-0000-0000B0530000}"/>
    <cellStyle name="Calculation 13" xfId="5442" xr:uid="{00000000-0005-0000-0000-0000B1530000}"/>
    <cellStyle name="Calculation 13 2" xfId="11302" xr:uid="{00000000-0005-0000-0000-0000B2530000}"/>
    <cellStyle name="Calculation 13 3" xfId="22302" xr:uid="{00000000-0005-0000-0000-0000B3530000}"/>
    <cellStyle name="Calculation 14" xfId="5443" xr:uid="{00000000-0005-0000-0000-0000B4530000}"/>
    <cellStyle name="Calculation 14 2" xfId="9719" xr:uid="{00000000-0005-0000-0000-0000B5530000}"/>
    <cellStyle name="Calculation 14 3" xfId="22301" xr:uid="{00000000-0005-0000-0000-0000B6530000}"/>
    <cellStyle name="Calculation 2" xfId="5444" xr:uid="{00000000-0005-0000-0000-0000B7530000}"/>
    <cellStyle name="Calculation 2 2" xfId="9722" xr:uid="{00000000-0005-0000-0000-0000B8530000}"/>
    <cellStyle name="Calculation 2 3" xfId="22300" xr:uid="{00000000-0005-0000-0000-0000B9530000}"/>
    <cellStyle name="Calculation 3" xfId="5445" xr:uid="{00000000-0005-0000-0000-0000BA530000}"/>
    <cellStyle name="Calculation 3 2" xfId="5446" xr:uid="{00000000-0005-0000-0000-0000BB530000}"/>
    <cellStyle name="Calculation 3 2 2" xfId="9724" xr:uid="{00000000-0005-0000-0000-0000BC530000}"/>
    <cellStyle name="Calculation 3 2 3" xfId="22298" xr:uid="{00000000-0005-0000-0000-0000BD530000}"/>
    <cellStyle name="Calculation 3 3" xfId="9723" xr:uid="{00000000-0005-0000-0000-0000BE530000}"/>
    <cellStyle name="Calculation 3 4" xfId="22299" xr:uid="{00000000-0005-0000-0000-0000BF530000}"/>
    <cellStyle name="Calculation 4" xfId="5447" xr:uid="{00000000-0005-0000-0000-0000C0530000}"/>
    <cellStyle name="Calculation 4 2" xfId="5448" xr:uid="{00000000-0005-0000-0000-0000C1530000}"/>
    <cellStyle name="Calculation 4 2 2" xfId="13106" xr:uid="{00000000-0005-0000-0000-0000C2530000}"/>
    <cellStyle name="Calculation 4 2 3" xfId="22296" xr:uid="{00000000-0005-0000-0000-0000C3530000}"/>
    <cellStyle name="Calculation 4 3" xfId="5449" xr:uid="{00000000-0005-0000-0000-0000C4530000}"/>
    <cellStyle name="Calculation 4 3 2" xfId="13105" xr:uid="{00000000-0005-0000-0000-0000C5530000}"/>
    <cellStyle name="Calculation 4 3 3" xfId="22295" xr:uid="{00000000-0005-0000-0000-0000C6530000}"/>
    <cellStyle name="Calculation 4 4" xfId="9725" xr:uid="{00000000-0005-0000-0000-0000C7530000}"/>
    <cellStyle name="Calculation 4 5" xfId="22297" xr:uid="{00000000-0005-0000-0000-0000C8530000}"/>
    <cellStyle name="Calculation 5" xfId="5450" xr:uid="{00000000-0005-0000-0000-0000C9530000}"/>
    <cellStyle name="Calculation 5 2" xfId="5451" xr:uid="{00000000-0005-0000-0000-0000CA530000}"/>
    <cellStyle name="Calculation 5 2 2" xfId="9727" xr:uid="{00000000-0005-0000-0000-0000CB530000}"/>
    <cellStyle name="Calculation 5 2 3" xfId="22293" xr:uid="{00000000-0005-0000-0000-0000CC530000}"/>
    <cellStyle name="Calculation 5 3" xfId="9726" xr:uid="{00000000-0005-0000-0000-0000CD530000}"/>
    <cellStyle name="Calculation 5 4" xfId="22294" xr:uid="{00000000-0005-0000-0000-0000CE530000}"/>
    <cellStyle name="Calculation 6" xfId="5452" xr:uid="{00000000-0005-0000-0000-0000CF530000}"/>
    <cellStyle name="Calculation 6 2" xfId="9728" xr:uid="{00000000-0005-0000-0000-0000D0530000}"/>
    <cellStyle name="Calculation 6 3" xfId="22292" xr:uid="{00000000-0005-0000-0000-0000D1530000}"/>
    <cellStyle name="Calculation 7" xfId="5453" xr:uid="{00000000-0005-0000-0000-0000D2530000}"/>
    <cellStyle name="Calculation 7 2" xfId="9729" xr:uid="{00000000-0005-0000-0000-0000D3530000}"/>
    <cellStyle name="Calculation 7 3" xfId="22291" xr:uid="{00000000-0005-0000-0000-0000D4530000}"/>
    <cellStyle name="Calculation 8" xfId="5454" xr:uid="{00000000-0005-0000-0000-0000D5530000}"/>
    <cellStyle name="Calculation 8 2" xfId="9730" xr:uid="{00000000-0005-0000-0000-0000D6530000}"/>
    <cellStyle name="Calculation 8 3" xfId="22290" xr:uid="{00000000-0005-0000-0000-0000D7530000}"/>
    <cellStyle name="Calculation 9" xfId="5455" xr:uid="{00000000-0005-0000-0000-0000D8530000}"/>
    <cellStyle name="Calculation 9 2" xfId="9731" xr:uid="{00000000-0005-0000-0000-0000D9530000}"/>
    <cellStyle name="Calculation 9 3" xfId="22289" xr:uid="{00000000-0005-0000-0000-0000DA530000}"/>
    <cellStyle name="Check Cell" xfId="33022" builtinId="23" customBuiltin="1"/>
    <cellStyle name="Check Cell 2" xfId="8802" xr:uid="{00000000-0005-0000-0000-0000DC530000}"/>
    <cellStyle name="Check Cell 3" xfId="22288" xr:uid="{00000000-0005-0000-0000-0000DD530000}"/>
    <cellStyle name="Check Cell 4" xfId="5456" xr:uid="{00000000-0005-0000-0000-0000DE530000}"/>
    <cellStyle name="Comma" xfId="1" builtinId="3"/>
    <cellStyle name="Comma 10" xfId="5457" xr:uid="{00000000-0005-0000-0000-0000E0530000}"/>
    <cellStyle name="Comma 10 2" xfId="5458" xr:uid="{00000000-0005-0000-0000-0000E1530000}"/>
    <cellStyle name="Comma 10 2 2" xfId="13107" xr:uid="{00000000-0005-0000-0000-0000E2530000}"/>
    <cellStyle name="Comma 10 2 3" xfId="22286" xr:uid="{00000000-0005-0000-0000-0000E3530000}"/>
    <cellStyle name="Comma 10 3" xfId="10504" xr:uid="{00000000-0005-0000-0000-0000E4530000}"/>
    <cellStyle name="Comma 10 4" xfId="22287" xr:uid="{00000000-0005-0000-0000-0000E5530000}"/>
    <cellStyle name="Comma 11" xfId="8775" xr:uid="{00000000-0005-0000-0000-0000E6530000}"/>
    <cellStyle name="Comma 2" xfId="5459" xr:uid="{00000000-0005-0000-0000-0000E7530000}"/>
    <cellStyle name="Comma 2 2" xfId="5460" xr:uid="{00000000-0005-0000-0000-0000E8530000}"/>
    <cellStyle name="Comma 2 2 2" xfId="5461" xr:uid="{00000000-0005-0000-0000-0000E9530000}"/>
    <cellStyle name="Comma 2 2 2 2" xfId="9732" xr:uid="{00000000-0005-0000-0000-0000EA530000}"/>
    <cellStyle name="Comma 2 2 2 3" xfId="22283" xr:uid="{00000000-0005-0000-0000-0000EB530000}"/>
    <cellStyle name="Comma 2 2 3" xfId="5462" xr:uid="{00000000-0005-0000-0000-0000EC530000}"/>
    <cellStyle name="Comma 2 2 3 2" xfId="9733" xr:uid="{00000000-0005-0000-0000-0000ED530000}"/>
    <cellStyle name="Comma 2 2 3 3" xfId="22282" xr:uid="{00000000-0005-0000-0000-0000EE530000}"/>
    <cellStyle name="Comma 2 2 4" xfId="8700" xr:uid="{00000000-0005-0000-0000-0000EF530000}"/>
    <cellStyle name="Comma 2 2 5" xfId="22284" xr:uid="{00000000-0005-0000-0000-0000F0530000}"/>
    <cellStyle name="Comma 2 3" xfId="5463" xr:uid="{00000000-0005-0000-0000-0000F1530000}"/>
    <cellStyle name="Comma 2 3 2" xfId="5464" xr:uid="{00000000-0005-0000-0000-0000F2530000}"/>
    <cellStyle name="Comma 2 3 2 2" xfId="9734" xr:uid="{00000000-0005-0000-0000-0000F3530000}"/>
    <cellStyle name="Comma 2 3 2 3" xfId="22280" xr:uid="{00000000-0005-0000-0000-0000F4530000}"/>
    <cellStyle name="Comma 2 3 3" xfId="5465" xr:uid="{00000000-0005-0000-0000-0000F5530000}"/>
    <cellStyle name="Comma 2 3 3 2" xfId="13108" xr:uid="{00000000-0005-0000-0000-0000F6530000}"/>
    <cellStyle name="Comma 2 3 3 3" xfId="22279" xr:uid="{00000000-0005-0000-0000-0000F7530000}"/>
    <cellStyle name="Comma 2 3 4" xfId="8666" xr:uid="{00000000-0005-0000-0000-0000F8530000}"/>
    <cellStyle name="Comma 2 3 5" xfId="22281" xr:uid="{00000000-0005-0000-0000-0000F9530000}"/>
    <cellStyle name="Comma 2 4" xfId="5466" xr:uid="{00000000-0005-0000-0000-0000FA530000}"/>
    <cellStyle name="Comma 2 4 2" xfId="5467" xr:uid="{00000000-0005-0000-0000-0000FB530000}"/>
    <cellStyle name="Comma 2 4 2 2" xfId="13109" xr:uid="{00000000-0005-0000-0000-0000FC530000}"/>
    <cellStyle name="Comma 2 4 2 3" xfId="22277" xr:uid="{00000000-0005-0000-0000-0000FD530000}"/>
    <cellStyle name="Comma 2 4 3" xfId="5468" xr:uid="{00000000-0005-0000-0000-0000FE530000}"/>
    <cellStyle name="Comma 2 4 3 2" xfId="17358" xr:uid="{00000000-0005-0000-0000-0000FF530000}"/>
    <cellStyle name="Comma 2 4 3 3" xfId="22276" xr:uid="{00000000-0005-0000-0000-000000540000}"/>
    <cellStyle name="Comma 2 4 4" xfId="8715" xr:uid="{00000000-0005-0000-0000-000001540000}"/>
    <cellStyle name="Comma 2 4 5" xfId="22278" xr:uid="{00000000-0005-0000-0000-000002540000}"/>
    <cellStyle name="Comma 2 5" xfId="8647" xr:uid="{00000000-0005-0000-0000-000003540000}"/>
    <cellStyle name="Comma 2 6" xfId="22285" xr:uid="{00000000-0005-0000-0000-000004540000}"/>
    <cellStyle name="Comma 2 7" xfId="33020" xr:uid="{00000000-0005-0000-0000-000005540000}"/>
    <cellStyle name="Comma 3" xfId="5469" xr:uid="{00000000-0005-0000-0000-000006540000}"/>
    <cellStyle name="Comma 3 10" xfId="5470" xr:uid="{00000000-0005-0000-0000-000007540000}"/>
    <cellStyle name="Comma 3 10 2" xfId="9736" xr:uid="{00000000-0005-0000-0000-000008540000}"/>
    <cellStyle name="Comma 3 10 3" xfId="22274" xr:uid="{00000000-0005-0000-0000-000009540000}"/>
    <cellStyle name="Comma 3 11" xfId="5471" xr:uid="{00000000-0005-0000-0000-00000A540000}"/>
    <cellStyle name="Comma 3 11 2" xfId="5472" xr:uid="{00000000-0005-0000-0000-00000B540000}"/>
    <cellStyle name="Comma 3 11 2 2" xfId="13110" xr:uid="{00000000-0005-0000-0000-00000C540000}"/>
    <cellStyle name="Comma 3 11 2 3" xfId="22272" xr:uid="{00000000-0005-0000-0000-00000D540000}"/>
    <cellStyle name="Comma 3 11 3" xfId="5473" xr:uid="{00000000-0005-0000-0000-00000E540000}"/>
    <cellStyle name="Comma 3 11 3 2" xfId="17008" xr:uid="{00000000-0005-0000-0000-00000F540000}"/>
    <cellStyle name="Comma 3 11 3 2 2" xfId="30415" xr:uid="{00000000-0005-0000-0000-000010540000}"/>
    <cellStyle name="Comma 3 11 3 3" xfId="22271" xr:uid="{00000000-0005-0000-0000-000011540000}"/>
    <cellStyle name="Comma 3 11 4" xfId="9737" xr:uid="{00000000-0005-0000-0000-000012540000}"/>
    <cellStyle name="Comma 3 11 5" xfId="22273" xr:uid="{00000000-0005-0000-0000-000013540000}"/>
    <cellStyle name="Comma 3 12" xfId="5474" xr:uid="{00000000-0005-0000-0000-000014540000}"/>
    <cellStyle name="Comma 3 12 2" xfId="5475" xr:uid="{00000000-0005-0000-0000-000015540000}"/>
    <cellStyle name="Comma 3 12 2 2" xfId="13112" xr:uid="{00000000-0005-0000-0000-000016540000}"/>
    <cellStyle name="Comma 3 12 2 3" xfId="22269" xr:uid="{00000000-0005-0000-0000-000017540000}"/>
    <cellStyle name="Comma 3 12 3" xfId="5476" xr:uid="{00000000-0005-0000-0000-000018540000}"/>
    <cellStyle name="Comma 3 12 3 2" xfId="13111" xr:uid="{00000000-0005-0000-0000-000019540000}"/>
    <cellStyle name="Comma 3 12 3 2 2" xfId="26823" xr:uid="{00000000-0005-0000-0000-00001A540000}"/>
    <cellStyle name="Comma 3 12 3 3" xfId="22268" xr:uid="{00000000-0005-0000-0000-00001B540000}"/>
    <cellStyle name="Comma 3 12 4" xfId="5477" xr:uid="{00000000-0005-0000-0000-00001C540000}"/>
    <cellStyle name="Comma 3 12 4 2" xfId="17097" xr:uid="{00000000-0005-0000-0000-00001D540000}"/>
    <cellStyle name="Comma 3 12 4 2 2" xfId="30456" xr:uid="{00000000-0005-0000-0000-00001E540000}"/>
    <cellStyle name="Comma 3 12 4 3" xfId="22267" xr:uid="{00000000-0005-0000-0000-00001F540000}"/>
    <cellStyle name="Comma 3 12 5" xfId="9738" xr:uid="{00000000-0005-0000-0000-000020540000}"/>
    <cellStyle name="Comma 3 12 6" xfId="22270" xr:uid="{00000000-0005-0000-0000-000021540000}"/>
    <cellStyle name="Comma 3 13" xfId="5478" xr:uid="{00000000-0005-0000-0000-000022540000}"/>
    <cellStyle name="Comma 3 13 2" xfId="5479" xr:uid="{00000000-0005-0000-0000-000023540000}"/>
    <cellStyle name="Comma 3 13 2 2" xfId="17186" xr:uid="{00000000-0005-0000-0000-000024540000}"/>
    <cellStyle name="Comma 3 13 2 2 2" xfId="30545" xr:uid="{00000000-0005-0000-0000-000025540000}"/>
    <cellStyle name="Comma 3 13 2 3" xfId="22265" xr:uid="{00000000-0005-0000-0000-000026540000}"/>
    <cellStyle name="Comma 3 13 3" xfId="9739" xr:uid="{00000000-0005-0000-0000-000027540000}"/>
    <cellStyle name="Comma 3 13 4" xfId="22266" xr:uid="{00000000-0005-0000-0000-000028540000}"/>
    <cellStyle name="Comma 3 14" xfId="5480" xr:uid="{00000000-0005-0000-0000-000029540000}"/>
    <cellStyle name="Comma 3 14 2" xfId="5481" xr:uid="{00000000-0005-0000-0000-00002A540000}"/>
    <cellStyle name="Comma 3 14 2 2" xfId="5482" xr:uid="{00000000-0005-0000-0000-00002B540000}"/>
    <cellStyle name="Comma 3 14 2 2 2" xfId="11305" xr:uid="{00000000-0005-0000-0000-00002C540000}"/>
    <cellStyle name="Comma 3 14 2 2 3" xfId="22262" xr:uid="{00000000-0005-0000-0000-00002D540000}"/>
    <cellStyle name="Comma 3 14 2 3" xfId="9741" xr:uid="{00000000-0005-0000-0000-00002E540000}"/>
    <cellStyle name="Comma 3 14 2 4" xfId="22263" xr:uid="{00000000-0005-0000-0000-00002F540000}"/>
    <cellStyle name="Comma 3 14 3" xfId="5483" xr:uid="{00000000-0005-0000-0000-000030540000}"/>
    <cellStyle name="Comma 3 14 3 2" xfId="11304" xr:uid="{00000000-0005-0000-0000-000031540000}"/>
    <cellStyle name="Comma 3 14 3 3" xfId="22261" xr:uid="{00000000-0005-0000-0000-000032540000}"/>
    <cellStyle name="Comma 3 14 4" xfId="5484" xr:uid="{00000000-0005-0000-0000-000033540000}"/>
    <cellStyle name="Comma 3 14 4 2" xfId="17275" xr:uid="{00000000-0005-0000-0000-000034540000}"/>
    <cellStyle name="Comma 3 14 4 2 2" xfId="30634" xr:uid="{00000000-0005-0000-0000-000035540000}"/>
    <cellStyle name="Comma 3 14 4 3" xfId="22260" xr:uid="{00000000-0005-0000-0000-000036540000}"/>
    <cellStyle name="Comma 3 14 5" xfId="9740" xr:uid="{00000000-0005-0000-0000-000037540000}"/>
    <cellStyle name="Comma 3 14 6" xfId="22264" xr:uid="{00000000-0005-0000-0000-000038540000}"/>
    <cellStyle name="Comma 3 15" xfId="5485" xr:uid="{00000000-0005-0000-0000-000039540000}"/>
    <cellStyle name="Comma 3 15 2" xfId="5486" xr:uid="{00000000-0005-0000-0000-00003A540000}"/>
    <cellStyle name="Comma 3 15 2 2" xfId="11306" xr:uid="{00000000-0005-0000-0000-00003B540000}"/>
    <cellStyle name="Comma 3 15 2 3" xfId="22258" xr:uid="{00000000-0005-0000-0000-00003C540000}"/>
    <cellStyle name="Comma 3 15 3" xfId="5487" xr:uid="{00000000-0005-0000-0000-00003D540000}"/>
    <cellStyle name="Comma 3 15 3 2" xfId="16427" xr:uid="{00000000-0005-0000-0000-00003E540000}"/>
    <cellStyle name="Comma 3 15 3 2 2" xfId="29834" xr:uid="{00000000-0005-0000-0000-00003F540000}"/>
    <cellStyle name="Comma 3 15 3 3" xfId="22257" xr:uid="{00000000-0005-0000-0000-000040540000}"/>
    <cellStyle name="Comma 3 15 4" xfId="9742" xr:uid="{00000000-0005-0000-0000-000041540000}"/>
    <cellStyle name="Comma 3 15 5" xfId="22259" xr:uid="{00000000-0005-0000-0000-000042540000}"/>
    <cellStyle name="Comma 3 16" xfId="5488" xr:uid="{00000000-0005-0000-0000-000043540000}"/>
    <cellStyle name="Comma 3 16 2" xfId="5489" xr:uid="{00000000-0005-0000-0000-000044540000}"/>
    <cellStyle name="Comma 3 16 2 2" xfId="11307" xr:uid="{00000000-0005-0000-0000-000045540000}"/>
    <cellStyle name="Comma 3 16 2 3" xfId="22255" xr:uid="{00000000-0005-0000-0000-000046540000}"/>
    <cellStyle name="Comma 3 16 3" xfId="9743" xr:uid="{00000000-0005-0000-0000-000047540000}"/>
    <cellStyle name="Comma 3 16 4" xfId="22256" xr:uid="{00000000-0005-0000-0000-000048540000}"/>
    <cellStyle name="Comma 3 17" xfId="5490" xr:uid="{00000000-0005-0000-0000-000049540000}"/>
    <cellStyle name="Comma 3 17 2" xfId="5491" xr:uid="{00000000-0005-0000-0000-00004A540000}"/>
    <cellStyle name="Comma 3 17 2 2" xfId="11308" xr:uid="{00000000-0005-0000-0000-00004B540000}"/>
    <cellStyle name="Comma 3 17 2 3" xfId="22253" xr:uid="{00000000-0005-0000-0000-00004C540000}"/>
    <cellStyle name="Comma 3 17 3" xfId="9744" xr:uid="{00000000-0005-0000-0000-00004D540000}"/>
    <cellStyle name="Comma 3 17 4" xfId="22254" xr:uid="{00000000-0005-0000-0000-00004E540000}"/>
    <cellStyle name="Comma 3 18" xfId="5492" xr:uid="{00000000-0005-0000-0000-00004F540000}"/>
    <cellStyle name="Comma 3 18 2" xfId="5493" xr:uid="{00000000-0005-0000-0000-000050540000}"/>
    <cellStyle name="Comma 3 18 2 2" xfId="11309" xr:uid="{00000000-0005-0000-0000-000051540000}"/>
    <cellStyle name="Comma 3 18 2 3" xfId="22251" xr:uid="{00000000-0005-0000-0000-000052540000}"/>
    <cellStyle name="Comma 3 18 3" xfId="9745" xr:uid="{00000000-0005-0000-0000-000053540000}"/>
    <cellStyle name="Comma 3 18 4" xfId="22252" xr:uid="{00000000-0005-0000-0000-000054540000}"/>
    <cellStyle name="Comma 3 19" xfId="5494" xr:uid="{00000000-0005-0000-0000-000055540000}"/>
    <cellStyle name="Comma 3 19 2" xfId="5495" xr:uid="{00000000-0005-0000-0000-000056540000}"/>
    <cellStyle name="Comma 3 19 2 2" xfId="11310" xr:uid="{00000000-0005-0000-0000-000057540000}"/>
    <cellStyle name="Comma 3 19 2 3" xfId="22249" xr:uid="{00000000-0005-0000-0000-000058540000}"/>
    <cellStyle name="Comma 3 19 3" xfId="9746" xr:uid="{00000000-0005-0000-0000-000059540000}"/>
    <cellStyle name="Comma 3 19 4" xfId="22250" xr:uid="{00000000-0005-0000-0000-00005A540000}"/>
    <cellStyle name="Comma 3 2" xfId="5496" xr:uid="{00000000-0005-0000-0000-00005B540000}"/>
    <cellStyle name="Comma 3 2 10" xfId="5497" xr:uid="{00000000-0005-0000-0000-00005C540000}"/>
    <cellStyle name="Comma 3 2 10 2" xfId="11311" xr:uid="{00000000-0005-0000-0000-00005D540000}"/>
    <cellStyle name="Comma 3 2 10 3" xfId="22247" xr:uid="{00000000-0005-0000-0000-00005E540000}"/>
    <cellStyle name="Comma 3 2 11" xfId="5498" xr:uid="{00000000-0005-0000-0000-00005F540000}"/>
    <cellStyle name="Comma 3 2 11 2" xfId="5499" xr:uid="{00000000-0005-0000-0000-000060540000}"/>
    <cellStyle name="Comma 3 2 11 2 2" xfId="13113" xr:uid="{00000000-0005-0000-0000-000061540000}"/>
    <cellStyle name="Comma 3 2 11 2 2 2" xfId="26825" xr:uid="{00000000-0005-0000-0000-000062540000}"/>
    <cellStyle name="Comma 3 2 11 2 3" xfId="22245" xr:uid="{00000000-0005-0000-0000-000063540000}"/>
    <cellStyle name="Comma 3 2 11 3" xfId="5500" xr:uid="{00000000-0005-0000-0000-000064540000}"/>
    <cellStyle name="Comma 3 2 11 3 2" xfId="15582" xr:uid="{00000000-0005-0000-0000-000065540000}"/>
    <cellStyle name="Comma 3 2 11 3 3" xfId="22244" xr:uid="{00000000-0005-0000-0000-000066540000}"/>
    <cellStyle name="Comma 3 2 11 4" xfId="11724" xr:uid="{00000000-0005-0000-0000-000067540000}"/>
    <cellStyle name="Comma 3 2 11 5" xfId="22246" xr:uid="{00000000-0005-0000-0000-000068540000}"/>
    <cellStyle name="Comma 3 2 12" xfId="5501" xr:uid="{00000000-0005-0000-0000-000069540000}"/>
    <cellStyle name="Comma 3 2 12 2" xfId="11842" xr:uid="{00000000-0005-0000-0000-00006A540000}"/>
    <cellStyle name="Comma 3 2 12 2 2" xfId="25557" xr:uid="{00000000-0005-0000-0000-00006B540000}"/>
    <cellStyle name="Comma 3 2 12 3" xfId="22243" xr:uid="{00000000-0005-0000-0000-00006C540000}"/>
    <cellStyle name="Comma 3 2 13" xfId="5502" xr:uid="{00000000-0005-0000-0000-00006D540000}"/>
    <cellStyle name="Comma 3 2 13 2" xfId="13436" xr:uid="{00000000-0005-0000-0000-00006E540000}"/>
    <cellStyle name="Comma 3 2 13 2 2" xfId="26985" xr:uid="{00000000-0005-0000-0000-00006F540000}"/>
    <cellStyle name="Comma 3 2 13 3" xfId="22242" xr:uid="{00000000-0005-0000-0000-000070540000}"/>
    <cellStyle name="Comma 3 2 14" xfId="5503" xr:uid="{00000000-0005-0000-0000-000071540000}"/>
    <cellStyle name="Comma 3 2 14 2" xfId="14017" xr:uid="{00000000-0005-0000-0000-000072540000}"/>
    <cellStyle name="Comma 3 2 14 2 2" xfId="27566" xr:uid="{00000000-0005-0000-0000-000073540000}"/>
    <cellStyle name="Comma 3 2 14 3" xfId="22241" xr:uid="{00000000-0005-0000-0000-000074540000}"/>
    <cellStyle name="Comma 3 2 15" xfId="5504" xr:uid="{00000000-0005-0000-0000-000075540000}"/>
    <cellStyle name="Comma 3 2 15 2" xfId="15903" xr:uid="{00000000-0005-0000-0000-000076540000}"/>
    <cellStyle name="Comma 3 2 15 2 2" xfId="29310" xr:uid="{00000000-0005-0000-0000-000077540000}"/>
    <cellStyle name="Comma 3 2 15 3" xfId="22240" xr:uid="{00000000-0005-0000-0000-000078540000}"/>
    <cellStyle name="Comma 3 2 16" xfId="5505" xr:uid="{00000000-0005-0000-0000-000079540000}"/>
    <cellStyle name="Comma 3 2 16 2" xfId="9747" xr:uid="{00000000-0005-0000-0000-00007A540000}"/>
    <cellStyle name="Comma 3 2 16 3" xfId="22239" xr:uid="{00000000-0005-0000-0000-00007B540000}"/>
    <cellStyle name="Comma 3 2 17" xfId="8701" xr:uid="{00000000-0005-0000-0000-00007C540000}"/>
    <cellStyle name="Comma 3 2 18" xfId="22248" xr:uid="{00000000-0005-0000-0000-00007D540000}"/>
    <cellStyle name="Comma 3 2 2" xfId="5506" xr:uid="{00000000-0005-0000-0000-00007E540000}"/>
    <cellStyle name="Comma 3 2 2 10" xfId="9748" xr:uid="{00000000-0005-0000-0000-00007F540000}"/>
    <cellStyle name="Comma 3 2 2 11" xfId="22238" xr:uid="{00000000-0005-0000-0000-000080540000}"/>
    <cellStyle name="Comma 3 2 2 12" xfId="32927" xr:uid="{00000000-0005-0000-0000-000081540000}"/>
    <cellStyle name="Comma 3 2 2 2" xfId="5507" xr:uid="{00000000-0005-0000-0000-000082540000}"/>
    <cellStyle name="Comma 3 2 2 2 2" xfId="5508" xr:uid="{00000000-0005-0000-0000-000083540000}"/>
    <cellStyle name="Comma 3 2 2 2 2 2" xfId="5509" xr:uid="{00000000-0005-0000-0000-000084540000}"/>
    <cellStyle name="Comma 3 2 2 2 2 2 2" xfId="5510" xr:uid="{00000000-0005-0000-0000-000085540000}"/>
    <cellStyle name="Comma 3 2 2 2 2 2 2 2" xfId="11312" xr:uid="{00000000-0005-0000-0000-000086540000}"/>
    <cellStyle name="Comma 3 2 2 2 2 2 2 3" xfId="22234" xr:uid="{00000000-0005-0000-0000-000087540000}"/>
    <cellStyle name="Comma 3 2 2 2 2 2 3" xfId="5511" xr:uid="{00000000-0005-0000-0000-000088540000}"/>
    <cellStyle name="Comma 3 2 2 2 2 2 3 2" xfId="16962" xr:uid="{00000000-0005-0000-0000-000089540000}"/>
    <cellStyle name="Comma 3 2 2 2 2 2 3 2 2" xfId="30369" xr:uid="{00000000-0005-0000-0000-00008A540000}"/>
    <cellStyle name="Comma 3 2 2 2 2 2 3 3" xfId="22233" xr:uid="{00000000-0005-0000-0000-00008B540000}"/>
    <cellStyle name="Comma 3 2 2 2 2 2 4" xfId="9751" xr:uid="{00000000-0005-0000-0000-00008C540000}"/>
    <cellStyle name="Comma 3 2 2 2 2 2 5" xfId="22235" xr:uid="{00000000-0005-0000-0000-00008D540000}"/>
    <cellStyle name="Comma 3 2 2 2 2 3" xfId="5512" xr:uid="{00000000-0005-0000-0000-00008E540000}"/>
    <cellStyle name="Comma 3 2 2 2 2 3 2" xfId="5513" xr:uid="{00000000-0005-0000-0000-00008F540000}"/>
    <cellStyle name="Comma 3 2 2 2 2 3 2 2" xfId="13114" xr:uid="{00000000-0005-0000-0000-000090540000}"/>
    <cellStyle name="Comma 3 2 2 2 2 3 2 3" xfId="22231" xr:uid="{00000000-0005-0000-0000-000091540000}"/>
    <cellStyle name="Comma 3 2 2 2 2 3 3" xfId="12350" xr:uid="{00000000-0005-0000-0000-000092540000}"/>
    <cellStyle name="Comma 3 2 2 2 2 3 3 2" xfId="26062" xr:uid="{00000000-0005-0000-0000-000093540000}"/>
    <cellStyle name="Comma 3 2 2 2 2 3 4" xfId="22232" xr:uid="{00000000-0005-0000-0000-000094540000}"/>
    <cellStyle name="Comma 3 2 2 2 2 4" xfId="5514" xr:uid="{00000000-0005-0000-0000-000095540000}"/>
    <cellStyle name="Comma 3 2 2 2 2 4 2" xfId="5515" xr:uid="{00000000-0005-0000-0000-000096540000}"/>
    <cellStyle name="Comma 3 2 2 2 2 4 2 2" xfId="15583" xr:uid="{00000000-0005-0000-0000-000097540000}"/>
    <cellStyle name="Comma 3 2 2 2 2 4 2 3" xfId="22229" xr:uid="{00000000-0005-0000-0000-000098540000}"/>
    <cellStyle name="Comma 3 2 2 2 2 4 3" xfId="13914" xr:uid="{00000000-0005-0000-0000-000099540000}"/>
    <cellStyle name="Comma 3 2 2 2 2 4 3 2" xfId="27463" xr:uid="{00000000-0005-0000-0000-00009A540000}"/>
    <cellStyle name="Comma 3 2 2 2 2 4 4" xfId="22230" xr:uid="{00000000-0005-0000-0000-00009B540000}"/>
    <cellStyle name="Comma 3 2 2 2 2 5" xfId="5516" xr:uid="{00000000-0005-0000-0000-00009C540000}"/>
    <cellStyle name="Comma 3 2 2 2 2 5 2" xfId="14495" xr:uid="{00000000-0005-0000-0000-00009D540000}"/>
    <cellStyle name="Comma 3 2 2 2 2 5 2 2" xfId="28044" xr:uid="{00000000-0005-0000-0000-00009E540000}"/>
    <cellStyle name="Comma 3 2 2 2 2 5 3" xfId="22228" xr:uid="{00000000-0005-0000-0000-00009F540000}"/>
    <cellStyle name="Comma 3 2 2 2 2 6" xfId="5517" xr:uid="{00000000-0005-0000-0000-0000A0540000}"/>
    <cellStyle name="Comma 3 2 2 2 2 6 2" xfId="16381" xr:uid="{00000000-0005-0000-0000-0000A1540000}"/>
    <cellStyle name="Comma 3 2 2 2 2 6 2 2" xfId="29788" xr:uid="{00000000-0005-0000-0000-0000A2540000}"/>
    <cellStyle name="Comma 3 2 2 2 2 6 3" xfId="22227" xr:uid="{00000000-0005-0000-0000-0000A3540000}"/>
    <cellStyle name="Comma 3 2 2 2 2 7" xfId="9750" xr:uid="{00000000-0005-0000-0000-0000A4540000}"/>
    <cellStyle name="Comma 3 2 2 2 2 8" xfId="22236" xr:uid="{00000000-0005-0000-0000-0000A5540000}"/>
    <cellStyle name="Comma 3 2 2 2 3" xfId="5518" xr:uid="{00000000-0005-0000-0000-0000A6540000}"/>
    <cellStyle name="Comma 3 2 2 2 3 2" xfId="5519" xr:uid="{00000000-0005-0000-0000-0000A7540000}"/>
    <cellStyle name="Comma 3 2 2 2 3 2 2" xfId="11313" xr:uid="{00000000-0005-0000-0000-0000A8540000}"/>
    <cellStyle name="Comma 3 2 2 2 3 2 3" xfId="22225" xr:uid="{00000000-0005-0000-0000-0000A9540000}"/>
    <cellStyle name="Comma 3 2 2 2 3 3" xfId="5520" xr:uid="{00000000-0005-0000-0000-0000AA540000}"/>
    <cellStyle name="Comma 3 2 2 2 3 3 2" xfId="16673" xr:uid="{00000000-0005-0000-0000-0000AB540000}"/>
    <cellStyle name="Comma 3 2 2 2 3 3 2 2" xfId="30080" xr:uid="{00000000-0005-0000-0000-0000AC540000}"/>
    <cellStyle name="Comma 3 2 2 2 3 3 3" xfId="22224" xr:uid="{00000000-0005-0000-0000-0000AD540000}"/>
    <cellStyle name="Comma 3 2 2 2 3 4" xfId="9752" xr:uid="{00000000-0005-0000-0000-0000AE540000}"/>
    <cellStyle name="Comma 3 2 2 2 3 5" xfId="22226" xr:uid="{00000000-0005-0000-0000-0000AF540000}"/>
    <cellStyle name="Comma 3 2 2 2 4" xfId="5521" xr:uid="{00000000-0005-0000-0000-0000B0540000}"/>
    <cellStyle name="Comma 3 2 2 2 4 2" xfId="5522" xr:uid="{00000000-0005-0000-0000-0000B1540000}"/>
    <cellStyle name="Comma 3 2 2 2 4 2 2" xfId="13115" xr:uid="{00000000-0005-0000-0000-0000B2540000}"/>
    <cellStyle name="Comma 3 2 2 2 4 2 3" xfId="22222" xr:uid="{00000000-0005-0000-0000-0000B3540000}"/>
    <cellStyle name="Comma 3 2 2 2 4 3" xfId="12050" xr:uid="{00000000-0005-0000-0000-0000B4540000}"/>
    <cellStyle name="Comma 3 2 2 2 4 3 2" xfId="25765" xr:uid="{00000000-0005-0000-0000-0000B5540000}"/>
    <cellStyle name="Comma 3 2 2 2 4 4" xfId="22223" xr:uid="{00000000-0005-0000-0000-0000B6540000}"/>
    <cellStyle name="Comma 3 2 2 2 5" xfId="5523" xr:uid="{00000000-0005-0000-0000-0000B7540000}"/>
    <cellStyle name="Comma 3 2 2 2 5 2" xfId="5524" xr:uid="{00000000-0005-0000-0000-0000B8540000}"/>
    <cellStyle name="Comma 3 2 2 2 5 2 2" xfId="15584" xr:uid="{00000000-0005-0000-0000-0000B9540000}"/>
    <cellStyle name="Comma 3 2 2 2 5 2 3" xfId="22220" xr:uid="{00000000-0005-0000-0000-0000BA540000}"/>
    <cellStyle name="Comma 3 2 2 2 5 3" xfId="13625" xr:uid="{00000000-0005-0000-0000-0000BB540000}"/>
    <cellStyle name="Comma 3 2 2 2 5 3 2" xfId="27174" xr:uid="{00000000-0005-0000-0000-0000BC540000}"/>
    <cellStyle name="Comma 3 2 2 2 5 4" xfId="22221" xr:uid="{00000000-0005-0000-0000-0000BD540000}"/>
    <cellStyle name="Comma 3 2 2 2 6" xfId="5525" xr:uid="{00000000-0005-0000-0000-0000BE540000}"/>
    <cellStyle name="Comma 3 2 2 2 6 2" xfId="14206" xr:uid="{00000000-0005-0000-0000-0000BF540000}"/>
    <cellStyle name="Comma 3 2 2 2 6 2 2" xfId="27755" xr:uid="{00000000-0005-0000-0000-0000C0540000}"/>
    <cellStyle name="Comma 3 2 2 2 6 3" xfId="22219" xr:uid="{00000000-0005-0000-0000-0000C1540000}"/>
    <cellStyle name="Comma 3 2 2 2 7" xfId="5526" xr:uid="{00000000-0005-0000-0000-0000C2540000}"/>
    <cellStyle name="Comma 3 2 2 2 7 2" xfId="16092" xr:uid="{00000000-0005-0000-0000-0000C3540000}"/>
    <cellStyle name="Comma 3 2 2 2 7 2 2" xfId="29499" xr:uid="{00000000-0005-0000-0000-0000C4540000}"/>
    <cellStyle name="Comma 3 2 2 2 7 3" xfId="22218" xr:uid="{00000000-0005-0000-0000-0000C5540000}"/>
    <cellStyle name="Comma 3 2 2 2 8" xfId="9749" xr:uid="{00000000-0005-0000-0000-0000C6540000}"/>
    <cellStyle name="Comma 3 2 2 2 9" xfId="22237" xr:uid="{00000000-0005-0000-0000-0000C7540000}"/>
    <cellStyle name="Comma 3 2 2 3" xfId="5527" xr:uid="{00000000-0005-0000-0000-0000C8540000}"/>
    <cellStyle name="Comma 3 2 2 3 2" xfId="5528" xr:uid="{00000000-0005-0000-0000-0000C9540000}"/>
    <cellStyle name="Comma 3 2 2 3 2 2" xfId="5529" xr:uid="{00000000-0005-0000-0000-0000CA540000}"/>
    <cellStyle name="Comma 3 2 2 3 2 2 2" xfId="11314" xr:uid="{00000000-0005-0000-0000-0000CB540000}"/>
    <cellStyle name="Comma 3 2 2 3 2 2 3" xfId="22215" xr:uid="{00000000-0005-0000-0000-0000CC540000}"/>
    <cellStyle name="Comma 3 2 2 3 2 3" xfId="5530" xr:uid="{00000000-0005-0000-0000-0000CD540000}"/>
    <cellStyle name="Comma 3 2 2 3 2 3 2" xfId="16819" xr:uid="{00000000-0005-0000-0000-0000CE540000}"/>
    <cellStyle name="Comma 3 2 2 3 2 3 2 2" xfId="30226" xr:uid="{00000000-0005-0000-0000-0000CF540000}"/>
    <cellStyle name="Comma 3 2 2 3 2 3 3" xfId="22214" xr:uid="{00000000-0005-0000-0000-0000D0540000}"/>
    <cellStyle name="Comma 3 2 2 3 2 4" xfId="9754" xr:uid="{00000000-0005-0000-0000-0000D1540000}"/>
    <cellStyle name="Comma 3 2 2 3 2 5" xfId="22216" xr:uid="{00000000-0005-0000-0000-0000D2540000}"/>
    <cellStyle name="Comma 3 2 2 3 3" xfId="5531" xr:uid="{00000000-0005-0000-0000-0000D3540000}"/>
    <cellStyle name="Comma 3 2 2 3 3 2" xfId="5532" xr:uid="{00000000-0005-0000-0000-0000D4540000}"/>
    <cellStyle name="Comma 3 2 2 3 3 2 2" xfId="13116" xr:uid="{00000000-0005-0000-0000-0000D5540000}"/>
    <cellStyle name="Comma 3 2 2 3 3 2 3" xfId="22212" xr:uid="{00000000-0005-0000-0000-0000D6540000}"/>
    <cellStyle name="Comma 3 2 2 3 3 3" xfId="12207" xr:uid="{00000000-0005-0000-0000-0000D7540000}"/>
    <cellStyle name="Comma 3 2 2 3 3 3 2" xfId="25919" xr:uid="{00000000-0005-0000-0000-0000D8540000}"/>
    <cellStyle name="Comma 3 2 2 3 3 4" xfId="22213" xr:uid="{00000000-0005-0000-0000-0000D9540000}"/>
    <cellStyle name="Comma 3 2 2 3 4" xfId="5533" xr:uid="{00000000-0005-0000-0000-0000DA540000}"/>
    <cellStyle name="Comma 3 2 2 3 4 2" xfId="5534" xr:uid="{00000000-0005-0000-0000-0000DB540000}"/>
    <cellStyle name="Comma 3 2 2 3 4 2 2" xfId="15585" xr:uid="{00000000-0005-0000-0000-0000DC540000}"/>
    <cellStyle name="Comma 3 2 2 3 4 2 3" xfId="22210" xr:uid="{00000000-0005-0000-0000-0000DD540000}"/>
    <cellStyle name="Comma 3 2 2 3 4 3" xfId="13771" xr:uid="{00000000-0005-0000-0000-0000DE540000}"/>
    <cellStyle name="Comma 3 2 2 3 4 3 2" xfId="27320" xr:uid="{00000000-0005-0000-0000-0000DF540000}"/>
    <cellStyle name="Comma 3 2 2 3 4 4" xfId="22211" xr:uid="{00000000-0005-0000-0000-0000E0540000}"/>
    <cellStyle name="Comma 3 2 2 3 5" xfId="5535" xr:uid="{00000000-0005-0000-0000-0000E1540000}"/>
    <cellStyle name="Comma 3 2 2 3 5 2" xfId="14352" xr:uid="{00000000-0005-0000-0000-0000E2540000}"/>
    <cellStyle name="Comma 3 2 2 3 5 2 2" xfId="27901" xr:uid="{00000000-0005-0000-0000-0000E3540000}"/>
    <cellStyle name="Comma 3 2 2 3 5 3" xfId="22209" xr:uid="{00000000-0005-0000-0000-0000E4540000}"/>
    <cellStyle name="Comma 3 2 2 3 6" xfId="5536" xr:uid="{00000000-0005-0000-0000-0000E5540000}"/>
    <cellStyle name="Comma 3 2 2 3 6 2" xfId="16238" xr:uid="{00000000-0005-0000-0000-0000E6540000}"/>
    <cellStyle name="Comma 3 2 2 3 6 2 2" xfId="29645" xr:uid="{00000000-0005-0000-0000-0000E7540000}"/>
    <cellStyle name="Comma 3 2 2 3 6 3" xfId="22208" xr:uid="{00000000-0005-0000-0000-0000E8540000}"/>
    <cellStyle name="Comma 3 2 2 3 7" xfId="9753" xr:uid="{00000000-0005-0000-0000-0000E9540000}"/>
    <cellStyle name="Comma 3 2 2 3 8" xfId="22217" xr:uid="{00000000-0005-0000-0000-0000EA540000}"/>
    <cellStyle name="Comma 3 2 2 4" xfId="5537" xr:uid="{00000000-0005-0000-0000-0000EB540000}"/>
    <cellStyle name="Comma 3 2 2 4 2" xfId="5538" xr:uid="{00000000-0005-0000-0000-0000EC540000}"/>
    <cellStyle name="Comma 3 2 2 4 2 2" xfId="17166" xr:uid="{00000000-0005-0000-0000-0000ED540000}"/>
    <cellStyle name="Comma 3 2 2 4 2 2 2" xfId="30525" xr:uid="{00000000-0005-0000-0000-0000EE540000}"/>
    <cellStyle name="Comma 3 2 2 4 2 3" xfId="22206" xr:uid="{00000000-0005-0000-0000-0000EF540000}"/>
    <cellStyle name="Comma 3 2 2 4 3" xfId="9755" xr:uid="{00000000-0005-0000-0000-0000F0540000}"/>
    <cellStyle name="Comma 3 2 2 4 4" xfId="22207" xr:uid="{00000000-0005-0000-0000-0000F1540000}"/>
    <cellStyle name="Comma 3 2 2 5" xfId="5539" xr:uid="{00000000-0005-0000-0000-0000F2540000}"/>
    <cellStyle name="Comma 3 2 2 5 2" xfId="5540" xr:uid="{00000000-0005-0000-0000-0000F3540000}"/>
    <cellStyle name="Comma 3 2 2 5 2 2" xfId="11315" xr:uid="{00000000-0005-0000-0000-0000F4540000}"/>
    <cellStyle name="Comma 3 2 2 5 2 3" xfId="22204" xr:uid="{00000000-0005-0000-0000-0000F5540000}"/>
    <cellStyle name="Comma 3 2 2 5 3" xfId="5541" xr:uid="{00000000-0005-0000-0000-0000F6540000}"/>
    <cellStyle name="Comma 3 2 2 5 3 2" xfId="17255" xr:uid="{00000000-0005-0000-0000-0000F7540000}"/>
    <cellStyle name="Comma 3 2 2 5 3 2 2" xfId="30614" xr:uid="{00000000-0005-0000-0000-0000F8540000}"/>
    <cellStyle name="Comma 3 2 2 5 3 3" xfId="22203" xr:uid="{00000000-0005-0000-0000-0000F9540000}"/>
    <cellStyle name="Comma 3 2 2 5 4" xfId="9756" xr:uid="{00000000-0005-0000-0000-0000FA540000}"/>
    <cellStyle name="Comma 3 2 2 5 5" xfId="22205" xr:uid="{00000000-0005-0000-0000-0000FB540000}"/>
    <cellStyle name="Comma 3 2 2 6" xfId="5542" xr:uid="{00000000-0005-0000-0000-0000FC540000}"/>
    <cellStyle name="Comma 3 2 2 6 2" xfId="5543" xr:uid="{00000000-0005-0000-0000-0000FD540000}"/>
    <cellStyle name="Comma 3 2 2 6 2 2" xfId="13117" xr:uid="{00000000-0005-0000-0000-0000FE540000}"/>
    <cellStyle name="Comma 3 2 2 6 2 3" xfId="22201" xr:uid="{00000000-0005-0000-0000-0000FF540000}"/>
    <cellStyle name="Comma 3 2 2 6 3" xfId="5544" xr:uid="{00000000-0005-0000-0000-000000550000}"/>
    <cellStyle name="Comma 3 2 2 6 3 2" xfId="16530" xr:uid="{00000000-0005-0000-0000-000001550000}"/>
    <cellStyle name="Comma 3 2 2 6 3 2 2" xfId="29937" xr:uid="{00000000-0005-0000-0000-000002550000}"/>
    <cellStyle name="Comma 3 2 2 6 3 3" xfId="22200" xr:uid="{00000000-0005-0000-0000-000003550000}"/>
    <cellStyle name="Comma 3 2 2 6 4" xfId="11905" xr:uid="{00000000-0005-0000-0000-000004550000}"/>
    <cellStyle name="Comma 3 2 2 6 4 2" xfId="25620" xr:uid="{00000000-0005-0000-0000-000005550000}"/>
    <cellStyle name="Comma 3 2 2 6 5" xfId="22202" xr:uid="{00000000-0005-0000-0000-000006550000}"/>
    <cellStyle name="Comma 3 2 2 7" xfId="5545" xr:uid="{00000000-0005-0000-0000-000007550000}"/>
    <cellStyle name="Comma 3 2 2 7 2" xfId="5546" xr:uid="{00000000-0005-0000-0000-000008550000}"/>
    <cellStyle name="Comma 3 2 2 7 2 2" xfId="15586" xr:uid="{00000000-0005-0000-0000-000009550000}"/>
    <cellStyle name="Comma 3 2 2 7 2 3" xfId="22198" xr:uid="{00000000-0005-0000-0000-00000A550000}"/>
    <cellStyle name="Comma 3 2 2 7 3" xfId="13482" xr:uid="{00000000-0005-0000-0000-00000B550000}"/>
    <cellStyle name="Comma 3 2 2 7 3 2" xfId="27031" xr:uid="{00000000-0005-0000-0000-00000C550000}"/>
    <cellStyle name="Comma 3 2 2 7 4" xfId="22199" xr:uid="{00000000-0005-0000-0000-00000D550000}"/>
    <cellStyle name="Comma 3 2 2 8" xfId="5547" xr:uid="{00000000-0005-0000-0000-00000E550000}"/>
    <cellStyle name="Comma 3 2 2 8 2" xfId="14063" xr:uid="{00000000-0005-0000-0000-00000F550000}"/>
    <cellStyle name="Comma 3 2 2 8 2 2" xfId="27612" xr:uid="{00000000-0005-0000-0000-000010550000}"/>
    <cellStyle name="Comma 3 2 2 8 3" xfId="22197" xr:uid="{00000000-0005-0000-0000-000011550000}"/>
    <cellStyle name="Comma 3 2 2 9" xfId="5548" xr:uid="{00000000-0005-0000-0000-000012550000}"/>
    <cellStyle name="Comma 3 2 2 9 2" xfId="15949" xr:uid="{00000000-0005-0000-0000-000013550000}"/>
    <cellStyle name="Comma 3 2 2 9 2 2" xfId="29356" xr:uid="{00000000-0005-0000-0000-000014550000}"/>
    <cellStyle name="Comma 3 2 2 9 3" xfId="22196" xr:uid="{00000000-0005-0000-0000-000015550000}"/>
    <cellStyle name="Comma 3 2 3" xfId="5549" xr:uid="{00000000-0005-0000-0000-000016550000}"/>
    <cellStyle name="Comma 3 2 3 2" xfId="5550" xr:uid="{00000000-0005-0000-0000-000017550000}"/>
    <cellStyle name="Comma 3 2 3 2 2" xfId="5551" xr:uid="{00000000-0005-0000-0000-000018550000}"/>
    <cellStyle name="Comma 3 2 3 2 2 2" xfId="5552" xr:uid="{00000000-0005-0000-0000-000019550000}"/>
    <cellStyle name="Comma 3 2 3 2 2 2 2" xfId="11316" xr:uid="{00000000-0005-0000-0000-00001A550000}"/>
    <cellStyle name="Comma 3 2 3 2 2 2 3" xfId="22192" xr:uid="{00000000-0005-0000-0000-00001B550000}"/>
    <cellStyle name="Comma 3 2 3 2 2 3" xfId="5553" xr:uid="{00000000-0005-0000-0000-00001C550000}"/>
    <cellStyle name="Comma 3 2 3 2 2 3 2" xfId="16916" xr:uid="{00000000-0005-0000-0000-00001D550000}"/>
    <cellStyle name="Comma 3 2 3 2 2 3 2 2" xfId="30323" xr:uid="{00000000-0005-0000-0000-00001E550000}"/>
    <cellStyle name="Comma 3 2 3 2 2 3 3" xfId="22191" xr:uid="{00000000-0005-0000-0000-00001F550000}"/>
    <cellStyle name="Comma 3 2 3 2 2 4" xfId="9759" xr:uid="{00000000-0005-0000-0000-000020550000}"/>
    <cellStyle name="Comma 3 2 3 2 2 5" xfId="22193" xr:uid="{00000000-0005-0000-0000-000021550000}"/>
    <cellStyle name="Comma 3 2 3 2 3" xfId="5554" xr:uid="{00000000-0005-0000-0000-000022550000}"/>
    <cellStyle name="Comma 3 2 3 2 3 2" xfId="5555" xr:uid="{00000000-0005-0000-0000-000023550000}"/>
    <cellStyle name="Comma 3 2 3 2 3 2 2" xfId="13118" xr:uid="{00000000-0005-0000-0000-000024550000}"/>
    <cellStyle name="Comma 3 2 3 2 3 2 3" xfId="22189" xr:uid="{00000000-0005-0000-0000-000025550000}"/>
    <cellStyle name="Comma 3 2 3 2 3 3" xfId="12304" xr:uid="{00000000-0005-0000-0000-000026550000}"/>
    <cellStyle name="Comma 3 2 3 2 3 3 2" xfId="26016" xr:uid="{00000000-0005-0000-0000-000027550000}"/>
    <cellStyle name="Comma 3 2 3 2 3 4" xfId="22190" xr:uid="{00000000-0005-0000-0000-000028550000}"/>
    <cellStyle name="Comma 3 2 3 2 4" xfId="5556" xr:uid="{00000000-0005-0000-0000-000029550000}"/>
    <cellStyle name="Comma 3 2 3 2 4 2" xfId="5557" xr:uid="{00000000-0005-0000-0000-00002A550000}"/>
    <cellStyle name="Comma 3 2 3 2 4 2 2" xfId="15587" xr:uid="{00000000-0005-0000-0000-00002B550000}"/>
    <cellStyle name="Comma 3 2 3 2 4 2 3" xfId="22187" xr:uid="{00000000-0005-0000-0000-00002C550000}"/>
    <cellStyle name="Comma 3 2 3 2 4 3" xfId="13868" xr:uid="{00000000-0005-0000-0000-00002D550000}"/>
    <cellStyle name="Comma 3 2 3 2 4 3 2" xfId="27417" xr:uid="{00000000-0005-0000-0000-00002E550000}"/>
    <cellStyle name="Comma 3 2 3 2 4 4" xfId="22188" xr:uid="{00000000-0005-0000-0000-00002F550000}"/>
    <cellStyle name="Comma 3 2 3 2 5" xfId="5558" xr:uid="{00000000-0005-0000-0000-000030550000}"/>
    <cellStyle name="Comma 3 2 3 2 5 2" xfId="14449" xr:uid="{00000000-0005-0000-0000-000031550000}"/>
    <cellStyle name="Comma 3 2 3 2 5 2 2" xfId="27998" xr:uid="{00000000-0005-0000-0000-000032550000}"/>
    <cellStyle name="Comma 3 2 3 2 5 3" xfId="22186" xr:uid="{00000000-0005-0000-0000-000033550000}"/>
    <cellStyle name="Comma 3 2 3 2 6" xfId="5559" xr:uid="{00000000-0005-0000-0000-000034550000}"/>
    <cellStyle name="Comma 3 2 3 2 6 2" xfId="16335" xr:uid="{00000000-0005-0000-0000-000035550000}"/>
    <cellStyle name="Comma 3 2 3 2 6 2 2" xfId="29742" xr:uid="{00000000-0005-0000-0000-000036550000}"/>
    <cellStyle name="Comma 3 2 3 2 6 3" xfId="22185" xr:uid="{00000000-0005-0000-0000-000037550000}"/>
    <cellStyle name="Comma 3 2 3 2 7" xfId="9758" xr:uid="{00000000-0005-0000-0000-000038550000}"/>
    <cellStyle name="Comma 3 2 3 2 8" xfId="22194" xr:uid="{00000000-0005-0000-0000-000039550000}"/>
    <cellStyle name="Comma 3 2 3 3" xfId="5560" xr:uid="{00000000-0005-0000-0000-00003A550000}"/>
    <cellStyle name="Comma 3 2 3 3 2" xfId="5561" xr:uid="{00000000-0005-0000-0000-00003B550000}"/>
    <cellStyle name="Comma 3 2 3 3 2 2" xfId="11317" xr:uid="{00000000-0005-0000-0000-00003C550000}"/>
    <cellStyle name="Comma 3 2 3 3 2 3" xfId="22183" xr:uid="{00000000-0005-0000-0000-00003D550000}"/>
    <cellStyle name="Comma 3 2 3 3 3" xfId="5562" xr:uid="{00000000-0005-0000-0000-00003E550000}"/>
    <cellStyle name="Comma 3 2 3 3 3 2" xfId="16627" xr:uid="{00000000-0005-0000-0000-00003F550000}"/>
    <cellStyle name="Comma 3 2 3 3 3 2 2" xfId="30034" xr:uid="{00000000-0005-0000-0000-000040550000}"/>
    <cellStyle name="Comma 3 2 3 3 3 3" xfId="22182" xr:uid="{00000000-0005-0000-0000-000041550000}"/>
    <cellStyle name="Comma 3 2 3 3 4" xfId="9760" xr:uid="{00000000-0005-0000-0000-000042550000}"/>
    <cellStyle name="Comma 3 2 3 3 5" xfId="22184" xr:uid="{00000000-0005-0000-0000-000043550000}"/>
    <cellStyle name="Comma 3 2 3 4" xfId="5563" xr:uid="{00000000-0005-0000-0000-000044550000}"/>
    <cellStyle name="Comma 3 2 3 4 2" xfId="5564" xr:uid="{00000000-0005-0000-0000-000045550000}"/>
    <cellStyle name="Comma 3 2 3 4 2 2" xfId="13119" xr:uid="{00000000-0005-0000-0000-000046550000}"/>
    <cellStyle name="Comma 3 2 3 4 2 3" xfId="22180" xr:uid="{00000000-0005-0000-0000-000047550000}"/>
    <cellStyle name="Comma 3 2 3 4 3" xfId="12004" xr:uid="{00000000-0005-0000-0000-000048550000}"/>
    <cellStyle name="Comma 3 2 3 4 3 2" xfId="25719" xr:uid="{00000000-0005-0000-0000-000049550000}"/>
    <cellStyle name="Comma 3 2 3 4 4" xfId="22181" xr:uid="{00000000-0005-0000-0000-00004A550000}"/>
    <cellStyle name="Comma 3 2 3 5" xfId="5565" xr:uid="{00000000-0005-0000-0000-00004B550000}"/>
    <cellStyle name="Comma 3 2 3 5 2" xfId="5566" xr:uid="{00000000-0005-0000-0000-00004C550000}"/>
    <cellStyle name="Comma 3 2 3 5 2 2" xfId="15588" xr:uid="{00000000-0005-0000-0000-00004D550000}"/>
    <cellStyle name="Comma 3 2 3 5 2 3" xfId="22178" xr:uid="{00000000-0005-0000-0000-00004E550000}"/>
    <cellStyle name="Comma 3 2 3 5 3" xfId="13579" xr:uid="{00000000-0005-0000-0000-00004F550000}"/>
    <cellStyle name="Comma 3 2 3 5 3 2" xfId="27128" xr:uid="{00000000-0005-0000-0000-000050550000}"/>
    <cellStyle name="Comma 3 2 3 5 4" xfId="22179" xr:uid="{00000000-0005-0000-0000-000051550000}"/>
    <cellStyle name="Comma 3 2 3 6" xfId="5567" xr:uid="{00000000-0005-0000-0000-000052550000}"/>
    <cellStyle name="Comma 3 2 3 6 2" xfId="14160" xr:uid="{00000000-0005-0000-0000-000053550000}"/>
    <cellStyle name="Comma 3 2 3 6 2 2" xfId="27709" xr:uid="{00000000-0005-0000-0000-000054550000}"/>
    <cellStyle name="Comma 3 2 3 6 3" xfId="22177" xr:uid="{00000000-0005-0000-0000-000055550000}"/>
    <cellStyle name="Comma 3 2 3 7" xfId="5568" xr:uid="{00000000-0005-0000-0000-000056550000}"/>
    <cellStyle name="Comma 3 2 3 7 2" xfId="16046" xr:uid="{00000000-0005-0000-0000-000057550000}"/>
    <cellStyle name="Comma 3 2 3 7 2 2" xfId="29453" xr:uid="{00000000-0005-0000-0000-000058550000}"/>
    <cellStyle name="Comma 3 2 3 7 3" xfId="22176" xr:uid="{00000000-0005-0000-0000-000059550000}"/>
    <cellStyle name="Comma 3 2 3 8" xfId="9757" xr:uid="{00000000-0005-0000-0000-00005A550000}"/>
    <cellStyle name="Comma 3 2 3 9" xfId="22195" xr:uid="{00000000-0005-0000-0000-00005B550000}"/>
    <cellStyle name="Comma 3 2 4" xfId="5569" xr:uid="{00000000-0005-0000-0000-00005C550000}"/>
    <cellStyle name="Comma 3 2 4 2" xfId="5570" xr:uid="{00000000-0005-0000-0000-00005D550000}"/>
    <cellStyle name="Comma 3 2 4 2 2" xfId="5571" xr:uid="{00000000-0005-0000-0000-00005E550000}"/>
    <cellStyle name="Comma 3 2 4 2 2 2" xfId="11318" xr:uid="{00000000-0005-0000-0000-00005F550000}"/>
    <cellStyle name="Comma 3 2 4 2 2 3" xfId="22173" xr:uid="{00000000-0005-0000-0000-000060550000}"/>
    <cellStyle name="Comma 3 2 4 2 3" xfId="5572" xr:uid="{00000000-0005-0000-0000-000061550000}"/>
    <cellStyle name="Comma 3 2 4 2 3 2" xfId="16773" xr:uid="{00000000-0005-0000-0000-000062550000}"/>
    <cellStyle name="Comma 3 2 4 2 3 2 2" xfId="30180" xr:uid="{00000000-0005-0000-0000-000063550000}"/>
    <cellStyle name="Comma 3 2 4 2 3 3" xfId="22172" xr:uid="{00000000-0005-0000-0000-000064550000}"/>
    <cellStyle name="Comma 3 2 4 2 4" xfId="9762" xr:uid="{00000000-0005-0000-0000-000065550000}"/>
    <cellStyle name="Comma 3 2 4 2 5" xfId="22174" xr:uid="{00000000-0005-0000-0000-000066550000}"/>
    <cellStyle name="Comma 3 2 4 3" xfId="5573" xr:uid="{00000000-0005-0000-0000-000067550000}"/>
    <cellStyle name="Comma 3 2 4 3 2" xfId="5574" xr:uid="{00000000-0005-0000-0000-000068550000}"/>
    <cellStyle name="Comma 3 2 4 3 2 2" xfId="13120" xr:uid="{00000000-0005-0000-0000-000069550000}"/>
    <cellStyle name="Comma 3 2 4 3 2 3" xfId="22170" xr:uid="{00000000-0005-0000-0000-00006A550000}"/>
    <cellStyle name="Comma 3 2 4 3 3" xfId="12161" xr:uid="{00000000-0005-0000-0000-00006B550000}"/>
    <cellStyle name="Comma 3 2 4 3 3 2" xfId="25873" xr:uid="{00000000-0005-0000-0000-00006C550000}"/>
    <cellStyle name="Comma 3 2 4 3 4" xfId="22171" xr:uid="{00000000-0005-0000-0000-00006D550000}"/>
    <cellStyle name="Comma 3 2 4 4" xfId="5575" xr:uid="{00000000-0005-0000-0000-00006E550000}"/>
    <cellStyle name="Comma 3 2 4 4 2" xfId="5576" xr:uid="{00000000-0005-0000-0000-00006F550000}"/>
    <cellStyle name="Comma 3 2 4 4 2 2" xfId="15589" xr:uid="{00000000-0005-0000-0000-000070550000}"/>
    <cellStyle name="Comma 3 2 4 4 2 3" xfId="22168" xr:uid="{00000000-0005-0000-0000-000071550000}"/>
    <cellStyle name="Comma 3 2 4 4 3" xfId="13725" xr:uid="{00000000-0005-0000-0000-000072550000}"/>
    <cellStyle name="Comma 3 2 4 4 3 2" xfId="27274" xr:uid="{00000000-0005-0000-0000-000073550000}"/>
    <cellStyle name="Comma 3 2 4 4 4" xfId="22169" xr:uid="{00000000-0005-0000-0000-000074550000}"/>
    <cellStyle name="Comma 3 2 4 5" xfId="5577" xr:uid="{00000000-0005-0000-0000-000075550000}"/>
    <cellStyle name="Comma 3 2 4 5 2" xfId="14306" xr:uid="{00000000-0005-0000-0000-000076550000}"/>
    <cellStyle name="Comma 3 2 4 5 2 2" xfId="27855" xr:uid="{00000000-0005-0000-0000-000077550000}"/>
    <cellStyle name="Comma 3 2 4 5 3" xfId="22167" xr:uid="{00000000-0005-0000-0000-000078550000}"/>
    <cellStyle name="Comma 3 2 4 6" xfId="5578" xr:uid="{00000000-0005-0000-0000-000079550000}"/>
    <cellStyle name="Comma 3 2 4 6 2" xfId="16192" xr:uid="{00000000-0005-0000-0000-00007A550000}"/>
    <cellStyle name="Comma 3 2 4 6 2 2" xfId="29599" xr:uid="{00000000-0005-0000-0000-00007B550000}"/>
    <cellStyle name="Comma 3 2 4 6 3" xfId="22166" xr:uid="{00000000-0005-0000-0000-00007C550000}"/>
    <cellStyle name="Comma 3 2 4 7" xfId="9761" xr:uid="{00000000-0005-0000-0000-00007D550000}"/>
    <cellStyle name="Comma 3 2 4 8" xfId="22175" xr:uid="{00000000-0005-0000-0000-00007E550000}"/>
    <cellStyle name="Comma 3 2 5" xfId="5579" xr:uid="{00000000-0005-0000-0000-00007F550000}"/>
    <cellStyle name="Comma 3 2 5 2" xfId="5580" xr:uid="{00000000-0005-0000-0000-000080550000}"/>
    <cellStyle name="Comma 3 2 5 2 2" xfId="5581" xr:uid="{00000000-0005-0000-0000-000081550000}"/>
    <cellStyle name="Comma 3 2 5 2 2 2" xfId="11320" xr:uid="{00000000-0005-0000-0000-000082550000}"/>
    <cellStyle name="Comma 3 2 5 2 2 3" xfId="22163" xr:uid="{00000000-0005-0000-0000-000083550000}"/>
    <cellStyle name="Comma 3 2 5 2 3" xfId="9764" xr:uid="{00000000-0005-0000-0000-000084550000}"/>
    <cellStyle name="Comma 3 2 5 2 4" xfId="22164" xr:uid="{00000000-0005-0000-0000-000085550000}"/>
    <cellStyle name="Comma 3 2 5 3" xfId="5582" xr:uid="{00000000-0005-0000-0000-000086550000}"/>
    <cellStyle name="Comma 3 2 5 3 2" xfId="11319" xr:uid="{00000000-0005-0000-0000-000087550000}"/>
    <cellStyle name="Comma 3 2 5 3 3" xfId="22162" xr:uid="{00000000-0005-0000-0000-000088550000}"/>
    <cellStyle name="Comma 3 2 5 4" xfId="5583" xr:uid="{00000000-0005-0000-0000-000089550000}"/>
    <cellStyle name="Comma 3 2 5 4 2" xfId="17009" xr:uid="{00000000-0005-0000-0000-00008A550000}"/>
    <cellStyle name="Comma 3 2 5 4 2 2" xfId="30416" xr:uid="{00000000-0005-0000-0000-00008B550000}"/>
    <cellStyle name="Comma 3 2 5 4 3" xfId="22161" xr:uid="{00000000-0005-0000-0000-00008C550000}"/>
    <cellStyle name="Comma 3 2 5 5" xfId="9763" xr:uid="{00000000-0005-0000-0000-00008D550000}"/>
    <cellStyle name="Comma 3 2 5 6" xfId="22165" xr:uid="{00000000-0005-0000-0000-00008E550000}"/>
    <cellStyle name="Comma 3 2 6" xfId="5584" xr:uid="{00000000-0005-0000-0000-00008F550000}"/>
    <cellStyle name="Comma 3 2 6 2" xfId="5585" xr:uid="{00000000-0005-0000-0000-000090550000}"/>
    <cellStyle name="Comma 3 2 6 2 2" xfId="17120" xr:uid="{00000000-0005-0000-0000-000091550000}"/>
    <cellStyle name="Comma 3 2 6 2 2 2" xfId="30479" xr:uid="{00000000-0005-0000-0000-000092550000}"/>
    <cellStyle name="Comma 3 2 6 2 3" xfId="22159" xr:uid="{00000000-0005-0000-0000-000093550000}"/>
    <cellStyle name="Comma 3 2 6 3" xfId="9765" xr:uid="{00000000-0005-0000-0000-000094550000}"/>
    <cellStyle name="Comma 3 2 6 4" xfId="22160" xr:uid="{00000000-0005-0000-0000-000095550000}"/>
    <cellStyle name="Comma 3 2 7" xfId="5586" xr:uid="{00000000-0005-0000-0000-000096550000}"/>
    <cellStyle name="Comma 3 2 7 2" xfId="5587" xr:uid="{00000000-0005-0000-0000-000097550000}"/>
    <cellStyle name="Comma 3 2 7 2 2" xfId="11321" xr:uid="{00000000-0005-0000-0000-000098550000}"/>
    <cellStyle name="Comma 3 2 7 2 3" xfId="22157" xr:uid="{00000000-0005-0000-0000-000099550000}"/>
    <cellStyle name="Comma 3 2 7 3" xfId="5588" xr:uid="{00000000-0005-0000-0000-00009A550000}"/>
    <cellStyle name="Comma 3 2 7 3 2" xfId="17209" xr:uid="{00000000-0005-0000-0000-00009B550000}"/>
    <cellStyle name="Comma 3 2 7 3 2 2" xfId="30568" xr:uid="{00000000-0005-0000-0000-00009C550000}"/>
    <cellStyle name="Comma 3 2 7 3 3" xfId="22156" xr:uid="{00000000-0005-0000-0000-00009D550000}"/>
    <cellStyle name="Comma 3 2 7 4" xfId="9766" xr:uid="{00000000-0005-0000-0000-00009E550000}"/>
    <cellStyle name="Comma 3 2 7 5" xfId="22158" xr:uid="{00000000-0005-0000-0000-00009F550000}"/>
    <cellStyle name="Comma 3 2 8" xfId="5589" xr:uid="{00000000-0005-0000-0000-0000A0550000}"/>
    <cellStyle name="Comma 3 2 8 2" xfId="5590" xr:uid="{00000000-0005-0000-0000-0000A1550000}"/>
    <cellStyle name="Comma 3 2 8 2 2" xfId="11322" xr:uid="{00000000-0005-0000-0000-0000A2550000}"/>
    <cellStyle name="Comma 3 2 8 2 3" xfId="22154" xr:uid="{00000000-0005-0000-0000-0000A3550000}"/>
    <cellStyle name="Comma 3 2 8 3" xfId="5591" xr:uid="{00000000-0005-0000-0000-0000A4550000}"/>
    <cellStyle name="Comma 3 2 8 3 2" xfId="16484" xr:uid="{00000000-0005-0000-0000-0000A5550000}"/>
    <cellStyle name="Comma 3 2 8 3 2 2" xfId="29891" xr:uid="{00000000-0005-0000-0000-0000A6550000}"/>
    <cellStyle name="Comma 3 2 8 3 3" xfId="22153" xr:uid="{00000000-0005-0000-0000-0000A7550000}"/>
    <cellStyle name="Comma 3 2 8 4" xfId="9767" xr:uid="{00000000-0005-0000-0000-0000A8550000}"/>
    <cellStyle name="Comma 3 2 8 5" xfId="22155" xr:uid="{00000000-0005-0000-0000-0000A9550000}"/>
    <cellStyle name="Comma 3 2 9" xfId="5592" xr:uid="{00000000-0005-0000-0000-0000AA550000}"/>
    <cellStyle name="Comma 3 2 9 2" xfId="5593" xr:uid="{00000000-0005-0000-0000-0000AB550000}"/>
    <cellStyle name="Comma 3 2 9 2 2" xfId="13121" xr:uid="{00000000-0005-0000-0000-0000AC550000}"/>
    <cellStyle name="Comma 3 2 9 2 2 2" xfId="26833" xr:uid="{00000000-0005-0000-0000-0000AD550000}"/>
    <cellStyle name="Comma 3 2 9 2 3" xfId="22151" xr:uid="{00000000-0005-0000-0000-0000AE550000}"/>
    <cellStyle name="Comma 3 2 9 3" xfId="5594" xr:uid="{00000000-0005-0000-0000-0000AF550000}"/>
    <cellStyle name="Comma 3 2 9 3 2" xfId="15590" xr:uid="{00000000-0005-0000-0000-0000B0550000}"/>
    <cellStyle name="Comma 3 2 9 3 3" xfId="22150" xr:uid="{00000000-0005-0000-0000-0000B1550000}"/>
    <cellStyle name="Comma 3 2 9 4" xfId="10529" xr:uid="{00000000-0005-0000-0000-0000B2550000}"/>
    <cellStyle name="Comma 3 2 9 4 2" xfId="24471" xr:uid="{00000000-0005-0000-0000-0000B3550000}"/>
    <cellStyle name="Comma 3 2 9 5" xfId="22152" xr:uid="{00000000-0005-0000-0000-0000B4550000}"/>
    <cellStyle name="Comma 3 20" xfId="5595" xr:uid="{00000000-0005-0000-0000-0000B5550000}"/>
    <cellStyle name="Comma 3 20 2" xfId="5596" xr:uid="{00000000-0005-0000-0000-0000B6550000}"/>
    <cellStyle name="Comma 3 20 2 2" xfId="11323" xr:uid="{00000000-0005-0000-0000-0000B7550000}"/>
    <cellStyle name="Comma 3 20 2 3" xfId="22148" xr:uid="{00000000-0005-0000-0000-0000B8550000}"/>
    <cellStyle name="Comma 3 20 3" xfId="9768" xr:uid="{00000000-0005-0000-0000-0000B9550000}"/>
    <cellStyle name="Comma 3 20 4" xfId="22149" xr:uid="{00000000-0005-0000-0000-0000BA550000}"/>
    <cellStyle name="Comma 3 21" xfId="5597" xr:uid="{00000000-0005-0000-0000-0000BB550000}"/>
    <cellStyle name="Comma 3 21 2" xfId="5598" xr:uid="{00000000-0005-0000-0000-0000BC550000}"/>
    <cellStyle name="Comma 3 21 2 2" xfId="11711" xr:uid="{00000000-0005-0000-0000-0000BD550000}"/>
    <cellStyle name="Comma 3 21 2 2 2" xfId="25431" xr:uid="{00000000-0005-0000-0000-0000BE550000}"/>
    <cellStyle name="Comma 3 21 2 3" xfId="22146" xr:uid="{00000000-0005-0000-0000-0000BF550000}"/>
    <cellStyle name="Comma 3 21 3" xfId="5599" xr:uid="{00000000-0005-0000-0000-0000C0550000}"/>
    <cellStyle name="Comma 3 21 3 2" xfId="13122" xr:uid="{00000000-0005-0000-0000-0000C1550000}"/>
    <cellStyle name="Comma 3 21 3 2 2" xfId="26834" xr:uid="{00000000-0005-0000-0000-0000C2550000}"/>
    <cellStyle name="Comma 3 21 3 3" xfId="22145" xr:uid="{00000000-0005-0000-0000-0000C3550000}"/>
    <cellStyle name="Comma 3 21 4" xfId="5600" xr:uid="{00000000-0005-0000-0000-0000C4550000}"/>
    <cellStyle name="Comma 3 21 4 2" xfId="15591" xr:uid="{00000000-0005-0000-0000-0000C5550000}"/>
    <cellStyle name="Comma 3 21 4 3" xfId="22144" xr:uid="{00000000-0005-0000-0000-0000C6550000}"/>
    <cellStyle name="Comma 3 21 5" xfId="10476" xr:uid="{00000000-0005-0000-0000-0000C7550000}"/>
    <cellStyle name="Comma 3 21 5 2" xfId="24435" xr:uid="{00000000-0005-0000-0000-0000C8550000}"/>
    <cellStyle name="Comma 3 21 6" xfId="22147" xr:uid="{00000000-0005-0000-0000-0000C9550000}"/>
    <cellStyle name="Comma 3 22" xfId="5601" xr:uid="{00000000-0005-0000-0000-0000CA550000}"/>
    <cellStyle name="Comma 3 22 2" xfId="5602" xr:uid="{00000000-0005-0000-0000-0000CB550000}"/>
    <cellStyle name="Comma 3 22 2 2" xfId="13123" xr:uid="{00000000-0005-0000-0000-0000CC550000}"/>
    <cellStyle name="Comma 3 22 2 2 2" xfId="26835" xr:uid="{00000000-0005-0000-0000-0000CD550000}"/>
    <cellStyle name="Comma 3 22 2 3" xfId="22142" xr:uid="{00000000-0005-0000-0000-0000CE550000}"/>
    <cellStyle name="Comma 3 22 3" xfId="5603" xr:uid="{00000000-0005-0000-0000-0000CF550000}"/>
    <cellStyle name="Comma 3 22 3 2" xfId="15592" xr:uid="{00000000-0005-0000-0000-0000D0550000}"/>
    <cellStyle name="Comma 3 22 3 3" xfId="22141" xr:uid="{00000000-0005-0000-0000-0000D1550000}"/>
    <cellStyle name="Comma 3 22 4" xfId="10506" xr:uid="{00000000-0005-0000-0000-0000D2550000}"/>
    <cellStyle name="Comma 3 22 4 2" xfId="24454" xr:uid="{00000000-0005-0000-0000-0000D3550000}"/>
    <cellStyle name="Comma 3 22 5" xfId="22143" xr:uid="{00000000-0005-0000-0000-0000D4550000}"/>
    <cellStyle name="Comma 3 23" xfId="5604" xr:uid="{00000000-0005-0000-0000-0000D5550000}"/>
    <cellStyle name="Comma 3 23 2" xfId="11303" xr:uid="{00000000-0005-0000-0000-0000D6550000}"/>
    <cellStyle name="Comma 3 23 3" xfId="22140" xr:uid="{00000000-0005-0000-0000-0000D7550000}"/>
    <cellStyle name="Comma 3 24" xfId="5605" xr:uid="{00000000-0005-0000-0000-0000D8550000}"/>
    <cellStyle name="Comma 3 24 2" xfId="11749" xr:uid="{00000000-0005-0000-0000-0000D9550000}"/>
    <cellStyle name="Comma 3 24 2 2" xfId="25464" xr:uid="{00000000-0005-0000-0000-0000DA550000}"/>
    <cellStyle name="Comma 3 24 3" xfId="22139" xr:uid="{00000000-0005-0000-0000-0000DB550000}"/>
    <cellStyle name="Comma 3 25" xfId="5606" xr:uid="{00000000-0005-0000-0000-0000DC550000}"/>
    <cellStyle name="Comma 3 25 2" xfId="13379" xr:uid="{00000000-0005-0000-0000-0000DD550000}"/>
    <cellStyle name="Comma 3 25 2 2" xfId="26928" xr:uid="{00000000-0005-0000-0000-0000DE550000}"/>
    <cellStyle name="Comma 3 25 3" xfId="22138" xr:uid="{00000000-0005-0000-0000-0000DF550000}"/>
    <cellStyle name="Comma 3 26" xfId="5607" xr:uid="{00000000-0005-0000-0000-0000E0550000}"/>
    <cellStyle name="Comma 3 26 2" xfId="13960" xr:uid="{00000000-0005-0000-0000-0000E1550000}"/>
    <cellStyle name="Comma 3 26 2 2" xfId="27509" xr:uid="{00000000-0005-0000-0000-0000E2550000}"/>
    <cellStyle name="Comma 3 26 3" xfId="22137" xr:uid="{00000000-0005-0000-0000-0000E3550000}"/>
    <cellStyle name="Comma 3 27" xfId="5608" xr:uid="{00000000-0005-0000-0000-0000E4550000}"/>
    <cellStyle name="Comma 3 27 2" xfId="15818" xr:uid="{00000000-0005-0000-0000-0000E5550000}"/>
    <cellStyle name="Comma 3 27 2 2" xfId="29225" xr:uid="{00000000-0005-0000-0000-0000E6550000}"/>
    <cellStyle name="Comma 3 27 3" xfId="22136" xr:uid="{00000000-0005-0000-0000-0000E7550000}"/>
    <cellStyle name="Comma 3 28" xfId="5609" xr:uid="{00000000-0005-0000-0000-0000E8550000}"/>
    <cellStyle name="Comma 3 28 2" xfId="15846" xr:uid="{00000000-0005-0000-0000-0000E9550000}"/>
    <cellStyle name="Comma 3 28 2 2" xfId="29253" xr:uid="{00000000-0005-0000-0000-0000EA550000}"/>
    <cellStyle name="Comma 3 28 3" xfId="22135" xr:uid="{00000000-0005-0000-0000-0000EB550000}"/>
    <cellStyle name="Comma 3 29" xfId="8648" xr:uid="{00000000-0005-0000-0000-0000EC550000}"/>
    <cellStyle name="Comma 3 29 2" xfId="9735" xr:uid="{00000000-0005-0000-0000-0000ED550000}"/>
    <cellStyle name="Comma 3 3" xfId="5610" xr:uid="{00000000-0005-0000-0000-0000EE550000}"/>
    <cellStyle name="Comma 3 3 10" xfId="5611" xr:uid="{00000000-0005-0000-0000-0000EF550000}"/>
    <cellStyle name="Comma 3 3 10 2" xfId="17320" xr:uid="{00000000-0005-0000-0000-0000F0550000}"/>
    <cellStyle name="Comma 3 3 10 3" xfId="22133" xr:uid="{00000000-0005-0000-0000-0000F1550000}"/>
    <cellStyle name="Comma 3 3 11" xfId="8728" xr:uid="{00000000-0005-0000-0000-0000F2550000}"/>
    <cellStyle name="Comma 3 3 12" xfId="9769" xr:uid="{00000000-0005-0000-0000-0000F3550000}"/>
    <cellStyle name="Comma 3 3 13" xfId="22134" xr:uid="{00000000-0005-0000-0000-0000F4550000}"/>
    <cellStyle name="Comma 3 3 2" xfId="5612" xr:uid="{00000000-0005-0000-0000-0000F5550000}"/>
    <cellStyle name="Comma 3 3 2 2" xfId="5613" xr:uid="{00000000-0005-0000-0000-0000F6550000}"/>
    <cellStyle name="Comma 3 3 2 2 2" xfId="5614" xr:uid="{00000000-0005-0000-0000-0000F7550000}"/>
    <cellStyle name="Comma 3 3 2 2 2 2" xfId="5615" xr:uid="{00000000-0005-0000-0000-0000F8550000}"/>
    <cellStyle name="Comma 3 3 2 2 2 2 2" xfId="11324" xr:uid="{00000000-0005-0000-0000-0000F9550000}"/>
    <cellStyle name="Comma 3 3 2 2 2 2 3" xfId="22129" xr:uid="{00000000-0005-0000-0000-0000FA550000}"/>
    <cellStyle name="Comma 3 3 2 2 2 3" xfId="5616" xr:uid="{00000000-0005-0000-0000-0000FB550000}"/>
    <cellStyle name="Comma 3 3 2 2 2 3 2" xfId="16939" xr:uid="{00000000-0005-0000-0000-0000FC550000}"/>
    <cellStyle name="Comma 3 3 2 2 2 3 2 2" xfId="30346" xr:uid="{00000000-0005-0000-0000-0000FD550000}"/>
    <cellStyle name="Comma 3 3 2 2 2 3 3" xfId="22128" xr:uid="{00000000-0005-0000-0000-0000FE550000}"/>
    <cellStyle name="Comma 3 3 2 2 2 4" xfId="9772" xr:uid="{00000000-0005-0000-0000-0000FF550000}"/>
    <cellStyle name="Comma 3 3 2 2 2 5" xfId="22130" xr:uid="{00000000-0005-0000-0000-000000560000}"/>
    <cellStyle name="Comma 3 3 2 2 3" xfId="5617" xr:uid="{00000000-0005-0000-0000-000001560000}"/>
    <cellStyle name="Comma 3 3 2 2 3 2" xfId="5618" xr:uid="{00000000-0005-0000-0000-000002560000}"/>
    <cellStyle name="Comma 3 3 2 2 3 2 2" xfId="13124" xr:uid="{00000000-0005-0000-0000-000003560000}"/>
    <cellStyle name="Comma 3 3 2 2 3 2 3" xfId="22126" xr:uid="{00000000-0005-0000-0000-000004560000}"/>
    <cellStyle name="Comma 3 3 2 2 3 3" xfId="12327" xr:uid="{00000000-0005-0000-0000-000005560000}"/>
    <cellStyle name="Comma 3 3 2 2 3 3 2" xfId="26039" xr:uid="{00000000-0005-0000-0000-000006560000}"/>
    <cellStyle name="Comma 3 3 2 2 3 4" xfId="22127" xr:uid="{00000000-0005-0000-0000-000007560000}"/>
    <cellStyle name="Comma 3 3 2 2 4" xfId="5619" xr:uid="{00000000-0005-0000-0000-000008560000}"/>
    <cellStyle name="Comma 3 3 2 2 4 2" xfId="5620" xr:uid="{00000000-0005-0000-0000-000009560000}"/>
    <cellStyle name="Comma 3 3 2 2 4 2 2" xfId="15593" xr:uid="{00000000-0005-0000-0000-00000A560000}"/>
    <cellStyle name="Comma 3 3 2 2 4 2 3" xfId="22124" xr:uid="{00000000-0005-0000-0000-00000B560000}"/>
    <cellStyle name="Comma 3 3 2 2 4 3" xfId="13891" xr:uid="{00000000-0005-0000-0000-00000C560000}"/>
    <cellStyle name="Comma 3 3 2 2 4 3 2" xfId="27440" xr:uid="{00000000-0005-0000-0000-00000D560000}"/>
    <cellStyle name="Comma 3 3 2 2 4 4" xfId="22125" xr:uid="{00000000-0005-0000-0000-00000E560000}"/>
    <cellStyle name="Comma 3 3 2 2 5" xfId="5621" xr:uid="{00000000-0005-0000-0000-00000F560000}"/>
    <cellStyle name="Comma 3 3 2 2 5 2" xfId="14472" xr:uid="{00000000-0005-0000-0000-000010560000}"/>
    <cellStyle name="Comma 3 3 2 2 5 2 2" xfId="28021" xr:uid="{00000000-0005-0000-0000-000011560000}"/>
    <cellStyle name="Comma 3 3 2 2 5 3" xfId="22123" xr:uid="{00000000-0005-0000-0000-000012560000}"/>
    <cellStyle name="Comma 3 3 2 2 6" xfId="5622" xr:uid="{00000000-0005-0000-0000-000013560000}"/>
    <cellStyle name="Comma 3 3 2 2 6 2" xfId="16358" xr:uid="{00000000-0005-0000-0000-000014560000}"/>
    <cellStyle name="Comma 3 3 2 2 6 2 2" xfId="29765" xr:uid="{00000000-0005-0000-0000-000015560000}"/>
    <cellStyle name="Comma 3 3 2 2 6 3" xfId="22122" xr:uid="{00000000-0005-0000-0000-000016560000}"/>
    <cellStyle name="Comma 3 3 2 2 7" xfId="9771" xr:uid="{00000000-0005-0000-0000-000017560000}"/>
    <cellStyle name="Comma 3 3 2 2 8" xfId="22131" xr:uid="{00000000-0005-0000-0000-000018560000}"/>
    <cellStyle name="Comma 3 3 2 3" xfId="5623" xr:uid="{00000000-0005-0000-0000-000019560000}"/>
    <cellStyle name="Comma 3 3 2 3 2" xfId="5624" xr:uid="{00000000-0005-0000-0000-00001A560000}"/>
    <cellStyle name="Comma 3 3 2 3 2 2" xfId="11325" xr:uid="{00000000-0005-0000-0000-00001B560000}"/>
    <cellStyle name="Comma 3 3 2 3 2 3" xfId="22120" xr:uid="{00000000-0005-0000-0000-00001C560000}"/>
    <cellStyle name="Comma 3 3 2 3 3" xfId="5625" xr:uid="{00000000-0005-0000-0000-00001D560000}"/>
    <cellStyle name="Comma 3 3 2 3 3 2" xfId="16650" xr:uid="{00000000-0005-0000-0000-00001E560000}"/>
    <cellStyle name="Comma 3 3 2 3 3 2 2" xfId="30057" xr:uid="{00000000-0005-0000-0000-00001F560000}"/>
    <cellStyle name="Comma 3 3 2 3 3 3" xfId="22119" xr:uid="{00000000-0005-0000-0000-000020560000}"/>
    <cellStyle name="Comma 3 3 2 3 4" xfId="9773" xr:uid="{00000000-0005-0000-0000-000021560000}"/>
    <cellStyle name="Comma 3 3 2 3 5" xfId="22121" xr:uid="{00000000-0005-0000-0000-000022560000}"/>
    <cellStyle name="Comma 3 3 2 4" xfId="5626" xr:uid="{00000000-0005-0000-0000-000023560000}"/>
    <cellStyle name="Comma 3 3 2 4 2" xfId="5627" xr:uid="{00000000-0005-0000-0000-000024560000}"/>
    <cellStyle name="Comma 3 3 2 4 2 2" xfId="13125" xr:uid="{00000000-0005-0000-0000-000025560000}"/>
    <cellStyle name="Comma 3 3 2 4 2 3" xfId="22117" xr:uid="{00000000-0005-0000-0000-000026560000}"/>
    <cellStyle name="Comma 3 3 2 4 3" xfId="12027" xr:uid="{00000000-0005-0000-0000-000027560000}"/>
    <cellStyle name="Comma 3 3 2 4 3 2" xfId="25742" xr:uid="{00000000-0005-0000-0000-000028560000}"/>
    <cellStyle name="Comma 3 3 2 4 4" xfId="22118" xr:uid="{00000000-0005-0000-0000-000029560000}"/>
    <cellStyle name="Comma 3 3 2 5" xfId="5628" xr:uid="{00000000-0005-0000-0000-00002A560000}"/>
    <cellStyle name="Comma 3 3 2 5 2" xfId="5629" xr:uid="{00000000-0005-0000-0000-00002B560000}"/>
    <cellStyle name="Comma 3 3 2 5 2 2" xfId="15594" xr:uid="{00000000-0005-0000-0000-00002C560000}"/>
    <cellStyle name="Comma 3 3 2 5 2 3" xfId="22115" xr:uid="{00000000-0005-0000-0000-00002D560000}"/>
    <cellStyle name="Comma 3 3 2 5 3" xfId="13602" xr:uid="{00000000-0005-0000-0000-00002E560000}"/>
    <cellStyle name="Comma 3 3 2 5 3 2" xfId="27151" xr:uid="{00000000-0005-0000-0000-00002F560000}"/>
    <cellStyle name="Comma 3 3 2 5 4" xfId="22116" xr:uid="{00000000-0005-0000-0000-000030560000}"/>
    <cellStyle name="Comma 3 3 2 6" xfId="5630" xr:uid="{00000000-0005-0000-0000-000031560000}"/>
    <cellStyle name="Comma 3 3 2 6 2" xfId="14183" xr:uid="{00000000-0005-0000-0000-000032560000}"/>
    <cellStyle name="Comma 3 3 2 6 2 2" xfId="27732" xr:uid="{00000000-0005-0000-0000-000033560000}"/>
    <cellStyle name="Comma 3 3 2 6 3" xfId="22114" xr:uid="{00000000-0005-0000-0000-000034560000}"/>
    <cellStyle name="Comma 3 3 2 7" xfId="5631" xr:uid="{00000000-0005-0000-0000-000035560000}"/>
    <cellStyle name="Comma 3 3 2 7 2" xfId="16069" xr:uid="{00000000-0005-0000-0000-000036560000}"/>
    <cellStyle name="Comma 3 3 2 7 2 2" xfId="29476" xr:uid="{00000000-0005-0000-0000-000037560000}"/>
    <cellStyle name="Comma 3 3 2 7 3" xfId="22113" xr:uid="{00000000-0005-0000-0000-000038560000}"/>
    <cellStyle name="Comma 3 3 2 8" xfId="9770" xr:uid="{00000000-0005-0000-0000-000039560000}"/>
    <cellStyle name="Comma 3 3 2 9" xfId="22132" xr:uid="{00000000-0005-0000-0000-00003A560000}"/>
    <cellStyle name="Comma 3 3 3" xfId="5632" xr:uid="{00000000-0005-0000-0000-00003B560000}"/>
    <cellStyle name="Comma 3 3 3 2" xfId="5633" xr:uid="{00000000-0005-0000-0000-00003C560000}"/>
    <cellStyle name="Comma 3 3 3 2 2" xfId="5634" xr:uid="{00000000-0005-0000-0000-00003D560000}"/>
    <cellStyle name="Comma 3 3 3 2 2 2" xfId="11326" xr:uid="{00000000-0005-0000-0000-00003E560000}"/>
    <cellStyle name="Comma 3 3 3 2 2 3" xfId="22110" xr:uid="{00000000-0005-0000-0000-00003F560000}"/>
    <cellStyle name="Comma 3 3 3 2 3" xfId="5635" xr:uid="{00000000-0005-0000-0000-000040560000}"/>
    <cellStyle name="Comma 3 3 3 2 3 2" xfId="16796" xr:uid="{00000000-0005-0000-0000-000041560000}"/>
    <cellStyle name="Comma 3 3 3 2 3 2 2" xfId="30203" xr:uid="{00000000-0005-0000-0000-000042560000}"/>
    <cellStyle name="Comma 3 3 3 2 3 3" xfId="22109" xr:uid="{00000000-0005-0000-0000-000043560000}"/>
    <cellStyle name="Comma 3 3 3 2 4" xfId="9775" xr:uid="{00000000-0005-0000-0000-000044560000}"/>
    <cellStyle name="Comma 3 3 3 2 5" xfId="22111" xr:uid="{00000000-0005-0000-0000-000045560000}"/>
    <cellStyle name="Comma 3 3 3 3" xfId="5636" xr:uid="{00000000-0005-0000-0000-000046560000}"/>
    <cellStyle name="Comma 3 3 3 3 2" xfId="5637" xr:uid="{00000000-0005-0000-0000-000047560000}"/>
    <cellStyle name="Comma 3 3 3 3 2 2" xfId="13126" xr:uid="{00000000-0005-0000-0000-000048560000}"/>
    <cellStyle name="Comma 3 3 3 3 2 3" xfId="22107" xr:uid="{00000000-0005-0000-0000-000049560000}"/>
    <cellStyle name="Comma 3 3 3 3 3" xfId="12184" xr:uid="{00000000-0005-0000-0000-00004A560000}"/>
    <cellStyle name="Comma 3 3 3 3 3 2" xfId="25896" xr:uid="{00000000-0005-0000-0000-00004B560000}"/>
    <cellStyle name="Comma 3 3 3 3 4" xfId="22108" xr:uid="{00000000-0005-0000-0000-00004C560000}"/>
    <cellStyle name="Comma 3 3 3 4" xfId="5638" xr:uid="{00000000-0005-0000-0000-00004D560000}"/>
    <cellStyle name="Comma 3 3 3 4 2" xfId="5639" xr:uid="{00000000-0005-0000-0000-00004E560000}"/>
    <cellStyle name="Comma 3 3 3 4 2 2" xfId="15595" xr:uid="{00000000-0005-0000-0000-00004F560000}"/>
    <cellStyle name="Comma 3 3 3 4 2 3" xfId="22105" xr:uid="{00000000-0005-0000-0000-000050560000}"/>
    <cellStyle name="Comma 3 3 3 4 3" xfId="13748" xr:uid="{00000000-0005-0000-0000-000051560000}"/>
    <cellStyle name="Comma 3 3 3 4 3 2" xfId="27297" xr:uid="{00000000-0005-0000-0000-000052560000}"/>
    <cellStyle name="Comma 3 3 3 4 4" xfId="22106" xr:uid="{00000000-0005-0000-0000-000053560000}"/>
    <cellStyle name="Comma 3 3 3 5" xfId="5640" xr:uid="{00000000-0005-0000-0000-000054560000}"/>
    <cellStyle name="Comma 3 3 3 5 2" xfId="14329" xr:uid="{00000000-0005-0000-0000-000055560000}"/>
    <cellStyle name="Comma 3 3 3 5 2 2" xfId="27878" xr:uid="{00000000-0005-0000-0000-000056560000}"/>
    <cellStyle name="Comma 3 3 3 5 3" xfId="22104" xr:uid="{00000000-0005-0000-0000-000057560000}"/>
    <cellStyle name="Comma 3 3 3 6" xfId="5641" xr:uid="{00000000-0005-0000-0000-000058560000}"/>
    <cellStyle name="Comma 3 3 3 6 2" xfId="16215" xr:uid="{00000000-0005-0000-0000-000059560000}"/>
    <cellStyle name="Comma 3 3 3 6 2 2" xfId="29622" xr:uid="{00000000-0005-0000-0000-00005A560000}"/>
    <cellStyle name="Comma 3 3 3 6 3" xfId="22103" xr:uid="{00000000-0005-0000-0000-00005B560000}"/>
    <cellStyle name="Comma 3 3 3 7" xfId="9774" xr:uid="{00000000-0005-0000-0000-00005C560000}"/>
    <cellStyle name="Comma 3 3 3 8" xfId="22112" xr:uid="{00000000-0005-0000-0000-00005D560000}"/>
    <cellStyle name="Comma 3 3 4" xfId="5642" xr:uid="{00000000-0005-0000-0000-00005E560000}"/>
    <cellStyle name="Comma 3 3 4 2" xfId="5643" xr:uid="{00000000-0005-0000-0000-00005F560000}"/>
    <cellStyle name="Comma 3 3 4 2 2" xfId="13127" xr:uid="{00000000-0005-0000-0000-000060560000}"/>
    <cellStyle name="Comma 3 3 4 2 3" xfId="22101" xr:uid="{00000000-0005-0000-0000-000061560000}"/>
    <cellStyle name="Comma 3 3 4 3" xfId="5644" xr:uid="{00000000-0005-0000-0000-000062560000}"/>
    <cellStyle name="Comma 3 3 4 3 2" xfId="17143" xr:uid="{00000000-0005-0000-0000-000063560000}"/>
    <cellStyle name="Comma 3 3 4 3 2 2" xfId="30502" xr:uid="{00000000-0005-0000-0000-000064560000}"/>
    <cellStyle name="Comma 3 3 4 3 3" xfId="22100" xr:uid="{00000000-0005-0000-0000-000065560000}"/>
    <cellStyle name="Comma 3 3 4 4" xfId="9776" xr:uid="{00000000-0005-0000-0000-000066560000}"/>
    <cellStyle name="Comma 3 3 4 5" xfId="22102" xr:uid="{00000000-0005-0000-0000-000067560000}"/>
    <cellStyle name="Comma 3 3 5" xfId="5645" xr:uid="{00000000-0005-0000-0000-000068560000}"/>
    <cellStyle name="Comma 3 3 5 2" xfId="5646" xr:uid="{00000000-0005-0000-0000-000069560000}"/>
    <cellStyle name="Comma 3 3 5 2 2" xfId="11327" xr:uid="{00000000-0005-0000-0000-00006A560000}"/>
    <cellStyle name="Comma 3 3 5 2 3" xfId="22098" xr:uid="{00000000-0005-0000-0000-00006B560000}"/>
    <cellStyle name="Comma 3 3 5 3" xfId="5647" xr:uid="{00000000-0005-0000-0000-00006C560000}"/>
    <cellStyle name="Comma 3 3 5 3 2" xfId="17232" xr:uid="{00000000-0005-0000-0000-00006D560000}"/>
    <cellStyle name="Comma 3 3 5 3 2 2" xfId="30591" xr:uid="{00000000-0005-0000-0000-00006E560000}"/>
    <cellStyle name="Comma 3 3 5 3 3" xfId="22097" xr:uid="{00000000-0005-0000-0000-00006F560000}"/>
    <cellStyle name="Comma 3 3 5 4" xfId="9777" xr:uid="{00000000-0005-0000-0000-000070560000}"/>
    <cellStyle name="Comma 3 3 5 5" xfId="22099" xr:uid="{00000000-0005-0000-0000-000071560000}"/>
    <cellStyle name="Comma 3 3 6" xfId="5648" xr:uid="{00000000-0005-0000-0000-000072560000}"/>
    <cellStyle name="Comma 3 3 6 2" xfId="5649" xr:uid="{00000000-0005-0000-0000-000073560000}"/>
    <cellStyle name="Comma 3 3 6 2 2" xfId="15596" xr:uid="{00000000-0005-0000-0000-000074560000}"/>
    <cellStyle name="Comma 3 3 6 2 3" xfId="22095" xr:uid="{00000000-0005-0000-0000-000075560000}"/>
    <cellStyle name="Comma 3 3 6 3" xfId="5650" xr:uid="{00000000-0005-0000-0000-000076560000}"/>
    <cellStyle name="Comma 3 3 6 3 2" xfId="16507" xr:uid="{00000000-0005-0000-0000-000077560000}"/>
    <cellStyle name="Comma 3 3 6 3 2 2" xfId="29914" xr:uid="{00000000-0005-0000-0000-000078560000}"/>
    <cellStyle name="Comma 3 3 6 3 3" xfId="22094" xr:uid="{00000000-0005-0000-0000-000079560000}"/>
    <cellStyle name="Comma 3 3 6 4" xfId="11880" xr:uid="{00000000-0005-0000-0000-00007A560000}"/>
    <cellStyle name="Comma 3 3 6 4 2" xfId="25595" xr:uid="{00000000-0005-0000-0000-00007B560000}"/>
    <cellStyle name="Comma 3 3 6 5" xfId="22096" xr:uid="{00000000-0005-0000-0000-00007C560000}"/>
    <cellStyle name="Comma 3 3 7" xfId="5651" xr:uid="{00000000-0005-0000-0000-00007D560000}"/>
    <cellStyle name="Comma 3 3 7 2" xfId="13459" xr:uid="{00000000-0005-0000-0000-00007E560000}"/>
    <cellStyle name="Comma 3 3 7 2 2" xfId="27008" xr:uid="{00000000-0005-0000-0000-00007F560000}"/>
    <cellStyle name="Comma 3 3 7 3" xfId="22093" xr:uid="{00000000-0005-0000-0000-000080560000}"/>
    <cellStyle name="Comma 3 3 8" xfId="5652" xr:uid="{00000000-0005-0000-0000-000081560000}"/>
    <cellStyle name="Comma 3 3 8 2" xfId="14040" xr:uid="{00000000-0005-0000-0000-000082560000}"/>
    <cellStyle name="Comma 3 3 8 2 2" xfId="27589" xr:uid="{00000000-0005-0000-0000-000083560000}"/>
    <cellStyle name="Comma 3 3 8 3" xfId="22092" xr:uid="{00000000-0005-0000-0000-000084560000}"/>
    <cellStyle name="Comma 3 3 9" xfId="5653" xr:uid="{00000000-0005-0000-0000-000085560000}"/>
    <cellStyle name="Comma 3 3 9 2" xfId="15926" xr:uid="{00000000-0005-0000-0000-000086560000}"/>
    <cellStyle name="Comma 3 3 9 2 2" xfId="29333" xr:uid="{00000000-0005-0000-0000-000087560000}"/>
    <cellStyle name="Comma 3 3 9 3" xfId="22091" xr:uid="{00000000-0005-0000-0000-000088560000}"/>
    <cellStyle name="Comma 3 30" xfId="17291" xr:uid="{00000000-0005-0000-0000-000089560000}"/>
    <cellStyle name="Comma 3 31" xfId="22275" xr:uid="{00000000-0005-0000-0000-00008A560000}"/>
    <cellStyle name="Comma 3 4" xfId="5654" xr:uid="{00000000-0005-0000-0000-00008B560000}"/>
    <cellStyle name="Comma 3 4 10" xfId="9778" xr:uid="{00000000-0005-0000-0000-00008C560000}"/>
    <cellStyle name="Comma 3 4 11" xfId="22090" xr:uid="{00000000-0005-0000-0000-00008D560000}"/>
    <cellStyle name="Comma 3 4 2" xfId="5655" xr:uid="{00000000-0005-0000-0000-00008E560000}"/>
    <cellStyle name="Comma 3 4 2 2" xfId="5656" xr:uid="{00000000-0005-0000-0000-00008F560000}"/>
    <cellStyle name="Comma 3 4 2 2 2" xfId="5657" xr:uid="{00000000-0005-0000-0000-000090560000}"/>
    <cellStyle name="Comma 3 4 2 2 2 2" xfId="5658" xr:uid="{00000000-0005-0000-0000-000091560000}"/>
    <cellStyle name="Comma 3 4 2 2 2 2 2" xfId="11328" xr:uid="{00000000-0005-0000-0000-000092560000}"/>
    <cellStyle name="Comma 3 4 2 2 2 2 3" xfId="22086" xr:uid="{00000000-0005-0000-0000-000093560000}"/>
    <cellStyle name="Comma 3 4 2 2 2 3" xfId="5659" xr:uid="{00000000-0005-0000-0000-000094560000}"/>
    <cellStyle name="Comma 3 4 2 2 2 3 2" xfId="16893" xr:uid="{00000000-0005-0000-0000-000095560000}"/>
    <cellStyle name="Comma 3 4 2 2 2 3 2 2" xfId="30300" xr:uid="{00000000-0005-0000-0000-000096560000}"/>
    <cellStyle name="Comma 3 4 2 2 2 3 3" xfId="22085" xr:uid="{00000000-0005-0000-0000-000097560000}"/>
    <cellStyle name="Comma 3 4 2 2 2 4" xfId="9781" xr:uid="{00000000-0005-0000-0000-000098560000}"/>
    <cellStyle name="Comma 3 4 2 2 2 5" xfId="22087" xr:uid="{00000000-0005-0000-0000-000099560000}"/>
    <cellStyle name="Comma 3 4 2 2 3" xfId="5660" xr:uid="{00000000-0005-0000-0000-00009A560000}"/>
    <cellStyle name="Comma 3 4 2 2 3 2" xfId="5661" xr:uid="{00000000-0005-0000-0000-00009B560000}"/>
    <cellStyle name="Comma 3 4 2 2 3 2 2" xfId="13128" xr:uid="{00000000-0005-0000-0000-00009C560000}"/>
    <cellStyle name="Comma 3 4 2 2 3 2 3" xfId="22083" xr:uid="{00000000-0005-0000-0000-00009D560000}"/>
    <cellStyle name="Comma 3 4 2 2 3 3" xfId="12281" xr:uid="{00000000-0005-0000-0000-00009E560000}"/>
    <cellStyle name="Comma 3 4 2 2 3 3 2" xfId="25993" xr:uid="{00000000-0005-0000-0000-00009F560000}"/>
    <cellStyle name="Comma 3 4 2 2 3 4" xfId="22084" xr:uid="{00000000-0005-0000-0000-0000A0560000}"/>
    <cellStyle name="Comma 3 4 2 2 4" xfId="5662" xr:uid="{00000000-0005-0000-0000-0000A1560000}"/>
    <cellStyle name="Comma 3 4 2 2 4 2" xfId="5663" xr:uid="{00000000-0005-0000-0000-0000A2560000}"/>
    <cellStyle name="Comma 3 4 2 2 4 2 2" xfId="15597" xr:uid="{00000000-0005-0000-0000-0000A3560000}"/>
    <cellStyle name="Comma 3 4 2 2 4 2 3" xfId="22081" xr:uid="{00000000-0005-0000-0000-0000A4560000}"/>
    <cellStyle name="Comma 3 4 2 2 4 3" xfId="13845" xr:uid="{00000000-0005-0000-0000-0000A5560000}"/>
    <cellStyle name="Comma 3 4 2 2 4 3 2" xfId="27394" xr:uid="{00000000-0005-0000-0000-0000A6560000}"/>
    <cellStyle name="Comma 3 4 2 2 4 4" xfId="22082" xr:uid="{00000000-0005-0000-0000-0000A7560000}"/>
    <cellStyle name="Comma 3 4 2 2 5" xfId="5664" xr:uid="{00000000-0005-0000-0000-0000A8560000}"/>
    <cellStyle name="Comma 3 4 2 2 5 2" xfId="14426" xr:uid="{00000000-0005-0000-0000-0000A9560000}"/>
    <cellStyle name="Comma 3 4 2 2 5 2 2" xfId="27975" xr:uid="{00000000-0005-0000-0000-0000AA560000}"/>
    <cellStyle name="Comma 3 4 2 2 5 3" xfId="22080" xr:uid="{00000000-0005-0000-0000-0000AB560000}"/>
    <cellStyle name="Comma 3 4 2 2 6" xfId="5665" xr:uid="{00000000-0005-0000-0000-0000AC560000}"/>
    <cellStyle name="Comma 3 4 2 2 6 2" xfId="16312" xr:uid="{00000000-0005-0000-0000-0000AD560000}"/>
    <cellStyle name="Comma 3 4 2 2 6 2 2" xfId="29719" xr:uid="{00000000-0005-0000-0000-0000AE560000}"/>
    <cellStyle name="Comma 3 4 2 2 6 3" xfId="22079" xr:uid="{00000000-0005-0000-0000-0000AF560000}"/>
    <cellStyle name="Comma 3 4 2 2 7" xfId="9780" xr:uid="{00000000-0005-0000-0000-0000B0560000}"/>
    <cellStyle name="Comma 3 4 2 2 8" xfId="22088" xr:uid="{00000000-0005-0000-0000-0000B1560000}"/>
    <cellStyle name="Comma 3 4 2 3" xfId="5666" xr:uid="{00000000-0005-0000-0000-0000B2560000}"/>
    <cellStyle name="Comma 3 4 2 3 2" xfId="5667" xr:uid="{00000000-0005-0000-0000-0000B3560000}"/>
    <cellStyle name="Comma 3 4 2 3 2 2" xfId="11329" xr:uid="{00000000-0005-0000-0000-0000B4560000}"/>
    <cellStyle name="Comma 3 4 2 3 2 3" xfId="22077" xr:uid="{00000000-0005-0000-0000-0000B5560000}"/>
    <cellStyle name="Comma 3 4 2 3 3" xfId="5668" xr:uid="{00000000-0005-0000-0000-0000B6560000}"/>
    <cellStyle name="Comma 3 4 2 3 3 2" xfId="16604" xr:uid="{00000000-0005-0000-0000-0000B7560000}"/>
    <cellStyle name="Comma 3 4 2 3 3 2 2" xfId="30011" xr:uid="{00000000-0005-0000-0000-0000B8560000}"/>
    <cellStyle name="Comma 3 4 2 3 3 3" xfId="22076" xr:uid="{00000000-0005-0000-0000-0000B9560000}"/>
    <cellStyle name="Comma 3 4 2 3 4" xfId="9782" xr:uid="{00000000-0005-0000-0000-0000BA560000}"/>
    <cellStyle name="Comma 3 4 2 3 5" xfId="22078" xr:uid="{00000000-0005-0000-0000-0000BB560000}"/>
    <cellStyle name="Comma 3 4 2 4" xfId="5669" xr:uid="{00000000-0005-0000-0000-0000BC560000}"/>
    <cellStyle name="Comma 3 4 2 4 2" xfId="5670" xr:uid="{00000000-0005-0000-0000-0000BD560000}"/>
    <cellStyle name="Comma 3 4 2 4 2 2" xfId="13129" xr:uid="{00000000-0005-0000-0000-0000BE560000}"/>
    <cellStyle name="Comma 3 4 2 4 2 3" xfId="22074" xr:uid="{00000000-0005-0000-0000-0000BF560000}"/>
    <cellStyle name="Comma 3 4 2 4 3" xfId="11981" xr:uid="{00000000-0005-0000-0000-0000C0560000}"/>
    <cellStyle name="Comma 3 4 2 4 3 2" xfId="25696" xr:uid="{00000000-0005-0000-0000-0000C1560000}"/>
    <cellStyle name="Comma 3 4 2 4 4" xfId="22075" xr:uid="{00000000-0005-0000-0000-0000C2560000}"/>
    <cellStyle name="Comma 3 4 2 5" xfId="5671" xr:uid="{00000000-0005-0000-0000-0000C3560000}"/>
    <cellStyle name="Comma 3 4 2 5 2" xfId="5672" xr:uid="{00000000-0005-0000-0000-0000C4560000}"/>
    <cellStyle name="Comma 3 4 2 5 2 2" xfId="15598" xr:uid="{00000000-0005-0000-0000-0000C5560000}"/>
    <cellStyle name="Comma 3 4 2 5 2 3" xfId="22072" xr:uid="{00000000-0005-0000-0000-0000C6560000}"/>
    <cellStyle name="Comma 3 4 2 5 3" xfId="13556" xr:uid="{00000000-0005-0000-0000-0000C7560000}"/>
    <cellStyle name="Comma 3 4 2 5 3 2" xfId="27105" xr:uid="{00000000-0005-0000-0000-0000C8560000}"/>
    <cellStyle name="Comma 3 4 2 5 4" xfId="22073" xr:uid="{00000000-0005-0000-0000-0000C9560000}"/>
    <cellStyle name="Comma 3 4 2 6" xfId="5673" xr:uid="{00000000-0005-0000-0000-0000CA560000}"/>
    <cellStyle name="Comma 3 4 2 6 2" xfId="14137" xr:uid="{00000000-0005-0000-0000-0000CB560000}"/>
    <cellStyle name="Comma 3 4 2 6 2 2" xfId="27686" xr:uid="{00000000-0005-0000-0000-0000CC560000}"/>
    <cellStyle name="Comma 3 4 2 6 3" xfId="22071" xr:uid="{00000000-0005-0000-0000-0000CD560000}"/>
    <cellStyle name="Comma 3 4 2 7" xfId="5674" xr:uid="{00000000-0005-0000-0000-0000CE560000}"/>
    <cellStyle name="Comma 3 4 2 7 2" xfId="16023" xr:uid="{00000000-0005-0000-0000-0000CF560000}"/>
    <cellStyle name="Comma 3 4 2 7 2 2" xfId="29430" xr:uid="{00000000-0005-0000-0000-0000D0560000}"/>
    <cellStyle name="Comma 3 4 2 7 3" xfId="22070" xr:uid="{00000000-0005-0000-0000-0000D1560000}"/>
    <cellStyle name="Comma 3 4 2 8" xfId="9779" xr:uid="{00000000-0005-0000-0000-0000D2560000}"/>
    <cellStyle name="Comma 3 4 2 9" xfId="22089" xr:uid="{00000000-0005-0000-0000-0000D3560000}"/>
    <cellStyle name="Comma 3 4 3" xfId="5675" xr:uid="{00000000-0005-0000-0000-0000D4560000}"/>
    <cellStyle name="Comma 3 4 3 2" xfId="5676" xr:uid="{00000000-0005-0000-0000-0000D5560000}"/>
    <cellStyle name="Comma 3 4 3 2 2" xfId="5677" xr:uid="{00000000-0005-0000-0000-0000D6560000}"/>
    <cellStyle name="Comma 3 4 3 2 2 2" xfId="11330" xr:uid="{00000000-0005-0000-0000-0000D7560000}"/>
    <cellStyle name="Comma 3 4 3 2 2 3" xfId="22067" xr:uid="{00000000-0005-0000-0000-0000D8560000}"/>
    <cellStyle name="Comma 3 4 3 2 3" xfId="5678" xr:uid="{00000000-0005-0000-0000-0000D9560000}"/>
    <cellStyle name="Comma 3 4 3 2 3 2" xfId="16753" xr:uid="{00000000-0005-0000-0000-0000DA560000}"/>
    <cellStyle name="Comma 3 4 3 2 3 2 2" xfId="30160" xr:uid="{00000000-0005-0000-0000-0000DB560000}"/>
    <cellStyle name="Comma 3 4 3 2 3 3" xfId="22066" xr:uid="{00000000-0005-0000-0000-0000DC560000}"/>
    <cellStyle name="Comma 3 4 3 2 4" xfId="9784" xr:uid="{00000000-0005-0000-0000-0000DD560000}"/>
    <cellStyle name="Comma 3 4 3 2 5" xfId="22068" xr:uid="{00000000-0005-0000-0000-0000DE560000}"/>
    <cellStyle name="Comma 3 4 3 3" xfId="5679" xr:uid="{00000000-0005-0000-0000-0000DF560000}"/>
    <cellStyle name="Comma 3 4 3 3 2" xfId="5680" xr:uid="{00000000-0005-0000-0000-0000E0560000}"/>
    <cellStyle name="Comma 3 4 3 3 2 2" xfId="13130" xr:uid="{00000000-0005-0000-0000-0000E1560000}"/>
    <cellStyle name="Comma 3 4 3 3 2 3" xfId="22064" xr:uid="{00000000-0005-0000-0000-0000E2560000}"/>
    <cellStyle name="Comma 3 4 3 3 3" xfId="12141" xr:uid="{00000000-0005-0000-0000-0000E3560000}"/>
    <cellStyle name="Comma 3 4 3 3 3 2" xfId="25853" xr:uid="{00000000-0005-0000-0000-0000E4560000}"/>
    <cellStyle name="Comma 3 4 3 3 4" xfId="22065" xr:uid="{00000000-0005-0000-0000-0000E5560000}"/>
    <cellStyle name="Comma 3 4 3 4" xfId="5681" xr:uid="{00000000-0005-0000-0000-0000E6560000}"/>
    <cellStyle name="Comma 3 4 3 4 2" xfId="5682" xr:uid="{00000000-0005-0000-0000-0000E7560000}"/>
    <cellStyle name="Comma 3 4 3 4 2 2" xfId="15599" xr:uid="{00000000-0005-0000-0000-0000E8560000}"/>
    <cellStyle name="Comma 3 4 3 4 2 3" xfId="22062" xr:uid="{00000000-0005-0000-0000-0000E9560000}"/>
    <cellStyle name="Comma 3 4 3 4 3" xfId="13705" xr:uid="{00000000-0005-0000-0000-0000EA560000}"/>
    <cellStyle name="Comma 3 4 3 4 3 2" xfId="27254" xr:uid="{00000000-0005-0000-0000-0000EB560000}"/>
    <cellStyle name="Comma 3 4 3 4 4" xfId="22063" xr:uid="{00000000-0005-0000-0000-0000EC560000}"/>
    <cellStyle name="Comma 3 4 3 5" xfId="5683" xr:uid="{00000000-0005-0000-0000-0000ED560000}"/>
    <cellStyle name="Comma 3 4 3 5 2" xfId="14286" xr:uid="{00000000-0005-0000-0000-0000EE560000}"/>
    <cellStyle name="Comma 3 4 3 5 2 2" xfId="27835" xr:uid="{00000000-0005-0000-0000-0000EF560000}"/>
    <cellStyle name="Comma 3 4 3 5 3" xfId="22061" xr:uid="{00000000-0005-0000-0000-0000F0560000}"/>
    <cellStyle name="Comma 3 4 3 6" xfId="5684" xr:uid="{00000000-0005-0000-0000-0000F1560000}"/>
    <cellStyle name="Comma 3 4 3 6 2" xfId="16172" xr:uid="{00000000-0005-0000-0000-0000F2560000}"/>
    <cellStyle name="Comma 3 4 3 6 2 2" xfId="29579" xr:uid="{00000000-0005-0000-0000-0000F3560000}"/>
    <cellStyle name="Comma 3 4 3 6 3" xfId="22060" xr:uid="{00000000-0005-0000-0000-0000F4560000}"/>
    <cellStyle name="Comma 3 4 3 7" xfId="9783" xr:uid="{00000000-0005-0000-0000-0000F5560000}"/>
    <cellStyle name="Comma 3 4 3 8" xfId="22069" xr:uid="{00000000-0005-0000-0000-0000F6560000}"/>
    <cellStyle name="Comma 3 4 4" xfId="5685" xr:uid="{00000000-0005-0000-0000-0000F7560000}"/>
    <cellStyle name="Comma 3 4 4 2" xfId="5686" xr:uid="{00000000-0005-0000-0000-0000F8560000}"/>
    <cellStyle name="Comma 3 4 4 2 2" xfId="16461" xr:uid="{00000000-0005-0000-0000-0000F9560000}"/>
    <cellStyle name="Comma 3 4 4 2 2 2" xfId="29868" xr:uid="{00000000-0005-0000-0000-0000FA560000}"/>
    <cellStyle name="Comma 3 4 4 2 3" xfId="22058" xr:uid="{00000000-0005-0000-0000-0000FB560000}"/>
    <cellStyle name="Comma 3 4 4 3" xfId="9785" xr:uid="{00000000-0005-0000-0000-0000FC560000}"/>
    <cellStyle name="Comma 3 4 4 4" xfId="22059" xr:uid="{00000000-0005-0000-0000-0000FD560000}"/>
    <cellStyle name="Comma 3 4 5" xfId="5687" xr:uid="{00000000-0005-0000-0000-0000FE560000}"/>
    <cellStyle name="Comma 3 4 5 2" xfId="5688" xr:uid="{00000000-0005-0000-0000-0000FF560000}"/>
    <cellStyle name="Comma 3 4 5 2 2" xfId="11331" xr:uid="{00000000-0005-0000-0000-000000570000}"/>
    <cellStyle name="Comma 3 4 5 2 3" xfId="22056" xr:uid="{00000000-0005-0000-0000-000001570000}"/>
    <cellStyle name="Comma 3 4 5 3" xfId="9786" xr:uid="{00000000-0005-0000-0000-000002570000}"/>
    <cellStyle name="Comma 3 4 5 4" xfId="22057" xr:uid="{00000000-0005-0000-0000-000003570000}"/>
    <cellStyle name="Comma 3 4 6" xfId="5689" xr:uid="{00000000-0005-0000-0000-000004570000}"/>
    <cellStyle name="Comma 3 4 6 2" xfId="5690" xr:uid="{00000000-0005-0000-0000-000005570000}"/>
    <cellStyle name="Comma 3 4 6 2 2" xfId="13131" xr:uid="{00000000-0005-0000-0000-000006570000}"/>
    <cellStyle name="Comma 3 4 6 2 3" xfId="22054" xr:uid="{00000000-0005-0000-0000-000007570000}"/>
    <cellStyle name="Comma 3 4 6 3" xfId="11812" xr:uid="{00000000-0005-0000-0000-000008570000}"/>
    <cellStyle name="Comma 3 4 6 3 2" xfId="25527" xr:uid="{00000000-0005-0000-0000-000009570000}"/>
    <cellStyle name="Comma 3 4 6 4" xfId="22055" xr:uid="{00000000-0005-0000-0000-00000A570000}"/>
    <cellStyle name="Comma 3 4 7" xfId="5691" xr:uid="{00000000-0005-0000-0000-00000B570000}"/>
    <cellStyle name="Comma 3 4 7 2" xfId="5692" xr:uid="{00000000-0005-0000-0000-00000C570000}"/>
    <cellStyle name="Comma 3 4 7 2 2" xfId="15600" xr:uid="{00000000-0005-0000-0000-00000D570000}"/>
    <cellStyle name="Comma 3 4 7 2 3" xfId="22052" xr:uid="{00000000-0005-0000-0000-00000E570000}"/>
    <cellStyle name="Comma 3 4 7 3" xfId="13413" xr:uid="{00000000-0005-0000-0000-00000F570000}"/>
    <cellStyle name="Comma 3 4 7 3 2" xfId="26962" xr:uid="{00000000-0005-0000-0000-000010570000}"/>
    <cellStyle name="Comma 3 4 7 4" xfId="22053" xr:uid="{00000000-0005-0000-0000-000011570000}"/>
    <cellStyle name="Comma 3 4 8" xfId="5693" xr:uid="{00000000-0005-0000-0000-000012570000}"/>
    <cellStyle name="Comma 3 4 8 2" xfId="13994" xr:uid="{00000000-0005-0000-0000-000013570000}"/>
    <cellStyle name="Comma 3 4 8 2 2" xfId="27543" xr:uid="{00000000-0005-0000-0000-000014570000}"/>
    <cellStyle name="Comma 3 4 8 3" xfId="22051" xr:uid="{00000000-0005-0000-0000-000015570000}"/>
    <cellStyle name="Comma 3 4 9" xfId="5694" xr:uid="{00000000-0005-0000-0000-000016570000}"/>
    <cellStyle name="Comma 3 4 9 2" xfId="15880" xr:uid="{00000000-0005-0000-0000-000017570000}"/>
    <cellStyle name="Comma 3 4 9 2 2" xfId="29287" xr:uid="{00000000-0005-0000-0000-000018570000}"/>
    <cellStyle name="Comma 3 4 9 3" xfId="22050" xr:uid="{00000000-0005-0000-0000-000019570000}"/>
    <cellStyle name="Comma 3 5" xfId="5695" xr:uid="{00000000-0005-0000-0000-00001A570000}"/>
    <cellStyle name="Comma 3 5 10" xfId="9787" xr:uid="{00000000-0005-0000-0000-00001B570000}"/>
    <cellStyle name="Comma 3 5 11" xfId="22049" xr:uid="{00000000-0005-0000-0000-00001C570000}"/>
    <cellStyle name="Comma 3 5 2" xfId="5696" xr:uid="{00000000-0005-0000-0000-00001D570000}"/>
    <cellStyle name="Comma 3 5 2 2" xfId="5697" xr:uid="{00000000-0005-0000-0000-00001E570000}"/>
    <cellStyle name="Comma 3 5 2 2 2" xfId="5698" xr:uid="{00000000-0005-0000-0000-00001F570000}"/>
    <cellStyle name="Comma 3 5 2 2 2 2" xfId="5699" xr:uid="{00000000-0005-0000-0000-000020570000}"/>
    <cellStyle name="Comma 3 5 2 2 2 2 2" xfId="11332" xr:uid="{00000000-0005-0000-0000-000021570000}"/>
    <cellStyle name="Comma 3 5 2 2 2 2 3" xfId="22045" xr:uid="{00000000-0005-0000-0000-000022570000}"/>
    <cellStyle name="Comma 3 5 2 2 2 3" xfId="5700" xr:uid="{00000000-0005-0000-0000-000023570000}"/>
    <cellStyle name="Comma 3 5 2 2 2 3 2" xfId="16876" xr:uid="{00000000-0005-0000-0000-000024570000}"/>
    <cellStyle name="Comma 3 5 2 2 2 3 2 2" xfId="30283" xr:uid="{00000000-0005-0000-0000-000025570000}"/>
    <cellStyle name="Comma 3 5 2 2 2 3 3" xfId="22044" xr:uid="{00000000-0005-0000-0000-000026570000}"/>
    <cellStyle name="Comma 3 5 2 2 2 4" xfId="9790" xr:uid="{00000000-0005-0000-0000-000027570000}"/>
    <cellStyle name="Comma 3 5 2 2 2 5" xfId="22046" xr:uid="{00000000-0005-0000-0000-000028570000}"/>
    <cellStyle name="Comma 3 5 2 2 3" xfId="5701" xr:uid="{00000000-0005-0000-0000-000029570000}"/>
    <cellStyle name="Comma 3 5 2 2 3 2" xfId="5702" xr:uid="{00000000-0005-0000-0000-00002A570000}"/>
    <cellStyle name="Comma 3 5 2 2 3 2 2" xfId="13132" xr:uid="{00000000-0005-0000-0000-00002B570000}"/>
    <cellStyle name="Comma 3 5 2 2 3 2 3" xfId="22042" xr:uid="{00000000-0005-0000-0000-00002C570000}"/>
    <cellStyle name="Comma 3 5 2 2 3 3" xfId="12264" xr:uid="{00000000-0005-0000-0000-00002D570000}"/>
    <cellStyle name="Comma 3 5 2 2 3 3 2" xfId="25976" xr:uid="{00000000-0005-0000-0000-00002E570000}"/>
    <cellStyle name="Comma 3 5 2 2 3 4" xfId="22043" xr:uid="{00000000-0005-0000-0000-00002F570000}"/>
    <cellStyle name="Comma 3 5 2 2 4" xfId="5703" xr:uid="{00000000-0005-0000-0000-000030570000}"/>
    <cellStyle name="Comma 3 5 2 2 4 2" xfId="5704" xr:uid="{00000000-0005-0000-0000-000031570000}"/>
    <cellStyle name="Comma 3 5 2 2 4 2 2" xfId="15601" xr:uid="{00000000-0005-0000-0000-000032570000}"/>
    <cellStyle name="Comma 3 5 2 2 4 2 3" xfId="22040" xr:uid="{00000000-0005-0000-0000-000033570000}"/>
    <cellStyle name="Comma 3 5 2 2 4 3" xfId="13828" xr:uid="{00000000-0005-0000-0000-000034570000}"/>
    <cellStyle name="Comma 3 5 2 2 4 3 2" xfId="27377" xr:uid="{00000000-0005-0000-0000-000035570000}"/>
    <cellStyle name="Comma 3 5 2 2 4 4" xfId="22041" xr:uid="{00000000-0005-0000-0000-000036570000}"/>
    <cellStyle name="Comma 3 5 2 2 5" xfId="5705" xr:uid="{00000000-0005-0000-0000-000037570000}"/>
    <cellStyle name="Comma 3 5 2 2 5 2" xfId="14409" xr:uid="{00000000-0005-0000-0000-000038570000}"/>
    <cellStyle name="Comma 3 5 2 2 5 2 2" xfId="27958" xr:uid="{00000000-0005-0000-0000-000039570000}"/>
    <cellStyle name="Comma 3 5 2 2 5 3" xfId="22039" xr:uid="{00000000-0005-0000-0000-00003A570000}"/>
    <cellStyle name="Comma 3 5 2 2 6" xfId="5706" xr:uid="{00000000-0005-0000-0000-00003B570000}"/>
    <cellStyle name="Comma 3 5 2 2 6 2" xfId="16295" xr:uid="{00000000-0005-0000-0000-00003C570000}"/>
    <cellStyle name="Comma 3 5 2 2 6 2 2" xfId="29702" xr:uid="{00000000-0005-0000-0000-00003D570000}"/>
    <cellStyle name="Comma 3 5 2 2 6 3" xfId="22038" xr:uid="{00000000-0005-0000-0000-00003E570000}"/>
    <cellStyle name="Comma 3 5 2 2 7" xfId="9789" xr:uid="{00000000-0005-0000-0000-00003F570000}"/>
    <cellStyle name="Comma 3 5 2 2 8" xfId="22047" xr:uid="{00000000-0005-0000-0000-000040570000}"/>
    <cellStyle name="Comma 3 5 2 3" xfId="5707" xr:uid="{00000000-0005-0000-0000-000041570000}"/>
    <cellStyle name="Comma 3 5 2 3 2" xfId="5708" xr:uid="{00000000-0005-0000-0000-000042570000}"/>
    <cellStyle name="Comma 3 5 2 3 2 2" xfId="11333" xr:uid="{00000000-0005-0000-0000-000043570000}"/>
    <cellStyle name="Comma 3 5 2 3 2 3" xfId="22036" xr:uid="{00000000-0005-0000-0000-000044570000}"/>
    <cellStyle name="Comma 3 5 2 3 3" xfId="5709" xr:uid="{00000000-0005-0000-0000-000045570000}"/>
    <cellStyle name="Comma 3 5 2 3 3 2" xfId="16587" xr:uid="{00000000-0005-0000-0000-000046570000}"/>
    <cellStyle name="Comma 3 5 2 3 3 2 2" xfId="29994" xr:uid="{00000000-0005-0000-0000-000047570000}"/>
    <cellStyle name="Comma 3 5 2 3 3 3" xfId="22035" xr:uid="{00000000-0005-0000-0000-000048570000}"/>
    <cellStyle name="Comma 3 5 2 3 4" xfId="9791" xr:uid="{00000000-0005-0000-0000-000049570000}"/>
    <cellStyle name="Comma 3 5 2 3 5" xfId="22037" xr:uid="{00000000-0005-0000-0000-00004A570000}"/>
    <cellStyle name="Comma 3 5 2 4" xfId="5710" xr:uid="{00000000-0005-0000-0000-00004B570000}"/>
    <cellStyle name="Comma 3 5 2 4 2" xfId="5711" xr:uid="{00000000-0005-0000-0000-00004C570000}"/>
    <cellStyle name="Comma 3 5 2 4 2 2" xfId="13133" xr:uid="{00000000-0005-0000-0000-00004D570000}"/>
    <cellStyle name="Comma 3 5 2 4 2 3" xfId="22033" xr:uid="{00000000-0005-0000-0000-00004E570000}"/>
    <cellStyle name="Comma 3 5 2 4 3" xfId="11964" xr:uid="{00000000-0005-0000-0000-00004F570000}"/>
    <cellStyle name="Comma 3 5 2 4 3 2" xfId="25679" xr:uid="{00000000-0005-0000-0000-000050570000}"/>
    <cellStyle name="Comma 3 5 2 4 4" xfId="22034" xr:uid="{00000000-0005-0000-0000-000051570000}"/>
    <cellStyle name="Comma 3 5 2 5" xfId="5712" xr:uid="{00000000-0005-0000-0000-000052570000}"/>
    <cellStyle name="Comma 3 5 2 5 2" xfId="5713" xr:uid="{00000000-0005-0000-0000-000053570000}"/>
    <cellStyle name="Comma 3 5 2 5 2 2" xfId="15602" xr:uid="{00000000-0005-0000-0000-000054570000}"/>
    <cellStyle name="Comma 3 5 2 5 2 3" xfId="22031" xr:uid="{00000000-0005-0000-0000-000055570000}"/>
    <cellStyle name="Comma 3 5 2 5 3" xfId="13539" xr:uid="{00000000-0005-0000-0000-000056570000}"/>
    <cellStyle name="Comma 3 5 2 5 3 2" xfId="27088" xr:uid="{00000000-0005-0000-0000-000057570000}"/>
    <cellStyle name="Comma 3 5 2 5 4" xfId="22032" xr:uid="{00000000-0005-0000-0000-000058570000}"/>
    <cellStyle name="Comma 3 5 2 6" xfId="5714" xr:uid="{00000000-0005-0000-0000-000059570000}"/>
    <cellStyle name="Comma 3 5 2 6 2" xfId="14120" xr:uid="{00000000-0005-0000-0000-00005A570000}"/>
    <cellStyle name="Comma 3 5 2 6 2 2" xfId="27669" xr:uid="{00000000-0005-0000-0000-00005B570000}"/>
    <cellStyle name="Comma 3 5 2 6 3" xfId="22030" xr:uid="{00000000-0005-0000-0000-00005C570000}"/>
    <cellStyle name="Comma 3 5 2 7" xfId="5715" xr:uid="{00000000-0005-0000-0000-00005D570000}"/>
    <cellStyle name="Comma 3 5 2 7 2" xfId="16006" xr:uid="{00000000-0005-0000-0000-00005E570000}"/>
    <cellStyle name="Comma 3 5 2 7 2 2" xfId="29413" xr:uid="{00000000-0005-0000-0000-00005F570000}"/>
    <cellStyle name="Comma 3 5 2 7 3" xfId="22029" xr:uid="{00000000-0005-0000-0000-000060570000}"/>
    <cellStyle name="Comma 3 5 2 8" xfId="9788" xr:uid="{00000000-0005-0000-0000-000061570000}"/>
    <cellStyle name="Comma 3 5 2 9" xfId="22048" xr:uid="{00000000-0005-0000-0000-000062570000}"/>
    <cellStyle name="Comma 3 5 3" xfId="5716" xr:uid="{00000000-0005-0000-0000-000063570000}"/>
    <cellStyle name="Comma 3 5 3 2" xfId="5717" xr:uid="{00000000-0005-0000-0000-000064570000}"/>
    <cellStyle name="Comma 3 5 3 2 2" xfId="5718" xr:uid="{00000000-0005-0000-0000-000065570000}"/>
    <cellStyle name="Comma 3 5 3 2 2 2" xfId="11334" xr:uid="{00000000-0005-0000-0000-000066570000}"/>
    <cellStyle name="Comma 3 5 3 2 2 3" xfId="22026" xr:uid="{00000000-0005-0000-0000-000067570000}"/>
    <cellStyle name="Comma 3 5 3 2 3" xfId="5719" xr:uid="{00000000-0005-0000-0000-000068570000}"/>
    <cellStyle name="Comma 3 5 3 2 3 2" xfId="16736" xr:uid="{00000000-0005-0000-0000-000069570000}"/>
    <cellStyle name="Comma 3 5 3 2 3 2 2" xfId="30143" xr:uid="{00000000-0005-0000-0000-00006A570000}"/>
    <cellStyle name="Comma 3 5 3 2 3 3" xfId="22025" xr:uid="{00000000-0005-0000-0000-00006B570000}"/>
    <cellStyle name="Comma 3 5 3 2 4" xfId="9793" xr:uid="{00000000-0005-0000-0000-00006C570000}"/>
    <cellStyle name="Comma 3 5 3 2 5" xfId="22027" xr:uid="{00000000-0005-0000-0000-00006D570000}"/>
    <cellStyle name="Comma 3 5 3 3" xfId="5720" xr:uid="{00000000-0005-0000-0000-00006E570000}"/>
    <cellStyle name="Comma 3 5 3 3 2" xfId="5721" xr:uid="{00000000-0005-0000-0000-00006F570000}"/>
    <cellStyle name="Comma 3 5 3 3 2 2" xfId="13134" xr:uid="{00000000-0005-0000-0000-000070570000}"/>
    <cellStyle name="Comma 3 5 3 3 2 3" xfId="22023" xr:uid="{00000000-0005-0000-0000-000071570000}"/>
    <cellStyle name="Comma 3 5 3 3 3" xfId="12124" xr:uid="{00000000-0005-0000-0000-000072570000}"/>
    <cellStyle name="Comma 3 5 3 3 3 2" xfId="25836" xr:uid="{00000000-0005-0000-0000-000073570000}"/>
    <cellStyle name="Comma 3 5 3 3 4" xfId="22024" xr:uid="{00000000-0005-0000-0000-000074570000}"/>
    <cellStyle name="Comma 3 5 3 4" xfId="5722" xr:uid="{00000000-0005-0000-0000-000075570000}"/>
    <cellStyle name="Comma 3 5 3 4 2" xfId="5723" xr:uid="{00000000-0005-0000-0000-000076570000}"/>
    <cellStyle name="Comma 3 5 3 4 2 2" xfId="15603" xr:uid="{00000000-0005-0000-0000-000077570000}"/>
    <cellStyle name="Comma 3 5 3 4 2 3" xfId="22021" xr:uid="{00000000-0005-0000-0000-000078570000}"/>
    <cellStyle name="Comma 3 5 3 4 3" xfId="13688" xr:uid="{00000000-0005-0000-0000-000079570000}"/>
    <cellStyle name="Comma 3 5 3 4 3 2" xfId="27237" xr:uid="{00000000-0005-0000-0000-00007A570000}"/>
    <cellStyle name="Comma 3 5 3 4 4" xfId="22022" xr:uid="{00000000-0005-0000-0000-00007B570000}"/>
    <cellStyle name="Comma 3 5 3 5" xfId="5724" xr:uid="{00000000-0005-0000-0000-00007C570000}"/>
    <cellStyle name="Comma 3 5 3 5 2" xfId="14269" xr:uid="{00000000-0005-0000-0000-00007D570000}"/>
    <cellStyle name="Comma 3 5 3 5 2 2" xfId="27818" xr:uid="{00000000-0005-0000-0000-00007E570000}"/>
    <cellStyle name="Comma 3 5 3 5 3" xfId="22020" xr:uid="{00000000-0005-0000-0000-00007F570000}"/>
    <cellStyle name="Comma 3 5 3 6" xfId="5725" xr:uid="{00000000-0005-0000-0000-000080570000}"/>
    <cellStyle name="Comma 3 5 3 6 2" xfId="16155" xr:uid="{00000000-0005-0000-0000-000081570000}"/>
    <cellStyle name="Comma 3 5 3 6 2 2" xfId="29562" xr:uid="{00000000-0005-0000-0000-000082570000}"/>
    <cellStyle name="Comma 3 5 3 6 3" xfId="22019" xr:uid="{00000000-0005-0000-0000-000083570000}"/>
    <cellStyle name="Comma 3 5 3 7" xfId="9792" xr:uid="{00000000-0005-0000-0000-000084570000}"/>
    <cellStyle name="Comma 3 5 3 8" xfId="22028" xr:uid="{00000000-0005-0000-0000-000085570000}"/>
    <cellStyle name="Comma 3 5 4" xfId="5726" xr:uid="{00000000-0005-0000-0000-000086570000}"/>
    <cellStyle name="Comma 3 5 4 2" xfId="5727" xr:uid="{00000000-0005-0000-0000-000087570000}"/>
    <cellStyle name="Comma 3 5 4 2 2" xfId="16444" xr:uid="{00000000-0005-0000-0000-000088570000}"/>
    <cellStyle name="Comma 3 5 4 2 2 2" xfId="29851" xr:uid="{00000000-0005-0000-0000-000089570000}"/>
    <cellStyle name="Comma 3 5 4 2 3" xfId="22017" xr:uid="{00000000-0005-0000-0000-00008A570000}"/>
    <cellStyle name="Comma 3 5 4 3" xfId="9794" xr:uid="{00000000-0005-0000-0000-00008B570000}"/>
    <cellStyle name="Comma 3 5 4 4" xfId="22018" xr:uid="{00000000-0005-0000-0000-00008C570000}"/>
    <cellStyle name="Comma 3 5 5" xfId="5728" xr:uid="{00000000-0005-0000-0000-00008D570000}"/>
    <cellStyle name="Comma 3 5 5 2" xfId="5729" xr:uid="{00000000-0005-0000-0000-00008E570000}"/>
    <cellStyle name="Comma 3 5 5 2 2" xfId="11335" xr:uid="{00000000-0005-0000-0000-00008F570000}"/>
    <cellStyle name="Comma 3 5 5 2 3" xfId="22015" xr:uid="{00000000-0005-0000-0000-000090570000}"/>
    <cellStyle name="Comma 3 5 5 3" xfId="9795" xr:uid="{00000000-0005-0000-0000-000091570000}"/>
    <cellStyle name="Comma 3 5 5 4" xfId="22016" xr:uid="{00000000-0005-0000-0000-000092570000}"/>
    <cellStyle name="Comma 3 5 6" xfId="5730" xr:uid="{00000000-0005-0000-0000-000093570000}"/>
    <cellStyle name="Comma 3 5 6 2" xfId="5731" xr:uid="{00000000-0005-0000-0000-000094570000}"/>
    <cellStyle name="Comma 3 5 6 2 2" xfId="13135" xr:uid="{00000000-0005-0000-0000-000095570000}"/>
    <cellStyle name="Comma 3 5 6 2 3" xfId="22013" xr:uid="{00000000-0005-0000-0000-000096570000}"/>
    <cellStyle name="Comma 3 5 6 3" xfId="11795" xr:uid="{00000000-0005-0000-0000-000097570000}"/>
    <cellStyle name="Comma 3 5 6 3 2" xfId="25510" xr:uid="{00000000-0005-0000-0000-000098570000}"/>
    <cellStyle name="Comma 3 5 6 4" xfId="22014" xr:uid="{00000000-0005-0000-0000-000099570000}"/>
    <cellStyle name="Comma 3 5 7" xfId="5732" xr:uid="{00000000-0005-0000-0000-00009A570000}"/>
    <cellStyle name="Comma 3 5 7 2" xfId="5733" xr:uid="{00000000-0005-0000-0000-00009B570000}"/>
    <cellStyle name="Comma 3 5 7 2 2" xfId="15604" xr:uid="{00000000-0005-0000-0000-00009C570000}"/>
    <cellStyle name="Comma 3 5 7 2 3" xfId="22011" xr:uid="{00000000-0005-0000-0000-00009D570000}"/>
    <cellStyle name="Comma 3 5 7 3" xfId="13396" xr:uid="{00000000-0005-0000-0000-00009E570000}"/>
    <cellStyle name="Comma 3 5 7 3 2" xfId="26945" xr:uid="{00000000-0005-0000-0000-00009F570000}"/>
    <cellStyle name="Comma 3 5 7 4" xfId="22012" xr:uid="{00000000-0005-0000-0000-0000A0570000}"/>
    <cellStyle name="Comma 3 5 8" xfId="5734" xr:uid="{00000000-0005-0000-0000-0000A1570000}"/>
    <cellStyle name="Comma 3 5 8 2" xfId="13977" xr:uid="{00000000-0005-0000-0000-0000A2570000}"/>
    <cellStyle name="Comma 3 5 8 2 2" xfId="27526" xr:uid="{00000000-0005-0000-0000-0000A3570000}"/>
    <cellStyle name="Comma 3 5 8 3" xfId="22010" xr:uid="{00000000-0005-0000-0000-0000A4570000}"/>
    <cellStyle name="Comma 3 5 9" xfId="5735" xr:uid="{00000000-0005-0000-0000-0000A5570000}"/>
    <cellStyle name="Comma 3 5 9 2" xfId="15863" xr:uid="{00000000-0005-0000-0000-0000A6570000}"/>
    <cellStyle name="Comma 3 5 9 2 2" xfId="29270" xr:uid="{00000000-0005-0000-0000-0000A7570000}"/>
    <cellStyle name="Comma 3 5 9 3" xfId="22009" xr:uid="{00000000-0005-0000-0000-0000A8570000}"/>
    <cellStyle name="Comma 3 6" xfId="5736" xr:uid="{00000000-0005-0000-0000-0000A9570000}"/>
    <cellStyle name="Comma 3 6 10" xfId="9796" xr:uid="{00000000-0005-0000-0000-0000AA570000}"/>
    <cellStyle name="Comma 3 6 11" xfId="22008" xr:uid="{00000000-0005-0000-0000-0000AB570000}"/>
    <cellStyle name="Comma 3 6 2" xfId="5737" xr:uid="{00000000-0005-0000-0000-0000AC570000}"/>
    <cellStyle name="Comma 3 6 2 2" xfId="5738" xr:uid="{00000000-0005-0000-0000-0000AD570000}"/>
    <cellStyle name="Comma 3 6 2 2 2" xfId="5739" xr:uid="{00000000-0005-0000-0000-0000AE570000}"/>
    <cellStyle name="Comma 3 6 2 2 2 2" xfId="5740" xr:uid="{00000000-0005-0000-0000-0000AF570000}"/>
    <cellStyle name="Comma 3 6 2 2 2 2 2" xfId="11336" xr:uid="{00000000-0005-0000-0000-0000B0570000}"/>
    <cellStyle name="Comma 3 6 2 2 2 2 3" xfId="22004" xr:uid="{00000000-0005-0000-0000-0000B1570000}"/>
    <cellStyle name="Comma 3 6 2 2 2 3" xfId="5741" xr:uid="{00000000-0005-0000-0000-0000B2570000}"/>
    <cellStyle name="Comma 3 6 2 2 2 3 2" xfId="16982" xr:uid="{00000000-0005-0000-0000-0000B3570000}"/>
    <cellStyle name="Comma 3 6 2 2 2 3 2 2" xfId="30389" xr:uid="{00000000-0005-0000-0000-0000B4570000}"/>
    <cellStyle name="Comma 3 6 2 2 2 3 3" xfId="22003" xr:uid="{00000000-0005-0000-0000-0000B5570000}"/>
    <cellStyle name="Comma 3 6 2 2 2 4" xfId="9799" xr:uid="{00000000-0005-0000-0000-0000B6570000}"/>
    <cellStyle name="Comma 3 6 2 2 2 5" xfId="22005" xr:uid="{00000000-0005-0000-0000-0000B7570000}"/>
    <cellStyle name="Comma 3 6 2 2 3" xfId="5742" xr:uid="{00000000-0005-0000-0000-0000B8570000}"/>
    <cellStyle name="Comma 3 6 2 2 3 2" xfId="5743" xr:uid="{00000000-0005-0000-0000-0000B9570000}"/>
    <cellStyle name="Comma 3 6 2 2 3 2 2" xfId="13136" xr:uid="{00000000-0005-0000-0000-0000BA570000}"/>
    <cellStyle name="Comma 3 6 2 2 3 2 3" xfId="22001" xr:uid="{00000000-0005-0000-0000-0000BB570000}"/>
    <cellStyle name="Comma 3 6 2 2 3 3" xfId="12370" xr:uid="{00000000-0005-0000-0000-0000BC570000}"/>
    <cellStyle name="Comma 3 6 2 2 3 3 2" xfId="26082" xr:uid="{00000000-0005-0000-0000-0000BD570000}"/>
    <cellStyle name="Comma 3 6 2 2 3 4" xfId="22002" xr:uid="{00000000-0005-0000-0000-0000BE570000}"/>
    <cellStyle name="Comma 3 6 2 2 4" xfId="5744" xr:uid="{00000000-0005-0000-0000-0000BF570000}"/>
    <cellStyle name="Comma 3 6 2 2 4 2" xfId="5745" xr:uid="{00000000-0005-0000-0000-0000C0570000}"/>
    <cellStyle name="Comma 3 6 2 2 4 2 2" xfId="15605" xr:uid="{00000000-0005-0000-0000-0000C1570000}"/>
    <cellStyle name="Comma 3 6 2 2 4 2 3" xfId="21999" xr:uid="{00000000-0005-0000-0000-0000C2570000}"/>
    <cellStyle name="Comma 3 6 2 2 4 3" xfId="13934" xr:uid="{00000000-0005-0000-0000-0000C3570000}"/>
    <cellStyle name="Comma 3 6 2 2 4 3 2" xfId="27483" xr:uid="{00000000-0005-0000-0000-0000C4570000}"/>
    <cellStyle name="Comma 3 6 2 2 4 4" xfId="22000" xr:uid="{00000000-0005-0000-0000-0000C5570000}"/>
    <cellStyle name="Comma 3 6 2 2 5" xfId="5746" xr:uid="{00000000-0005-0000-0000-0000C6570000}"/>
    <cellStyle name="Comma 3 6 2 2 5 2" xfId="14515" xr:uid="{00000000-0005-0000-0000-0000C7570000}"/>
    <cellStyle name="Comma 3 6 2 2 5 2 2" xfId="28064" xr:uid="{00000000-0005-0000-0000-0000C8570000}"/>
    <cellStyle name="Comma 3 6 2 2 5 3" xfId="21998" xr:uid="{00000000-0005-0000-0000-0000C9570000}"/>
    <cellStyle name="Comma 3 6 2 2 6" xfId="5747" xr:uid="{00000000-0005-0000-0000-0000CA570000}"/>
    <cellStyle name="Comma 3 6 2 2 6 2" xfId="16401" xr:uid="{00000000-0005-0000-0000-0000CB570000}"/>
    <cellStyle name="Comma 3 6 2 2 6 2 2" xfId="29808" xr:uid="{00000000-0005-0000-0000-0000CC570000}"/>
    <cellStyle name="Comma 3 6 2 2 6 3" xfId="21997" xr:uid="{00000000-0005-0000-0000-0000CD570000}"/>
    <cellStyle name="Comma 3 6 2 2 7" xfId="9798" xr:uid="{00000000-0005-0000-0000-0000CE570000}"/>
    <cellStyle name="Comma 3 6 2 2 8" xfId="22006" xr:uid="{00000000-0005-0000-0000-0000CF570000}"/>
    <cellStyle name="Comma 3 6 2 3" xfId="5748" xr:uid="{00000000-0005-0000-0000-0000D0570000}"/>
    <cellStyle name="Comma 3 6 2 3 2" xfId="5749" xr:uid="{00000000-0005-0000-0000-0000D1570000}"/>
    <cellStyle name="Comma 3 6 2 3 2 2" xfId="11337" xr:uid="{00000000-0005-0000-0000-0000D2570000}"/>
    <cellStyle name="Comma 3 6 2 3 2 3" xfId="21995" xr:uid="{00000000-0005-0000-0000-0000D3570000}"/>
    <cellStyle name="Comma 3 6 2 3 3" xfId="5750" xr:uid="{00000000-0005-0000-0000-0000D4570000}"/>
    <cellStyle name="Comma 3 6 2 3 3 2" xfId="16693" xr:uid="{00000000-0005-0000-0000-0000D5570000}"/>
    <cellStyle name="Comma 3 6 2 3 3 2 2" xfId="30100" xr:uid="{00000000-0005-0000-0000-0000D6570000}"/>
    <cellStyle name="Comma 3 6 2 3 3 3" xfId="21994" xr:uid="{00000000-0005-0000-0000-0000D7570000}"/>
    <cellStyle name="Comma 3 6 2 3 4" xfId="9800" xr:uid="{00000000-0005-0000-0000-0000D8570000}"/>
    <cellStyle name="Comma 3 6 2 3 5" xfId="21996" xr:uid="{00000000-0005-0000-0000-0000D9570000}"/>
    <cellStyle name="Comma 3 6 2 4" xfId="5751" xr:uid="{00000000-0005-0000-0000-0000DA570000}"/>
    <cellStyle name="Comma 3 6 2 4 2" xfId="5752" xr:uid="{00000000-0005-0000-0000-0000DB570000}"/>
    <cellStyle name="Comma 3 6 2 4 2 2" xfId="13137" xr:uid="{00000000-0005-0000-0000-0000DC570000}"/>
    <cellStyle name="Comma 3 6 2 4 2 3" xfId="21992" xr:uid="{00000000-0005-0000-0000-0000DD570000}"/>
    <cellStyle name="Comma 3 6 2 4 3" xfId="12070" xr:uid="{00000000-0005-0000-0000-0000DE570000}"/>
    <cellStyle name="Comma 3 6 2 4 3 2" xfId="25785" xr:uid="{00000000-0005-0000-0000-0000DF570000}"/>
    <cellStyle name="Comma 3 6 2 4 4" xfId="21993" xr:uid="{00000000-0005-0000-0000-0000E0570000}"/>
    <cellStyle name="Comma 3 6 2 5" xfId="5753" xr:uid="{00000000-0005-0000-0000-0000E1570000}"/>
    <cellStyle name="Comma 3 6 2 5 2" xfId="5754" xr:uid="{00000000-0005-0000-0000-0000E2570000}"/>
    <cellStyle name="Comma 3 6 2 5 2 2" xfId="15606" xr:uid="{00000000-0005-0000-0000-0000E3570000}"/>
    <cellStyle name="Comma 3 6 2 5 2 3" xfId="21990" xr:uid="{00000000-0005-0000-0000-0000E4570000}"/>
    <cellStyle name="Comma 3 6 2 5 3" xfId="13645" xr:uid="{00000000-0005-0000-0000-0000E5570000}"/>
    <cellStyle name="Comma 3 6 2 5 3 2" xfId="27194" xr:uid="{00000000-0005-0000-0000-0000E6570000}"/>
    <cellStyle name="Comma 3 6 2 5 4" xfId="21991" xr:uid="{00000000-0005-0000-0000-0000E7570000}"/>
    <cellStyle name="Comma 3 6 2 6" xfId="5755" xr:uid="{00000000-0005-0000-0000-0000E8570000}"/>
    <cellStyle name="Comma 3 6 2 6 2" xfId="14226" xr:uid="{00000000-0005-0000-0000-0000E9570000}"/>
    <cellStyle name="Comma 3 6 2 6 2 2" xfId="27775" xr:uid="{00000000-0005-0000-0000-0000EA570000}"/>
    <cellStyle name="Comma 3 6 2 6 3" xfId="21989" xr:uid="{00000000-0005-0000-0000-0000EB570000}"/>
    <cellStyle name="Comma 3 6 2 7" xfId="5756" xr:uid="{00000000-0005-0000-0000-0000EC570000}"/>
    <cellStyle name="Comma 3 6 2 7 2" xfId="16112" xr:uid="{00000000-0005-0000-0000-0000ED570000}"/>
    <cellStyle name="Comma 3 6 2 7 2 2" xfId="29519" xr:uid="{00000000-0005-0000-0000-0000EE570000}"/>
    <cellStyle name="Comma 3 6 2 7 3" xfId="21988" xr:uid="{00000000-0005-0000-0000-0000EF570000}"/>
    <cellStyle name="Comma 3 6 2 8" xfId="9797" xr:uid="{00000000-0005-0000-0000-0000F0570000}"/>
    <cellStyle name="Comma 3 6 2 9" xfId="22007" xr:uid="{00000000-0005-0000-0000-0000F1570000}"/>
    <cellStyle name="Comma 3 6 3" xfId="5757" xr:uid="{00000000-0005-0000-0000-0000F2570000}"/>
    <cellStyle name="Comma 3 6 3 2" xfId="5758" xr:uid="{00000000-0005-0000-0000-0000F3570000}"/>
    <cellStyle name="Comma 3 6 3 2 2" xfId="5759" xr:uid="{00000000-0005-0000-0000-0000F4570000}"/>
    <cellStyle name="Comma 3 6 3 2 2 2" xfId="11338" xr:uid="{00000000-0005-0000-0000-0000F5570000}"/>
    <cellStyle name="Comma 3 6 3 2 2 3" xfId="21985" xr:uid="{00000000-0005-0000-0000-0000F6570000}"/>
    <cellStyle name="Comma 3 6 3 2 3" xfId="5760" xr:uid="{00000000-0005-0000-0000-0000F7570000}"/>
    <cellStyle name="Comma 3 6 3 2 3 2" xfId="16839" xr:uid="{00000000-0005-0000-0000-0000F8570000}"/>
    <cellStyle name="Comma 3 6 3 2 3 2 2" xfId="30246" xr:uid="{00000000-0005-0000-0000-0000F9570000}"/>
    <cellStyle name="Comma 3 6 3 2 3 3" xfId="21984" xr:uid="{00000000-0005-0000-0000-0000FA570000}"/>
    <cellStyle name="Comma 3 6 3 2 4" xfId="9802" xr:uid="{00000000-0005-0000-0000-0000FB570000}"/>
    <cellStyle name="Comma 3 6 3 2 5" xfId="21986" xr:uid="{00000000-0005-0000-0000-0000FC570000}"/>
    <cellStyle name="Comma 3 6 3 3" xfId="5761" xr:uid="{00000000-0005-0000-0000-0000FD570000}"/>
    <cellStyle name="Comma 3 6 3 3 2" xfId="5762" xr:uid="{00000000-0005-0000-0000-0000FE570000}"/>
    <cellStyle name="Comma 3 6 3 3 2 2" xfId="13138" xr:uid="{00000000-0005-0000-0000-0000FF570000}"/>
    <cellStyle name="Comma 3 6 3 3 2 3" xfId="21982" xr:uid="{00000000-0005-0000-0000-000000580000}"/>
    <cellStyle name="Comma 3 6 3 3 3" xfId="12227" xr:uid="{00000000-0005-0000-0000-000001580000}"/>
    <cellStyle name="Comma 3 6 3 3 3 2" xfId="25939" xr:uid="{00000000-0005-0000-0000-000002580000}"/>
    <cellStyle name="Comma 3 6 3 3 4" xfId="21983" xr:uid="{00000000-0005-0000-0000-000003580000}"/>
    <cellStyle name="Comma 3 6 3 4" xfId="5763" xr:uid="{00000000-0005-0000-0000-000004580000}"/>
    <cellStyle name="Comma 3 6 3 4 2" xfId="5764" xr:uid="{00000000-0005-0000-0000-000005580000}"/>
    <cellStyle name="Comma 3 6 3 4 2 2" xfId="15607" xr:uid="{00000000-0005-0000-0000-000006580000}"/>
    <cellStyle name="Comma 3 6 3 4 2 3" xfId="21980" xr:uid="{00000000-0005-0000-0000-000007580000}"/>
    <cellStyle name="Comma 3 6 3 4 3" xfId="13791" xr:uid="{00000000-0005-0000-0000-000008580000}"/>
    <cellStyle name="Comma 3 6 3 4 3 2" xfId="27340" xr:uid="{00000000-0005-0000-0000-000009580000}"/>
    <cellStyle name="Comma 3 6 3 4 4" xfId="21981" xr:uid="{00000000-0005-0000-0000-00000A580000}"/>
    <cellStyle name="Comma 3 6 3 5" xfId="5765" xr:uid="{00000000-0005-0000-0000-00000B580000}"/>
    <cellStyle name="Comma 3 6 3 5 2" xfId="14372" xr:uid="{00000000-0005-0000-0000-00000C580000}"/>
    <cellStyle name="Comma 3 6 3 5 2 2" xfId="27921" xr:uid="{00000000-0005-0000-0000-00000D580000}"/>
    <cellStyle name="Comma 3 6 3 5 3" xfId="21979" xr:uid="{00000000-0005-0000-0000-00000E580000}"/>
    <cellStyle name="Comma 3 6 3 6" xfId="5766" xr:uid="{00000000-0005-0000-0000-00000F580000}"/>
    <cellStyle name="Comma 3 6 3 6 2" xfId="16258" xr:uid="{00000000-0005-0000-0000-000010580000}"/>
    <cellStyle name="Comma 3 6 3 6 2 2" xfId="29665" xr:uid="{00000000-0005-0000-0000-000011580000}"/>
    <cellStyle name="Comma 3 6 3 6 3" xfId="21978" xr:uid="{00000000-0005-0000-0000-000012580000}"/>
    <cellStyle name="Comma 3 6 3 7" xfId="9801" xr:uid="{00000000-0005-0000-0000-000013580000}"/>
    <cellStyle name="Comma 3 6 3 8" xfId="21987" xr:uid="{00000000-0005-0000-0000-000014580000}"/>
    <cellStyle name="Comma 3 6 4" xfId="5767" xr:uid="{00000000-0005-0000-0000-000015580000}"/>
    <cellStyle name="Comma 3 6 4 2" xfId="5768" xr:uid="{00000000-0005-0000-0000-000016580000}"/>
    <cellStyle name="Comma 3 6 4 2 2" xfId="16550" xr:uid="{00000000-0005-0000-0000-000017580000}"/>
    <cellStyle name="Comma 3 6 4 2 2 2" xfId="29957" xr:uid="{00000000-0005-0000-0000-000018580000}"/>
    <cellStyle name="Comma 3 6 4 2 3" xfId="21976" xr:uid="{00000000-0005-0000-0000-000019580000}"/>
    <cellStyle name="Comma 3 6 4 3" xfId="9803" xr:uid="{00000000-0005-0000-0000-00001A580000}"/>
    <cellStyle name="Comma 3 6 4 4" xfId="21977" xr:uid="{00000000-0005-0000-0000-00001B580000}"/>
    <cellStyle name="Comma 3 6 5" xfId="5769" xr:uid="{00000000-0005-0000-0000-00001C580000}"/>
    <cellStyle name="Comma 3 6 5 2" xfId="5770" xr:uid="{00000000-0005-0000-0000-00001D580000}"/>
    <cellStyle name="Comma 3 6 5 2 2" xfId="11339" xr:uid="{00000000-0005-0000-0000-00001E580000}"/>
    <cellStyle name="Comma 3 6 5 2 3" xfId="21974" xr:uid="{00000000-0005-0000-0000-00001F580000}"/>
    <cellStyle name="Comma 3 6 5 3" xfId="9804" xr:uid="{00000000-0005-0000-0000-000020580000}"/>
    <cellStyle name="Comma 3 6 5 4" xfId="21975" xr:uid="{00000000-0005-0000-0000-000021580000}"/>
    <cellStyle name="Comma 3 6 6" xfId="5771" xr:uid="{00000000-0005-0000-0000-000022580000}"/>
    <cellStyle name="Comma 3 6 6 2" xfId="5772" xr:uid="{00000000-0005-0000-0000-000023580000}"/>
    <cellStyle name="Comma 3 6 6 2 2" xfId="13139" xr:uid="{00000000-0005-0000-0000-000024580000}"/>
    <cellStyle name="Comma 3 6 6 2 3" xfId="21972" xr:uid="{00000000-0005-0000-0000-000025580000}"/>
    <cellStyle name="Comma 3 6 6 3" xfId="11925" xr:uid="{00000000-0005-0000-0000-000026580000}"/>
    <cellStyle name="Comma 3 6 6 3 2" xfId="25640" xr:uid="{00000000-0005-0000-0000-000027580000}"/>
    <cellStyle name="Comma 3 6 6 4" xfId="21973" xr:uid="{00000000-0005-0000-0000-000028580000}"/>
    <cellStyle name="Comma 3 6 7" xfId="5773" xr:uid="{00000000-0005-0000-0000-000029580000}"/>
    <cellStyle name="Comma 3 6 7 2" xfId="5774" xr:uid="{00000000-0005-0000-0000-00002A580000}"/>
    <cellStyle name="Comma 3 6 7 2 2" xfId="15608" xr:uid="{00000000-0005-0000-0000-00002B580000}"/>
    <cellStyle name="Comma 3 6 7 2 3" xfId="21970" xr:uid="{00000000-0005-0000-0000-00002C580000}"/>
    <cellStyle name="Comma 3 6 7 3" xfId="13502" xr:uid="{00000000-0005-0000-0000-00002D580000}"/>
    <cellStyle name="Comma 3 6 7 3 2" xfId="27051" xr:uid="{00000000-0005-0000-0000-00002E580000}"/>
    <cellStyle name="Comma 3 6 7 4" xfId="21971" xr:uid="{00000000-0005-0000-0000-00002F580000}"/>
    <cellStyle name="Comma 3 6 8" xfId="5775" xr:uid="{00000000-0005-0000-0000-000030580000}"/>
    <cellStyle name="Comma 3 6 8 2" xfId="14083" xr:uid="{00000000-0005-0000-0000-000031580000}"/>
    <cellStyle name="Comma 3 6 8 2 2" xfId="27632" xr:uid="{00000000-0005-0000-0000-000032580000}"/>
    <cellStyle name="Comma 3 6 8 3" xfId="21969" xr:uid="{00000000-0005-0000-0000-000033580000}"/>
    <cellStyle name="Comma 3 6 9" xfId="5776" xr:uid="{00000000-0005-0000-0000-000034580000}"/>
    <cellStyle name="Comma 3 6 9 2" xfId="15969" xr:uid="{00000000-0005-0000-0000-000035580000}"/>
    <cellStyle name="Comma 3 6 9 2 2" xfId="29376" xr:uid="{00000000-0005-0000-0000-000036580000}"/>
    <cellStyle name="Comma 3 6 9 3" xfId="21968" xr:uid="{00000000-0005-0000-0000-000037580000}"/>
    <cellStyle name="Comma 3 7" xfId="5777" xr:uid="{00000000-0005-0000-0000-000038580000}"/>
    <cellStyle name="Comma 3 7 2" xfId="5778" xr:uid="{00000000-0005-0000-0000-000039580000}"/>
    <cellStyle name="Comma 3 7 2 2" xfId="5779" xr:uid="{00000000-0005-0000-0000-00003A580000}"/>
    <cellStyle name="Comma 3 7 2 2 2" xfId="5780" xr:uid="{00000000-0005-0000-0000-00003B580000}"/>
    <cellStyle name="Comma 3 7 2 2 2 2" xfId="11340" xr:uid="{00000000-0005-0000-0000-00003C580000}"/>
    <cellStyle name="Comma 3 7 2 2 2 3" xfId="21964" xr:uid="{00000000-0005-0000-0000-00003D580000}"/>
    <cellStyle name="Comma 3 7 2 2 3" xfId="5781" xr:uid="{00000000-0005-0000-0000-00003E580000}"/>
    <cellStyle name="Comma 3 7 2 2 3 2" xfId="16859" xr:uid="{00000000-0005-0000-0000-00003F580000}"/>
    <cellStyle name="Comma 3 7 2 2 3 2 2" xfId="30266" xr:uid="{00000000-0005-0000-0000-000040580000}"/>
    <cellStyle name="Comma 3 7 2 2 3 3" xfId="21963" xr:uid="{00000000-0005-0000-0000-000041580000}"/>
    <cellStyle name="Comma 3 7 2 2 4" xfId="9807" xr:uid="{00000000-0005-0000-0000-000042580000}"/>
    <cellStyle name="Comma 3 7 2 2 5" xfId="21965" xr:uid="{00000000-0005-0000-0000-000043580000}"/>
    <cellStyle name="Comma 3 7 2 3" xfId="5782" xr:uid="{00000000-0005-0000-0000-000044580000}"/>
    <cellStyle name="Comma 3 7 2 3 2" xfId="5783" xr:uid="{00000000-0005-0000-0000-000045580000}"/>
    <cellStyle name="Comma 3 7 2 3 2 2" xfId="13140" xr:uid="{00000000-0005-0000-0000-000046580000}"/>
    <cellStyle name="Comma 3 7 2 3 2 3" xfId="21961" xr:uid="{00000000-0005-0000-0000-000047580000}"/>
    <cellStyle name="Comma 3 7 2 3 3" xfId="12247" xr:uid="{00000000-0005-0000-0000-000048580000}"/>
    <cellStyle name="Comma 3 7 2 3 3 2" xfId="25959" xr:uid="{00000000-0005-0000-0000-000049580000}"/>
    <cellStyle name="Comma 3 7 2 3 4" xfId="21962" xr:uid="{00000000-0005-0000-0000-00004A580000}"/>
    <cellStyle name="Comma 3 7 2 4" xfId="5784" xr:uid="{00000000-0005-0000-0000-00004B580000}"/>
    <cellStyle name="Comma 3 7 2 4 2" xfId="5785" xr:uid="{00000000-0005-0000-0000-00004C580000}"/>
    <cellStyle name="Comma 3 7 2 4 2 2" xfId="15609" xr:uid="{00000000-0005-0000-0000-00004D580000}"/>
    <cellStyle name="Comma 3 7 2 4 2 3" xfId="21959" xr:uid="{00000000-0005-0000-0000-00004E580000}"/>
    <cellStyle name="Comma 3 7 2 4 3" xfId="13811" xr:uid="{00000000-0005-0000-0000-00004F580000}"/>
    <cellStyle name="Comma 3 7 2 4 3 2" xfId="27360" xr:uid="{00000000-0005-0000-0000-000050580000}"/>
    <cellStyle name="Comma 3 7 2 4 4" xfId="21960" xr:uid="{00000000-0005-0000-0000-000051580000}"/>
    <cellStyle name="Comma 3 7 2 5" xfId="5786" xr:uid="{00000000-0005-0000-0000-000052580000}"/>
    <cellStyle name="Comma 3 7 2 5 2" xfId="14392" xr:uid="{00000000-0005-0000-0000-000053580000}"/>
    <cellStyle name="Comma 3 7 2 5 2 2" xfId="27941" xr:uid="{00000000-0005-0000-0000-000054580000}"/>
    <cellStyle name="Comma 3 7 2 5 3" xfId="21958" xr:uid="{00000000-0005-0000-0000-000055580000}"/>
    <cellStyle name="Comma 3 7 2 6" xfId="5787" xr:uid="{00000000-0005-0000-0000-000056580000}"/>
    <cellStyle name="Comma 3 7 2 6 2" xfId="16278" xr:uid="{00000000-0005-0000-0000-000057580000}"/>
    <cellStyle name="Comma 3 7 2 6 2 2" xfId="29685" xr:uid="{00000000-0005-0000-0000-000058580000}"/>
    <cellStyle name="Comma 3 7 2 6 3" xfId="21957" xr:uid="{00000000-0005-0000-0000-000059580000}"/>
    <cellStyle name="Comma 3 7 2 7" xfId="9806" xr:uid="{00000000-0005-0000-0000-00005A580000}"/>
    <cellStyle name="Comma 3 7 2 8" xfId="21966" xr:uid="{00000000-0005-0000-0000-00005B580000}"/>
    <cellStyle name="Comma 3 7 3" xfId="5788" xr:uid="{00000000-0005-0000-0000-00005C580000}"/>
    <cellStyle name="Comma 3 7 3 2" xfId="5789" xr:uid="{00000000-0005-0000-0000-00005D580000}"/>
    <cellStyle name="Comma 3 7 3 2 2" xfId="11341" xr:uid="{00000000-0005-0000-0000-00005E580000}"/>
    <cellStyle name="Comma 3 7 3 2 3" xfId="21955" xr:uid="{00000000-0005-0000-0000-00005F580000}"/>
    <cellStyle name="Comma 3 7 3 3" xfId="5790" xr:uid="{00000000-0005-0000-0000-000060580000}"/>
    <cellStyle name="Comma 3 7 3 3 2" xfId="16570" xr:uid="{00000000-0005-0000-0000-000061580000}"/>
    <cellStyle name="Comma 3 7 3 3 2 2" xfId="29977" xr:uid="{00000000-0005-0000-0000-000062580000}"/>
    <cellStyle name="Comma 3 7 3 3 3" xfId="21954" xr:uid="{00000000-0005-0000-0000-000063580000}"/>
    <cellStyle name="Comma 3 7 3 4" xfId="9808" xr:uid="{00000000-0005-0000-0000-000064580000}"/>
    <cellStyle name="Comma 3 7 3 5" xfId="21956" xr:uid="{00000000-0005-0000-0000-000065580000}"/>
    <cellStyle name="Comma 3 7 4" xfId="5791" xr:uid="{00000000-0005-0000-0000-000066580000}"/>
    <cellStyle name="Comma 3 7 4 2" xfId="5792" xr:uid="{00000000-0005-0000-0000-000067580000}"/>
    <cellStyle name="Comma 3 7 4 2 2" xfId="13141" xr:uid="{00000000-0005-0000-0000-000068580000}"/>
    <cellStyle name="Comma 3 7 4 2 3" xfId="21952" xr:uid="{00000000-0005-0000-0000-000069580000}"/>
    <cellStyle name="Comma 3 7 4 3" xfId="11945" xr:uid="{00000000-0005-0000-0000-00006A580000}"/>
    <cellStyle name="Comma 3 7 4 3 2" xfId="25660" xr:uid="{00000000-0005-0000-0000-00006B580000}"/>
    <cellStyle name="Comma 3 7 4 4" xfId="21953" xr:uid="{00000000-0005-0000-0000-00006C580000}"/>
    <cellStyle name="Comma 3 7 5" xfId="5793" xr:uid="{00000000-0005-0000-0000-00006D580000}"/>
    <cellStyle name="Comma 3 7 5 2" xfId="5794" xr:uid="{00000000-0005-0000-0000-00006E580000}"/>
    <cellStyle name="Comma 3 7 5 2 2" xfId="15610" xr:uid="{00000000-0005-0000-0000-00006F580000}"/>
    <cellStyle name="Comma 3 7 5 2 3" xfId="21950" xr:uid="{00000000-0005-0000-0000-000070580000}"/>
    <cellStyle name="Comma 3 7 5 3" xfId="13522" xr:uid="{00000000-0005-0000-0000-000071580000}"/>
    <cellStyle name="Comma 3 7 5 3 2" xfId="27071" xr:uid="{00000000-0005-0000-0000-000072580000}"/>
    <cellStyle name="Comma 3 7 5 4" xfId="21951" xr:uid="{00000000-0005-0000-0000-000073580000}"/>
    <cellStyle name="Comma 3 7 6" xfId="5795" xr:uid="{00000000-0005-0000-0000-000074580000}"/>
    <cellStyle name="Comma 3 7 6 2" xfId="14103" xr:uid="{00000000-0005-0000-0000-000075580000}"/>
    <cellStyle name="Comma 3 7 6 2 2" xfId="27652" xr:uid="{00000000-0005-0000-0000-000076580000}"/>
    <cellStyle name="Comma 3 7 6 3" xfId="21949" xr:uid="{00000000-0005-0000-0000-000077580000}"/>
    <cellStyle name="Comma 3 7 7" xfId="5796" xr:uid="{00000000-0005-0000-0000-000078580000}"/>
    <cellStyle name="Comma 3 7 7 2" xfId="15989" xr:uid="{00000000-0005-0000-0000-000079580000}"/>
    <cellStyle name="Comma 3 7 7 2 2" xfId="29396" xr:uid="{00000000-0005-0000-0000-00007A580000}"/>
    <cellStyle name="Comma 3 7 7 3" xfId="21948" xr:uid="{00000000-0005-0000-0000-00007B580000}"/>
    <cellStyle name="Comma 3 7 8" xfId="9805" xr:uid="{00000000-0005-0000-0000-00007C580000}"/>
    <cellStyle name="Comma 3 7 9" xfId="21967" xr:uid="{00000000-0005-0000-0000-00007D580000}"/>
    <cellStyle name="Comma 3 8" xfId="5797" xr:uid="{00000000-0005-0000-0000-00007E580000}"/>
    <cellStyle name="Comma 3 8 2" xfId="5798" xr:uid="{00000000-0005-0000-0000-00007F580000}"/>
    <cellStyle name="Comma 3 8 2 2" xfId="5799" xr:uid="{00000000-0005-0000-0000-000080580000}"/>
    <cellStyle name="Comma 3 8 2 2 2" xfId="11342" xr:uid="{00000000-0005-0000-0000-000081580000}"/>
    <cellStyle name="Comma 3 8 2 2 3" xfId="21945" xr:uid="{00000000-0005-0000-0000-000082580000}"/>
    <cellStyle name="Comma 3 8 2 3" xfId="5800" xr:uid="{00000000-0005-0000-0000-000083580000}"/>
    <cellStyle name="Comma 3 8 2 3 2" xfId="16715" xr:uid="{00000000-0005-0000-0000-000084580000}"/>
    <cellStyle name="Comma 3 8 2 3 2 2" xfId="30122" xr:uid="{00000000-0005-0000-0000-000085580000}"/>
    <cellStyle name="Comma 3 8 2 3 3" xfId="21944" xr:uid="{00000000-0005-0000-0000-000086580000}"/>
    <cellStyle name="Comma 3 8 2 4" xfId="9810" xr:uid="{00000000-0005-0000-0000-000087580000}"/>
    <cellStyle name="Comma 3 8 2 5" xfId="21946" xr:uid="{00000000-0005-0000-0000-000088580000}"/>
    <cellStyle name="Comma 3 8 3" xfId="5801" xr:uid="{00000000-0005-0000-0000-000089580000}"/>
    <cellStyle name="Comma 3 8 3 2" xfId="5802" xr:uid="{00000000-0005-0000-0000-00008A580000}"/>
    <cellStyle name="Comma 3 8 3 2 2" xfId="13142" xr:uid="{00000000-0005-0000-0000-00008B580000}"/>
    <cellStyle name="Comma 3 8 3 2 3" xfId="21942" xr:uid="{00000000-0005-0000-0000-00008C580000}"/>
    <cellStyle name="Comma 3 8 3 3" xfId="12097" xr:uid="{00000000-0005-0000-0000-00008D580000}"/>
    <cellStyle name="Comma 3 8 3 3 2" xfId="25809" xr:uid="{00000000-0005-0000-0000-00008E580000}"/>
    <cellStyle name="Comma 3 8 3 4" xfId="21943" xr:uid="{00000000-0005-0000-0000-00008F580000}"/>
    <cellStyle name="Comma 3 8 4" xfId="5803" xr:uid="{00000000-0005-0000-0000-000090580000}"/>
    <cellStyle name="Comma 3 8 4 2" xfId="5804" xr:uid="{00000000-0005-0000-0000-000091580000}"/>
    <cellStyle name="Comma 3 8 4 2 2" xfId="15611" xr:uid="{00000000-0005-0000-0000-000092580000}"/>
    <cellStyle name="Comma 3 8 4 2 3" xfId="21940" xr:uid="{00000000-0005-0000-0000-000093580000}"/>
    <cellStyle name="Comma 3 8 4 3" xfId="13667" xr:uid="{00000000-0005-0000-0000-000094580000}"/>
    <cellStyle name="Comma 3 8 4 3 2" xfId="27216" xr:uid="{00000000-0005-0000-0000-000095580000}"/>
    <cellStyle name="Comma 3 8 4 4" xfId="21941" xr:uid="{00000000-0005-0000-0000-000096580000}"/>
    <cellStyle name="Comma 3 8 5" xfId="5805" xr:uid="{00000000-0005-0000-0000-000097580000}"/>
    <cellStyle name="Comma 3 8 5 2" xfId="14248" xr:uid="{00000000-0005-0000-0000-000098580000}"/>
    <cellStyle name="Comma 3 8 5 2 2" xfId="27797" xr:uid="{00000000-0005-0000-0000-000099580000}"/>
    <cellStyle name="Comma 3 8 5 3" xfId="21939" xr:uid="{00000000-0005-0000-0000-00009A580000}"/>
    <cellStyle name="Comma 3 8 6" xfId="5806" xr:uid="{00000000-0005-0000-0000-00009B580000}"/>
    <cellStyle name="Comma 3 8 6 2" xfId="16134" xr:uid="{00000000-0005-0000-0000-00009C580000}"/>
    <cellStyle name="Comma 3 8 6 2 2" xfId="29541" xr:uid="{00000000-0005-0000-0000-00009D580000}"/>
    <cellStyle name="Comma 3 8 6 3" xfId="21938" xr:uid="{00000000-0005-0000-0000-00009E580000}"/>
    <cellStyle name="Comma 3 8 7" xfId="9809" xr:uid="{00000000-0005-0000-0000-00009F580000}"/>
    <cellStyle name="Comma 3 8 8" xfId="21947" xr:uid="{00000000-0005-0000-0000-0000A0580000}"/>
    <cellStyle name="Comma 3 9" xfId="5807" xr:uid="{00000000-0005-0000-0000-0000A1580000}"/>
    <cellStyle name="Comma 3 9 2" xfId="5808" xr:uid="{00000000-0005-0000-0000-0000A2580000}"/>
    <cellStyle name="Comma 3 9 2 2" xfId="5809" xr:uid="{00000000-0005-0000-0000-0000A3580000}"/>
    <cellStyle name="Comma 3 9 2 2 2" xfId="11343" xr:uid="{00000000-0005-0000-0000-0000A4580000}"/>
    <cellStyle name="Comma 3 9 2 2 3" xfId="21935" xr:uid="{00000000-0005-0000-0000-0000A5580000}"/>
    <cellStyle name="Comma 3 9 2 3" xfId="5810" xr:uid="{00000000-0005-0000-0000-0000A6580000}"/>
    <cellStyle name="Comma 3 9 2 3 2" xfId="16713" xr:uid="{00000000-0005-0000-0000-0000A7580000}"/>
    <cellStyle name="Comma 3 9 2 3 2 2" xfId="30120" xr:uid="{00000000-0005-0000-0000-0000A8580000}"/>
    <cellStyle name="Comma 3 9 2 3 3" xfId="21934" xr:uid="{00000000-0005-0000-0000-0000A9580000}"/>
    <cellStyle name="Comma 3 9 2 4" xfId="9812" xr:uid="{00000000-0005-0000-0000-0000AA580000}"/>
    <cellStyle name="Comma 3 9 2 5" xfId="21936" xr:uid="{00000000-0005-0000-0000-0000AB580000}"/>
    <cellStyle name="Comma 3 9 3" xfId="5811" xr:uid="{00000000-0005-0000-0000-0000AC580000}"/>
    <cellStyle name="Comma 3 9 3 2" xfId="5812" xr:uid="{00000000-0005-0000-0000-0000AD580000}"/>
    <cellStyle name="Comma 3 9 3 2 2" xfId="13143" xr:uid="{00000000-0005-0000-0000-0000AE580000}"/>
    <cellStyle name="Comma 3 9 3 2 3" xfId="21932" xr:uid="{00000000-0005-0000-0000-0000AF580000}"/>
    <cellStyle name="Comma 3 9 3 3" xfId="12093" xr:uid="{00000000-0005-0000-0000-0000B0580000}"/>
    <cellStyle name="Comma 3 9 3 3 2" xfId="25805" xr:uid="{00000000-0005-0000-0000-0000B1580000}"/>
    <cellStyle name="Comma 3 9 3 4" xfId="21933" xr:uid="{00000000-0005-0000-0000-0000B2580000}"/>
    <cellStyle name="Comma 3 9 4" xfId="5813" xr:uid="{00000000-0005-0000-0000-0000B3580000}"/>
    <cellStyle name="Comma 3 9 4 2" xfId="5814" xr:uid="{00000000-0005-0000-0000-0000B4580000}"/>
    <cellStyle name="Comma 3 9 4 2 2" xfId="15612" xr:uid="{00000000-0005-0000-0000-0000B5580000}"/>
    <cellStyle name="Comma 3 9 4 2 3" xfId="21930" xr:uid="{00000000-0005-0000-0000-0000B6580000}"/>
    <cellStyle name="Comma 3 9 4 3" xfId="13665" xr:uid="{00000000-0005-0000-0000-0000B7580000}"/>
    <cellStyle name="Comma 3 9 4 3 2" xfId="27214" xr:uid="{00000000-0005-0000-0000-0000B8580000}"/>
    <cellStyle name="Comma 3 9 4 4" xfId="21931" xr:uid="{00000000-0005-0000-0000-0000B9580000}"/>
    <cellStyle name="Comma 3 9 5" xfId="5815" xr:uid="{00000000-0005-0000-0000-0000BA580000}"/>
    <cellStyle name="Comma 3 9 5 2" xfId="14246" xr:uid="{00000000-0005-0000-0000-0000BB580000}"/>
    <cellStyle name="Comma 3 9 5 2 2" xfId="27795" xr:uid="{00000000-0005-0000-0000-0000BC580000}"/>
    <cellStyle name="Comma 3 9 5 3" xfId="21929" xr:uid="{00000000-0005-0000-0000-0000BD580000}"/>
    <cellStyle name="Comma 3 9 6" xfId="5816" xr:uid="{00000000-0005-0000-0000-0000BE580000}"/>
    <cellStyle name="Comma 3 9 6 2" xfId="16132" xr:uid="{00000000-0005-0000-0000-0000BF580000}"/>
    <cellStyle name="Comma 3 9 6 2 2" xfId="29539" xr:uid="{00000000-0005-0000-0000-0000C0580000}"/>
    <cellStyle name="Comma 3 9 6 3" xfId="21928" xr:uid="{00000000-0005-0000-0000-0000C1580000}"/>
    <cellStyle name="Comma 3 9 7" xfId="9811" xr:uid="{00000000-0005-0000-0000-0000C2580000}"/>
    <cellStyle name="Comma 3 9 8" xfId="21937" xr:uid="{00000000-0005-0000-0000-0000C3580000}"/>
    <cellStyle name="Comma 4" xfId="5817" xr:uid="{00000000-0005-0000-0000-0000C4580000}"/>
    <cellStyle name="Comma 4 2" xfId="5818" xr:uid="{00000000-0005-0000-0000-0000C5580000}"/>
    <cellStyle name="Comma 4 2 2" xfId="9814" xr:uid="{00000000-0005-0000-0000-0000C6580000}"/>
    <cellStyle name="Comma 4 2 3" xfId="21926" xr:uid="{00000000-0005-0000-0000-0000C7580000}"/>
    <cellStyle name="Comma 4 3" xfId="5819" xr:uid="{00000000-0005-0000-0000-0000C8580000}"/>
    <cellStyle name="Comma 4 3 2" xfId="13144" xr:uid="{00000000-0005-0000-0000-0000C9580000}"/>
    <cellStyle name="Comma 4 3 3" xfId="21925" xr:uid="{00000000-0005-0000-0000-0000CA580000}"/>
    <cellStyle name="Comma 4 4" xfId="5820" xr:uid="{00000000-0005-0000-0000-0000CB580000}"/>
    <cellStyle name="Comma 4 4 2" xfId="9813" xr:uid="{00000000-0005-0000-0000-0000CC580000}"/>
    <cellStyle name="Comma 4 4 3" xfId="21924" xr:uid="{00000000-0005-0000-0000-0000CD580000}"/>
    <cellStyle name="Comma 4 5" xfId="8656" xr:uid="{00000000-0005-0000-0000-0000CE580000}"/>
    <cellStyle name="Comma 4 6" xfId="21927" xr:uid="{00000000-0005-0000-0000-0000CF580000}"/>
    <cellStyle name="Comma 4 7" xfId="32900" xr:uid="{00000000-0005-0000-0000-0000D0580000}"/>
    <cellStyle name="Comma 5" xfId="5821" xr:uid="{00000000-0005-0000-0000-0000D1580000}"/>
    <cellStyle name="Comma 5 2" xfId="5822" xr:uid="{00000000-0005-0000-0000-0000D2580000}"/>
    <cellStyle name="Comma 5 2 2" xfId="17010" xr:uid="{00000000-0005-0000-0000-0000D3580000}"/>
    <cellStyle name="Comma 5 2 2 2" xfId="30417" xr:uid="{00000000-0005-0000-0000-0000D4580000}"/>
    <cellStyle name="Comma 5 2 3" xfId="21922" xr:uid="{00000000-0005-0000-0000-0000D5580000}"/>
    <cellStyle name="Comma 5 3" xfId="5823" xr:uid="{00000000-0005-0000-0000-0000D6580000}"/>
    <cellStyle name="Comma 5 3 2" xfId="17321" xr:uid="{00000000-0005-0000-0000-0000D7580000}"/>
    <cellStyle name="Comma 5 3 3" xfId="21921" xr:uid="{00000000-0005-0000-0000-0000D8580000}"/>
    <cellStyle name="Comma 5 4" xfId="8717" xr:uid="{00000000-0005-0000-0000-0000D9580000}"/>
    <cellStyle name="Comma 5 5" xfId="21923" xr:uid="{00000000-0005-0000-0000-0000DA580000}"/>
    <cellStyle name="Comma 6" xfId="5824" xr:uid="{00000000-0005-0000-0000-0000DB580000}"/>
    <cellStyle name="Comma 6 2" xfId="5825" xr:uid="{00000000-0005-0000-0000-0000DC580000}"/>
    <cellStyle name="Comma 6 2 2" xfId="17011" xr:uid="{00000000-0005-0000-0000-0000DD580000}"/>
    <cellStyle name="Comma 6 2 2 2" xfId="30418" xr:uid="{00000000-0005-0000-0000-0000DE580000}"/>
    <cellStyle name="Comma 6 2 3" xfId="21919" xr:uid="{00000000-0005-0000-0000-0000DF580000}"/>
    <cellStyle name="Comma 6 3" xfId="9815" xr:uid="{00000000-0005-0000-0000-0000E0580000}"/>
    <cellStyle name="Comma 6 4" xfId="21920" xr:uid="{00000000-0005-0000-0000-0000E1580000}"/>
    <cellStyle name="Comma 7" xfId="5826" xr:uid="{00000000-0005-0000-0000-0000E2580000}"/>
    <cellStyle name="Comma 7 2" xfId="5827" xr:uid="{00000000-0005-0000-0000-0000E3580000}"/>
    <cellStyle name="Comma 7 2 2" xfId="17012" xr:uid="{00000000-0005-0000-0000-0000E4580000}"/>
    <cellStyle name="Comma 7 2 2 2" xfId="30419" xr:uid="{00000000-0005-0000-0000-0000E5580000}"/>
    <cellStyle name="Comma 7 2 3" xfId="21917" xr:uid="{00000000-0005-0000-0000-0000E6580000}"/>
    <cellStyle name="Comma 7 3" xfId="9816" xr:uid="{00000000-0005-0000-0000-0000E7580000}"/>
    <cellStyle name="Comma 7 4" xfId="21918" xr:uid="{00000000-0005-0000-0000-0000E8580000}"/>
    <cellStyle name="Comma 8" xfId="5828" xr:uid="{00000000-0005-0000-0000-0000E9580000}"/>
    <cellStyle name="Comma 8 2" xfId="5829" xr:uid="{00000000-0005-0000-0000-0000EA580000}"/>
    <cellStyle name="Comma 8 2 2" xfId="9818" xr:uid="{00000000-0005-0000-0000-0000EB580000}"/>
    <cellStyle name="Comma 8 2 3" xfId="21915" xr:uid="{00000000-0005-0000-0000-0000EC580000}"/>
    <cellStyle name="Comma 8 3" xfId="5830" xr:uid="{00000000-0005-0000-0000-0000ED580000}"/>
    <cellStyle name="Comma 8 3 2" xfId="13145" xr:uid="{00000000-0005-0000-0000-0000EE580000}"/>
    <cellStyle name="Comma 8 3 3" xfId="21914" xr:uid="{00000000-0005-0000-0000-0000EF580000}"/>
    <cellStyle name="Comma 8 4" xfId="9817" xr:uid="{00000000-0005-0000-0000-0000F0580000}"/>
    <cellStyle name="Comma 8 5" xfId="21916" xr:uid="{00000000-0005-0000-0000-0000F1580000}"/>
    <cellStyle name="Comma 9" xfId="5831" xr:uid="{00000000-0005-0000-0000-0000F2580000}"/>
    <cellStyle name="Comma 9 2" xfId="5832" xr:uid="{00000000-0005-0000-0000-0000F3580000}"/>
    <cellStyle name="Comma 9 2 2" xfId="5833" xr:uid="{00000000-0005-0000-0000-0000F4580000}"/>
    <cellStyle name="Comma 9 2 2 2" xfId="11345" xr:uid="{00000000-0005-0000-0000-0000F5580000}"/>
    <cellStyle name="Comma 9 2 2 3" xfId="21911" xr:uid="{00000000-0005-0000-0000-0000F6580000}"/>
    <cellStyle name="Comma 9 2 3" xfId="9820" xr:uid="{00000000-0005-0000-0000-0000F7580000}"/>
    <cellStyle name="Comma 9 2 4" xfId="21912" xr:uid="{00000000-0005-0000-0000-0000F8580000}"/>
    <cellStyle name="Comma 9 3" xfId="5834" xr:uid="{00000000-0005-0000-0000-0000F9580000}"/>
    <cellStyle name="Comma 9 3 2" xfId="11344" xr:uid="{00000000-0005-0000-0000-0000FA580000}"/>
    <cellStyle name="Comma 9 3 3" xfId="21910" xr:uid="{00000000-0005-0000-0000-0000FB580000}"/>
    <cellStyle name="Comma 9 4" xfId="5835" xr:uid="{00000000-0005-0000-0000-0000FC580000}"/>
    <cellStyle name="Comma 9 4 2" xfId="13146" xr:uid="{00000000-0005-0000-0000-0000FD580000}"/>
    <cellStyle name="Comma 9 4 3" xfId="21909" xr:uid="{00000000-0005-0000-0000-0000FE580000}"/>
    <cellStyle name="Comma 9 5" xfId="9819" xr:uid="{00000000-0005-0000-0000-0000FF580000}"/>
    <cellStyle name="Comma 9 6" xfId="21913" xr:uid="{00000000-0005-0000-0000-000000590000}"/>
    <cellStyle name="Comma0" xfId="5836" xr:uid="{00000000-0005-0000-0000-000001590000}"/>
    <cellStyle name="Comma0 2" xfId="5837" xr:uid="{00000000-0005-0000-0000-000002590000}"/>
    <cellStyle name="Comma0 2 2" xfId="5838" xr:uid="{00000000-0005-0000-0000-000003590000}"/>
    <cellStyle name="Comma0 2 2 2" xfId="17013" xr:uid="{00000000-0005-0000-0000-000004590000}"/>
    <cellStyle name="Comma0 2 2 3" xfId="21906" xr:uid="{00000000-0005-0000-0000-000005590000}"/>
    <cellStyle name="Comma0 2 3" xfId="8657" xr:uid="{00000000-0005-0000-0000-000006590000}"/>
    <cellStyle name="Comma0 2 4" xfId="21907" xr:uid="{00000000-0005-0000-0000-000007590000}"/>
    <cellStyle name="Comma0 3" xfId="5839" xr:uid="{00000000-0005-0000-0000-000008590000}"/>
    <cellStyle name="Comma0 3 2" xfId="8721" xr:uid="{00000000-0005-0000-0000-000009590000}"/>
    <cellStyle name="Comma0 3 2 2" xfId="17322" xr:uid="{00000000-0005-0000-0000-00000A590000}"/>
    <cellStyle name="Comma0 3 3" xfId="17284" xr:uid="{00000000-0005-0000-0000-00000B590000}"/>
    <cellStyle name="Comma0 3 4" xfId="9821" xr:uid="{00000000-0005-0000-0000-00000C590000}"/>
    <cellStyle name="Comma0 3 5" xfId="21905" xr:uid="{00000000-0005-0000-0000-00000D590000}"/>
    <cellStyle name="Comma0 4" xfId="8649" xr:uid="{00000000-0005-0000-0000-00000E590000}"/>
    <cellStyle name="Comma0 5" xfId="21908" xr:uid="{00000000-0005-0000-0000-00000F590000}"/>
    <cellStyle name="Currency" xfId="2" builtinId="4"/>
    <cellStyle name="Currency 10" xfId="5840" xr:uid="{00000000-0005-0000-0000-000011590000}"/>
    <cellStyle name="Currency 10 2" xfId="9822" xr:uid="{00000000-0005-0000-0000-000012590000}"/>
    <cellStyle name="Currency 10 3" xfId="21904" xr:uid="{00000000-0005-0000-0000-000013590000}"/>
    <cellStyle name="Currency 11" xfId="5841" xr:uid="{00000000-0005-0000-0000-000014590000}"/>
    <cellStyle name="Currency 11 2" xfId="5842" xr:uid="{00000000-0005-0000-0000-000015590000}"/>
    <cellStyle name="Currency 11 2 2" xfId="9824" xr:uid="{00000000-0005-0000-0000-000016590000}"/>
    <cellStyle name="Currency 11 2 3" xfId="21902" xr:uid="{00000000-0005-0000-0000-000017590000}"/>
    <cellStyle name="Currency 11 3" xfId="5843" xr:uid="{00000000-0005-0000-0000-000018590000}"/>
    <cellStyle name="Currency 11 3 2" xfId="13147" xr:uid="{00000000-0005-0000-0000-000019590000}"/>
    <cellStyle name="Currency 11 3 3" xfId="21901" xr:uid="{00000000-0005-0000-0000-00001A590000}"/>
    <cellStyle name="Currency 11 4" xfId="9823" xr:uid="{00000000-0005-0000-0000-00001B590000}"/>
    <cellStyle name="Currency 11 5" xfId="21903" xr:uid="{00000000-0005-0000-0000-00001C590000}"/>
    <cellStyle name="Currency 12" xfId="5844" xr:uid="{00000000-0005-0000-0000-00001D590000}"/>
    <cellStyle name="Currency 12 2" xfId="13148" xr:uid="{00000000-0005-0000-0000-00001E590000}"/>
    <cellStyle name="Currency 12 3" xfId="21900" xr:uid="{00000000-0005-0000-0000-00001F590000}"/>
    <cellStyle name="Currency 13" xfId="33029" xr:uid="{8C7DF305-3C2A-4BBB-8A2E-5F4EA80655AA}"/>
    <cellStyle name="Currency 2" xfId="5845" xr:uid="{00000000-0005-0000-0000-000020590000}"/>
    <cellStyle name="Currency 2 2" xfId="5846" xr:uid="{00000000-0005-0000-0000-000021590000}"/>
    <cellStyle name="Currency 2 2 2" xfId="5847" xr:uid="{00000000-0005-0000-0000-000022590000}"/>
    <cellStyle name="Currency 2 2 2 2" xfId="9826" xr:uid="{00000000-0005-0000-0000-000023590000}"/>
    <cellStyle name="Currency 2 2 2 3" xfId="21897" xr:uid="{00000000-0005-0000-0000-000024590000}"/>
    <cellStyle name="Currency 2 2 3" xfId="5848" xr:uid="{00000000-0005-0000-0000-000025590000}"/>
    <cellStyle name="Currency 2 2 3 2" xfId="13149" xr:uid="{00000000-0005-0000-0000-000026590000}"/>
    <cellStyle name="Currency 2 2 3 3" xfId="21896" xr:uid="{00000000-0005-0000-0000-000027590000}"/>
    <cellStyle name="Currency 2 2 4" xfId="5849" xr:uid="{00000000-0005-0000-0000-000028590000}"/>
    <cellStyle name="Currency 2 2 4 2" xfId="17014" xr:uid="{00000000-0005-0000-0000-000029590000}"/>
    <cellStyle name="Currency 2 2 4 2 2" xfId="30421" xr:uid="{00000000-0005-0000-0000-00002A590000}"/>
    <cellStyle name="Currency 2 2 4 3" xfId="21895" xr:uid="{00000000-0005-0000-0000-00002B590000}"/>
    <cellStyle name="Currency 2 2 5" xfId="8668" xr:uid="{00000000-0005-0000-0000-00002C590000}"/>
    <cellStyle name="Currency 2 2 6" xfId="21898" xr:uid="{00000000-0005-0000-0000-00002D590000}"/>
    <cellStyle name="Currency 2 3" xfId="5850" xr:uid="{00000000-0005-0000-0000-00002E590000}"/>
    <cellStyle name="Currency 2 3 2" xfId="5851" xr:uid="{00000000-0005-0000-0000-00002F590000}"/>
    <cellStyle name="Currency 2 3 2 2" xfId="13150" xr:uid="{00000000-0005-0000-0000-000030590000}"/>
    <cellStyle name="Currency 2 3 2 3" xfId="21893" xr:uid="{00000000-0005-0000-0000-000031590000}"/>
    <cellStyle name="Currency 2 3 3" xfId="5852" xr:uid="{00000000-0005-0000-0000-000032590000}"/>
    <cellStyle name="Currency 2 3 3 2" xfId="17015" xr:uid="{00000000-0005-0000-0000-000033590000}"/>
    <cellStyle name="Currency 2 3 3 2 2" xfId="30422" xr:uid="{00000000-0005-0000-0000-000034590000}"/>
    <cellStyle name="Currency 2 3 3 3" xfId="21892" xr:uid="{00000000-0005-0000-0000-000035590000}"/>
    <cellStyle name="Currency 2 3 4" xfId="5853" xr:uid="{00000000-0005-0000-0000-000036590000}"/>
    <cellStyle name="Currency 2 3 4 2" xfId="17357" xr:uid="{00000000-0005-0000-0000-000037590000}"/>
    <cellStyle name="Currency 2 3 4 3" xfId="21891" xr:uid="{00000000-0005-0000-0000-000038590000}"/>
    <cellStyle name="Currency 2 3 5" xfId="8727" xr:uid="{00000000-0005-0000-0000-000039590000}"/>
    <cellStyle name="Currency 2 3 6" xfId="10505" xr:uid="{00000000-0005-0000-0000-00003A590000}"/>
    <cellStyle name="Currency 2 3 7" xfId="21894" xr:uid="{00000000-0005-0000-0000-00003B590000}"/>
    <cellStyle name="Currency 2 4" xfId="8642" xr:uid="{00000000-0005-0000-0000-00003C590000}"/>
    <cellStyle name="Currency 2 4 2" xfId="9825" xr:uid="{00000000-0005-0000-0000-00003D590000}"/>
    <cellStyle name="Currency 2 5" xfId="17290" xr:uid="{00000000-0005-0000-0000-00003E590000}"/>
    <cellStyle name="Currency 2 6" xfId="21899" xr:uid="{00000000-0005-0000-0000-00003F590000}"/>
    <cellStyle name="Currency 2 7" xfId="32963" xr:uid="{00000000-0005-0000-0000-000040590000}"/>
    <cellStyle name="Currency 3" xfId="5854" xr:uid="{00000000-0005-0000-0000-000041590000}"/>
    <cellStyle name="Currency 3 10" xfId="5855" xr:uid="{00000000-0005-0000-0000-000042590000}"/>
    <cellStyle name="Currency 3 10 2" xfId="9828" xr:uid="{00000000-0005-0000-0000-000043590000}"/>
    <cellStyle name="Currency 3 10 3" xfId="21889" xr:uid="{00000000-0005-0000-0000-000044590000}"/>
    <cellStyle name="Currency 3 11" xfId="5856" xr:uid="{00000000-0005-0000-0000-000045590000}"/>
    <cellStyle name="Currency 3 11 2" xfId="5857" xr:uid="{00000000-0005-0000-0000-000046590000}"/>
    <cellStyle name="Currency 3 11 2 2" xfId="13151" xr:uid="{00000000-0005-0000-0000-000047590000}"/>
    <cellStyle name="Currency 3 11 2 3" xfId="21887" xr:uid="{00000000-0005-0000-0000-000048590000}"/>
    <cellStyle name="Currency 3 11 3" xfId="5858" xr:uid="{00000000-0005-0000-0000-000049590000}"/>
    <cellStyle name="Currency 3 11 3 2" xfId="17016" xr:uid="{00000000-0005-0000-0000-00004A590000}"/>
    <cellStyle name="Currency 3 11 3 2 2" xfId="30423" xr:uid="{00000000-0005-0000-0000-00004B590000}"/>
    <cellStyle name="Currency 3 11 3 3" xfId="21886" xr:uid="{00000000-0005-0000-0000-00004C590000}"/>
    <cellStyle name="Currency 3 11 4" xfId="9829" xr:uid="{00000000-0005-0000-0000-00004D590000}"/>
    <cellStyle name="Currency 3 11 5" xfId="21888" xr:uid="{00000000-0005-0000-0000-00004E590000}"/>
    <cellStyle name="Currency 3 12" xfId="5859" xr:uid="{00000000-0005-0000-0000-00004F590000}"/>
    <cellStyle name="Currency 3 12 2" xfId="5860" xr:uid="{00000000-0005-0000-0000-000050590000}"/>
    <cellStyle name="Currency 3 12 2 2" xfId="13153" xr:uid="{00000000-0005-0000-0000-000051590000}"/>
    <cellStyle name="Currency 3 12 2 3" xfId="21884" xr:uid="{00000000-0005-0000-0000-000052590000}"/>
    <cellStyle name="Currency 3 12 3" xfId="5861" xr:uid="{00000000-0005-0000-0000-000053590000}"/>
    <cellStyle name="Currency 3 12 3 2" xfId="13152" xr:uid="{00000000-0005-0000-0000-000054590000}"/>
    <cellStyle name="Currency 3 12 3 2 2" xfId="26864" xr:uid="{00000000-0005-0000-0000-000055590000}"/>
    <cellStyle name="Currency 3 12 3 3" xfId="21883" xr:uid="{00000000-0005-0000-0000-000056590000}"/>
    <cellStyle name="Currency 3 12 4" xfId="5862" xr:uid="{00000000-0005-0000-0000-000057590000}"/>
    <cellStyle name="Currency 3 12 4 2" xfId="17098" xr:uid="{00000000-0005-0000-0000-000058590000}"/>
    <cellStyle name="Currency 3 12 4 2 2" xfId="30457" xr:uid="{00000000-0005-0000-0000-000059590000}"/>
    <cellStyle name="Currency 3 12 4 3" xfId="21882" xr:uid="{00000000-0005-0000-0000-00005A590000}"/>
    <cellStyle name="Currency 3 12 5" xfId="9830" xr:uid="{00000000-0005-0000-0000-00005B590000}"/>
    <cellStyle name="Currency 3 12 6" xfId="21885" xr:uid="{00000000-0005-0000-0000-00005C590000}"/>
    <cellStyle name="Currency 3 13" xfId="5863" xr:uid="{00000000-0005-0000-0000-00005D590000}"/>
    <cellStyle name="Currency 3 13 2" xfId="5864" xr:uid="{00000000-0005-0000-0000-00005E590000}"/>
    <cellStyle name="Currency 3 13 2 2" xfId="17187" xr:uid="{00000000-0005-0000-0000-00005F590000}"/>
    <cellStyle name="Currency 3 13 2 2 2" xfId="30546" xr:uid="{00000000-0005-0000-0000-000060590000}"/>
    <cellStyle name="Currency 3 13 2 3" xfId="21880" xr:uid="{00000000-0005-0000-0000-000061590000}"/>
    <cellStyle name="Currency 3 13 3" xfId="9831" xr:uid="{00000000-0005-0000-0000-000062590000}"/>
    <cellStyle name="Currency 3 13 4" xfId="21881" xr:uid="{00000000-0005-0000-0000-000063590000}"/>
    <cellStyle name="Currency 3 14" xfId="5865" xr:uid="{00000000-0005-0000-0000-000064590000}"/>
    <cellStyle name="Currency 3 14 2" xfId="5866" xr:uid="{00000000-0005-0000-0000-000065590000}"/>
    <cellStyle name="Currency 3 14 2 2" xfId="5867" xr:uid="{00000000-0005-0000-0000-000066590000}"/>
    <cellStyle name="Currency 3 14 2 2 2" xfId="11348" xr:uid="{00000000-0005-0000-0000-000067590000}"/>
    <cellStyle name="Currency 3 14 2 2 3" xfId="21877" xr:uid="{00000000-0005-0000-0000-000068590000}"/>
    <cellStyle name="Currency 3 14 2 3" xfId="9833" xr:uid="{00000000-0005-0000-0000-000069590000}"/>
    <cellStyle name="Currency 3 14 2 4" xfId="21878" xr:uid="{00000000-0005-0000-0000-00006A590000}"/>
    <cellStyle name="Currency 3 14 3" xfId="5868" xr:uid="{00000000-0005-0000-0000-00006B590000}"/>
    <cellStyle name="Currency 3 14 3 2" xfId="11347" xr:uid="{00000000-0005-0000-0000-00006C590000}"/>
    <cellStyle name="Currency 3 14 3 3" xfId="21876" xr:uid="{00000000-0005-0000-0000-00006D590000}"/>
    <cellStyle name="Currency 3 14 4" xfId="5869" xr:uid="{00000000-0005-0000-0000-00006E590000}"/>
    <cellStyle name="Currency 3 14 4 2" xfId="17276" xr:uid="{00000000-0005-0000-0000-00006F590000}"/>
    <cellStyle name="Currency 3 14 4 2 2" xfId="30635" xr:uid="{00000000-0005-0000-0000-000070590000}"/>
    <cellStyle name="Currency 3 14 4 3" xfId="21875" xr:uid="{00000000-0005-0000-0000-000071590000}"/>
    <cellStyle name="Currency 3 14 5" xfId="9832" xr:uid="{00000000-0005-0000-0000-000072590000}"/>
    <cellStyle name="Currency 3 14 6" xfId="21879" xr:uid="{00000000-0005-0000-0000-000073590000}"/>
    <cellStyle name="Currency 3 15" xfId="5870" xr:uid="{00000000-0005-0000-0000-000074590000}"/>
    <cellStyle name="Currency 3 15 2" xfId="5871" xr:uid="{00000000-0005-0000-0000-000075590000}"/>
    <cellStyle name="Currency 3 15 2 2" xfId="11349" xr:uid="{00000000-0005-0000-0000-000076590000}"/>
    <cellStyle name="Currency 3 15 2 3" xfId="21873" xr:uid="{00000000-0005-0000-0000-000077590000}"/>
    <cellStyle name="Currency 3 15 3" xfId="5872" xr:uid="{00000000-0005-0000-0000-000078590000}"/>
    <cellStyle name="Currency 3 15 3 2" xfId="16428" xr:uid="{00000000-0005-0000-0000-000079590000}"/>
    <cellStyle name="Currency 3 15 3 2 2" xfId="29835" xr:uid="{00000000-0005-0000-0000-00007A590000}"/>
    <cellStyle name="Currency 3 15 3 3" xfId="21872" xr:uid="{00000000-0005-0000-0000-00007B590000}"/>
    <cellStyle name="Currency 3 15 4" xfId="9834" xr:uid="{00000000-0005-0000-0000-00007C590000}"/>
    <cellStyle name="Currency 3 15 5" xfId="21874" xr:uid="{00000000-0005-0000-0000-00007D590000}"/>
    <cellStyle name="Currency 3 16" xfId="5873" xr:uid="{00000000-0005-0000-0000-00007E590000}"/>
    <cellStyle name="Currency 3 16 2" xfId="5874" xr:uid="{00000000-0005-0000-0000-00007F590000}"/>
    <cellStyle name="Currency 3 16 2 2" xfId="11350" xr:uid="{00000000-0005-0000-0000-000080590000}"/>
    <cellStyle name="Currency 3 16 2 3" xfId="21870" xr:uid="{00000000-0005-0000-0000-000081590000}"/>
    <cellStyle name="Currency 3 16 3" xfId="9835" xr:uid="{00000000-0005-0000-0000-000082590000}"/>
    <cellStyle name="Currency 3 16 4" xfId="21871" xr:uid="{00000000-0005-0000-0000-000083590000}"/>
    <cellStyle name="Currency 3 17" xfId="5875" xr:uid="{00000000-0005-0000-0000-000084590000}"/>
    <cellStyle name="Currency 3 17 2" xfId="5876" xr:uid="{00000000-0005-0000-0000-000085590000}"/>
    <cellStyle name="Currency 3 17 2 2" xfId="11351" xr:uid="{00000000-0005-0000-0000-000086590000}"/>
    <cellStyle name="Currency 3 17 2 3" xfId="21868" xr:uid="{00000000-0005-0000-0000-000087590000}"/>
    <cellStyle name="Currency 3 17 3" xfId="9836" xr:uid="{00000000-0005-0000-0000-000088590000}"/>
    <cellStyle name="Currency 3 17 4" xfId="21869" xr:uid="{00000000-0005-0000-0000-000089590000}"/>
    <cellStyle name="Currency 3 18" xfId="5877" xr:uid="{00000000-0005-0000-0000-00008A590000}"/>
    <cellStyle name="Currency 3 18 2" xfId="5878" xr:uid="{00000000-0005-0000-0000-00008B590000}"/>
    <cellStyle name="Currency 3 18 2 2" xfId="11352" xr:uid="{00000000-0005-0000-0000-00008C590000}"/>
    <cellStyle name="Currency 3 18 2 3" xfId="21866" xr:uid="{00000000-0005-0000-0000-00008D590000}"/>
    <cellStyle name="Currency 3 18 3" xfId="9837" xr:uid="{00000000-0005-0000-0000-00008E590000}"/>
    <cellStyle name="Currency 3 18 4" xfId="21867" xr:uid="{00000000-0005-0000-0000-00008F590000}"/>
    <cellStyle name="Currency 3 19" xfId="5879" xr:uid="{00000000-0005-0000-0000-000090590000}"/>
    <cellStyle name="Currency 3 19 2" xfId="5880" xr:uid="{00000000-0005-0000-0000-000091590000}"/>
    <cellStyle name="Currency 3 19 2 2" xfId="11353" xr:uid="{00000000-0005-0000-0000-000092590000}"/>
    <cellStyle name="Currency 3 19 2 3" xfId="21864" xr:uid="{00000000-0005-0000-0000-000093590000}"/>
    <cellStyle name="Currency 3 19 3" xfId="9838" xr:uid="{00000000-0005-0000-0000-000094590000}"/>
    <cellStyle name="Currency 3 19 4" xfId="21865" xr:uid="{00000000-0005-0000-0000-000095590000}"/>
    <cellStyle name="Currency 3 2" xfId="5881" xr:uid="{00000000-0005-0000-0000-000096590000}"/>
    <cellStyle name="Currency 3 2 10" xfId="5882" xr:uid="{00000000-0005-0000-0000-000097590000}"/>
    <cellStyle name="Currency 3 2 10 2" xfId="11354" xr:uid="{00000000-0005-0000-0000-000098590000}"/>
    <cellStyle name="Currency 3 2 10 3" xfId="21862" xr:uid="{00000000-0005-0000-0000-000099590000}"/>
    <cellStyle name="Currency 3 2 11" xfId="5883" xr:uid="{00000000-0005-0000-0000-00009A590000}"/>
    <cellStyle name="Currency 3 2 11 2" xfId="5884" xr:uid="{00000000-0005-0000-0000-00009B590000}"/>
    <cellStyle name="Currency 3 2 11 2 2" xfId="13154" xr:uid="{00000000-0005-0000-0000-00009C590000}"/>
    <cellStyle name="Currency 3 2 11 2 2 2" xfId="26866" xr:uid="{00000000-0005-0000-0000-00009D590000}"/>
    <cellStyle name="Currency 3 2 11 2 3" xfId="21860" xr:uid="{00000000-0005-0000-0000-00009E590000}"/>
    <cellStyle name="Currency 3 2 11 3" xfId="5885" xr:uid="{00000000-0005-0000-0000-00009F590000}"/>
    <cellStyle name="Currency 3 2 11 3 2" xfId="15613" xr:uid="{00000000-0005-0000-0000-0000A0590000}"/>
    <cellStyle name="Currency 3 2 11 3 3" xfId="21859" xr:uid="{00000000-0005-0000-0000-0000A1590000}"/>
    <cellStyle name="Currency 3 2 11 4" xfId="11688" xr:uid="{00000000-0005-0000-0000-0000A2590000}"/>
    <cellStyle name="Currency 3 2 11 5" xfId="21861" xr:uid="{00000000-0005-0000-0000-0000A3590000}"/>
    <cellStyle name="Currency 3 2 12" xfId="5886" xr:uid="{00000000-0005-0000-0000-0000A4590000}"/>
    <cellStyle name="Currency 3 2 12 2" xfId="11844" xr:uid="{00000000-0005-0000-0000-0000A5590000}"/>
    <cellStyle name="Currency 3 2 12 2 2" xfId="25559" xr:uid="{00000000-0005-0000-0000-0000A6590000}"/>
    <cellStyle name="Currency 3 2 12 3" xfId="21858" xr:uid="{00000000-0005-0000-0000-0000A7590000}"/>
    <cellStyle name="Currency 3 2 13" xfId="5887" xr:uid="{00000000-0005-0000-0000-0000A8590000}"/>
    <cellStyle name="Currency 3 2 13 2" xfId="13437" xr:uid="{00000000-0005-0000-0000-0000A9590000}"/>
    <cellStyle name="Currency 3 2 13 2 2" xfId="26986" xr:uid="{00000000-0005-0000-0000-0000AA590000}"/>
    <cellStyle name="Currency 3 2 13 3" xfId="21857" xr:uid="{00000000-0005-0000-0000-0000AB590000}"/>
    <cellStyle name="Currency 3 2 14" xfId="5888" xr:uid="{00000000-0005-0000-0000-0000AC590000}"/>
    <cellStyle name="Currency 3 2 14 2" xfId="14018" xr:uid="{00000000-0005-0000-0000-0000AD590000}"/>
    <cellStyle name="Currency 3 2 14 2 2" xfId="27567" xr:uid="{00000000-0005-0000-0000-0000AE590000}"/>
    <cellStyle name="Currency 3 2 14 3" xfId="21856" xr:uid="{00000000-0005-0000-0000-0000AF590000}"/>
    <cellStyle name="Currency 3 2 15" xfId="5889" xr:uid="{00000000-0005-0000-0000-0000B0590000}"/>
    <cellStyle name="Currency 3 2 15 2" xfId="15904" xr:uid="{00000000-0005-0000-0000-0000B1590000}"/>
    <cellStyle name="Currency 3 2 15 2 2" xfId="29311" xr:uid="{00000000-0005-0000-0000-0000B2590000}"/>
    <cellStyle name="Currency 3 2 15 3" xfId="21855" xr:uid="{00000000-0005-0000-0000-0000B3590000}"/>
    <cellStyle name="Currency 3 2 16" xfId="5890" xr:uid="{00000000-0005-0000-0000-0000B4590000}"/>
    <cellStyle name="Currency 3 2 16 2" xfId="9839" xr:uid="{00000000-0005-0000-0000-0000B5590000}"/>
    <cellStyle name="Currency 3 2 16 3" xfId="21854" xr:uid="{00000000-0005-0000-0000-0000B6590000}"/>
    <cellStyle name="Currency 3 2 17" xfId="8704" xr:uid="{00000000-0005-0000-0000-0000B7590000}"/>
    <cellStyle name="Currency 3 2 18" xfId="21863" xr:uid="{00000000-0005-0000-0000-0000B8590000}"/>
    <cellStyle name="Currency 3 2 2" xfId="5891" xr:uid="{00000000-0005-0000-0000-0000B9590000}"/>
    <cellStyle name="Currency 3 2 2 10" xfId="9840" xr:uid="{00000000-0005-0000-0000-0000BA590000}"/>
    <cellStyle name="Currency 3 2 2 11" xfId="21853" xr:uid="{00000000-0005-0000-0000-0000BB590000}"/>
    <cellStyle name="Currency 3 2 2 2" xfId="5892" xr:uid="{00000000-0005-0000-0000-0000BC590000}"/>
    <cellStyle name="Currency 3 2 2 2 2" xfId="5893" xr:uid="{00000000-0005-0000-0000-0000BD590000}"/>
    <cellStyle name="Currency 3 2 2 2 2 2" xfId="5894" xr:uid="{00000000-0005-0000-0000-0000BE590000}"/>
    <cellStyle name="Currency 3 2 2 2 2 2 2" xfId="5895" xr:uid="{00000000-0005-0000-0000-0000BF590000}"/>
    <cellStyle name="Currency 3 2 2 2 2 2 2 2" xfId="11355" xr:uid="{00000000-0005-0000-0000-0000C0590000}"/>
    <cellStyle name="Currency 3 2 2 2 2 2 2 3" xfId="21849" xr:uid="{00000000-0005-0000-0000-0000C1590000}"/>
    <cellStyle name="Currency 3 2 2 2 2 2 3" xfId="5896" xr:uid="{00000000-0005-0000-0000-0000C2590000}"/>
    <cellStyle name="Currency 3 2 2 2 2 2 3 2" xfId="16963" xr:uid="{00000000-0005-0000-0000-0000C3590000}"/>
    <cellStyle name="Currency 3 2 2 2 2 2 3 2 2" xfId="30370" xr:uid="{00000000-0005-0000-0000-0000C4590000}"/>
    <cellStyle name="Currency 3 2 2 2 2 2 3 3" xfId="21848" xr:uid="{00000000-0005-0000-0000-0000C5590000}"/>
    <cellStyle name="Currency 3 2 2 2 2 2 4" xfId="9843" xr:uid="{00000000-0005-0000-0000-0000C6590000}"/>
    <cellStyle name="Currency 3 2 2 2 2 2 5" xfId="21850" xr:uid="{00000000-0005-0000-0000-0000C7590000}"/>
    <cellStyle name="Currency 3 2 2 2 2 3" xfId="5897" xr:uid="{00000000-0005-0000-0000-0000C8590000}"/>
    <cellStyle name="Currency 3 2 2 2 2 3 2" xfId="5898" xr:uid="{00000000-0005-0000-0000-0000C9590000}"/>
    <cellStyle name="Currency 3 2 2 2 2 3 2 2" xfId="13155" xr:uid="{00000000-0005-0000-0000-0000CA590000}"/>
    <cellStyle name="Currency 3 2 2 2 2 3 2 3" xfId="21846" xr:uid="{00000000-0005-0000-0000-0000CB590000}"/>
    <cellStyle name="Currency 3 2 2 2 2 3 3" xfId="12351" xr:uid="{00000000-0005-0000-0000-0000CC590000}"/>
    <cellStyle name="Currency 3 2 2 2 2 3 3 2" xfId="26063" xr:uid="{00000000-0005-0000-0000-0000CD590000}"/>
    <cellStyle name="Currency 3 2 2 2 2 3 4" xfId="21847" xr:uid="{00000000-0005-0000-0000-0000CE590000}"/>
    <cellStyle name="Currency 3 2 2 2 2 4" xfId="5899" xr:uid="{00000000-0005-0000-0000-0000CF590000}"/>
    <cellStyle name="Currency 3 2 2 2 2 4 2" xfId="5900" xr:uid="{00000000-0005-0000-0000-0000D0590000}"/>
    <cellStyle name="Currency 3 2 2 2 2 4 2 2" xfId="15614" xr:uid="{00000000-0005-0000-0000-0000D1590000}"/>
    <cellStyle name="Currency 3 2 2 2 2 4 2 3" xfId="21844" xr:uid="{00000000-0005-0000-0000-0000D2590000}"/>
    <cellStyle name="Currency 3 2 2 2 2 4 3" xfId="13915" xr:uid="{00000000-0005-0000-0000-0000D3590000}"/>
    <cellStyle name="Currency 3 2 2 2 2 4 3 2" xfId="27464" xr:uid="{00000000-0005-0000-0000-0000D4590000}"/>
    <cellStyle name="Currency 3 2 2 2 2 4 4" xfId="21845" xr:uid="{00000000-0005-0000-0000-0000D5590000}"/>
    <cellStyle name="Currency 3 2 2 2 2 5" xfId="5901" xr:uid="{00000000-0005-0000-0000-0000D6590000}"/>
    <cellStyle name="Currency 3 2 2 2 2 5 2" xfId="14496" xr:uid="{00000000-0005-0000-0000-0000D7590000}"/>
    <cellStyle name="Currency 3 2 2 2 2 5 2 2" xfId="28045" xr:uid="{00000000-0005-0000-0000-0000D8590000}"/>
    <cellStyle name="Currency 3 2 2 2 2 5 3" xfId="21843" xr:uid="{00000000-0005-0000-0000-0000D9590000}"/>
    <cellStyle name="Currency 3 2 2 2 2 6" xfId="5902" xr:uid="{00000000-0005-0000-0000-0000DA590000}"/>
    <cellStyle name="Currency 3 2 2 2 2 6 2" xfId="16382" xr:uid="{00000000-0005-0000-0000-0000DB590000}"/>
    <cellStyle name="Currency 3 2 2 2 2 6 2 2" xfId="29789" xr:uid="{00000000-0005-0000-0000-0000DC590000}"/>
    <cellStyle name="Currency 3 2 2 2 2 6 3" xfId="21842" xr:uid="{00000000-0005-0000-0000-0000DD590000}"/>
    <cellStyle name="Currency 3 2 2 2 2 7" xfId="9842" xr:uid="{00000000-0005-0000-0000-0000DE590000}"/>
    <cellStyle name="Currency 3 2 2 2 2 8" xfId="21851" xr:uid="{00000000-0005-0000-0000-0000DF590000}"/>
    <cellStyle name="Currency 3 2 2 2 3" xfId="5903" xr:uid="{00000000-0005-0000-0000-0000E0590000}"/>
    <cellStyle name="Currency 3 2 2 2 3 2" xfId="5904" xr:uid="{00000000-0005-0000-0000-0000E1590000}"/>
    <cellStyle name="Currency 3 2 2 2 3 2 2" xfId="11356" xr:uid="{00000000-0005-0000-0000-0000E2590000}"/>
    <cellStyle name="Currency 3 2 2 2 3 2 3" xfId="21840" xr:uid="{00000000-0005-0000-0000-0000E3590000}"/>
    <cellStyle name="Currency 3 2 2 2 3 3" xfId="5905" xr:uid="{00000000-0005-0000-0000-0000E4590000}"/>
    <cellStyle name="Currency 3 2 2 2 3 3 2" xfId="16674" xr:uid="{00000000-0005-0000-0000-0000E5590000}"/>
    <cellStyle name="Currency 3 2 2 2 3 3 2 2" xfId="30081" xr:uid="{00000000-0005-0000-0000-0000E6590000}"/>
    <cellStyle name="Currency 3 2 2 2 3 3 3" xfId="21839" xr:uid="{00000000-0005-0000-0000-0000E7590000}"/>
    <cellStyle name="Currency 3 2 2 2 3 4" xfId="9844" xr:uid="{00000000-0005-0000-0000-0000E8590000}"/>
    <cellStyle name="Currency 3 2 2 2 3 5" xfId="21841" xr:uid="{00000000-0005-0000-0000-0000E9590000}"/>
    <cellStyle name="Currency 3 2 2 2 4" xfId="5906" xr:uid="{00000000-0005-0000-0000-0000EA590000}"/>
    <cellStyle name="Currency 3 2 2 2 4 2" xfId="5907" xr:uid="{00000000-0005-0000-0000-0000EB590000}"/>
    <cellStyle name="Currency 3 2 2 2 4 2 2" xfId="13156" xr:uid="{00000000-0005-0000-0000-0000EC590000}"/>
    <cellStyle name="Currency 3 2 2 2 4 2 3" xfId="21837" xr:uid="{00000000-0005-0000-0000-0000ED590000}"/>
    <cellStyle name="Currency 3 2 2 2 4 3" xfId="12051" xr:uid="{00000000-0005-0000-0000-0000EE590000}"/>
    <cellStyle name="Currency 3 2 2 2 4 3 2" xfId="25766" xr:uid="{00000000-0005-0000-0000-0000EF590000}"/>
    <cellStyle name="Currency 3 2 2 2 4 4" xfId="21838" xr:uid="{00000000-0005-0000-0000-0000F0590000}"/>
    <cellStyle name="Currency 3 2 2 2 5" xfId="5908" xr:uid="{00000000-0005-0000-0000-0000F1590000}"/>
    <cellStyle name="Currency 3 2 2 2 5 2" xfId="5909" xr:uid="{00000000-0005-0000-0000-0000F2590000}"/>
    <cellStyle name="Currency 3 2 2 2 5 2 2" xfId="15615" xr:uid="{00000000-0005-0000-0000-0000F3590000}"/>
    <cellStyle name="Currency 3 2 2 2 5 2 3" xfId="21835" xr:uid="{00000000-0005-0000-0000-0000F4590000}"/>
    <cellStyle name="Currency 3 2 2 2 5 3" xfId="13626" xr:uid="{00000000-0005-0000-0000-0000F5590000}"/>
    <cellStyle name="Currency 3 2 2 2 5 3 2" xfId="27175" xr:uid="{00000000-0005-0000-0000-0000F6590000}"/>
    <cellStyle name="Currency 3 2 2 2 5 4" xfId="21836" xr:uid="{00000000-0005-0000-0000-0000F7590000}"/>
    <cellStyle name="Currency 3 2 2 2 6" xfId="5910" xr:uid="{00000000-0005-0000-0000-0000F8590000}"/>
    <cellStyle name="Currency 3 2 2 2 6 2" xfId="14207" xr:uid="{00000000-0005-0000-0000-0000F9590000}"/>
    <cellStyle name="Currency 3 2 2 2 6 2 2" xfId="27756" xr:uid="{00000000-0005-0000-0000-0000FA590000}"/>
    <cellStyle name="Currency 3 2 2 2 6 3" xfId="21834" xr:uid="{00000000-0005-0000-0000-0000FB590000}"/>
    <cellStyle name="Currency 3 2 2 2 7" xfId="5911" xr:uid="{00000000-0005-0000-0000-0000FC590000}"/>
    <cellStyle name="Currency 3 2 2 2 7 2" xfId="16093" xr:uid="{00000000-0005-0000-0000-0000FD590000}"/>
    <cellStyle name="Currency 3 2 2 2 7 2 2" xfId="29500" xr:uid="{00000000-0005-0000-0000-0000FE590000}"/>
    <cellStyle name="Currency 3 2 2 2 7 3" xfId="21833" xr:uid="{00000000-0005-0000-0000-0000FF590000}"/>
    <cellStyle name="Currency 3 2 2 2 8" xfId="9841" xr:uid="{00000000-0005-0000-0000-0000005A0000}"/>
    <cellStyle name="Currency 3 2 2 2 9" xfId="21852" xr:uid="{00000000-0005-0000-0000-0000015A0000}"/>
    <cellStyle name="Currency 3 2 2 3" xfId="5912" xr:uid="{00000000-0005-0000-0000-0000025A0000}"/>
    <cellStyle name="Currency 3 2 2 3 2" xfId="5913" xr:uid="{00000000-0005-0000-0000-0000035A0000}"/>
    <cellStyle name="Currency 3 2 2 3 2 2" xfId="5914" xr:uid="{00000000-0005-0000-0000-0000045A0000}"/>
    <cellStyle name="Currency 3 2 2 3 2 2 2" xfId="11357" xr:uid="{00000000-0005-0000-0000-0000055A0000}"/>
    <cellStyle name="Currency 3 2 2 3 2 2 3" xfId="21830" xr:uid="{00000000-0005-0000-0000-0000065A0000}"/>
    <cellStyle name="Currency 3 2 2 3 2 3" xfId="5915" xr:uid="{00000000-0005-0000-0000-0000075A0000}"/>
    <cellStyle name="Currency 3 2 2 3 2 3 2" xfId="16820" xr:uid="{00000000-0005-0000-0000-0000085A0000}"/>
    <cellStyle name="Currency 3 2 2 3 2 3 2 2" xfId="30227" xr:uid="{00000000-0005-0000-0000-0000095A0000}"/>
    <cellStyle name="Currency 3 2 2 3 2 3 3" xfId="21829" xr:uid="{00000000-0005-0000-0000-00000A5A0000}"/>
    <cellStyle name="Currency 3 2 2 3 2 4" xfId="9846" xr:uid="{00000000-0005-0000-0000-00000B5A0000}"/>
    <cellStyle name="Currency 3 2 2 3 2 5" xfId="21831" xr:uid="{00000000-0005-0000-0000-00000C5A0000}"/>
    <cellStyle name="Currency 3 2 2 3 3" xfId="5916" xr:uid="{00000000-0005-0000-0000-00000D5A0000}"/>
    <cellStyle name="Currency 3 2 2 3 3 2" xfId="5917" xr:uid="{00000000-0005-0000-0000-00000E5A0000}"/>
    <cellStyle name="Currency 3 2 2 3 3 2 2" xfId="13157" xr:uid="{00000000-0005-0000-0000-00000F5A0000}"/>
    <cellStyle name="Currency 3 2 2 3 3 2 3" xfId="21827" xr:uid="{00000000-0005-0000-0000-0000105A0000}"/>
    <cellStyle name="Currency 3 2 2 3 3 3" xfId="12208" xr:uid="{00000000-0005-0000-0000-0000115A0000}"/>
    <cellStyle name="Currency 3 2 2 3 3 3 2" xfId="25920" xr:uid="{00000000-0005-0000-0000-0000125A0000}"/>
    <cellStyle name="Currency 3 2 2 3 3 4" xfId="21828" xr:uid="{00000000-0005-0000-0000-0000135A0000}"/>
    <cellStyle name="Currency 3 2 2 3 4" xfId="5918" xr:uid="{00000000-0005-0000-0000-0000145A0000}"/>
    <cellStyle name="Currency 3 2 2 3 4 2" xfId="5919" xr:uid="{00000000-0005-0000-0000-0000155A0000}"/>
    <cellStyle name="Currency 3 2 2 3 4 2 2" xfId="15616" xr:uid="{00000000-0005-0000-0000-0000165A0000}"/>
    <cellStyle name="Currency 3 2 2 3 4 2 3" xfId="21825" xr:uid="{00000000-0005-0000-0000-0000175A0000}"/>
    <cellStyle name="Currency 3 2 2 3 4 3" xfId="13772" xr:uid="{00000000-0005-0000-0000-0000185A0000}"/>
    <cellStyle name="Currency 3 2 2 3 4 3 2" xfId="27321" xr:uid="{00000000-0005-0000-0000-0000195A0000}"/>
    <cellStyle name="Currency 3 2 2 3 4 4" xfId="21826" xr:uid="{00000000-0005-0000-0000-00001A5A0000}"/>
    <cellStyle name="Currency 3 2 2 3 5" xfId="5920" xr:uid="{00000000-0005-0000-0000-00001B5A0000}"/>
    <cellStyle name="Currency 3 2 2 3 5 2" xfId="14353" xr:uid="{00000000-0005-0000-0000-00001C5A0000}"/>
    <cellStyle name="Currency 3 2 2 3 5 2 2" xfId="27902" xr:uid="{00000000-0005-0000-0000-00001D5A0000}"/>
    <cellStyle name="Currency 3 2 2 3 5 3" xfId="21824" xr:uid="{00000000-0005-0000-0000-00001E5A0000}"/>
    <cellStyle name="Currency 3 2 2 3 6" xfId="5921" xr:uid="{00000000-0005-0000-0000-00001F5A0000}"/>
    <cellStyle name="Currency 3 2 2 3 6 2" xfId="16239" xr:uid="{00000000-0005-0000-0000-0000205A0000}"/>
    <cellStyle name="Currency 3 2 2 3 6 2 2" xfId="29646" xr:uid="{00000000-0005-0000-0000-0000215A0000}"/>
    <cellStyle name="Currency 3 2 2 3 6 3" xfId="21823" xr:uid="{00000000-0005-0000-0000-0000225A0000}"/>
    <cellStyle name="Currency 3 2 2 3 7" xfId="9845" xr:uid="{00000000-0005-0000-0000-0000235A0000}"/>
    <cellStyle name="Currency 3 2 2 3 8" xfId="21832" xr:uid="{00000000-0005-0000-0000-0000245A0000}"/>
    <cellStyle name="Currency 3 2 2 4" xfId="5922" xr:uid="{00000000-0005-0000-0000-0000255A0000}"/>
    <cellStyle name="Currency 3 2 2 4 2" xfId="5923" xr:uid="{00000000-0005-0000-0000-0000265A0000}"/>
    <cellStyle name="Currency 3 2 2 4 2 2" xfId="17167" xr:uid="{00000000-0005-0000-0000-0000275A0000}"/>
    <cellStyle name="Currency 3 2 2 4 2 2 2" xfId="30526" xr:uid="{00000000-0005-0000-0000-0000285A0000}"/>
    <cellStyle name="Currency 3 2 2 4 2 3" xfId="21821" xr:uid="{00000000-0005-0000-0000-0000295A0000}"/>
    <cellStyle name="Currency 3 2 2 4 3" xfId="9847" xr:uid="{00000000-0005-0000-0000-00002A5A0000}"/>
    <cellStyle name="Currency 3 2 2 4 4" xfId="21822" xr:uid="{00000000-0005-0000-0000-00002B5A0000}"/>
    <cellStyle name="Currency 3 2 2 5" xfId="5924" xr:uid="{00000000-0005-0000-0000-00002C5A0000}"/>
    <cellStyle name="Currency 3 2 2 5 2" xfId="5925" xr:uid="{00000000-0005-0000-0000-00002D5A0000}"/>
    <cellStyle name="Currency 3 2 2 5 2 2" xfId="11358" xr:uid="{00000000-0005-0000-0000-00002E5A0000}"/>
    <cellStyle name="Currency 3 2 2 5 2 3" xfId="21819" xr:uid="{00000000-0005-0000-0000-00002F5A0000}"/>
    <cellStyle name="Currency 3 2 2 5 3" xfId="5926" xr:uid="{00000000-0005-0000-0000-0000305A0000}"/>
    <cellStyle name="Currency 3 2 2 5 3 2" xfId="17256" xr:uid="{00000000-0005-0000-0000-0000315A0000}"/>
    <cellStyle name="Currency 3 2 2 5 3 2 2" xfId="30615" xr:uid="{00000000-0005-0000-0000-0000325A0000}"/>
    <cellStyle name="Currency 3 2 2 5 3 3" xfId="21818" xr:uid="{00000000-0005-0000-0000-0000335A0000}"/>
    <cellStyle name="Currency 3 2 2 5 4" xfId="9848" xr:uid="{00000000-0005-0000-0000-0000345A0000}"/>
    <cellStyle name="Currency 3 2 2 5 5" xfId="21820" xr:uid="{00000000-0005-0000-0000-0000355A0000}"/>
    <cellStyle name="Currency 3 2 2 6" xfId="5927" xr:uid="{00000000-0005-0000-0000-0000365A0000}"/>
    <cellStyle name="Currency 3 2 2 6 2" xfId="5928" xr:uid="{00000000-0005-0000-0000-0000375A0000}"/>
    <cellStyle name="Currency 3 2 2 6 2 2" xfId="13158" xr:uid="{00000000-0005-0000-0000-0000385A0000}"/>
    <cellStyle name="Currency 3 2 2 6 2 3" xfId="21816" xr:uid="{00000000-0005-0000-0000-0000395A0000}"/>
    <cellStyle name="Currency 3 2 2 6 3" xfId="5929" xr:uid="{00000000-0005-0000-0000-00003A5A0000}"/>
    <cellStyle name="Currency 3 2 2 6 3 2" xfId="16531" xr:uid="{00000000-0005-0000-0000-00003B5A0000}"/>
    <cellStyle name="Currency 3 2 2 6 3 2 2" xfId="29938" xr:uid="{00000000-0005-0000-0000-00003C5A0000}"/>
    <cellStyle name="Currency 3 2 2 6 3 3" xfId="21815" xr:uid="{00000000-0005-0000-0000-00003D5A0000}"/>
    <cellStyle name="Currency 3 2 2 6 4" xfId="11906" xr:uid="{00000000-0005-0000-0000-00003E5A0000}"/>
    <cellStyle name="Currency 3 2 2 6 4 2" xfId="25621" xr:uid="{00000000-0005-0000-0000-00003F5A0000}"/>
    <cellStyle name="Currency 3 2 2 6 5" xfId="21817" xr:uid="{00000000-0005-0000-0000-0000405A0000}"/>
    <cellStyle name="Currency 3 2 2 7" xfId="5930" xr:uid="{00000000-0005-0000-0000-0000415A0000}"/>
    <cellStyle name="Currency 3 2 2 7 2" xfId="5931" xr:uid="{00000000-0005-0000-0000-0000425A0000}"/>
    <cellStyle name="Currency 3 2 2 7 2 2" xfId="15617" xr:uid="{00000000-0005-0000-0000-0000435A0000}"/>
    <cellStyle name="Currency 3 2 2 7 2 3" xfId="21813" xr:uid="{00000000-0005-0000-0000-0000445A0000}"/>
    <cellStyle name="Currency 3 2 2 7 3" xfId="13483" xr:uid="{00000000-0005-0000-0000-0000455A0000}"/>
    <cellStyle name="Currency 3 2 2 7 3 2" xfId="27032" xr:uid="{00000000-0005-0000-0000-0000465A0000}"/>
    <cellStyle name="Currency 3 2 2 7 4" xfId="21814" xr:uid="{00000000-0005-0000-0000-0000475A0000}"/>
    <cellStyle name="Currency 3 2 2 8" xfId="5932" xr:uid="{00000000-0005-0000-0000-0000485A0000}"/>
    <cellStyle name="Currency 3 2 2 8 2" xfId="14064" xr:uid="{00000000-0005-0000-0000-0000495A0000}"/>
    <cellStyle name="Currency 3 2 2 8 2 2" xfId="27613" xr:uid="{00000000-0005-0000-0000-00004A5A0000}"/>
    <cellStyle name="Currency 3 2 2 8 3" xfId="21812" xr:uid="{00000000-0005-0000-0000-00004B5A0000}"/>
    <cellStyle name="Currency 3 2 2 9" xfId="5933" xr:uid="{00000000-0005-0000-0000-00004C5A0000}"/>
    <cellStyle name="Currency 3 2 2 9 2" xfId="15950" xr:uid="{00000000-0005-0000-0000-00004D5A0000}"/>
    <cellStyle name="Currency 3 2 2 9 2 2" xfId="29357" xr:uid="{00000000-0005-0000-0000-00004E5A0000}"/>
    <cellStyle name="Currency 3 2 2 9 3" xfId="21811" xr:uid="{00000000-0005-0000-0000-00004F5A0000}"/>
    <cellStyle name="Currency 3 2 3" xfId="5934" xr:uid="{00000000-0005-0000-0000-0000505A0000}"/>
    <cellStyle name="Currency 3 2 3 2" xfId="5935" xr:uid="{00000000-0005-0000-0000-0000515A0000}"/>
    <cellStyle name="Currency 3 2 3 2 2" xfId="5936" xr:uid="{00000000-0005-0000-0000-0000525A0000}"/>
    <cellStyle name="Currency 3 2 3 2 2 2" xfId="5937" xr:uid="{00000000-0005-0000-0000-0000535A0000}"/>
    <cellStyle name="Currency 3 2 3 2 2 2 2" xfId="11359" xr:uid="{00000000-0005-0000-0000-0000545A0000}"/>
    <cellStyle name="Currency 3 2 3 2 2 2 3" xfId="21807" xr:uid="{00000000-0005-0000-0000-0000555A0000}"/>
    <cellStyle name="Currency 3 2 3 2 2 3" xfId="5938" xr:uid="{00000000-0005-0000-0000-0000565A0000}"/>
    <cellStyle name="Currency 3 2 3 2 2 3 2" xfId="16917" xr:uid="{00000000-0005-0000-0000-0000575A0000}"/>
    <cellStyle name="Currency 3 2 3 2 2 3 2 2" xfId="30324" xr:uid="{00000000-0005-0000-0000-0000585A0000}"/>
    <cellStyle name="Currency 3 2 3 2 2 3 3" xfId="21806" xr:uid="{00000000-0005-0000-0000-0000595A0000}"/>
    <cellStyle name="Currency 3 2 3 2 2 4" xfId="9851" xr:uid="{00000000-0005-0000-0000-00005A5A0000}"/>
    <cellStyle name="Currency 3 2 3 2 2 5" xfId="21808" xr:uid="{00000000-0005-0000-0000-00005B5A0000}"/>
    <cellStyle name="Currency 3 2 3 2 3" xfId="5939" xr:uid="{00000000-0005-0000-0000-00005C5A0000}"/>
    <cellStyle name="Currency 3 2 3 2 3 2" xfId="5940" xr:uid="{00000000-0005-0000-0000-00005D5A0000}"/>
    <cellStyle name="Currency 3 2 3 2 3 2 2" xfId="13159" xr:uid="{00000000-0005-0000-0000-00005E5A0000}"/>
    <cellStyle name="Currency 3 2 3 2 3 2 3" xfId="21804" xr:uid="{00000000-0005-0000-0000-00005F5A0000}"/>
    <cellStyle name="Currency 3 2 3 2 3 3" xfId="12305" xr:uid="{00000000-0005-0000-0000-0000605A0000}"/>
    <cellStyle name="Currency 3 2 3 2 3 3 2" xfId="26017" xr:uid="{00000000-0005-0000-0000-0000615A0000}"/>
    <cellStyle name="Currency 3 2 3 2 3 4" xfId="21805" xr:uid="{00000000-0005-0000-0000-0000625A0000}"/>
    <cellStyle name="Currency 3 2 3 2 4" xfId="5941" xr:uid="{00000000-0005-0000-0000-0000635A0000}"/>
    <cellStyle name="Currency 3 2 3 2 4 2" xfId="5942" xr:uid="{00000000-0005-0000-0000-0000645A0000}"/>
    <cellStyle name="Currency 3 2 3 2 4 2 2" xfId="15618" xr:uid="{00000000-0005-0000-0000-0000655A0000}"/>
    <cellStyle name="Currency 3 2 3 2 4 2 3" xfId="21802" xr:uid="{00000000-0005-0000-0000-0000665A0000}"/>
    <cellStyle name="Currency 3 2 3 2 4 3" xfId="13869" xr:uid="{00000000-0005-0000-0000-0000675A0000}"/>
    <cellStyle name="Currency 3 2 3 2 4 3 2" xfId="27418" xr:uid="{00000000-0005-0000-0000-0000685A0000}"/>
    <cellStyle name="Currency 3 2 3 2 4 4" xfId="21803" xr:uid="{00000000-0005-0000-0000-0000695A0000}"/>
    <cellStyle name="Currency 3 2 3 2 5" xfId="5943" xr:uid="{00000000-0005-0000-0000-00006A5A0000}"/>
    <cellStyle name="Currency 3 2 3 2 5 2" xfId="14450" xr:uid="{00000000-0005-0000-0000-00006B5A0000}"/>
    <cellStyle name="Currency 3 2 3 2 5 2 2" xfId="27999" xr:uid="{00000000-0005-0000-0000-00006C5A0000}"/>
    <cellStyle name="Currency 3 2 3 2 5 3" xfId="21801" xr:uid="{00000000-0005-0000-0000-00006D5A0000}"/>
    <cellStyle name="Currency 3 2 3 2 6" xfId="5944" xr:uid="{00000000-0005-0000-0000-00006E5A0000}"/>
    <cellStyle name="Currency 3 2 3 2 6 2" xfId="16336" xr:uid="{00000000-0005-0000-0000-00006F5A0000}"/>
    <cellStyle name="Currency 3 2 3 2 6 2 2" xfId="29743" xr:uid="{00000000-0005-0000-0000-0000705A0000}"/>
    <cellStyle name="Currency 3 2 3 2 6 3" xfId="21800" xr:uid="{00000000-0005-0000-0000-0000715A0000}"/>
    <cellStyle name="Currency 3 2 3 2 7" xfId="9850" xr:uid="{00000000-0005-0000-0000-0000725A0000}"/>
    <cellStyle name="Currency 3 2 3 2 8" xfId="21809" xr:uid="{00000000-0005-0000-0000-0000735A0000}"/>
    <cellStyle name="Currency 3 2 3 3" xfId="5945" xr:uid="{00000000-0005-0000-0000-0000745A0000}"/>
    <cellStyle name="Currency 3 2 3 3 2" xfId="5946" xr:uid="{00000000-0005-0000-0000-0000755A0000}"/>
    <cellStyle name="Currency 3 2 3 3 2 2" xfId="11360" xr:uid="{00000000-0005-0000-0000-0000765A0000}"/>
    <cellStyle name="Currency 3 2 3 3 2 3" xfId="21798" xr:uid="{00000000-0005-0000-0000-0000775A0000}"/>
    <cellStyle name="Currency 3 2 3 3 3" xfId="5947" xr:uid="{00000000-0005-0000-0000-0000785A0000}"/>
    <cellStyle name="Currency 3 2 3 3 3 2" xfId="16628" xr:uid="{00000000-0005-0000-0000-0000795A0000}"/>
    <cellStyle name="Currency 3 2 3 3 3 2 2" xfId="30035" xr:uid="{00000000-0005-0000-0000-00007A5A0000}"/>
    <cellStyle name="Currency 3 2 3 3 3 3" xfId="21797" xr:uid="{00000000-0005-0000-0000-00007B5A0000}"/>
    <cellStyle name="Currency 3 2 3 3 4" xfId="9852" xr:uid="{00000000-0005-0000-0000-00007C5A0000}"/>
    <cellStyle name="Currency 3 2 3 3 5" xfId="21799" xr:uid="{00000000-0005-0000-0000-00007D5A0000}"/>
    <cellStyle name="Currency 3 2 3 4" xfId="5948" xr:uid="{00000000-0005-0000-0000-00007E5A0000}"/>
    <cellStyle name="Currency 3 2 3 4 2" xfId="5949" xr:uid="{00000000-0005-0000-0000-00007F5A0000}"/>
    <cellStyle name="Currency 3 2 3 4 2 2" xfId="13160" xr:uid="{00000000-0005-0000-0000-0000805A0000}"/>
    <cellStyle name="Currency 3 2 3 4 2 3" xfId="21795" xr:uid="{00000000-0005-0000-0000-0000815A0000}"/>
    <cellStyle name="Currency 3 2 3 4 3" xfId="12005" xr:uid="{00000000-0005-0000-0000-0000825A0000}"/>
    <cellStyle name="Currency 3 2 3 4 3 2" xfId="25720" xr:uid="{00000000-0005-0000-0000-0000835A0000}"/>
    <cellStyle name="Currency 3 2 3 4 4" xfId="21796" xr:uid="{00000000-0005-0000-0000-0000845A0000}"/>
    <cellStyle name="Currency 3 2 3 5" xfId="5950" xr:uid="{00000000-0005-0000-0000-0000855A0000}"/>
    <cellStyle name="Currency 3 2 3 5 2" xfId="5951" xr:uid="{00000000-0005-0000-0000-0000865A0000}"/>
    <cellStyle name="Currency 3 2 3 5 2 2" xfId="15619" xr:uid="{00000000-0005-0000-0000-0000875A0000}"/>
    <cellStyle name="Currency 3 2 3 5 2 3" xfId="21793" xr:uid="{00000000-0005-0000-0000-0000885A0000}"/>
    <cellStyle name="Currency 3 2 3 5 3" xfId="13580" xr:uid="{00000000-0005-0000-0000-0000895A0000}"/>
    <cellStyle name="Currency 3 2 3 5 3 2" xfId="27129" xr:uid="{00000000-0005-0000-0000-00008A5A0000}"/>
    <cellStyle name="Currency 3 2 3 5 4" xfId="21794" xr:uid="{00000000-0005-0000-0000-00008B5A0000}"/>
    <cellStyle name="Currency 3 2 3 6" xfId="5952" xr:uid="{00000000-0005-0000-0000-00008C5A0000}"/>
    <cellStyle name="Currency 3 2 3 6 2" xfId="14161" xr:uid="{00000000-0005-0000-0000-00008D5A0000}"/>
    <cellStyle name="Currency 3 2 3 6 2 2" xfId="27710" xr:uid="{00000000-0005-0000-0000-00008E5A0000}"/>
    <cellStyle name="Currency 3 2 3 6 3" xfId="21792" xr:uid="{00000000-0005-0000-0000-00008F5A0000}"/>
    <cellStyle name="Currency 3 2 3 7" xfId="5953" xr:uid="{00000000-0005-0000-0000-0000905A0000}"/>
    <cellStyle name="Currency 3 2 3 7 2" xfId="16047" xr:uid="{00000000-0005-0000-0000-0000915A0000}"/>
    <cellStyle name="Currency 3 2 3 7 2 2" xfId="29454" xr:uid="{00000000-0005-0000-0000-0000925A0000}"/>
    <cellStyle name="Currency 3 2 3 7 3" xfId="21791" xr:uid="{00000000-0005-0000-0000-0000935A0000}"/>
    <cellStyle name="Currency 3 2 3 8" xfId="9849" xr:uid="{00000000-0005-0000-0000-0000945A0000}"/>
    <cellStyle name="Currency 3 2 3 9" xfId="21810" xr:uid="{00000000-0005-0000-0000-0000955A0000}"/>
    <cellStyle name="Currency 3 2 4" xfId="5954" xr:uid="{00000000-0005-0000-0000-0000965A0000}"/>
    <cellStyle name="Currency 3 2 4 2" xfId="5955" xr:uid="{00000000-0005-0000-0000-0000975A0000}"/>
    <cellStyle name="Currency 3 2 4 2 2" xfId="5956" xr:uid="{00000000-0005-0000-0000-0000985A0000}"/>
    <cellStyle name="Currency 3 2 4 2 2 2" xfId="11361" xr:uid="{00000000-0005-0000-0000-0000995A0000}"/>
    <cellStyle name="Currency 3 2 4 2 2 3" xfId="21788" xr:uid="{00000000-0005-0000-0000-00009A5A0000}"/>
    <cellStyle name="Currency 3 2 4 2 3" xfId="5957" xr:uid="{00000000-0005-0000-0000-00009B5A0000}"/>
    <cellStyle name="Currency 3 2 4 2 3 2" xfId="16774" xr:uid="{00000000-0005-0000-0000-00009C5A0000}"/>
    <cellStyle name="Currency 3 2 4 2 3 2 2" xfId="30181" xr:uid="{00000000-0005-0000-0000-00009D5A0000}"/>
    <cellStyle name="Currency 3 2 4 2 3 3" xfId="21787" xr:uid="{00000000-0005-0000-0000-00009E5A0000}"/>
    <cellStyle name="Currency 3 2 4 2 4" xfId="9854" xr:uid="{00000000-0005-0000-0000-00009F5A0000}"/>
    <cellStyle name="Currency 3 2 4 2 5" xfId="21789" xr:uid="{00000000-0005-0000-0000-0000A05A0000}"/>
    <cellStyle name="Currency 3 2 4 3" xfId="5958" xr:uid="{00000000-0005-0000-0000-0000A15A0000}"/>
    <cellStyle name="Currency 3 2 4 3 2" xfId="5959" xr:uid="{00000000-0005-0000-0000-0000A25A0000}"/>
    <cellStyle name="Currency 3 2 4 3 2 2" xfId="13161" xr:uid="{00000000-0005-0000-0000-0000A35A0000}"/>
    <cellStyle name="Currency 3 2 4 3 2 3" xfId="21785" xr:uid="{00000000-0005-0000-0000-0000A45A0000}"/>
    <cellStyle name="Currency 3 2 4 3 3" xfId="12162" xr:uid="{00000000-0005-0000-0000-0000A55A0000}"/>
    <cellStyle name="Currency 3 2 4 3 3 2" xfId="25874" xr:uid="{00000000-0005-0000-0000-0000A65A0000}"/>
    <cellStyle name="Currency 3 2 4 3 4" xfId="21786" xr:uid="{00000000-0005-0000-0000-0000A75A0000}"/>
    <cellStyle name="Currency 3 2 4 4" xfId="5960" xr:uid="{00000000-0005-0000-0000-0000A85A0000}"/>
    <cellStyle name="Currency 3 2 4 4 2" xfId="5961" xr:uid="{00000000-0005-0000-0000-0000A95A0000}"/>
    <cellStyle name="Currency 3 2 4 4 2 2" xfId="15620" xr:uid="{00000000-0005-0000-0000-0000AA5A0000}"/>
    <cellStyle name="Currency 3 2 4 4 2 3" xfId="21783" xr:uid="{00000000-0005-0000-0000-0000AB5A0000}"/>
    <cellStyle name="Currency 3 2 4 4 3" xfId="13726" xr:uid="{00000000-0005-0000-0000-0000AC5A0000}"/>
    <cellStyle name="Currency 3 2 4 4 3 2" xfId="27275" xr:uid="{00000000-0005-0000-0000-0000AD5A0000}"/>
    <cellStyle name="Currency 3 2 4 4 4" xfId="21784" xr:uid="{00000000-0005-0000-0000-0000AE5A0000}"/>
    <cellStyle name="Currency 3 2 4 5" xfId="5962" xr:uid="{00000000-0005-0000-0000-0000AF5A0000}"/>
    <cellStyle name="Currency 3 2 4 5 2" xfId="14307" xr:uid="{00000000-0005-0000-0000-0000B05A0000}"/>
    <cellStyle name="Currency 3 2 4 5 2 2" xfId="27856" xr:uid="{00000000-0005-0000-0000-0000B15A0000}"/>
    <cellStyle name="Currency 3 2 4 5 3" xfId="21782" xr:uid="{00000000-0005-0000-0000-0000B25A0000}"/>
    <cellStyle name="Currency 3 2 4 6" xfId="5963" xr:uid="{00000000-0005-0000-0000-0000B35A0000}"/>
    <cellStyle name="Currency 3 2 4 6 2" xfId="16193" xr:uid="{00000000-0005-0000-0000-0000B45A0000}"/>
    <cellStyle name="Currency 3 2 4 6 2 2" xfId="29600" xr:uid="{00000000-0005-0000-0000-0000B55A0000}"/>
    <cellStyle name="Currency 3 2 4 6 3" xfId="21781" xr:uid="{00000000-0005-0000-0000-0000B65A0000}"/>
    <cellStyle name="Currency 3 2 4 7" xfId="9853" xr:uid="{00000000-0005-0000-0000-0000B75A0000}"/>
    <cellStyle name="Currency 3 2 4 8" xfId="21790" xr:uid="{00000000-0005-0000-0000-0000B85A0000}"/>
    <cellStyle name="Currency 3 2 5" xfId="5964" xr:uid="{00000000-0005-0000-0000-0000B95A0000}"/>
    <cellStyle name="Currency 3 2 5 2" xfId="5965" xr:uid="{00000000-0005-0000-0000-0000BA5A0000}"/>
    <cellStyle name="Currency 3 2 5 2 2" xfId="5966" xr:uid="{00000000-0005-0000-0000-0000BB5A0000}"/>
    <cellStyle name="Currency 3 2 5 2 2 2" xfId="11363" xr:uid="{00000000-0005-0000-0000-0000BC5A0000}"/>
    <cellStyle name="Currency 3 2 5 2 2 3" xfId="21778" xr:uid="{00000000-0005-0000-0000-0000BD5A0000}"/>
    <cellStyle name="Currency 3 2 5 2 3" xfId="9856" xr:uid="{00000000-0005-0000-0000-0000BE5A0000}"/>
    <cellStyle name="Currency 3 2 5 2 4" xfId="21779" xr:uid="{00000000-0005-0000-0000-0000BF5A0000}"/>
    <cellStyle name="Currency 3 2 5 3" xfId="5967" xr:uid="{00000000-0005-0000-0000-0000C05A0000}"/>
    <cellStyle name="Currency 3 2 5 3 2" xfId="11362" xr:uid="{00000000-0005-0000-0000-0000C15A0000}"/>
    <cellStyle name="Currency 3 2 5 3 3" xfId="21777" xr:uid="{00000000-0005-0000-0000-0000C25A0000}"/>
    <cellStyle name="Currency 3 2 5 4" xfId="5968" xr:uid="{00000000-0005-0000-0000-0000C35A0000}"/>
    <cellStyle name="Currency 3 2 5 4 2" xfId="17017" xr:uid="{00000000-0005-0000-0000-0000C45A0000}"/>
    <cellStyle name="Currency 3 2 5 4 2 2" xfId="30424" xr:uid="{00000000-0005-0000-0000-0000C55A0000}"/>
    <cellStyle name="Currency 3 2 5 4 3" xfId="21776" xr:uid="{00000000-0005-0000-0000-0000C65A0000}"/>
    <cellStyle name="Currency 3 2 5 5" xfId="9855" xr:uid="{00000000-0005-0000-0000-0000C75A0000}"/>
    <cellStyle name="Currency 3 2 5 6" xfId="21780" xr:uid="{00000000-0005-0000-0000-0000C85A0000}"/>
    <cellStyle name="Currency 3 2 6" xfId="5969" xr:uid="{00000000-0005-0000-0000-0000C95A0000}"/>
    <cellStyle name="Currency 3 2 6 2" xfId="5970" xr:uid="{00000000-0005-0000-0000-0000CA5A0000}"/>
    <cellStyle name="Currency 3 2 6 2 2" xfId="17121" xr:uid="{00000000-0005-0000-0000-0000CB5A0000}"/>
    <cellStyle name="Currency 3 2 6 2 2 2" xfId="30480" xr:uid="{00000000-0005-0000-0000-0000CC5A0000}"/>
    <cellStyle name="Currency 3 2 6 2 3" xfId="21774" xr:uid="{00000000-0005-0000-0000-0000CD5A0000}"/>
    <cellStyle name="Currency 3 2 6 3" xfId="9857" xr:uid="{00000000-0005-0000-0000-0000CE5A0000}"/>
    <cellStyle name="Currency 3 2 6 4" xfId="21775" xr:uid="{00000000-0005-0000-0000-0000CF5A0000}"/>
    <cellStyle name="Currency 3 2 7" xfId="5971" xr:uid="{00000000-0005-0000-0000-0000D05A0000}"/>
    <cellStyle name="Currency 3 2 7 2" xfId="5972" xr:uid="{00000000-0005-0000-0000-0000D15A0000}"/>
    <cellStyle name="Currency 3 2 7 2 2" xfId="11364" xr:uid="{00000000-0005-0000-0000-0000D25A0000}"/>
    <cellStyle name="Currency 3 2 7 2 3" xfId="21772" xr:uid="{00000000-0005-0000-0000-0000D35A0000}"/>
    <cellStyle name="Currency 3 2 7 3" xfId="5973" xr:uid="{00000000-0005-0000-0000-0000D45A0000}"/>
    <cellStyle name="Currency 3 2 7 3 2" xfId="17210" xr:uid="{00000000-0005-0000-0000-0000D55A0000}"/>
    <cellStyle name="Currency 3 2 7 3 2 2" xfId="30569" xr:uid="{00000000-0005-0000-0000-0000D65A0000}"/>
    <cellStyle name="Currency 3 2 7 3 3" xfId="21771" xr:uid="{00000000-0005-0000-0000-0000D75A0000}"/>
    <cellStyle name="Currency 3 2 7 4" xfId="9858" xr:uid="{00000000-0005-0000-0000-0000D85A0000}"/>
    <cellStyle name="Currency 3 2 7 5" xfId="21773" xr:uid="{00000000-0005-0000-0000-0000D95A0000}"/>
    <cellStyle name="Currency 3 2 8" xfId="5974" xr:uid="{00000000-0005-0000-0000-0000DA5A0000}"/>
    <cellStyle name="Currency 3 2 8 2" xfId="5975" xr:uid="{00000000-0005-0000-0000-0000DB5A0000}"/>
    <cellStyle name="Currency 3 2 8 2 2" xfId="11365" xr:uid="{00000000-0005-0000-0000-0000DC5A0000}"/>
    <cellStyle name="Currency 3 2 8 2 3" xfId="21769" xr:uid="{00000000-0005-0000-0000-0000DD5A0000}"/>
    <cellStyle name="Currency 3 2 8 3" xfId="5976" xr:uid="{00000000-0005-0000-0000-0000DE5A0000}"/>
    <cellStyle name="Currency 3 2 8 3 2" xfId="16485" xr:uid="{00000000-0005-0000-0000-0000DF5A0000}"/>
    <cellStyle name="Currency 3 2 8 3 2 2" xfId="29892" xr:uid="{00000000-0005-0000-0000-0000E05A0000}"/>
    <cellStyle name="Currency 3 2 8 3 3" xfId="21768" xr:uid="{00000000-0005-0000-0000-0000E15A0000}"/>
    <cellStyle name="Currency 3 2 8 4" xfId="9859" xr:uid="{00000000-0005-0000-0000-0000E25A0000}"/>
    <cellStyle name="Currency 3 2 8 5" xfId="21770" xr:uid="{00000000-0005-0000-0000-0000E35A0000}"/>
    <cellStyle name="Currency 3 2 9" xfId="5977" xr:uid="{00000000-0005-0000-0000-0000E45A0000}"/>
    <cellStyle name="Currency 3 2 9 2" xfId="5978" xr:uid="{00000000-0005-0000-0000-0000E55A0000}"/>
    <cellStyle name="Currency 3 2 9 2 2" xfId="13162" xr:uid="{00000000-0005-0000-0000-0000E65A0000}"/>
    <cellStyle name="Currency 3 2 9 2 2 2" xfId="26867" xr:uid="{00000000-0005-0000-0000-0000E75A0000}"/>
    <cellStyle name="Currency 3 2 9 2 3" xfId="21766" xr:uid="{00000000-0005-0000-0000-0000E85A0000}"/>
    <cellStyle name="Currency 3 2 9 3" xfId="5979" xr:uid="{00000000-0005-0000-0000-0000E95A0000}"/>
    <cellStyle name="Currency 3 2 9 3 2" xfId="15621" xr:uid="{00000000-0005-0000-0000-0000EA5A0000}"/>
    <cellStyle name="Currency 3 2 9 3 3" xfId="21765" xr:uid="{00000000-0005-0000-0000-0000EB5A0000}"/>
    <cellStyle name="Currency 3 2 9 4" xfId="10530" xr:uid="{00000000-0005-0000-0000-0000EC5A0000}"/>
    <cellStyle name="Currency 3 2 9 4 2" xfId="24472" xr:uid="{00000000-0005-0000-0000-0000ED5A0000}"/>
    <cellStyle name="Currency 3 2 9 5" xfId="21767" xr:uid="{00000000-0005-0000-0000-0000EE5A0000}"/>
    <cellStyle name="Currency 3 20" xfId="5980" xr:uid="{00000000-0005-0000-0000-0000EF5A0000}"/>
    <cellStyle name="Currency 3 20 2" xfId="5981" xr:uid="{00000000-0005-0000-0000-0000F05A0000}"/>
    <cellStyle name="Currency 3 20 2 2" xfId="11366" xr:uid="{00000000-0005-0000-0000-0000F15A0000}"/>
    <cellStyle name="Currency 3 20 2 3" xfId="21763" xr:uid="{00000000-0005-0000-0000-0000F25A0000}"/>
    <cellStyle name="Currency 3 20 3" xfId="9860" xr:uid="{00000000-0005-0000-0000-0000F35A0000}"/>
    <cellStyle name="Currency 3 20 4" xfId="21764" xr:uid="{00000000-0005-0000-0000-0000F45A0000}"/>
    <cellStyle name="Currency 3 21" xfId="5982" xr:uid="{00000000-0005-0000-0000-0000F55A0000}"/>
    <cellStyle name="Currency 3 21 2" xfId="5983" xr:uid="{00000000-0005-0000-0000-0000F65A0000}"/>
    <cellStyle name="Currency 3 21 2 2" xfId="11712" xr:uid="{00000000-0005-0000-0000-0000F75A0000}"/>
    <cellStyle name="Currency 3 21 2 2 2" xfId="25432" xr:uid="{00000000-0005-0000-0000-0000F85A0000}"/>
    <cellStyle name="Currency 3 21 2 3" xfId="21761" xr:uid="{00000000-0005-0000-0000-0000F95A0000}"/>
    <cellStyle name="Currency 3 21 3" xfId="5984" xr:uid="{00000000-0005-0000-0000-0000FA5A0000}"/>
    <cellStyle name="Currency 3 21 3 2" xfId="13163" xr:uid="{00000000-0005-0000-0000-0000FB5A0000}"/>
    <cellStyle name="Currency 3 21 3 2 2" xfId="26868" xr:uid="{00000000-0005-0000-0000-0000FC5A0000}"/>
    <cellStyle name="Currency 3 21 3 3" xfId="21760" xr:uid="{00000000-0005-0000-0000-0000FD5A0000}"/>
    <cellStyle name="Currency 3 21 4" xfId="5985" xr:uid="{00000000-0005-0000-0000-0000FE5A0000}"/>
    <cellStyle name="Currency 3 21 4 2" xfId="15622" xr:uid="{00000000-0005-0000-0000-0000FF5A0000}"/>
    <cellStyle name="Currency 3 21 4 3" xfId="21759" xr:uid="{00000000-0005-0000-0000-0000005B0000}"/>
    <cellStyle name="Currency 3 21 5" xfId="10477" xr:uid="{00000000-0005-0000-0000-0000015B0000}"/>
    <cellStyle name="Currency 3 21 5 2" xfId="24436" xr:uid="{00000000-0005-0000-0000-0000025B0000}"/>
    <cellStyle name="Currency 3 21 6" xfId="21762" xr:uid="{00000000-0005-0000-0000-0000035B0000}"/>
    <cellStyle name="Currency 3 22" xfId="5986" xr:uid="{00000000-0005-0000-0000-0000045B0000}"/>
    <cellStyle name="Currency 3 22 2" xfId="5987" xr:uid="{00000000-0005-0000-0000-0000055B0000}"/>
    <cellStyle name="Currency 3 22 2 2" xfId="13164" xr:uid="{00000000-0005-0000-0000-0000065B0000}"/>
    <cellStyle name="Currency 3 22 2 2 2" xfId="26869" xr:uid="{00000000-0005-0000-0000-0000075B0000}"/>
    <cellStyle name="Currency 3 22 2 3" xfId="21757" xr:uid="{00000000-0005-0000-0000-0000085B0000}"/>
    <cellStyle name="Currency 3 22 3" xfId="5988" xr:uid="{00000000-0005-0000-0000-0000095B0000}"/>
    <cellStyle name="Currency 3 22 3 2" xfId="15623" xr:uid="{00000000-0005-0000-0000-00000A5B0000}"/>
    <cellStyle name="Currency 3 22 3 3" xfId="21756" xr:uid="{00000000-0005-0000-0000-00000B5B0000}"/>
    <cellStyle name="Currency 3 22 4" xfId="10507" xr:uid="{00000000-0005-0000-0000-00000C5B0000}"/>
    <cellStyle name="Currency 3 22 4 2" xfId="24455" xr:uid="{00000000-0005-0000-0000-00000D5B0000}"/>
    <cellStyle name="Currency 3 22 5" xfId="21758" xr:uid="{00000000-0005-0000-0000-00000E5B0000}"/>
    <cellStyle name="Currency 3 23" xfId="5989" xr:uid="{00000000-0005-0000-0000-00000F5B0000}"/>
    <cellStyle name="Currency 3 23 2" xfId="11346" xr:uid="{00000000-0005-0000-0000-0000105B0000}"/>
    <cellStyle name="Currency 3 23 3" xfId="21755" xr:uid="{00000000-0005-0000-0000-0000115B0000}"/>
    <cellStyle name="Currency 3 24" xfId="5990" xr:uid="{00000000-0005-0000-0000-0000125B0000}"/>
    <cellStyle name="Currency 3 24 2" xfId="11752" xr:uid="{00000000-0005-0000-0000-0000135B0000}"/>
    <cellStyle name="Currency 3 24 2 2" xfId="25467" xr:uid="{00000000-0005-0000-0000-0000145B0000}"/>
    <cellStyle name="Currency 3 24 3" xfId="21754" xr:uid="{00000000-0005-0000-0000-0000155B0000}"/>
    <cellStyle name="Currency 3 25" xfId="5991" xr:uid="{00000000-0005-0000-0000-0000165B0000}"/>
    <cellStyle name="Currency 3 25 2" xfId="13380" xr:uid="{00000000-0005-0000-0000-0000175B0000}"/>
    <cellStyle name="Currency 3 25 2 2" xfId="26929" xr:uid="{00000000-0005-0000-0000-0000185B0000}"/>
    <cellStyle name="Currency 3 25 3" xfId="21753" xr:uid="{00000000-0005-0000-0000-0000195B0000}"/>
    <cellStyle name="Currency 3 26" xfId="5992" xr:uid="{00000000-0005-0000-0000-00001A5B0000}"/>
    <cellStyle name="Currency 3 26 2" xfId="13961" xr:uid="{00000000-0005-0000-0000-00001B5B0000}"/>
    <cellStyle name="Currency 3 26 2 2" xfId="27510" xr:uid="{00000000-0005-0000-0000-00001C5B0000}"/>
    <cellStyle name="Currency 3 26 3" xfId="21752" xr:uid="{00000000-0005-0000-0000-00001D5B0000}"/>
    <cellStyle name="Currency 3 27" xfId="5993" xr:uid="{00000000-0005-0000-0000-00001E5B0000}"/>
    <cellStyle name="Currency 3 27 2" xfId="15817" xr:uid="{00000000-0005-0000-0000-00001F5B0000}"/>
    <cellStyle name="Currency 3 27 2 2" xfId="29224" xr:uid="{00000000-0005-0000-0000-0000205B0000}"/>
    <cellStyle name="Currency 3 27 3" xfId="21751" xr:uid="{00000000-0005-0000-0000-0000215B0000}"/>
    <cellStyle name="Currency 3 28" xfId="5994" xr:uid="{00000000-0005-0000-0000-0000225B0000}"/>
    <cellStyle name="Currency 3 28 2" xfId="15847" xr:uid="{00000000-0005-0000-0000-0000235B0000}"/>
    <cellStyle name="Currency 3 28 2 2" xfId="29254" xr:uid="{00000000-0005-0000-0000-0000245B0000}"/>
    <cellStyle name="Currency 3 28 3" xfId="21750" xr:uid="{00000000-0005-0000-0000-0000255B0000}"/>
    <cellStyle name="Currency 3 29" xfId="8645" xr:uid="{00000000-0005-0000-0000-0000265B0000}"/>
    <cellStyle name="Currency 3 29 2" xfId="9827" xr:uid="{00000000-0005-0000-0000-0000275B0000}"/>
    <cellStyle name="Currency 3 3" xfId="5995" xr:uid="{00000000-0005-0000-0000-0000285B0000}"/>
    <cellStyle name="Currency 3 3 10" xfId="5996" xr:uid="{00000000-0005-0000-0000-0000295B0000}"/>
    <cellStyle name="Currency 3 3 10 2" xfId="17323" xr:uid="{00000000-0005-0000-0000-00002A5B0000}"/>
    <cellStyle name="Currency 3 3 10 3" xfId="21748" xr:uid="{00000000-0005-0000-0000-00002B5B0000}"/>
    <cellStyle name="Currency 3 3 11" xfId="8724" xr:uid="{00000000-0005-0000-0000-00002C5B0000}"/>
    <cellStyle name="Currency 3 3 12" xfId="9861" xr:uid="{00000000-0005-0000-0000-00002D5B0000}"/>
    <cellStyle name="Currency 3 3 13" xfId="21749" xr:uid="{00000000-0005-0000-0000-00002E5B0000}"/>
    <cellStyle name="Currency 3 3 2" xfId="5997" xr:uid="{00000000-0005-0000-0000-00002F5B0000}"/>
    <cellStyle name="Currency 3 3 2 2" xfId="5998" xr:uid="{00000000-0005-0000-0000-0000305B0000}"/>
    <cellStyle name="Currency 3 3 2 2 2" xfId="5999" xr:uid="{00000000-0005-0000-0000-0000315B0000}"/>
    <cellStyle name="Currency 3 3 2 2 2 2" xfId="6000" xr:uid="{00000000-0005-0000-0000-0000325B0000}"/>
    <cellStyle name="Currency 3 3 2 2 2 2 2" xfId="11367" xr:uid="{00000000-0005-0000-0000-0000335B0000}"/>
    <cellStyle name="Currency 3 3 2 2 2 2 3" xfId="21744" xr:uid="{00000000-0005-0000-0000-0000345B0000}"/>
    <cellStyle name="Currency 3 3 2 2 2 3" xfId="6001" xr:uid="{00000000-0005-0000-0000-0000355B0000}"/>
    <cellStyle name="Currency 3 3 2 2 2 3 2" xfId="16940" xr:uid="{00000000-0005-0000-0000-0000365B0000}"/>
    <cellStyle name="Currency 3 3 2 2 2 3 2 2" xfId="30347" xr:uid="{00000000-0005-0000-0000-0000375B0000}"/>
    <cellStyle name="Currency 3 3 2 2 2 3 3" xfId="21743" xr:uid="{00000000-0005-0000-0000-0000385B0000}"/>
    <cellStyle name="Currency 3 3 2 2 2 4" xfId="9864" xr:uid="{00000000-0005-0000-0000-0000395B0000}"/>
    <cellStyle name="Currency 3 3 2 2 2 5" xfId="21745" xr:uid="{00000000-0005-0000-0000-00003A5B0000}"/>
    <cellStyle name="Currency 3 3 2 2 3" xfId="6002" xr:uid="{00000000-0005-0000-0000-00003B5B0000}"/>
    <cellStyle name="Currency 3 3 2 2 3 2" xfId="6003" xr:uid="{00000000-0005-0000-0000-00003C5B0000}"/>
    <cellStyle name="Currency 3 3 2 2 3 2 2" xfId="13165" xr:uid="{00000000-0005-0000-0000-00003D5B0000}"/>
    <cellStyle name="Currency 3 3 2 2 3 2 3" xfId="21741" xr:uid="{00000000-0005-0000-0000-00003E5B0000}"/>
    <cellStyle name="Currency 3 3 2 2 3 3" xfId="12328" xr:uid="{00000000-0005-0000-0000-00003F5B0000}"/>
    <cellStyle name="Currency 3 3 2 2 3 3 2" xfId="26040" xr:uid="{00000000-0005-0000-0000-0000405B0000}"/>
    <cellStyle name="Currency 3 3 2 2 3 4" xfId="21742" xr:uid="{00000000-0005-0000-0000-0000415B0000}"/>
    <cellStyle name="Currency 3 3 2 2 4" xfId="6004" xr:uid="{00000000-0005-0000-0000-0000425B0000}"/>
    <cellStyle name="Currency 3 3 2 2 4 2" xfId="6005" xr:uid="{00000000-0005-0000-0000-0000435B0000}"/>
    <cellStyle name="Currency 3 3 2 2 4 2 2" xfId="15624" xr:uid="{00000000-0005-0000-0000-0000445B0000}"/>
    <cellStyle name="Currency 3 3 2 2 4 2 3" xfId="21739" xr:uid="{00000000-0005-0000-0000-0000455B0000}"/>
    <cellStyle name="Currency 3 3 2 2 4 3" xfId="13892" xr:uid="{00000000-0005-0000-0000-0000465B0000}"/>
    <cellStyle name="Currency 3 3 2 2 4 3 2" xfId="27441" xr:uid="{00000000-0005-0000-0000-0000475B0000}"/>
    <cellStyle name="Currency 3 3 2 2 4 4" xfId="21740" xr:uid="{00000000-0005-0000-0000-0000485B0000}"/>
    <cellStyle name="Currency 3 3 2 2 5" xfId="6006" xr:uid="{00000000-0005-0000-0000-0000495B0000}"/>
    <cellStyle name="Currency 3 3 2 2 5 2" xfId="14473" xr:uid="{00000000-0005-0000-0000-00004A5B0000}"/>
    <cellStyle name="Currency 3 3 2 2 5 2 2" xfId="28022" xr:uid="{00000000-0005-0000-0000-00004B5B0000}"/>
    <cellStyle name="Currency 3 3 2 2 5 3" xfId="21738" xr:uid="{00000000-0005-0000-0000-00004C5B0000}"/>
    <cellStyle name="Currency 3 3 2 2 6" xfId="6007" xr:uid="{00000000-0005-0000-0000-00004D5B0000}"/>
    <cellStyle name="Currency 3 3 2 2 6 2" xfId="16359" xr:uid="{00000000-0005-0000-0000-00004E5B0000}"/>
    <cellStyle name="Currency 3 3 2 2 6 2 2" xfId="29766" xr:uid="{00000000-0005-0000-0000-00004F5B0000}"/>
    <cellStyle name="Currency 3 3 2 2 6 3" xfId="21737" xr:uid="{00000000-0005-0000-0000-0000505B0000}"/>
    <cellStyle name="Currency 3 3 2 2 7" xfId="9863" xr:uid="{00000000-0005-0000-0000-0000515B0000}"/>
    <cellStyle name="Currency 3 3 2 2 8" xfId="21746" xr:uid="{00000000-0005-0000-0000-0000525B0000}"/>
    <cellStyle name="Currency 3 3 2 3" xfId="6008" xr:uid="{00000000-0005-0000-0000-0000535B0000}"/>
    <cellStyle name="Currency 3 3 2 3 2" xfId="6009" xr:uid="{00000000-0005-0000-0000-0000545B0000}"/>
    <cellStyle name="Currency 3 3 2 3 2 2" xfId="11368" xr:uid="{00000000-0005-0000-0000-0000555B0000}"/>
    <cellStyle name="Currency 3 3 2 3 2 3" xfId="21735" xr:uid="{00000000-0005-0000-0000-0000565B0000}"/>
    <cellStyle name="Currency 3 3 2 3 3" xfId="6010" xr:uid="{00000000-0005-0000-0000-0000575B0000}"/>
    <cellStyle name="Currency 3 3 2 3 3 2" xfId="16651" xr:uid="{00000000-0005-0000-0000-0000585B0000}"/>
    <cellStyle name="Currency 3 3 2 3 3 2 2" xfId="30058" xr:uid="{00000000-0005-0000-0000-0000595B0000}"/>
    <cellStyle name="Currency 3 3 2 3 3 3" xfId="21734" xr:uid="{00000000-0005-0000-0000-00005A5B0000}"/>
    <cellStyle name="Currency 3 3 2 3 4" xfId="9865" xr:uid="{00000000-0005-0000-0000-00005B5B0000}"/>
    <cellStyle name="Currency 3 3 2 3 5" xfId="21736" xr:uid="{00000000-0005-0000-0000-00005C5B0000}"/>
    <cellStyle name="Currency 3 3 2 4" xfId="6011" xr:uid="{00000000-0005-0000-0000-00005D5B0000}"/>
    <cellStyle name="Currency 3 3 2 4 2" xfId="6012" xr:uid="{00000000-0005-0000-0000-00005E5B0000}"/>
    <cellStyle name="Currency 3 3 2 4 2 2" xfId="13166" xr:uid="{00000000-0005-0000-0000-00005F5B0000}"/>
    <cellStyle name="Currency 3 3 2 4 2 3" xfId="21732" xr:uid="{00000000-0005-0000-0000-0000605B0000}"/>
    <cellStyle name="Currency 3 3 2 4 3" xfId="12028" xr:uid="{00000000-0005-0000-0000-0000615B0000}"/>
    <cellStyle name="Currency 3 3 2 4 3 2" xfId="25743" xr:uid="{00000000-0005-0000-0000-0000625B0000}"/>
    <cellStyle name="Currency 3 3 2 4 4" xfId="21733" xr:uid="{00000000-0005-0000-0000-0000635B0000}"/>
    <cellStyle name="Currency 3 3 2 5" xfId="6013" xr:uid="{00000000-0005-0000-0000-0000645B0000}"/>
    <cellStyle name="Currency 3 3 2 5 2" xfId="6014" xr:uid="{00000000-0005-0000-0000-0000655B0000}"/>
    <cellStyle name="Currency 3 3 2 5 2 2" xfId="15625" xr:uid="{00000000-0005-0000-0000-0000665B0000}"/>
    <cellStyle name="Currency 3 3 2 5 2 3" xfId="21730" xr:uid="{00000000-0005-0000-0000-0000675B0000}"/>
    <cellStyle name="Currency 3 3 2 5 3" xfId="13603" xr:uid="{00000000-0005-0000-0000-0000685B0000}"/>
    <cellStyle name="Currency 3 3 2 5 3 2" xfId="27152" xr:uid="{00000000-0005-0000-0000-0000695B0000}"/>
    <cellStyle name="Currency 3 3 2 5 4" xfId="21731" xr:uid="{00000000-0005-0000-0000-00006A5B0000}"/>
    <cellStyle name="Currency 3 3 2 6" xfId="6015" xr:uid="{00000000-0005-0000-0000-00006B5B0000}"/>
    <cellStyle name="Currency 3 3 2 6 2" xfId="14184" xr:uid="{00000000-0005-0000-0000-00006C5B0000}"/>
    <cellStyle name="Currency 3 3 2 6 2 2" xfId="27733" xr:uid="{00000000-0005-0000-0000-00006D5B0000}"/>
    <cellStyle name="Currency 3 3 2 6 3" xfId="21729" xr:uid="{00000000-0005-0000-0000-00006E5B0000}"/>
    <cellStyle name="Currency 3 3 2 7" xfId="6016" xr:uid="{00000000-0005-0000-0000-00006F5B0000}"/>
    <cellStyle name="Currency 3 3 2 7 2" xfId="16070" xr:uid="{00000000-0005-0000-0000-0000705B0000}"/>
    <cellStyle name="Currency 3 3 2 7 2 2" xfId="29477" xr:uid="{00000000-0005-0000-0000-0000715B0000}"/>
    <cellStyle name="Currency 3 3 2 7 3" xfId="21728" xr:uid="{00000000-0005-0000-0000-0000725B0000}"/>
    <cellStyle name="Currency 3 3 2 8" xfId="9862" xr:uid="{00000000-0005-0000-0000-0000735B0000}"/>
    <cellStyle name="Currency 3 3 2 9" xfId="21747" xr:uid="{00000000-0005-0000-0000-0000745B0000}"/>
    <cellStyle name="Currency 3 3 3" xfId="6017" xr:uid="{00000000-0005-0000-0000-0000755B0000}"/>
    <cellStyle name="Currency 3 3 3 2" xfId="6018" xr:uid="{00000000-0005-0000-0000-0000765B0000}"/>
    <cellStyle name="Currency 3 3 3 2 2" xfId="6019" xr:uid="{00000000-0005-0000-0000-0000775B0000}"/>
    <cellStyle name="Currency 3 3 3 2 2 2" xfId="11369" xr:uid="{00000000-0005-0000-0000-0000785B0000}"/>
    <cellStyle name="Currency 3 3 3 2 2 3" xfId="21725" xr:uid="{00000000-0005-0000-0000-0000795B0000}"/>
    <cellStyle name="Currency 3 3 3 2 3" xfId="6020" xr:uid="{00000000-0005-0000-0000-00007A5B0000}"/>
    <cellStyle name="Currency 3 3 3 2 3 2" xfId="16797" xr:uid="{00000000-0005-0000-0000-00007B5B0000}"/>
    <cellStyle name="Currency 3 3 3 2 3 2 2" xfId="30204" xr:uid="{00000000-0005-0000-0000-00007C5B0000}"/>
    <cellStyle name="Currency 3 3 3 2 3 3" xfId="21724" xr:uid="{00000000-0005-0000-0000-00007D5B0000}"/>
    <cellStyle name="Currency 3 3 3 2 4" xfId="9867" xr:uid="{00000000-0005-0000-0000-00007E5B0000}"/>
    <cellStyle name="Currency 3 3 3 2 5" xfId="21726" xr:uid="{00000000-0005-0000-0000-00007F5B0000}"/>
    <cellStyle name="Currency 3 3 3 3" xfId="6021" xr:uid="{00000000-0005-0000-0000-0000805B0000}"/>
    <cellStyle name="Currency 3 3 3 3 2" xfId="6022" xr:uid="{00000000-0005-0000-0000-0000815B0000}"/>
    <cellStyle name="Currency 3 3 3 3 2 2" xfId="13167" xr:uid="{00000000-0005-0000-0000-0000825B0000}"/>
    <cellStyle name="Currency 3 3 3 3 2 3" xfId="21722" xr:uid="{00000000-0005-0000-0000-0000835B0000}"/>
    <cellStyle name="Currency 3 3 3 3 3" xfId="12185" xr:uid="{00000000-0005-0000-0000-0000845B0000}"/>
    <cellStyle name="Currency 3 3 3 3 3 2" xfId="25897" xr:uid="{00000000-0005-0000-0000-0000855B0000}"/>
    <cellStyle name="Currency 3 3 3 3 4" xfId="21723" xr:uid="{00000000-0005-0000-0000-0000865B0000}"/>
    <cellStyle name="Currency 3 3 3 4" xfId="6023" xr:uid="{00000000-0005-0000-0000-0000875B0000}"/>
    <cellStyle name="Currency 3 3 3 4 2" xfId="6024" xr:uid="{00000000-0005-0000-0000-0000885B0000}"/>
    <cellStyle name="Currency 3 3 3 4 2 2" xfId="15626" xr:uid="{00000000-0005-0000-0000-0000895B0000}"/>
    <cellStyle name="Currency 3 3 3 4 2 3" xfId="21720" xr:uid="{00000000-0005-0000-0000-00008A5B0000}"/>
    <cellStyle name="Currency 3 3 3 4 3" xfId="13749" xr:uid="{00000000-0005-0000-0000-00008B5B0000}"/>
    <cellStyle name="Currency 3 3 3 4 3 2" xfId="27298" xr:uid="{00000000-0005-0000-0000-00008C5B0000}"/>
    <cellStyle name="Currency 3 3 3 4 4" xfId="21721" xr:uid="{00000000-0005-0000-0000-00008D5B0000}"/>
    <cellStyle name="Currency 3 3 3 5" xfId="6025" xr:uid="{00000000-0005-0000-0000-00008E5B0000}"/>
    <cellStyle name="Currency 3 3 3 5 2" xfId="14330" xr:uid="{00000000-0005-0000-0000-00008F5B0000}"/>
    <cellStyle name="Currency 3 3 3 5 2 2" xfId="27879" xr:uid="{00000000-0005-0000-0000-0000905B0000}"/>
    <cellStyle name="Currency 3 3 3 5 3" xfId="21719" xr:uid="{00000000-0005-0000-0000-0000915B0000}"/>
    <cellStyle name="Currency 3 3 3 6" xfId="6026" xr:uid="{00000000-0005-0000-0000-0000925B0000}"/>
    <cellStyle name="Currency 3 3 3 6 2" xfId="16216" xr:uid="{00000000-0005-0000-0000-0000935B0000}"/>
    <cellStyle name="Currency 3 3 3 6 2 2" xfId="29623" xr:uid="{00000000-0005-0000-0000-0000945B0000}"/>
    <cellStyle name="Currency 3 3 3 6 3" xfId="21718" xr:uid="{00000000-0005-0000-0000-0000955B0000}"/>
    <cellStyle name="Currency 3 3 3 7" xfId="9866" xr:uid="{00000000-0005-0000-0000-0000965B0000}"/>
    <cellStyle name="Currency 3 3 3 8" xfId="21727" xr:uid="{00000000-0005-0000-0000-0000975B0000}"/>
    <cellStyle name="Currency 3 3 4" xfId="6027" xr:uid="{00000000-0005-0000-0000-0000985B0000}"/>
    <cellStyle name="Currency 3 3 4 2" xfId="6028" xr:uid="{00000000-0005-0000-0000-0000995B0000}"/>
    <cellStyle name="Currency 3 3 4 2 2" xfId="13168" xr:uid="{00000000-0005-0000-0000-00009A5B0000}"/>
    <cellStyle name="Currency 3 3 4 2 3" xfId="21716" xr:uid="{00000000-0005-0000-0000-00009B5B0000}"/>
    <cellStyle name="Currency 3 3 4 3" xfId="6029" xr:uid="{00000000-0005-0000-0000-00009C5B0000}"/>
    <cellStyle name="Currency 3 3 4 3 2" xfId="17018" xr:uid="{00000000-0005-0000-0000-00009D5B0000}"/>
    <cellStyle name="Currency 3 3 4 3 3" xfId="21715" xr:uid="{00000000-0005-0000-0000-00009E5B0000}"/>
    <cellStyle name="Currency 3 3 4 4" xfId="9868" xr:uid="{00000000-0005-0000-0000-00009F5B0000}"/>
    <cellStyle name="Currency 3 3 4 5" xfId="21717" xr:uid="{00000000-0005-0000-0000-0000A05B0000}"/>
    <cellStyle name="Currency 3 3 5" xfId="6030" xr:uid="{00000000-0005-0000-0000-0000A15B0000}"/>
    <cellStyle name="Currency 3 3 5 2" xfId="6031" xr:uid="{00000000-0005-0000-0000-0000A25B0000}"/>
    <cellStyle name="Currency 3 3 5 2 2" xfId="11370" xr:uid="{00000000-0005-0000-0000-0000A35B0000}"/>
    <cellStyle name="Currency 3 3 5 2 3" xfId="21713" xr:uid="{00000000-0005-0000-0000-0000A45B0000}"/>
    <cellStyle name="Currency 3 3 5 3" xfId="6032" xr:uid="{00000000-0005-0000-0000-0000A55B0000}"/>
    <cellStyle name="Currency 3 3 5 3 2" xfId="17144" xr:uid="{00000000-0005-0000-0000-0000A65B0000}"/>
    <cellStyle name="Currency 3 3 5 3 2 2" xfId="30503" xr:uid="{00000000-0005-0000-0000-0000A75B0000}"/>
    <cellStyle name="Currency 3 3 5 3 3" xfId="21712" xr:uid="{00000000-0005-0000-0000-0000A85B0000}"/>
    <cellStyle name="Currency 3 3 5 4" xfId="9869" xr:uid="{00000000-0005-0000-0000-0000A95B0000}"/>
    <cellStyle name="Currency 3 3 5 5" xfId="21714" xr:uid="{00000000-0005-0000-0000-0000AA5B0000}"/>
    <cellStyle name="Currency 3 3 6" xfId="6033" xr:uid="{00000000-0005-0000-0000-0000AB5B0000}"/>
    <cellStyle name="Currency 3 3 6 2" xfId="6034" xr:uid="{00000000-0005-0000-0000-0000AC5B0000}"/>
    <cellStyle name="Currency 3 3 6 2 2" xfId="15627" xr:uid="{00000000-0005-0000-0000-0000AD5B0000}"/>
    <cellStyle name="Currency 3 3 6 2 3" xfId="21710" xr:uid="{00000000-0005-0000-0000-0000AE5B0000}"/>
    <cellStyle name="Currency 3 3 6 3" xfId="6035" xr:uid="{00000000-0005-0000-0000-0000AF5B0000}"/>
    <cellStyle name="Currency 3 3 6 3 2" xfId="17233" xr:uid="{00000000-0005-0000-0000-0000B05B0000}"/>
    <cellStyle name="Currency 3 3 6 3 2 2" xfId="30592" xr:uid="{00000000-0005-0000-0000-0000B15B0000}"/>
    <cellStyle name="Currency 3 3 6 3 3" xfId="21709" xr:uid="{00000000-0005-0000-0000-0000B25B0000}"/>
    <cellStyle name="Currency 3 3 6 4" xfId="11881" xr:uid="{00000000-0005-0000-0000-0000B35B0000}"/>
    <cellStyle name="Currency 3 3 6 4 2" xfId="25596" xr:uid="{00000000-0005-0000-0000-0000B45B0000}"/>
    <cellStyle name="Currency 3 3 6 5" xfId="21711" xr:uid="{00000000-0005-0000-0000-0000B55B0000}"/>
    <cellStyle name="Currency 3 3 7" xfId="6036" xr:uid="{00000000-0005-0000-0000-0000B65B0000}"/>
    <cellStyle name="Currency 3 3 7 2" xfId="6037" xr:uid="{00000000-0005-0000-0000-0000B75B0000}"/>
    <cellStyle name="Currency 3 3 7 2 2" xfId="16508" xr:uid="{00000000-0005-0000-0000-0000B85B0000}"/>
    <cellStyle name="Currency 3 3 7 2 2 2" xfId="29915" xr:uid="{00000000-0005-0000-0000-0000B95B0000}"/>
    <cellStyle name="Currency 3 3 7 2 3" xfId="21707" xr:uid="{00000000-0005-0000-0000-0000BA5B0000}"/>
    <cellStyle name="Currency 3 3 7 3" xfId="13460" xr:uid="{00000000-0005-0000-0000-0000BB5B0000}"/>
    <cellStyle name="Currency 3 3 7 3 2" xfId="27009" xr:uid="{00000000-0005-0000-0000-0000BC5B0000}"/>
    <cellStyle name="Currency 3 3 7 4" xfId="21708" xr:uid="{00000000-0005-0000-0000-0000BD5B0000}"/>
    <cellStyle name="Currency 3 3 8" xfId="6038" xr:uid="{00000000-0005-0000-0000-0000BE5B0000}"/>
    <cellStyle name="Currency 3 3 8 2" xfId="14041" xr:uid="{00000000-0005-0000-0000-0000BF5B0000}"/>
    <cellStyle name="Currency 3 3 8 2 2" xfId="27590" xr:uid="{00000000-0005-0000-0000-0000C05B0000}"/>
    <cellStyle name="Currency 3 3 8 3" xfId="21706" xr:uid="{00000000-0005-0000-0000-0000C15B0000}"/>
    <cellStyle name="Currency 3 3 9" xfId="6039" xr:uid="{00000000-0005-0000-0000-0000C25B0000}"/>
    <cellStyle name="Currency 3 3 9 2" xfId="15927" xr:uid="{00000000-0005-0000-0000-0000C35B0000}"/>
    <cellStyle name="Currency 3 3 9 2 2" xfId="29334" xr:uid="{00000000-0005-0000-0000-0000C45B0000}"/>
    <cellStyle name="Currency 3 3 9 3" xfId="21705" xr:uid="{00000000-0005-0000-0000-0000C55B0000}"/>
    <cellStyle name="Currency 3 30" xfId="21890" xr:uid="{00000000-0005-0000-0000-0000C65B0000}"/>
    <cellStyle name="Currency 3 4" xfId="6040" xr:uid="{00000000-0005-0000-0000-0000C75B0000}"/>
    <cellStyle name="Currency 3 4 10" xfId="9870" xr:uid="{00000000-0005-0000-0000-0000C85B0000}"/>
    <cellStyle name="Currency 3 4 11" xfId="21704" xr:uid="{00000000-0005-0000-0000-0000C95B0000}"/>
    <cellStyle name="Currency 3 4 2" xfId="6041" xr:uid="{00000000-0005-0000-0000-0000CA5B0000}"/>
    <cellStyle name="Currency 3 4 2 2" xfId="6042" xr:uid="{00000000-0005-0000-0000-0000CB5B0000}"/>
    <cellStyle name="Currency 3 4 2 2 2" xfId="6043" xr:uid="{00000000-0005-0000-0000-0000CC5B0000}"/>
    <cellStyle name="Currency 3 4 2 2 2 2" xfId="6044" xr:uid="{00000000-0005-0000-0000-0000CD5B0000}"/>
    <cellStyle name="Currency 3 4 2 2 2 2 2" xfId="11371" xr:uid="{00000000-0005-0000-0000-0000CE5B0000}"/>
    <cellStyle name="Currency 3 4 2 2 2 2 3" xfId="21700" xr:uid="{00000000-0005-0000-0000-0000CF5B0000}"/>
    <cellStyle name="Currency 3 4 2 2 2 3" xfId="6045" xr:uid="{00000000-0005-0000-0000-0000D05B0000}"/>
    <cellStyle name="Currency 3 4 2 2 2 3 2" xfId="16894" xr:uid="{00000000-0005-0000-0000-0000D15B0000}"/>
    <cellStyle name="Currency 3 4 2 2 2 3 2 2" xfId="30301" xr:uid="{00000000-0005-0000-0000-0000D25B0000}"/>
    <cellStyle name="Currency 3 4 2 2 2 3 3" xfId="21699" xr:uid="{00000000-0005-0000-0000-0000D35B0000}"/>
    <cellStyle name="Currency 3 4 2 2 2 4" xfId="9873" xr:uid="{00000000-0005-0000-0000-0000D45B0000}"/>
    <cellStyle name="Currency 3 4 2 2 2 5" xfId="21701" xr:uid="{00000000-0005-0000-0000-0000D55B0000}"/>
    <cellStyle name="Currency 3 4 2 2 3" xfId="6046" xr:uid="{00000000-0005-0000-0000-0000D65B0000}"/>
    <cellStyle name="Currency 3 4 2 2 3 2" xfId="6047" xr:uid="{00000000-0005-0000-0000-0000D75B0000}"/>
    <cellStyle name="Currency 3 4 2 2 3 2 2" xfId="13169" xr:uid="{00000000-0005-0000-0000-0000D85B0000}"/>
    <cellStyle name="Currency 3 4 2 2 3 2 3" xfId="21697" xr:uid="{00000000-0005-0000-0000-0000D95B0000}"/>
    <cellStyle name="Currency 3 4 2 2 3 3" xfId="12282" xr:uid="{00000000-0005-0000-0000-0000DA5B0000}"/>
    <cellStyle name="Currency 3 4 2 2 3 3 2" xfId="25994" xr:uid="{00000000-0005-0000-0000-0000DB5B0000}"/>
    <cellStyle name="Currency 3 4 2 2 3 4" xfId="21698" xr:uid="{00000000-0005-0000-0000-0000DC5B0000}"/>
    <cellStyle name="Currency 3 4 2 2 4" xfId="6048" xr:uid="{00000000-0005-0000-0000-0000DD5B0000}"/>
    <cellStyle name="Currency 3 4 2 2 4 2" xfId="6049" xr:uid="{00000000-0005-0000-0000-0000DE5B0000}"/>
    <cellStyle name="Currency 3 4 2 2 4 2 2" xfId="15628" xr:uid="{00000000-0005-0000-0000-0000DF5B0000}"/>
    <cellStyle name="Currency 3 4 2 2 4 2 3" xfId="21695" xr:uid="{00000000-0005-0000-0000-0000E05B0000}"/>
    <cellStyle name="Currency 3 4 2 2 4 3" xfId="13846" xr:uid="{00000000-0005-0000-0000-0000E15B0000}"/>
    <cellStyle name="Currency 3 4 2 2 4 3 2" xfId="27395" xr:uid="{00000000-0005-0000-0000-0000E25B0000}"/>
    <cellStyle name="Currency 3 4 2 2 4 4" xfId="21696" xr:uid="{00000000-0005-0000-0000-0000E35B0000}"/>
    <cellStyle name="Currency 3 4 2 2 5" xfId="6050" xr:uid="{00000000-0005-0000-0000-0000E45B0000}"/>
    <cellStyle name="Currency 3 4 2 2 5 2" xfId="14427" xr:uid="{00000000-0005-0000-0000-0000E55B0000}"/>
    <cellStyle name="Currency 3 4 2 2 5 2 2" xfId="27976" xr:uid="{00000000-0005-0000-0000-0000E65B0000}"/>
    <cellStyle name="Currency 3 4 2 2 5 3" xfId="21694" xr:uid="{00000000-0005-0000-0000-0000E75B0000}"/>
    <cellStyle name="Currency 3 4 2 2 6" xfId="6051" xr:uid="{00000000-0005-0000-0000-0000E85B0000}"/>
    <cellStyle name="Currency 3 4 2 2 6 2" xfId="16313" xr:uid="{00000000-0005-0000-0000-0000E95B0000}"/>
    <cellStyle name="Currency 3 4 2 2 6 2 2" xfId="29720" xr:uid="{00000000-0005-0000-0000-0000EA5B0000}"/>
    <cellStyle name="Currency 3 4 2 2 6 3" xfId="21693" xr:uid="{00000000-0005-0000-0000-0000EB5B0000}"/>
    <cellStyle name="Currency 3 4 2 2 7" xfId="9872" xr:uid="{00000000-0005-0000-0000-0000EC5B0000}"/>
    <cellStyle name="Currency 3 4 2 2 8" xfId="21702" xr:uid="{00000000-0005-0000-0000-0000ED5B0000}"/>
    <cellStyle name="Currency 3 4 2 3" xfId="6052" xr:uid="{00000000-0005-0000-0000-0000EE5B0000}"/>
    <cellStyle name="Currency 3 4 2 3 2" xfId="6053" xr:uid="{00000000-0005-0000-0000-0000EF5B0000}"/>
    <cellStyle name="Currency 3 4 2 3 2 2" xfId="11372" xr:uid="{00000000-0005-0000-0000-0000F05B0000}"/>
    <cellStyle name="Currency 3 4 2 3 2 3" xfId="21691" xr:uid="{00000000-0005-0000-0000-0000F15B0000}"/>
    <cellStyle name="Currency 3 4 2 3 3" xfId="6054" xr:uid="{00000000-0005-0000-0000-0000F25B0000}"/>
    <cellStyle name="Currency 3 4 2 3 3 2" xfId="16605" xr:uid="{00000000-0005-0000-0000-0000F35B0000}"/>
    <cellStyle name="Currency 3 4 2 3 3 2 2" xfId="30012" xr:uid="{00000000-0005-0000-0000-0000F45B0000}"/>
    <cellStyle name="Currency 3 4 2 3 3 3" xfId="21690" xr:uid="{00000000-0005-0000-0000-0000F55B0000}"/>
    <cellStyle name="Currency 3 4 2 3 4" xfId="9874" xr:uid="{00000000-0005-0000-0000-0000F65B0000}"/>
    <cellStyle name="Currency 3 4 2 3 5" xfId="21692" xr:uid="{00000000-0005-0000-0000-0000F75B0000}"/>
    <cellStyle name="Currency 3 4 2 4" xfId="6055" xr:uid="{00000000-0005-0000-0000-0000F85B0000}"/>
    <cellStyle name="Currency 3 4 2 4 2" xfId="6056" xr:uid="{00000000-0005-0000-0000-0000F95B0000}"/>
    <cellStyle name="Currency 3 4 2 4 2 2" xfId="13170" xr:uid="{00000000-0005-0000-0000-0000FA5B0000}"/>
    <cellStyle name="Currency 3 4 2 4 2 3" xfId="21688" xr:uid="{00000000-0005-0000-0000-0000FB5B0000}"/>
    <cellStyle name="Currency 3 4 2 4 3" xfId="11982" xr:uid="{00000000-0005-0000-0000-0000FC5B0000}"/>
    <cellStyle name="Currency 3 4 2 4 3 2" xfId="25697" xr:uid="{00000000-0005-0000-0000-0000FD5B0000}"/>
    <cellStyle name="Currency 3 4 2 4 4" xfId="21689" xr:uid="{00000000-0005-0000-0000-0000FE5B0000}"/>
    <cellStyle name="Currency 3 4 2 5" xfId="6057" xr:uid="{00000000-0005-0000-0000-0000FF5B0000}"/>
    <cellStyle name="Currency 3 4 2 5 2" xfId="6058" xr:uid="{00000000-0005-0000-0000-0000005C0000}"/>
    <cellStyle name="Currency 3 4 2 5 2 2" xfId="15629" xr:uid="{00000000-0005-0000-0000-0000015C0000}"/>
    <cellStyle name="Currency 3 4 2 5 2 3" xfId="21686" xr:uid="{00000000-0005-0000-0000-0000025C0000}"/>
    <cellStyle name="Currency 3 4 2 5 3" xfId="13557" xr:uid="{00000000-0005-0000-0000-0000035C0000}"/>
    <cellStyle name="Currency 3 4 2 5 3 2" xfId="27106" xr:uid="{00000000-0005-0000-0000-0000045C0000}"/>
    <cellStyle name="Currency 3 4 2 5 4" xfId="21687" xr:uid="{00000000-0005-0000-0000-0000055C0000}"/>
    <cellStyle name="Currency 3 4 2 6" xfId="6059" xr:uid="{00000000-0005-0000-0000-0000065C0000}"/>
    <cellStyle name="Currency 3 4 2 6 2" xfId="14138" xr:uid="{00000000-0005-0000-0000-0000075C0000}"/>
    <cellStyle name="Currency 3 4 2 6 2 2" xfId="27687" xr:uid="{00000000-0005-0000-0000-0000085C0000}"/>
    <cellStyle name="Currency 3 4 2 6 3" xfId="21685" xr:uid="{00000000-0005-0000-0000-0000095C0000}"/>
    <cellStyle name="Currency 3 4 2 7" xfId="6060" xr:uid="{00000000-0005-0000-0000-00000A5C0000}"/>
    <cellStyle name="Currency 3 4 2 7 2" xfId="16024" xr:uid="{00000000-0005-0000-0000-00000B5C0000}"/>
    <cellStyle name="Currency 3 4 2 7 2 2" xfId="29431" xr:uid="{00000000-0005-0000-0000-00000C5C0000}"/>
    <cellStyle name="Currency 3 4 2 7 3" xfId="21684" xr:uid="{00000000-0005-0000-0000-00000D5C0000}"/>
    <cellStyle name="Currency 3 4 2 8" xfId="9871" xr:uid="{00000000-0005-0000-0000-00000E5C0000}"/>
    <cellStyle name="Currency 3 4 2 9" xfId="21703" xr:uid="{00000000-0005-0000-0000-00000F5C0000}"/>
    <cellStyle name="Currency 3 4 3" xfId="6061" xr:uid="{00000000-0005-0000-0000-0000105C0000}"/>
    <cellStyle name="Currency 3 4 3 2" xfId="6062" xr:uid="{00000000-0005-0000-0000-0000115C0000}"/>
    <cellStyle name="Currency 3 4 3 2 2" xfId="6063" xr:uid="{00000000-0005-0000-0000-0000125C0000}"/>
    <cellStyle name="Currency 3 4 3 2 2 2" xfId="11373" xr:uid="{00000000-0005-0000-0000-0000135C0000}"/>
    <cellStyle name="Currency 3 4 3 2 2 3" xfId="21681" xr:uid="{00000000-0005-0000-0000-0000145C0000}"/>
    <cellStyle name="Currency 3 4 3 2 3" xfId="6064" xr:uid="{00000000-0005-0000-0000-0000155C0000}"/>
    <cellStyle name="Currency 3 4 3 2 3 2" xfId="16754" xr:uid="{00000000-0005-0000-0000-0000165C0000}"/>
    <cellStyle name="Currency 3 4 3 2 3 2 2" xfId="30161" xr:uid="{00000000-0005-0000-0000-0000175C0000}"/>
    <cellStyle name="Currency 3 4 3 2 3 3" xfId="21680" xr:uid="{00000000-0005-0000-0000-0000185C0000}"/>
    <cellStyle name="Currency 3 4 3 2 4" xfId="9876" xr:uid="{00000000-0005-0000-0000-0000195C0000}"/>
    <cellStyle name="Currency 3 4 3 2 5" xfId="21682" xr:uid="{00000000-0005-0000-0000-00001A5C0000}"/>
    <cellStyle name="Currency 3 4 3 3" xfId="6065" xr:uid="{00000000-0005-0000-0000-00001B5C0000}"/>
    <cellStyle name="Currency 3 4 3 3 2" xfId="6066" xr:uid="{00000000-0005-0000-0000-00001C5C0000}"/>
    <cellStyle name="Currency 3 4 3 3 2 2" xfId="13171" xr:uid="{00000000-0005-0000-0000-00001D5C0000}"/>
    <cellStyle name="Currency 3 4 3 3 2 3" xfId="21678" xr:uid="{00000000-0005-0000-0000-00001E5C0000}"/>
    <cellStyle name="Currency 3 4 3 3 3" xfId="12142" xr:uid="{00000000-0005-0000-0000-00001F5C0000}"/>
    <cellStyle name="Currency 3 4 3 3 3 2" xfId="25854" xr:uid="{00000000-0005-0000-0000-0000205C0000}"/>
    <cellStyle name="Currency 3 4 3 3 4" xfId="21679" xr:uid="{00000000-0005-0000-0000-0000215C0000}"/>
    <cellStyle name="Currency 3 4 3 4" xfId="6067" xr:uid="{00000000-0005-0000-0000-0000225C0000}"/>
    <cellStyle name="Currency 3 4 3 4 2" xfId="6068" xr:uid="{00000000-0005-0000-0000-0000235C0000}"/>
    <cellStyle name="Currency 3 4 3 4 2 2" xfId="15630" xr:uid="{00000000-0005-0000-0000-0000245C0000}"/>
    <cellStyle name="Currency 3 4 3 4 2 3" xfId="21676" xr:uid="{00000000-0005-0000-0000-0000255C0000}"/>
    <cellStyle name="Currency 3 4 3 4 3" xfId="13706" xr:uid="{00000000-0005-0000-0000-0000265C0000}"/>
    <cellStyle name="Currency 3 4 3 4 3 2" xfId="27255" xr:uid="{00000000-0005-0000-0000-0000275C0000}"/>
    <cellStyle name="Currency 3 4 3 4 4" xfId="21677" xr:uid="{00000000-0005-0000-0000-0000285C0000}"/>
    <cellStyle name="Currency 3 4 3 5" xfId="6069" xr:uid="{00000000-0005-0000-0000-0000295C0000}"/>
    <cellStyle name="Currency 3 4 3 5 2" xfId="14287" xr:uid="{00000000-0005-0000-0000-00002A5C0000}"/>
    <cellStyle name="Currency 3 4 3 5 2 2" xfId="27836" xr:uid="{00000000-0005-0000-0000-00002B5C0000}"/>
    <cellStyle name="Currency 3 4 3 5 3" xfId="21675" xr:uid="{00000000-0005-0000-0000-00002C5C0000}"/>
    <cellStyle name="Currency 3 4 3 6" xfId="6070" xr:uid="{00000000-0005-0000-0000-00002D5C0000}"/>
    <cellStyle name="Currency 3 4 3 6 2" xfId="16173" xr:uid="{00000000-0005-0000-0000-00002E5C0000}"/>
    <cellStyle name="Currency 3 4 3 6 2 2" xfId="29580" xr:uid="{00000000-0005-0000-0000-00002F5C0000}"/>
    <cellStyle name="Currency 3 4 3 6 3" xfId="21674" xr:uid="{00000000-0005-0000-0000-0000305C0000}"/>
    <cellStyle name="Currency 3 4 3 7" xfId="9875" xr:uid="{00000000-0005-0000-0000-0000315C0000}"/>
    <cellStyle name="Currency 3 4 3 8" xfId="21683" xr:uid="{00000000-0005-0000-0000-0000325C0000}"/>
    <cellStyle name="Currency 3 4 4" xfId="6071" xr:uid="{00000000-0005-0000-0000-0000335C0000}"/>
    <cellStyle name="Currency 3 4 4 2" xfId="6072" xr:uid="{00000000-0005-0000-0000-0000345C0000}"/>
    <cellStyle name="Currency 3 4 4 2 2" xfId="16462" xr:uid="{00000000-0005-0000-0000-0000355C0000}"/>
    <cellStyle name="Currency 3 4 4 2 2 2" xfId="29869" xr:uid="{00000000-0005-0000-0000-0000365C0000}"/>
    <cellStyle name="Currency 3 4 4 2 3" xfId="21672" xr:uid="{00000000-0005-0000-0000-0000375C0000}"/>
    <cellStyle name="Currency 3 4 4 3" xfId="9877" xr:uid="{00000000-0005-0000-0000-0000385C0000}"/>
    <cellStyle name="Currency 3 4 4 4" xfId="21673" xr:uid="{00000000-0005-0000-0000-0000395C0000}"/>
    <cellStyle name="Currency 3 4 5" xfId="6073" xr:uid="{00000000-0005-0000-0000-00003A5C0000}"/>
    <cellStyle name="Currency 3 4 5 2" xfId="6074" xr:uid="{00000000-0005-0000-0000-00003B5C0000}"/>
    <cellStyle name="Currency 3 4 5 2 2" xfId="11374" xr:uid="{00000000-0005-0000-0000-00003C5C0000}"/>
    <cellStyle name="Currency 3 4 5 2 3" xfId="21670" xr:uid="{00000000-0005-0000-0000-00003D5C0000}"/>
    <cellStyle name="Currency 3 4 5 3" xfId="9878" xr:uid="{00000000-0005-0000-0000-00003E5C0000}"/>
    <cellStyle name="Currency 3 4 5 4" xfId="21671" xr:uid="{00000000-0005-0000-0000-00003F5C0000}"/>
    <cellStyle name="Currency 3 4 6" xfId="6075" xr:uid="{00000000-0005-0000-0000-0000405C0000}"/>
    <cellStyle name="Currency 3 4 6 2" xfId="6076" xr:uid="{00000000-0005-0000-0000-0000415C0000}"/>
    <cellStyle name="Currency 3 4 6 2 2" xfId="13172" xr:uid="{00000000-0005-0000-0000-0000425C0000}"/>
    <cellStyle name="Currency 3 4 6 2 3" xfId="21668" xr:uid="{00000000-0005-0000-0000-0000435C0000}"/>
    <cellStyle name="Currency 3 4 6 3" xfId="11813" xr:uid="{00000000-0005-0000-0000-0000445C0000}"/>
    <cellStyle name="Currency 3 4 6 3 2" xfId="25528" xr:uid="{00000000-0005-0000-0000-0000455C0000}"/>
    <cellStyle name="Currency 3 4 6 4" xfId="21669" xr:uid="{00000000-0005-0000-0000-0000465C0000}"/>
    <cellStyle name="Currency 3 4 7" xfId="6077" xr:uid="{00000000-0005-0000-0000-0000475C0000}"/>
    <cellStyle name="Currency 3 4 7 2" xfId="6078" xr:uid="{00000000-0005-0000-0000-0000485C0000}"/>
    <cellStyle name="Currency 3 4 7 2 2" xfId="15631" xr:uid="{00000000-0005-0000-0000-0000495C0000}"/>
    <cellStyle name="Currency 3 4 7 2 3" xfId="21666" xr:uid="{00000000-0005-0000-0000-00004A5C0000}"/>
    <cellStyle name="Currency 3 4 7 3" xfId="13414" xr:uid="{00000000-0005-0000-0000-00004B5C0000}"/>
    <cellStyle name="Currency 3 4 7 3 2" xfId="26963" xr:uid="{00000000-0005-0000-0000-00004C5C0000}"/>
    <cellStyle name="Currency 3 4 7 4" xfId="21667" xr:uid="{00000000-0005-0000-0000-00004D5C0000}"/>
    <cellStyle name="Currency 3 4 8" xfId="6079" xr:uid="{00000000-0005-0000-0000-00004E5C0000}"/>
    <cellStyle name="Currency 3 4 8 2" xfId="13995" xr:uid="{00000000-0005-0000-0000-00004F5C0000}"/>
    <cellStyle name="Currency 3 4 8 2 2" xfId="27544" xr:uid="{00000000-0005-0000-0000-0000505C0000}"/>
    <cellStyle name="Currency 3 4 8 3" xfId="21665" xr:uid="{00000000-0005-0000-0000-0000515C0000}"/>
    <cellStyle name="Currency 3 4 9" xfId="6080" xr:uid="{00000000-0005-0000-0000-0000525C0000}"/>
    <cellStyle name="Currency 3 4 9 2" xfId="15881" xr:uid="{00000000-0005-0000-0000-0000535C0000}"/>
    <cellStyle name="Currency 3 4 9 2 2" xfId="29288" xr:uid="{00000000-0005-0000-0000-0000545C0000}"/>
    <cellStyle name="Currency 3 4 9 3" xfId="21664" xr:uid="{00000000-0005-0000-0000-0000555C0000}"/>
    <cellStyle name="Currency 3 5" xfId="6081" xr:uid="{00000000-0005-0000-0000-0000565C0000}"/>
    <cellStyle name="Currency 3 5 10" xfId="9879" xr:uid="{00000000-0005-0000-0000-0000575C0000}"/>
    <cellStyle name="Currency 3 5 11" xfId="21663" xr:uid="{00000000-0005-0000-0000-0000585C0000}"/>
    <cellStyle name="Currency 3 5 2" xfId="6082" xr:uid="{00000000-0005-0000-0000-0000595C0000}"/>
    <cellStyle name="Currency 3 5 2 2" xfId="6083" xr:uid="{00000000-0005-0000-0000-00005A5C0000}"/>
    <cellStyle name="Currency 3 5 2 2 2" xfId="6084" xr:uid="{00000000-0005-0000-0000-00005B5C0000}"/>
    <cellStyle name="Currency 3 5 2 2 2 2" xfId="6085" xr:uid="{00000000-0005-0000-0000-00005C5C0000}"/>
    <cellStyle name="Currency 3 5 2 2 2 2 2" xfId="11375" xr:uid="{00000000-0005-0000-0000-00005D5C0000}"/>
    <cellStyle name="Currency 3 5 2 2 2 2 3" xfId="21659" xr:uid="{00000000-0005-0000-0000-00005E5C0000}"/>
    <cellStyle name="Currency 3 5 2 2 2 3" xfId="6086" xr:uid="{00000000-0005-0000-0000-00005F5C0000}"/>
    <cellStyle name="Currency 3 5 2 2 2 3 2" xfId="16877" xr:uid="{00000000-0005-0000-0000-0000605C0000}"/>
    <cellStyle name="Currency 3 5 2 2 2 3 2 2" xfId="30284" xr:uid="{00000000-0005-0000-0000-0000615C0000}"/>
    <cellStyle name="Currency 3 5 2 2 2 3 3" xfId="21658" xr:uid="{00000000-0005-0000-0000-0000625C0000}"/>
    <cellStyle name="Currency 3 5 2 2 2 4" xfId="9882" xr:uid="{00000000-0005-0000-0000-0000635C0000}"/>
    <cellStyle name="Currency 3 5 2 2 2 5" xfId="21660" xr:uid="{00000000-0005-0000-0000-0000645C0000}"/>
    <cellStyle name="Currency 3 5 2 2 3" xfId="6087" xr:uid="{00000000-0005-0000-0000-0000655C0000}"/>
    <cellStyle name="Currency 3 5 2 2 3 2" xfId="6088" xr:uid="{00000000-0005-0000-0000-0000665C0000}"/>
    <cellStyle name="Currency 3 5 2 2 3 2 2" xfId="13173" xr:uid="{00000000-0005-0000-0000-0000675C0000}"/>
    <cellStyle name="Currency 3 5 2 2 3 2 3" xfId="21656" xr:uid="{00000000-0005-0000-0000-0000685C0000}"/>
    <cellStyle name="Currency 3 5 2 2 3 3" xfId="12265" xr:uid="{00000000-0005-0000-0000-0000695C0000}"/>
    <cellStyle name="Currency 3 5 2 2 3 3 2" xfId="25977" xr:uid="{00000000-0005-0000-0000-00006A5C0000}"/>
    <cellStyle name="Currency 3 5 2 2 3 4" xfId="21657" xr:uid="{00000000-0005-0000-0000-00006B5C0000}"/>
    <cellStyle name="Currency 3 5 2 2 4" xfId="6089" xr:uid="{00000000-0005-0000-0000-00006C5C0000}"/>
    <cellStyle name="Currency 3 5 2 2 4 2" xfId="6090" xr:uid="{00000000-0005-0000-0000-00006D5C0000}"/>
    <cellStyle name="Currency 3 5 2 2 4 2 2" xfId="15632" xr:uid="{00000000-0005-0000-0000-00006E5C0000}"/>
    <cellStyle name="Currency 3 5 2 2 4 2 3" xfId="21654" xr:uid="{00000000-0005-0000-0000-00006F5C0000}"/>
    <cellStyle name="Currency 3 5 2 2 4 3" xfId="13829" xr:uid="{00000000-0005-0000-0000-0000705C0000}"/>
    <cellStyle name="Currency 3 5 2 2 4 3 2" xfId="27378" xr:uid="{00000000-0005-0000-0000-0000715C0000}"/>
    <cellStyle name="Currency 3 5 2 2 4 4" xfId="21655" xr:uid="{00000000-0005-0000-0000-0000725C0000}"/>
    <cellStyle name="Currency 3 5 2 2 5" xfId="6091" xr:uid="{00000000-0005-0000-0000-0000735C0000}"/>
    <cellStyle name="Currency 3 5 2 2 5 2" xfId="14410" xr:uid="{00000000-0005-0000-0000-0000745C0000}"/>
    <cellStyle name="Currency 3 5 2 2 5 2 2" xfId="27959" xr:uid="{00000000-0005-0000-0000-0000755C0000}"/>
    <cellStyle name="Currency 3 5 2 2 5 3" xfId="21653" xr:uid="{00000000-0005-0000-0000-0000765C0000}"/>
    <cellStyle name="Currency 3 5 2 2 6" xfId="6092" xr:uid="{00000000-0005-0000-0000-0000775C0000}"/>
    <cellStyle name="Currency 3 5 2 2 6 2" xfId="16296" xr:uid="{00000000-0005-0000-0000-0000785C0000}"/>
    <cellStyle name="Currency 3 5 2 2 6 2 2" xfId="29703" xr:uid="{00000000-0005-0000-0000-0000795C0000}"/>
    <cellStyle name="Currency 3 5 2 2 6 3" xfId="21652" xr:uid="{00000000-0005-0000-0000-00007A5C0000}"/>
    <cellStyle name="Currency 3 5 2 2 7" xfId="9881" xr:uid="{00000000-0005-0000-0000-00007B5C0000}"/>
    <cellStyle name="Currency 3 5 2 2 8" xfId="21661" xr:uid="{00000000-0005-0000-0000-00007C5C0000}"/>
    <cellStyle name="Currency 3 5 2 3" xfId="6093" xr:uid="{00000000-0005-0000-0000-00007D5C0000}"/>
    <cellStyle name="Currency 3 5 2 3 2" xfId="6094" xr:uid="{00000000-0005-0000-0000-00007E5C0000}"/>
    <cellStyle name="Currency 3 5 2 3 2 2" xfId="11376" xr:uid="{00000000-0005-0000-0000-00007F5C0000}"/>
    <cellStyle name="Currency 3 5 2 3 2 3" xfId="21650" xr:uid="{00000000-0005-0000-0000-0000805C0000}"/>
    <cellStyle name="Currency 3 5 2 3 3" xfId="6095" xr:uid="{00000000-0005-0000-0000-0000815C0000}"/>
    <cellStyle name="Currency 3 5 2 3 3 2" xfId="16588" xr:uid="{00000000-0005-0000-0000-0000825C0000}"/>
    <cellStyle name="Currency 3 5 2 3 3 2 2" xfId="29995" xr:uid="{00000000-0005-0000-0000-0000835C0000}"/>
    <cellStyle name="Currency 3 5 2 3 3 3" xfId="21649" xr:uid="{00000000-0005-0000-0000-0000845C0000}"/>
    <cellStyle name="Currency 3 5 2 3 4" xfId="9883" xr:uid="{00000000-0005-0000-0000-0000855C0000}"/>
    <cellStyle name="Currency 3 5 2 3 5" xfId="21651" xr:uid="{00000000-0005-0000-0000-0000865C0000}"/>
    <cellStyle name="Currency 3 5 2 4" xfId="6096" xr:uid="{00000000-0005-0000-0000-0000875C0000}"/>
    <cellStyle name="Currency 3 5 2 4 2" xfId="6097" xr:uid="{00000000-0005-0000-0000-0000885C0000}"/>
    <cellStyle name="Currency 3 5 2 4 2 2" xfId="13174" xr:uid="{00000000-0005-0000-0000-0000895C0000}"/>
    <cellStyle name="Currency 3 5 2 4 2 3" xfId="21647" xr:uid="{00000000-0005-0000-0000-00008A5C0000}"/>
    <cellStyle name="Currency 3 5 2 4 3" xfId="11965" xr:uid="{00000000-0005-0000-0000-00008B5C0000}"/>
    <cellStyle name="Currency 3 5 2 4 3 2" xfId="25680" xr:uid="{00000000-0005-0000-0000-00008C5C0000}"/>
    <cellStyle name="Currency 3 5 2 4 4" xfId="21648" xr:uid="{00000000-0005-0000-0000-00008D5C0000}"/>
    <cellStyle name="Currency 3 5 2 5" xfId="6098" xr:uid="{00000000-0005-0000-0000-00008E5C0000}"/>
    <cellStyle name="Currency 3 5 2 5 2" xfId="6099" xr:uid="{00000000-0005-0000-0000-00008F5C0000}"/>
    <cellStyle name="Currency 3 5 2 5 2 2" xfId="15633" xr:uid="{00000000-0005-0000-0000-0000905C0000}"/>
    <cellStyle name="Currency 3 5 2 5 2 3" xfId="21645" xr:uid="{00000000-0005-0000-0000-0000915C0000}"/>
    <cellStyle name="Currency 3 5 2 5 3" xfId="13540" xr:uid="{00000000-0005-0000-0000-0000925C0000}"/>
    <cellStyle name="Currency 3 5 2 5 3 2" xfId="27089" xr:uid="{00000000-0005-0000-0000-0000935C0000}"/>
    <cellStyle name="Currency 3 5 2 5 4" xfId="21646" xr:uid="{00000000-0005-0000-0000-0000945C0000}"/>
    <cellStyle name="Currency 3 5 2 6" xfId="6100" xr:uid="{00000000-0005-0000-0000-0000955C0000}"/>
    <cellStyle name="Currency 3 5 2 6 2" xfId="14121" xr:uid="{00000000-0005-0000-0000-0000965C0000}"/>
    <cellStyle name="Currency 3 5 2 6 2 2" xfId="27670" xr:uid="{00000000-0005-0000-0000-0000975C0000}"/>
    <cellStyle name="Currency 3 5 2 6 3" xfId="21644" xr:uid="{00000000-0005-0000-0000-0000985C0000}"/>
    <cellStyle name="Currency 3 5 2 7" xfId="6101" xr:uid="{00000000-0005-0000-0000-0000995C0000}"/>
    <cellStyle name="Currency 3 5 2 7 2" xfId="16007" xr:uid="{00000000-0005-0000-0000-00009A5C0000}"/>
    <cellStyle name="Currency 3 5 2 7 2 2" xfId="29414" xr:uid="{00000000-0005-0000-0000-00009B5C0000}"/>
    <cellStyle name="Currency 3 5 2 7 3" xfId="21643" xr:uid="{00000000-0005-0000-0000-00009C5C0000}"/>
    <cellStyle name="Currency 3 5 2 8" xfId="9880" xr:uid="{00000000-0005-0000-0000-00009D5C0000}"/>
    <cellStyle name="Currency 3 5 2 9" xfId="21662" xr:uid="{00000000-0005-0000-0000-00009E5C0000}"/>
    <cellStyle name="Currency 3 5 3" xfId="6102" xr:uid="{00000000-0005-0000-0000-00009F5C0000}"/>
    <cellStyle name="Currency 3 5 3 2" xfId="6103" xr:uid="{00000000-0005-0000-0000-0000A05C0000}"/>
    <cellStyle name="Currency 3 5 3 2 2" xfId="6104" xr:uid="{00000000-0005-0000-0000-0000A15C0000}"/>
    <cellStyle name="Currency 3 5 3 2 2 2" xfId="11377" xr:uid="{00000000-0005-0000-0000-0000A25C0000}"/>
    <cellStyle name="Currency 3 5 3 2 2 3" xfId="21640" xr:uid="{00000000-0005-0000-0000-0000A35C0000}"/>
    <cellStyle name="Currency 3 5 3 2 3" xfId="6105" xr:uid="{00000000-0005-0000-0000-0000A45C0000}"/>
    <cellStyle name="Currency 3 5 3 2 3 2" xfId="16737" xr:uid="{00000000-0005-0000-0000-0000A55C0000}"/>
    <cellStyle name="Currency 3 5 3 2 3 2 2" xfId="30144" xr:uid="{00000000-0005-0000-0000-0000A65C0000}"/>
    <cellStyle name="Currency 3 5 3 2 3 3" xfId="21639" xr:uid="{00000000-0005-0000-0000-0000A75C0000}"/>
    <cellStyle name="Currency 3 5 3 2 4" xfId="9885" xr:uid="{00000000-0005-0000-0000-0000A85C0000}"/>
    <cellStyle name="Currency 3 5 3 2 5" xfId="21641" xr:uid="{00000000-0005-0000-0000-0000A95C0000}"/>
    <cellStyle name="Currency 3 5 3 3" xfId="6106" xr:uid="{00000000-0005-0000-0000-0000AA5C0000}"/>
    <cellStyle name="Currency 3 5 3 3 2" xfId="6107" xr:uid="{00000000-0005-0000-0000-0000AB5C0000}"/>
    <cellStyle name="Currency 3 5 3 3 2 2" xfId="13175" xr:uid="{00000000-0005-0000-0000-0000AC5C0000}"/>
    <cellStyle name="Currency 3 5 3 3 2 3" xfId="21637" xr:uid="{00000000-0005-0000-0000-0000AD5C0000}"/>
    <cellStyle name="Currency 3 5 3 3 3" xfId="12125" xr:uid="{00000000-0005-0000-0000-0000AE5C0000}"/>
    <cellStyle name="Currency 3 5 3 3 3 2" xfId="25837" xr:uid="{00000000-0005-0000-0000-0000AF5C0000}"/>
    <cellStyle name="Currency 3 5 3 3 4" xfId="21638" xr:uid="{00000000-0005-0000-0000-0000B05C0000}"/>
    <cellStyle name="Currency 3 5 3 4" xfId="6108" xr:uid="{00000000-0005-0000-0000-0000B15C0000}"/>
    <cellStyle name="Currency 3 5 3 4 2" xfId="6109" xr:uid="{00000000-0005-0000-0000-0000B25C0000}"/>
    <cellStyle name="Currency 3 5 3 4 2 2" xfId="15634" xr:uid="{00000000-0005-0000-0000-0000B35C0000}"/>
    <cellStyle name="Currency 3 5 3 4 2 3" xfId="21635" xr:uid="{00000000-0005-0000-0000-0000B45C0000}"/>
    <cellStyle name="Currency 3 5 3 4 3" xfId="13689" xr:uid="{00000000-0005-0000-0000-0000B55C0000}"/>
    <cellStyle name="Currency 3 5 3 4 3 2" xfId="27238" xr:uid="{00000000-0005-0000-0000-0000B65C0000}"/>
    <cellStyle name="Currency 3 5 3 4 4" xfId="21636" xr:uid="{00000000-0005-0000-0000-0000B75C0000}"/>
    <cellStyle name="Currency 3 5 3 5" xfId="6110" xr:uid="{00000000-0005-0000-0000-0000B85C0000}"/>
    <cellStyle name="Currency 3 5 3 5 2" xfId="14270" xr:uid="{00000000-0005-0000-0000-0000B95C0000}"/>
    <cellStyle name="Currency 3 5 3 5 2 2" xfId="27819" xr:uid="{00000000-0005-0000-0000-0000BA5C0000}"/>
    <cellStyle name="Currency 3 5 3 5 3" xfId="21634" xr:uid="{00000000-0005-0000-0000-0000BB5C0000}"/>
    <cellStyle name="Currency 3 5 3 6" xfId="6111" xr:uid="{00000000-0005-0000-0000-0000BC5C0000}"/>
    <cellStyle name="Currency 3 5 3 6 2" xfId="16156" xr:uid="{00000000-0005-0000-0000-0000BD5C0000}"/>
    <cellStyle name="Currency 3 5 3 6 2 2" xfId="29563" xr:uid="{00000000-0005-0000-0000-0000BE5C0000}"/>
    <cellStyle name="Currency 3 5 3 6 3" xfId="21633" xr:uid="{00000000-0005-0000-0000-0000BF5C0000}"/>
    <cellStyle name="Currency 3 5 3 7" xfId="9884" xr:uid="{00000000-0005-0000-0000-0000C05C0000}"/>
    <cellStyle name="Currency 3 5 3 8" xfId="21642" xr:uid="{00000000-0005-0000-0000-0000C15C0000}"/>
    <cellStyle name="Currency 3 5 4" xfId="6112" xr:uid="{00000000-0005-0000-0000-0000C25C0000}"/>
    <cellStyle name="Currency 3 5 4 2" xfId="6113" xr:uid="{00000000-0005-0000-0000-0000C35C0000}"/>
    <cellStyle name="Currency 3 5 4 2 2" xfId="16445" xr:uid="{00000000-0005-0000-0000-0000C45C0000}"/>
    <cellStyle name="Currency 3 5 4 2 2 2" xfId="29852" xr:uid="{00000000-0005-0000-0000-0000C55C0000}"/>
    <cellStyle name="Currency 3 5 4 2 3" xfId="21631" xr:uid="{00000000-0005-0000-0000-0000C65C0000}"/>
    <cellStyle name="Currency 3 5 4 3" xfId="9886" xr:uid="{00000000-0005-0000-0000-0000C75C0000}"/>
    <cellStyle name="Currency 3 5 4 4" xfId="21632" xr:uid="{00000000-0005-0000-0000-0000C85C0000}"/>
    <cellStyle name="Currency 3 5 5" xfId="6114" xr:uid="{00000000-0005-0000-0000-0000C95C0000}"/>
    <cellStyle name="Currency 3 5 5 2" xfId="6115" xr:uid="{00000000-0005-0000-0000-0000CA5C0000}"/>
    <cellStyle name="Currency 3 5 5 2 2" xfId="11378" xr:uid="{00000000-0005-0000-0000-0000CB5C0000}"/>
    <cellStyle name="Currency 3 5 5 2 3" xfId="21629" xr:uid="{00000000-0005-0000-0000-0000CC5C0000}"/>
    <cellStyle name="Currency 3 5 5 3" xfId="9887" xr:uid="{00000000-0005-0000-0000-0000CD5C0000}"/>
    <cellStyle name="Currency 3 5 5 4" xfId="21630" xr:uid="{00000000-0005-0000-0000-0000CE5C0000}"/>
    <cellStyle name="Currency 3 5 6" xfId="6116" xr:uid="{00000000-0005-0000-0000-0000CF5C0000}"/>
    <cellStyle name="Currency 3 5 6 2" xfId="6117" xr:uid="{00000000-0005-0000-0000-0000D05C0000}"/>
    <cellStyle name="Currency 3 5 6 2 2" xfId="13176" xr:uid="{00000000-0005-0000-0000-0000D15C0000}"/>
    <cellStyle name="Currency 3 5 6 2 3" xfId="21627" xr:uid="{00000000-0005-0000-0000-0000D25C0000}"/>
    <cellStyle name="Currency 3 5 6 3" xfId="11796" xr:uid="{00000000-0005-0000-0000-0000D35C0000}"/>
    <cellStyle name="Currency 3 5 6 3 2" xfId="25511" xr:uid="{00000000-0005-0000-0000-0000D45C0000}"/>
    <cellStyle name="Currency 3 5 6 4" xfId="21628" xr:uid="{00000000-0005-0000-0000-0000D55C0000}"/>
    <cellStyle name="Currency 3 5 7" xfId="6118" xr:uid="{00000000-0005-0000-0000-0000D65C0000}"/>
    <cellStyle name="Currency 3 5 7 2" xfId="6119" xr:uid="{00000000-0005-0000-0000-0000D75C0000}"/>
    <cellStyle name="Currency 3 5 7 2 2" xfId="15635" xr:uid="{00000000-0005-0000-0000-0000D85C0000}"/>
    <cellStyle name="Currency 3 5 7 2 3" xfId="21625" xr:uid="{00000000-0005-0000-0000-0000D95C0000}"/>
    <cellStyle name="Currency 3 5 7 3" xfId="13397" xr:uid="{00000000-0005-0000-0000-0000DA5C0000}"/>
    <cellStyle name="Currency 3 5 7 3 2" xfId="26946" xr:uid="{00000000-0005-0000-0000-0000DB5C0000}"/>
    <cellStyle name="Currency 3 5 7 4" xfId="21626" xr:uid="{00000000-0005-0000-0000-0000DC5C0000}"/>
    <cellStyle name="Currency 3 5 8" xfId="6120" xr:uid="{00000000-0005-0000-0000-0000DD5C0000}"/>
    <cellStyle name="Currency 3 5 8 2" xfId="13978" xr:uid="{00000000-0005-0000-0000-0000DE5C0000}"/>
    <cellStyle name="Currency 3 5 8 2 2" xfId="27527" xr:uid="{00000000-0005-0000-0000-0000DF5C0000}"/>
    <cellStyle name="Currency 3 5 8 3" xfId="21624" xr:uid="{00000000-0005-0000-0000-0000E05C0000}"/>
    <cellStyle name="Currency 3 5 9" xfId="6121" xr:uid="{00000000-0005-0000-0000-0000E15C0000}"/>
    <cellStyle name="Currency 3 5 9 2" xfId="15864" xr:uid="{00000000-0005-0000-0000-0000E25C0000}"/>
    <cellStyle name="Currency 3 5 9 2 2" xfId="29271" xr:uid="{00000000-0005-0000-0000-0000E35C0000}"/>
    <cellStyle name="Currency 3 5 9 3" xfId="21623" xr:uid="{00000000-0005-0000-0000-0000E45C0000}"/>
    <cellStyle name="Currency 3 6" xfId="6122" xr:uid="{00000000-0005-0000-0000-0000E55C0000}"/>
    <cellStyle name="Currency 3 6 10" xfId="9888" xr:uid="{00000000-0005-0000-0000-0000E65C0000}"/>
    <cellStyle name="Currency 3 6 11" xfId="21622" xr:uid="{00000000-0005-0000-0000-0000E75C0000}"/>
    <cellStyle name="Currency 3 6 2" xfId="6123" xr:uid="{00000000-0005-0000-0000-0000E85C0000}"/>
    <cellStyle name="Currency 3 6 2 2" xfId="6124" xr:uid="{00000000-0005-0000-0000-0000E95C0000}"/>
    <cellStyle name="Currency 3 6 2 2 2" xfId="6125" xr:uid="{00000000-0005-0000-0000-0000EA5C0000}"/>
    <cellStyle name="Currency 3 6 2 2 2 2" xfId="6126" xr:uid="{00000000-0005-0000-0000-0000EB5C0000}"/>
    <cellStyle name="Currency 3 6 2 2 2 2 2" xfId="11379" xr:uid="{00000000-0005-0000-0000-0000EC5C0000}"/>
    <cellStyle name="Currency 3 6 2 2 2 2 3" xfId="21618" xr:uid="{00000000-0005-0000-0000-0000ED5C0000}"/>
    <cellStyle name="Currency 3 6 2 2 2 3" xfId="6127" xr:uid="{00000000-0005-0000-0000-0000EE5C0000}"/>
    <cellStyle name="Currency 3 6 2 2 2 3 2" xfId="16983" xr:uid="{00000000-0005-0000-0000-0000EF5C0000}"/>
    <cellStyle name="Currency 3 6 2 2 2 3 2 2" xfId="30390" xr:uid="{00000000-0005-0000-0000-0000F05C0000}"/>
    <cellStyle name="Currency 3 6 2 2 2 3 3" xfId="21617" xr:uid="{00000000-0005-0000-0000-0000F15C0000}"/>
    <cellStyle name="Currency 3 6 2 2 2 4" xfId="9891" xr:uid="{00000000-0005-0000-0000-0000F25C0000}"/>
    <cellStyle name="Currency 3 6 2 2 2 5" xfId="21619" xr:uid="{00000000-0005-0000-0000-0000F35C0000}"/>
    <cellStyle name="Currency 3 6 2 2 3" xfId="6128" xr:uid="{00000000-0005-0000-0000-0000F45C0000}"/>
    <cellStyle name="Currency 3 6 2 2 3 2" xfId="6129" xr:uid="{00000000-0005-0000-0000-0000F55C0000}"/>
    <cellStyle name="Currency 3 6 2 2 3 2 2" xfId="13177" xr:uid="{00000000-0005-0000-0000-0000F65C0000}"/>
    <cellStyle name="Currency 3 6 2 2 3 2 3" xfId="21615" xr:uid="{00000000-0005-0000-0000-0000F75C0000}"/>
    <cellStyle name="Currency 3 6 2 2 3 3" xfId="12371" xr:uid="{00000000-0005-0000-0000-0000F85C0000}"/>
    <cellStyle name="Currency 3 6 2 2 3 3 2" xfId="26083" xr:uid="{00000000-0005-0000-0000-0000F95C0000}"/>
    <cellStyle name="Currency 3 6 2 2 3 4" xfId="21616" xr:uid="{00000000-0005-0000-0000-0000FA5C0000}"/>
    <cellStyle name="Currency 3 6 2 2 4" xfId="6130" xr:uid="{00000000-0005-0000-0000-0000FB5C0000}"/>
    <cellStyle name="Currency 3 6 2 2 4 2" xfId="6131" xr:uid="{00000000-0005-0000-0000-0000FC5C0000}"/>
    <cellStyle name="Currency 3 6 2 2 4 2 2" xfId="15636" xr:uid="{00000000-0005-0000-0000-0000FD5C0000}"/>
    <cellStyle name="Currency 3 6 2 2 4 2 3" xfId="21613" xr:uid="{00000000-0005-0000-0000-0000FE5C0000}"/>
    <cellStyle name="Currency 3 6 2 2 4 3" xfId="13935" xr:uid="{00000000-0005-0000-0000-0000FF5C0000}"/>
    <cellStyle name="Currency 3 6 2 2 4 3 2" xfId="27484" xr:uid="{00000000-0005-0000-0000-0000005D0000}"/>
    <cellStyle name="Currency 3 6 2 2 4 4" xfId="21614" xr:uid="{00000000-0005-0000-0000-0000015D0000}"/>
    <cellStyle name="Currency 3 6 2 2 5" xfId="6132" xr:uid="{00000000-0005-0000-0000-0000025D0000}"/>
    <cellStyle name="Currency 3 6 2 2 5 2" xfId="14516" xr:uid="{00000000-0005-0000-0000-0000035D0000}"/>
    <cellStyle name="Currency 3 6 2 2 5 2 2" xfId="28065" xr:uid="{00000000-0005-0000-0000-0000045D0000}"/>
    <cellStyle name="Currency 3 6 2 2 5 3" xfId="21612" xr:uid="{00000000-0005-0000-0000-0000055D0000}"/>
    <cellStyle name="Currency 3 6 2 2 6" xfId="6133" xr:uid="{00000000-0005-0000-0000-0000065D0000}"/>
    <cellStyle name="Currency 3 6 2 2 6 2" xfId="16402" xr:uid="{00000000-0005-0000-0000-0000075D0000}"/>
    <cellStyle name="Currency 3 6 2 2 6 2 2" xfId="29809" xr:uid="{00000000-0005-0000-0000-0000085D0000}"/>
    <cellStyle name="Currency 3 6 2 2 6 3" xfId="21611" xr:uid="{00000000-0005-0000-0000-0000095D0000}"/>
    <cellStyle name="Currency 3 6 2 2 7" xfId="9890" xr:uid="{00000000-0005-0000-0000-00000A5D0000}"/>
    <cellStyle name="Currency 3 6 2 2 8" xfId="21620" xr:uid="{00000000-0005-0000-0000-00000B5D0000}"/>
    <cellStyle name="Currency 3 6 2 3" xfId="6134" xr:uid="{00000000-0005-0000-0000-00000C5D0000}"/>
    <cellStyle name="Currency 3 6 2 3 2" xfId="6135" xr:uid="{00000000-0005-0000-0000-00000D5D0000}"/>
    <cellStyle name="Currency 3 6 2 3 2 2" xfId="11380" xr:uid="{00000000-0005-0000-0000-00000E5D0000}"/>
    <cellStyle name="Currency 3 6 2 3 2 3" xfId="21609" xr:uid="{00000000-0005-0000-0000-00000F5D0000}"/>
    <cellStyle name="Currency 3 6 2 3 3" xfId="6136" xr:uid="{00000000-0005-0000-0000-0000105D0000}"/>
    <cellStyle name="Currency 3 6 2 3 3 2" xfId="16694" xr:uid="{00000000-0005-0000-0000-0000115D0000}"/>
    <cellStyle name="Currency 3 6 2 3 3 2 2" xfId="30101" xr:uid="{00000000-0005-0000-0000-0000125D0000}"/>
    <cellStyle name="Currency 3 6 2 3 3 3" xfId="21608" xr:uid="{00000000-0005-0000-0000-0000135D0000}"/>
    <cellStyle name="Currency 3 6 2 3 4" xfId="9892" xr:uid="{00000000-0005-0000-0000-0000145D0000}"/>
    <cellStyle name="Currency 3 6 2 3 5" xfId="21610" xr:uid="{00000000-0005-0000-0000-0000155D0000}"/>
    <cellStyle name="Currency 3 6 2 4" xfId="6137" xr:uid="{00000000-0005-0000-0000-0000165D0000}"/>
    <cellStyle name="Currency 3 6 2 4 2" xfId="6138" xr:uid="{00000000-0005-0000-0000-0000175D0000}"/>
    <cellStyle name="Currency 3 6 2 4 2 2" xfId="13178" xr:uid="{00000000-0005-0000-0000-0000185D0000}"/>
    <cellStyle name="Currency 3 6 2 4 2 3" xfId="21606" xr:uid="{00000000-0005-0000-0000-0000195D0000}"/>
    <cellStyle name="Currency 3 6 2 4 3" xfId="12071" xr:uid="{00000000-0005-0000-0000-00001A5D0000}"/>
    <cellStyle name="Currency 3 6 2 4 3 2" xfId="25786" xr:uid="{00000000-0005-0000-0000-00001B5D0000}"/>
    <cellStyle name="Currency 3 6 2 4 4" xfId="21607" xr:uid="{00000000-0005-0000-0000-00001C5D0000}"/>
    <cellStyle name="Currency 3 6 2 5" xfId="6139" xr:uid="{00000000-0005-0000-0000-00001D5D0000}"/>
    <cellStyle name="Currency 3 6 2 5 2" xfId="6140" xr:uid="{00000000-0005-0000-0000-00001E5D0000}"/>
    <cellStyle name="Currency 3 6 2 5 2 2" xfId="15637" xr:uid="{00000000-0005-0000-0000-00001F5D0000}"/>
    <cellStyle name="Currency 3 6 2 5 2 3" xfId="21604" xr:uid="{00000000-0005-0000-0000-0000205D0000}"/>
    <cellStyle name="Currency 3 6 2 5 3" xfId="13646" xr:uid="{00000000-0005-0000-0000-0000215D0000}"/>
    <cellStyle name="Currency 3 6 2 5 3 2" xfId="27195" xr:uid="{00000000-0005-0000-0000-0000225D0000}"/>
    <cellStyle name="Currency 3 6 2 5 4" xfId="21605" xr:uid="{00000000-0005-0000-0000-0000235D0000}"/>
    <cellStyle name="Currency 3 6 2 6" xfId="6141" xr:uid="{00000000-0005-0000-0000-0000245D0000}"/>
    <cellStyle name="Currency 3 6 2 6 2" xfId="14227" xr:uid="{00000000-0005-0000-0000-0000255D0000}"/>
    <cellStyle name="Currency 3 6 2 6 2 2" xfId="27776" xr:uid="{00000000-0005-0000-0000-0000265D0000}"/>
    <cellStyle name="Currency 3 6 2 6 3" xfId="21603" xr:uid="{00000000-0005-0000-0000-0000275D0000}"/>
    <cellStyle name="Currency 3 6 2 7" xfId="6142" xr:uid="{00000000-0005-0000-0000-0000285D0000}"/>
    <cellStyle name="Currency 3 6 2 7 2" xfId="16113" xr:uid="{00000000-0005-0000-0000-0000295D0000}"/>
    <cellStyle name="Currency 3 6 2 7 2 2" xfId="29520" xr:uid="{00000000-0005-0000-0000-00002A5D0000}"/>
    <cellStyle name="Currency 3 6 2 7 3" xfId="21602" xr:uid="{00000000-0005-0000-0000-00002B5D0000}"/>
    <cellStyle name="Currency 3 6 2 8" xfId="9889" xr:uid="{00000000-0005-0000-0000-00002C5D0000}"/>
    <cellStyle name="Currency 3 6 2 9" xfId="21621" xr:uid="{00000000-0005-0000-0000-00002D5D0000}"/>
    <cellStyle name="Currency 3 6 3" xfId="6143" xr:uid="{00000000-0005-0000-0000-00002E5D0000}"/>
    <cellStyle name="Currency 3 6 3 2" xfId="6144" xr:uid="{00000000-0005-0000-0000-00002F5D0000}"/>
    <cellStyle name="Currency 3 6 3 2 2" xfId="6145" xr:uid="{00000000-0005-0000-0000-0000305D0000}"/>
    <cellStyle name="Currency 3 6 3 2 2 2" xfId="11381" xr:uid="{00000000-0005-0000-0000-0000315D0000}"/>
    <cellStyle name="Currency 3 6 3 2 2 3" xfId="21599" xr:uid="{00000000-0005-0000-0000-0000325D0000}"/>
    <cellStyle name="Currency 3 6 3 2 3" xfId="6146" xr:uid="{00000000-0005-0000-0000-0000335D0000}"/>
    <cellStyle name="Currency 3 6 3 2 3 2" xfId="16840" xr:uid="{00000000-0005-0000-0000-0000345D0000}"/>
    <cellStyle name="Currency 3 6 3 2 3 2 2" xfId="30247" xr:uid="{00000000-0005-0000-0000-0000355D0000}"/>
    <cellStyle name="Currency 3 6 3 2 3 3" xfId="21598" xr:uid="{00000000-0005-0000-0000-0000365D0000}"/>
    <cellStyle name="Currency 3 6 3 2 4" xfId="9894" xr:uid="{00000000-0005-0000-0000-0000375D0000}"/>
    <cellStyle name="Currency 3 6 3 2 5" xfId="21600" xr:uid="{00000000-0005-0000-0000-0000385D0000}"/>
    <cellStyle name="Currency 3 6 3 3" xfId="6147" xr:uid="{00000000-0005-0000-0000-0000395D0000}"/>
    <cellStyle name="Currency 3 6 3 3 2" xfId="6148" xr:uid="{00000000-0005-0000-0000-00003A5D0000}"/>
    <cellStyle name="Currency 3 6 3 3 2 2" xfId="13179" xr:uid="{00000000-0005-0000-0000-00003B5D0000}"/>
    <cellStyle name="Currency 3 6 3 3 2 3" xfId="21596" xr:uid="{00000000-0005-0000-0000-00003C5D0000}"/>
    <cellStyle name="Currency 3 6 3 3 3" xfId="12228" xr:uid="{00000000-0005-0000-0000-00003D5D0000}"/>
    <cellStyle name="Currency 3 6 3 3 3 2" xfId="25940" xr:uid="{00000000-0005-0000-0000-00003E5D0000}"/>
    <cellStyle name="Currency 3 6 3 3 4" xfId="21597" xr:uid="{00000000-0005-0000-0000-00003F5D0000}"/>
    <cellStyle name="Currency 3 6 3 4" xfId="6149" xr:uid="{00000000-0005-0000-0000-0000405D0000}"/>
    <cellStyle name="Currency 3 6 3 4 2" xfId="6150" xr:uid="{00000000-0005-0000-0000-0000415D0000}"/>
    <cellStyle name="Currency 3 6 3 4 2 2" xfId="15638" xr:uid="{00000000-0005-0000-0000-0000425D0000}"/>
    <cellStyle name="Currency 3 6 3 4 2 3" xfId="21594" xr:uid="{00000000-0005-0000-0000-0000435D0000}"/>
    <cellStyle name="Currency 3 6 3 4 3" xfId="13792" xr:uid="{00000000-0005-0000-0000-0000445D0000}"/>
    <cellStyle name="Currency 3 6 3 4 3 2" xfId="27341" xr:uid="{00000000-0005-0000-0000-0000455D0000}"/>
    <cellStyle name="Currency 3 6 3 4 4" xfId="21595" xr:uid="{00000000-0005-0000-0000-0000465D0000}"/>
    <cellStyle name="Currency 3 6 3 5" xfId="6151" xr:uid="{00000000-0005-0000-0000-0000475D0000}"/>
    <cellStyle name="Currency 3 6 3 5 2" xfId="14373" xr:uid="{00000000-0005-0000-0000-0000485D0000}"/>
    <cellStyle name="Currency 3 6 3 5 2 2" xfId="27922" xr:uid="{00000000-0005-0000-0000-0000495D0000}"/>
    <cellStyle name="Currency 3 6 3 5 3" xfId="21593" xr:uid="{00000000-0005-0000-0000-00004A5D0000}"/>
    <cellStyle name="Currency 3 6 3 6" xfId="6152" xr:uid="{00000000-0005-0000-0000-00004B5D0000}"/>
    <cellStyle name="Currency 3 6 3 6 2" xfId="16259" xr:uid="{00000000-0005-0000-0000-00004C5D0000}"/>
    <cellStyle name="Currency 3 6 3 6 2 2" xfId="29666" xr:uid="{00000000-0005-0000-0000-00004D5D0000}"/>
    <cellStyle name="Currency 3 6 3 6 3" xfId="21592" xr:uid="{00000000-0005-0000-0000-00004E5D0000}"/>
    <cellStyle name="Currency 3 6 3 7" xfId="9893" xr:uid="{00000000-0005-0000-0000-00004F5D0000}"/>
    <cellStyle name="Currency 3 6 3 8" xfId="21601" xr:uid="{00000000-0005-0000-0000-0000505D0000}"/>
    <cellStyle name="Currency 3 6 4" xfId="6153" xr:uid="{00000000-0005-0000-0000-0000515D0000}"/>
    <cellStyle name="Currency 3 6 4 2" xfId="6154" xr:uid="{00000000-0005-0000-0000-0000525D0000}"/>
    <cellStyle name="Currency 3 6 4 2 2" xfId="16551" xr:uid="{00000000-0005-0000-0000-0000535D0000}"/>
    <cellStyle name="Currency 3 6 4 2 2 2" xfId="29958" xr:uid="{00000000-0005-0000-0000-0000545D0000}"/>
    <cellStyle name="Currency 3 6 4 2 3" xfId="21590" xr:uid="{00000000-0005-0000-0000-0000555D0000}"/>
    <cellStyle name="Currency 3 6 4 3" xfId="9895" xr:uid="{00000000-0005-0000-0000-0000565D0000}"/>
    <cellStyle name="Currency 3 6 4 4" xfId="21591" xr:uid="{00000000-0005-0000-0000-0000575D0000}"/>
    <cellStyle name="Currency 3 6 5" xfId="6155" xr:uid="{00000000-0005-0000-0000-0000585D0000}"/>
    <cellStyle name="Currency 3 6 5 2" xfId="6156" xr:uid="{00000000-0005-0000-0000-0000595D0000}"/>
    <cellStyle name="Currency 3 6 5 2 2" xfId="11382" xr:uid="{00000000-0005-0000-0000-00005A5D0000}"/>
    <cellStyle name="Currency 3 6 5 2 3" xfId="21588" xr:uid="{00000000-0005-0000-0000-00005B5D0000}"/>
    <cellStyle name="Currency 3 6 5 3" xfId="9896" xr:uid="{00000000-0005-0000-0000-00005C5D0000}"/>
    <cellStyle name="Currency 3 6 5 4" xfId="21589" xr:uid="{00000000-0005-0000-0000-00005D5D0000}"/>
    <cellStyle name="Currency 3 6 6" xfId="6157" xr:uid="{00000000-0005-0000-0000-00005E5D0000}"/>
    <cellStyle name="Currency 3 6 6 2" xfId="6158" xr:uid="{00000000-0005-0000-0000-00005F5D0000}"/>
    <cellStyle name="Currency 3 6 6 2 2" xfId="13180" xr:uid="{00000000-0005-0000-0000-0000605D0000}"/>
    <cellStyle name="Currency 3 6 6 2 3" xfId="21586" xr:uid="{00000000-0005-0000-0000-0000615D0000}"/>
    <cellStyle name="Currency 3 6 6 3" xfId="11926" xr:uid="{00000000-0005-0000-0000-0000625D0000}"/>
    <cellStyle name="Currency 3 6 6 3 2" xfId="25641" xr:uid="{00000000-0005-0000-0000-0000635D0000}"/>
    <cellStyle name="Currency 3 6 6 4" xfId="21587" xr:uid="{00000000-0005-0000-0000-0000645D0000}"/>
    <cellStyle name="Currency 3 6 7" xfId="6159" xr:uid="{00000000-0005-0000-0000-0000655D0000}"/>
    <cellStyle name="Currency 3 6 7 2" xfId="6160" xr:uid="{00000000-0005-0000-0000-0000665D0000}"/>
    <cellStyle name="Currency 3 6 7 2 2" xfId="15639" xr:uid="{00000000-0005-0000-0000-0000675D0000}"/>
    <cellStyle name="Currency 3 6 7 2 3" xfId="21584" xr:uid="{00000000-0005-0000-0000-0000685D0000}"/>
    <cellStyle name="Currency 3 6 7 3" xfId="13503" xr:uid="{00000000-0005-0000-0000-0000695D0000}"/>
    <cellStyle name="Currency 3 6 7 3 2" xfId="27052" xr:uid="{00000000-0005-0000-0000-00006A5D0000}"/>
    <cellStyle name="Currency 3 6 7 4" xfId="21585" xr:uid="{00000000-0005-0000-0000-00006B5D0000}"/>
    <cellStyle name="Currency 3 6 8" xfId="6161" xr:uid="{00000000-0005-0000-0000-00006C5D0000}"/>
    <cellStyle name="Currency 3 6 8 2" xfId="14084" xr:uid="{00000000-0005-0000-0000-00006D5D0000}"/>
    <cellStyle name="Currency 3 6 8 2 2" xfId="27633" xr:uid="{00000000-0005-0000-0000-00006E5D0000}"/>
    <cellStyle name="Currency 3 6 8 3" xfId="21583" xr:uid="{00000000-0005-0000-0000-00006F5D0000}"/>
    <cellStyle name="Currency 3 6 9" xfId="6162" xr:uid="{00000000-0005-0000-0000-0000705D0000}"/>
    <cellStyle name="Currency 3 6 9 2" xfId="15970" xr:uid="{00000000-0005-0000-0000-0000715D0000}"/>
    <cellStyle name="Currency 3 6 9 2 2" xfId="29377" xr:uid="{00000000-0005-0000-0000-0000725D0000}"/>
    <cellStyle name="Currency 3 6 9 3" xfId="21582" xr:uid="{00000000-0005-0000-0000-0000735D0000}"/>
    <cellStyle name="Currency 3 7" xfId="6163" xr:uid="{00000000-0005-0000-0000-0000745D0000}"/>
    <cellStyle name="Currency 3 7 2" xfId="6164" xr:uid="{00000000-0005-0000-0000-0000755D0000}"/>
    <cellStyle name="Currency 3 7 2 2" xfId="6165" xr:uid="{00000000-0005-0000-0000-0000765D0000}"/>
    <cellStyle name="Currency 3 7 2 2 2" xfId="6166" xr:uid="{00000000-0005-0000-0000-0000775D0000}"/>
    <cellStyle name="Currency 3 7 2 2 2 2" xfId="11383" xr:uid="{00000000-0005-0000-0000-0000785D0000}"/>
    <cellStyle name="Currency 3 7 2 2 2 3" xfId="21578" xr:uid="{00000000-0005-0000-0000-0000795D0000}"/>
    <cellStyle name="Currency 3 7 2 2 3" xfId="6167" xr:uid="{00000000-0005-0000-0000-00007A5D0000}"/>
    <cellStyle name="Currency 3 7 2 2 3 2" xfId="16860" xr:uid="{00000000-0005-0000-0000-00007B5D0000}"/>
    <cellStyle name="Currency 3 7 2 2 3 2 2" xfId="30267" xr:uid="{00000000-0005-0000-0000-00007C5D0000}"/>
    <cellStyle name="Currency 3 7 2 2 3 3" xfId="21577" xr:uid="{00000000-0005-0000-0000-00007D5D0000}"/>
    <cellStyle name="Currency 3 7 2 2 4" xfId="9899" xr:uid="{00000000-0005-0000-0000-00007E5D0000}"/>
    <cellStyle name="Currency 3 7 2 2 5" xfId="21579" xr:uid="{00000000-0005-0000-0000-00007F5D0000}"/>
    <cellStyle name="Currency 3 7 2 3" xfId="6168" xr:uid="{00000000-0005-0000-0000-0000805D0000}"/>
    <cellStyle name="Currency 3 7 2 3 2" xfId="6169" xr:uid="{00000000-0005-0000-0000-0000815D0000}"/>
    <cellStyle name="Currency 3 7 2 3 2 2" xfId="13181" xr:uid="{00000000-0005-0000-0000-0000825D0000}"/>
    <cellStyle name="Currency 3 7 2 3 2 3" xfId="21575" xr:uid="{00000000-0005-0000-0000-0000835D0000}"/>
    <cellStyle name="Currency 3 7 2 3 3" xfId="12248" xr:uid="{00000000-0005-0000-0000-0000845D0000}"/>
    <cellStyle name="Currency 3 7 2 3 3 2" xfId="25960" xr:uid="{00000000-0005-0000-0000-0000855D0000}"/>
    <cellStyle name="Currency 3 7 2 3 4" xfId="21576" xr:uid="{00000000-0005-0000-0000-0000865D0000}"/>
    <cellStyle name="Currency 3 7 2 4" xfId="6170" xr:uid="{00000000-0005-0000-0000-0000875D0000}"/>
    <cellStyle name="Currency 3 7 2 4 2" xfId="6171" xr:uid="{00000000-0005-0000-0000-0000885D0000}"/>
    <cellStyle name="Currency 3 7 2 4 2 2" xfId="15640" xr:uid="{00000000-0005-0000-0000-0000895D0000}"/>
    <cellStyle name="Currency 3 7 2 4 2 3" xfId="21573" xr:uid="{00000000-0005-0000-0000-00008A5D0000}"/>
    <cellStyle name="Currency 3 7 2 4 3" xfId="13812" xr:uid="{00000000-0005-0000-0000-00008B5D0000}"/>
    <cellStyle name="Currency 3 7 2 4 3 2" xfId="27361" xr:uid="{00000000-0005-0000-0000-00008C5D0000}"/>
    <cellStyle name="Currency 3 7 2 4 4" xfId="21574" xr:uid="{00000000-0005-0000-0000-00008D5D0000}"/>
    <cellStyle name="Currency 3 7 2 5" xfId="6172" xr:uid="{00000000-0005-0000-0000-00008E5D0000}"/>
    <cellStyle name="Currency 3 7 2 5 2" xfId="14393" xr:uid="{00000000-0005-0000-0000-00008F5D0000}"/>
    <cellStyle name="Currency 3 7 2 5 2 2" xfId="27942" xr:uid="{00000000-0005-0000-0000-0000905D0000}"/>
    <cellStyle name="Currency 3 7 2 5 3" xfId="21572" xr:uid="{00000000-0005-0000-0000-0000915D0000}"/>
    <cellStyle name="Currency 3 7 2 6" xfId="6173" xr:uid="{00000000-0005-0000-0000-0000925D0000}"/>
    <cellStyle name="Currency 3 7 2 6 2" xfId="16279" xr:uid="{00000000-0005-0000-0000-0000935D0000}"/>
    <cellStyle name="Currency 3 7 2 6 2 2" xfId="29686" xr:uid="{00000000-0005-0000-0000-0000945D0000}"/>
    <cellStyle name="Currency 3 7 2 6 3" xfId="21571" xr:uid="{00000000-0005-0000-0000-0000955D0000}"/>
    <cellStyle name="Currency 3 7 2 7" xfId="9898" xr:uid="{00000000-0005-0000-0000-0000965D0000}"/>
    <cellStyle name="Currency 3 7 2 8" xfId="21580" xr:uid="{00000000-0005-0000-0000-0000975D0000}"/>
    <cellStyle name="Currency 3 7 3" xfId="6174" xr:uid="{00000000-0005-0000-0000-0000985D0000}"/>
    <cellStyle name="Currency 3 7 3 2" xfId="6175" xr:uid="{00000000-0005-0000-0000-0000995D0000}"/>
    <cellStyle name="Currency 3 7 3 2 2" xfId="11384" xr:uid="{00000000-0005-0000-0000-00009A5D0000}"/>
    <cellStyle name="Currency 3 7 3 2 3" xfId="21569" xr:uid="{00000000-0005-0000-0000-00009B5D0000}"/>
    <cellStyle name="Currency 3 7 3 3" xfId="6176" xr:uid="{00000000-0005-0000-0000-00009C5D0000}"/>
    <cellStyle name="Currency 3 7 3 3 2" xfId="16571" xr:uid="{00000000-0005-0000-0000-00009D5D0000}"/>
    <cellStyle name="Currency 3 7 3 3 2 2" xfId="29978" xr:uid="{00000000-0005-0000-0000-00009E5D0000}"/>
    <cellStyle name="Currency 3 7 3 3 3" xfId="21568" xr:uid="{00000000-0005-0000-0000-00009F5D0000}"/>
    <cellStyle name="Currency 3 7 3 4" xfId="9900" xr:uid="{00000000-0005-0000-0000-0000A05D0000}"/>
    <cellStyle name="Currency 3 7 3 5" xfId="21570" xr:uid="{00000000-0005-0000-0000-0000A15D0000}"/>
    <cellStyle name="Currency 3 7 4" xfId="6177" xr:uid="{00000000-0005-0000-0000-0000A25D0000}"/>
    <cellStyle name="Currency 3 7 4 2" xfId="6178" xr:uid="{00000000-0005-0000-0000-0000A35D0000}"/>
    <cellStyle name="Currency 3 7 4 2 2" xfId="13182" xr:uid="{00000000-0005-0000-0000-0000A45D0000}"/>
    <cellStyle name="Currency 3 7 4 2 3" xfId="21566" xr:uid="{00000000-0005-0000-0000-0000A55D0000}"/>
    <cellStyle name="Currency 3 7 4 3" xfId="11947" xr:uid="{00000000-0005-0000-0000-0000A65D0000}"/>
    <cellStyle name="Currency 3 7 4 3 2" xfId="25662" xr:uid="{00000000-0005-0000-0000-0000A75D0000}"/>
    <cellStyle name="Currency 3 7 4 4" xfId="21567" xr:uid="{00000000-0005-0000-0000-0000A85D0000}"/>
    <cellStyle name="Currency 3 7 5" xfId="6179" xr:uid="{00000000-0005-0000-0000-0000A95D0000}"/>
    <cellStyle name="Currency 3 7 5 2" xfId="6180" xr:uid="{00000000-0005-0000-0000-0000AA5D0000}"/>
    <cellStyle name="Currency 3 7 5 2 2" xfId="15641" xr:uid="{00000000-0005-0000-0000-0000AB5D0000}"/>
    <cellStyle name="Currency 3 7 5 2 3" xfId="21564" xr:uid="{00000000-0005-0000-0000-0000AC5D0000}"/>
    <cellStyle name="Currency 3 7 5 3" xfId="13523" xr:uid="{00000000-0005-0000-0000-0000AD5D0000}"/>
    <cellStyle name="Currency 3 7 5 3 2" xfId="27072" xr:uid="{00000000-0005-0000-0000-0000AE5D0000}"/>
    <cellStyle name="Currency 3 7 5 4" xfId="21565" xr:uid="{00000000-0005-0000-0000-0000AF5D0000}"/>
    <cellStyle name="Currency 3 7 6" xfId="6181" xr:uid="{00000000-0005-0000-0000-0000B05D0000}"/>
    <cellStyle name="Currency 3 7 6 2" xfId="14104" xr:uid="{00000000-0005-0000-0000-0000B15D0000}"/>
    <cellStyle name="Currency 3 7 6 2 2" xfId="27653" xr:uid="{00000000-0005-0000-0000-0000B25D0000}"/>
    <cellStyle name="Currency 3 7 6 3" xfId="21563" xr:uid="{00000000-0005-0000-0000-0000B35D0000}"/>
    <cellStyle name="Currency 3 7 7" xfId="6182" xr:uid="{00000000-0005-0000-0000-0000B45D0000}"/>
    <cellStyle name="Currency 3 7 7 2" xfId="15990" xr:uid="{00000000-0005-0000-0000-0000B55D0000}"/>
    <cellStyle name="Currency 3 7 7 2 2" xfId="29397" xr:uid="{00000000-0005-0000-0000-0000B65D0000}"/>
    <cellStyle name="Currency 3 7 7 3" xfId="21562" xr:uid="{00000000-0005-0000-0000-0000B75D0000}"/>
    <cellStyle name="Currency 3 7 8" xfId="9897" xr:uid="{00000000-0005-0000-0000-0000B85D0000}"/>
    <cellStyle name="Currency 3 7 9" xfId="21581" xr:uid="{00000000-0005-0000-0000-0000B95D0000}"/>
    <cellStyle name="Currency 3 8" xfId="6183" xr:uid="{00000000-0005-0000-0000-0000BA5D0000}"/>
    <cellStyle name="Currency 3 8 2" xfId="6184" xr:uid="{00000000-0005-0000-0000-0000BB5D0000}"/>
    <cellStyle name="Currency 3 8 2 2" xfId="6185" xr:uid="{00000000-0005-0000-0000-0000BC5D0000}"/>
    <cellStyle name="Currency 3 8 2 2 2" xfId="11385" xr:uid="{00000000-0005-0000-0000-0000BD5D0000}"/>
    <cellStyle name="Currency 3 8 2 2 3" xfId="21559" xr:uid="{00000000-0005-0000-0000-0000BE5D0000}"/>
    <cellStyle name="Currency 3 8 2 3" xfId="6186" xr:uid="{00000000-0005-0000-0000-0000BF5D0000}"/>
    <cellStyle name="Currency 3 8 2 3 2" xfId="16716" xr:uid="{00000000-0005-0000-0000-0000C05D0000}"/>
    <cellStyle name="Currency 3 8 2 3 2 2" xfId="30123" xr:uid="{00000000-0005-0000-0000-0000C15D0000}"/>
    <cellStyle name="Currency 3 8 2 3 3" xfId="21558" xr:uid="{00000000-0005-0000-0000-0000C25D0000}"/>
    <cellStyle name="Currency 3 8 2 4" xfId="9902" xr:uid="{00000000-0005-0000-0000-0000C35D0000}"/>
    <cellStyle name="Currency 3 8 2 5" xfId="21560" xr:uid="{00000000-0005-0000-0000-0000C45D0000}"/>
    <cellStyle name="Currency 3 8 3" xfId="6187" xr:uid="{00000000-0005-0000-0000-0000C55D0000}"/>
    <cellStyle name="Currency 3 8 3 2" xfId="6188" xr:uid="{00000000-0005-0000-0000-0000C65D0000}"/>
    <cellStyle name="Currency 3 8 3 2 2" xfId="13183" xr:uid="{00000000-0005-0000-0000-0000C75D0000}"/>
    <cellStyle name="Currency 3 8 3 2 3" xfId="21556" xr:uid="{00000000-0005-0000-0000-0000C85D0000}"/>
    <cellStyle name="Currency 3 8 3 3" xfId="12099" xr:uid="{00000000-0005-0000-0000-0000C95D0000}"/>
    <cellStyle name="Currency 3 8 3 3 2" xfId="25811" xr:uid="{00000000-0005-0000-0000-0000CA5D0000}"/>
    <cellStyle name="Currency 3 8 3 4" xfId="21557" xr:uid="{00000000-0005-0000-0000-0000CB5D0000}"/>
    <cellStyle name="Currency 3 8 4" xfId="6189" xr:uid="{00000000-0005-0000-0000-0000CC5D0000}"/>
    <cellStyle name="Currency 3 8 4 2" xfId="6190" xr:uid="{00000000-0005-0000-0000-0000CD5D0000}"/>
    <cellStyle name="Currency 3 8 4 2 2" xfId="15642" xr:uid="{00000000-0005-0000-0000-0000CE5D0000}"/>
    <cellStyle name="Currency 3 8 4 2 3" xfId="21554" xr:uid="{00000000-0005-0000-0000-0000CF5D0000}"/>
    <cellStyle name="Currency 3 8 4 3" xfId="13668" xr:uid="{00000000-0005-0000-0000-0000D05D0000}"/>
    <cellStyle name="Currency 3 8 4 3 2" xfId="27217" xr:uid="{00000000-0005-0000-0000-0000D15D0000}"/>
    <cellStyle name="Currency 3 8 4 4" xfId="21555" xr:uid="{00000000-0005-0000-0000-0000D25D0000}"/>
    <cellStyle name="Currency 3 8 5" xfId="6191" xr:uid="{00000000-0005-0000-0000-0000D35D0000}"/>
    <cellStyle name="Currency 3 8 5 2" xfId="14249" xr:uid="{00000000-0005-0000-0000-0000D45D0000}"/>
    <cellStyle name="Currency 3 8 5 2 2" xfId="27798" xr:uid="{00000000-0005-0000-0000-0000D55D0000}"/>
    <cellStyle name="Currency 3 8 5 3" xfId="21553" xr:uid="{00000000-0005-0000-0000-0000D65D0000}"/>
    <cellStyle name="Currency 3 8 6" xfId="6192" xr:uid="{00000000-0005-0000-0000-0000D75D0000}"/>
    <cellStyle name="Currency 3 8 6 2" xfId="16135" xr:uid="{00000000-0005-0000-0000-0000D85D0000}"/>
    <cellStyle name="Currency 3 8 6 2 2" xfId="29542" xr:uid="{00000000-0005-0000-0000-0000D95D0000}"/>
    <cellStyle name="Currency 3 8 6 3" xfId="21552" xr:uid="{00000000-0005-0000-0000-0000DA5D0000}"/>
    <cellStyle name="Currency 3 8 7" xfId="9901" xr:uid="{00000000-0005-0000-0000-0000DB5D0000}"/>
    <cellStyle name="Currency 3 8 8" xfId="21561" xr:uid="{00000000-0005-0000-0000-0000DC5D0000}"/>
    <cellStyle name="Currency 3 9" xfId="6193" xr:uid="{00000000-0005-0000-0000-0000DD5D0000}"/>
    <cellStyle name="Currency 3 9 2" xfId="6194" xr:uid="{00000000-0005-0000-0000-0000DE5D0000}"/>
    <cellStyle name="Currency 3 9 2 2" xfId="6195" xr:uid="{00000000-0005-0000-0000-0000DF5D0000}"/>
    <cellStyle name="Currency 3 9 2 2 2" xfId="11386" xr:uid="{00000000-0005-0000-0000-0000E05D0000}"/>
    <cellStyle name="Currency 3 9 2 2 3" xfId="21549" xr:uid="{00000000-0005-0000-0000-0000E15D0000}"/>
    <cellStyle name="Currency 3 9 2 3" xfId="6196" xr:uid="{00000000-0005-0000-0000-0000E25D0000}"/>
    <cellStyle name="Currency 3 9 2 3 2" xfId="16724" xr:uid="{00000000-0005-0000-0000-0000E35D0000}"/>
    <cellStyle name="Currency 3 9 2 3 2 2" xfId="30131" xr:uid="{00000000-0005-0000-0000-0000E45D0000}"/>
    <cellStyle name="Currency 3 9 2 3 3" xfId="21548" xr:uid="{00000000-0005-0000-0000-0000E55D0000}"/>
    <cellStyle name="Currency 3 9 2 4" xfId="9904" xr:uid="{00000000-0005-0000-0000-0000E65D0000}"/>
    <cellStyle name="Currency 3 9 2 5" xfId="21550" xr:uid="{00000000-0005-0000-0000-0000E75D0000}"/>
    <cellStyle name="Currency 3 9 3" xfId="6197" xr:uid="{00000000-0005-0000-0000-0000E85D0000}"/>
    <cellStyle name="Currency 3 9 3 2" xfId="6198" xr:uid="{00000000-0005-0000-0000-0000E95D0000}"/>
    <cellStyle name="Currency 3 9 3 2 2" xfId="13184" xr:uid="{00000000-0005-0000-0000-0000EA5D0000}"/>
    <cellStyle name="Currency 3 9 3 2 3" xfId="21546" xr:uid="{00000000-0005-0000-0000-0000EB5D0000}"/>
    <cellStyle name="Currency 3 9 3 3" xfId="12112" xr:uid="{00000000-0005-0000-0000-0000EC5D0000}"/>
    <cellStyle name="Currency 3 9 3 3 2" xfId="25824" xr:uid="{00000000-0005-0000-0000-0000ED5D0000}"/>
    <cellStyle name="Currency 3 9 3 4" xfId="21547" xr:uid="{00000000-0005-0000-0000-0000EE5D0000}"/>
    <cellStyle name="Currency 3 9 4" xfId="6199" xr:uid="{00000000-0005-0000-0000-0000EF5D0000}"/>
    <cellStyle name="Currency 3 9 4 2" xfId="6200" xr:uid="{00000000-0005-0000-0000-0000F05D0000}"/>
    <cellStyle name="Currency 3 9 4 2 2" xfId="15643" xr:uid="{00000000-0005-0000-0000-0000F15D0000}"/>
    <cellStyle name="Currency 3 9 4 2 3" xfId="21544" xr:uid="{00000000-0005-0000-0000-0000F25D0000}"/>
    <cellStyle name="Currency 3 9 4 3" xfId="13676" xr:uid="{00000000-0005-0000-0000-0000F35D0000}"/>
    <cellStyle name="Currency 3 9 4 3 2" xfId="27225" xr:uid="{00000000-0005-0000-0000-0000F45D0000}"/>
    <cellStyle name="Currency 3 9 4 4" xfId="21545" xr:uid="{00000000-0005-0000-0000-0000F55D0000}"/>
    <cellStyle name="Currency 3 9 5" xfId="6201" xr:uid="{00000000-0005-0000-0000-0000F65D0000}"/>
    <cellStyle name="Currency 3 9 5 2" xfId="14257" xr:uid="{00000000-0005-0000-0000-0000F75D0000}"/>
    <cellStyle name="Currency 3 9 5 2 2" xfId="27806" xr:uid="{00000000-0005-0000-0000-0000F85D0000}"/>
    <cellStyle name="Currency 3 9 5 3" xfId="21543" xr:uid="{00000000-0005-0000-0000-0000F95D0000}"/>
    <cellStyle name="Currency 3 9 6" xfId="6202" xr:uid="{00000000-0005-0000-0000-0000FA5D0000}"/>
    <cellStyle name="Currency 3 9 6 2" xfId="16143" xr:uid="{00000000-0005-0000-0000-0000FB5D0000}"/>
    <cellStyle name="Currency 3 9 6 2 2" xfId="29550" xr:uid="{00000000-0005-0000-0000-0000FC5D0000}"/>
    <cellStyle name="Currency 3 9 6 3" xfId="21542" xr:uid="{00000000-0005-0000-0000-0000FD5D0000}"/>
    <cellStyle name="Currency 3 9 7" xfId="9903" xr:uid="{00000000-0005-0000-0000-0000FE5D0000}"/>
    <cellStyle name="Currency 3 9 8" xfId="21551" xr:uid="{00000000-0005-0000-0000-0000FF5D0000}"/>
    <cellStyle name="Currency 4" xfId="6203" xr:uid="{00000000-0005-0000-0000-0000005E0000}"/>
    <cellStyle name="Currency 4 2" xfId="6204" xr:uid="{00000000-0005-0000-0000-0000015E0000}"/>
    <cellStyle name="Currency 4 2 2" xfId="6205" xr:uid="{00000000-0005-0000-0000-0000025E0000}"/>
    <cellStyle name="Currency 4 2 2 2" xfId="9907" xr:uid="{00000000-0005-0000-0000-0000035E0000}"/>
    <cellStyle name="Currency 4 2 2 3" xfId="21539" xr:uid="{00000000-0005-0000-0000-0000045E0000}"/>
    <cellStyle name="Currency 4 2 3" xfId="6206" xr:uid="{00000000-0005-0000-0000-0000055E0000}"/>
    <cellStyle name="Currency 4 2 3 2" xfId="13185" xr:uid="{00000000-0005-0000-0000-0000065E0000}"/>
    <cellStyle name="Currency 4 2 3 3" xfId="21538" xr:uid="{00000000-0005-0000-0000-0000075E0000}"/>
    <cellStyle name="Currency 4 2 4" xfId="6207" xr:uid="{00000000-0005-0000-0000-0000085E0000}"/>
    <cellStyle name="Currency 4 2 4 2" xfId="17019" xr:uid="{00000000-0005-0000-0000-0000095E0000}"/>
    <cellStyle name="Currency 4 2 4 2 2" xfId="30425" xr:uid="{00000000-0005-0000-0000-00000A5E0000}"/>
    <cellStyle name="Currency 4 2 4 3" xfId="21537" xr:uid="{00000000-0005-0000-0000-00000B5E0000}"/>
    <cellStyle name="Currency 4 2 5" xfId="9906" xr:uid="{00000000-0005-0000-0000-00000C5E0000}"/>
    <cellStyle name="Currency 4 2 6" xfId="21540" xr:uid="{00000000-0005-0000-0000-00000D5E0000}"/>
    <cellStyle name="Currency 4 3" xfId="6208" xr:uid="{00000000-0005-0000-0000-00000E5E0000}"/>
    <cellStyle name="Currency 4 3 2" xfId="9908" xr:uid="{00000000-0005-0000-0000-00000F5E0000}"/>
    <cellStyle name="Currency 4 3 3" xfId="21536" xr:uid="{00000000-0005-0000-0000-0000105E0000}"/>
    <cellStyle name="Currency 4 4" xfId="6209" xr:uid="{00000000-0005-0000-0000-0000115E0000}"/>
    <cellStyle name="Currency 4 4 2" xfId="9909" xr:uid="{00000000-0005-0000-0000-0000125E0000}"/>
    <cellStyle name="Currency 4 4 3" xfId="21535" xr:uid="{00000000-0005-0000-0000-0000135E0000}"/>
    <cellStyle name="Currency 4 5" xfId="6210" xr:uid="{00000000-0005-0000-0000-0000145E0000}"/>
    <cellStyle name="Currency 4 5 2" xfId="13186" xr:uid="{00000000-0005-0000-0000-0000155E0000}"/>
    <cellStyle name="Currency 4 5 3" xfId="21534" xr:uid="{00000000-0005-0000-0000-0000165E0000}"/>
    <cellStyle name="Currency 4 6" xfId="6211" xr:uid="{00000000-0005-0000-0000-0000175E0000}"/>
    <cellStyle name="Currency 4 6 2" xfId="9905" xr:uid="{00000000-0005-0000-0000-0000185E0000}"/>
    <cellStyle name="Currency 4 6 3" xfId="21533" xr:uid="{00000000-0005-0000-0000-0000195E0000}"/>
    <cellStyle name="Currency 4 7" xfId="8667" xr:uid="{00000000-0005-0000-0000-00001A5E0000}"/>
    <cellStyle name="Currency 4 8" xfId="21541" xr:uid="{00000000-0005-0000-0000-00001B5E0000}"/>
    <cellStyle name="Currency 5" xfId="6212" xr:uid="{00000000-0005-0000-0000-00001C5E0000}"/>
    <cellStyle name="Currency 5 10" xfId="6213" xr:uid="{00000000-0005-0000-0000-00001D5E0000}"/>
    <cellStyle name="Currency 5 10 2" xfId="15889" xr:uid="{00000000-0005-0000-0000-00001E5E0000}"/>
    <cellStyle name="Currency 5 10 2 2" xfId="29296" xr:uid="{00000000-0005-0000-0000-00001F5E0000}"/>
    <cellStyle name="Currency 5 10 3" xfId="21531" xr:uid="{00000000-0005-0000-0000-0000205E0000}"/>
    <cellStyle name="Currency 5 11" xfId="6214" xr:uid="{00000000-0005-0000-0000-0000215E0000}"/>
    <cellStyle name="Currency 5 11 2" xfId="17324" xr:uid="{00000000-0005-0000-0000-0000225E0000}"/>
    <cellStyle name="Currency 5 11 3" xfId="21530" xr:uid="{00000000-0005-0000-0000-0000235E0000}"/>
    <cellStyle name="Currency 5 12" xfId="8725" xr:uid="{00000000-0005-0000-0000-0000245E0000}"/>
    <cellStyle name="Currency 5 13" xfId="9910" xr:uid="{00000000-0005-0000-0000-0000255E0000}"/>
    <cellStyle name="Currency 5 14" xfId="21532" xr:uid="{00000000-0005-0000-0000-0000265E0000}"/>
    <cellStyle name="Currency 5 2" xfId="6215" xr:uid="{00000000-0005-0000-0000-0000275E0000}"/>
    <cellStyle name="Currency 5 2 10" xfId="21529" xr:uid="{00000000-0005-0000-0000-0000285E0000}"/>
    <cellStyle name="Currency 5 2 2" xfId="6216" xr:uid="{00000000-0005-0000-0000-0000295E0000}"/>
    <cellStyle name="Currency 5 2 2 2" xfId="6217" xr:uid="{00000000-0005-0000-0000-00002A5E0000}"/>
    <cellStyle name="Currency 5 2 2 2 2" xfId="6218" xr:uid="{00000000-0005-0000-0000-00002B5E0000}"/>
    <cellStyle name="Currency 5 2 2 2 2 2" xfId="6219" xr:uid="{00000000-0005-0000-0000-00002C5E0000}"/>
    <cellStyle name="Currency 5 2 2 2 2 2 2" xfId="11387" xr:uid="{00000000-0005-0000-0000-00002D5E0000}"/>
    <cellStyle name="Currency 5 2 2 2 2 2 3" xfId="21525" xr:uid="{00000000-0005-0000-0000-00002E5E0000}"/>
    <cellStyle name="Currency 5 2 2 2 2 3" xfId="6220" xr:uid="{00000000-0005-0000-0000-00002F5E0000}"/>
    <cellStyle name="Currency 5 2 2 2 2 3 2" xfId="16948" xr:uid="{00000000-0005-0000-0000-0000305E0000}"/>
    <cellStyle name="Currency 5 2 2 2 2 3 2 2" xfId="30355" xr:uid="{00000000-0005-0000-0000-0000315E0000}"/>
    <cellStyle name="Currency 5 2 2 2 2 3 3" xfId="21524" xr:uid="{00000000-0005-0000-0000-0000325E0000}"/>
    <cellStyle name="Currency 5 2 2 2 2 4" xfId="9914" xr:uid="{00000000-0005-0000-0000-0000335E0000}"/>
    <cellStyle name="Currency 5 2 2 2 2 5" xfId="21526" xr:uid="{00000000-0005-0000-0000-0000345E0000}"/>
    <cellStyle name="Currency 5 2 2 2 3" xfId="6221" xr:uid="{00000000-0005-0000-0000-0000355E0000}"/>
    <cellStyle name="Currency 5 2 2 2 3 2" xfId="6222" xr:uid="{00000000-0005-0000-0000-0000365E0000}"/>
    <cellStyle name="Currency 5 2 2 2 3 2 2" xfId="13187" xr:uid="{00000000-0005-0000-0000-0000375E0000}"/>
    <cellStyle name="Currency 5 2 2 2 3 2 3" xfId="21522" xr:uid="{00000000-0005-0000-0000-0000385E0000}"/>
    <cellStyle name="Currency 5 2 2 2 3 3" xfId="12336" xr:uid="{00000000-0005-0000-0000-0000395E0000}"/>
    <cellStyle name="Currency 5 2 2 2 3 3 2" xfId="26048" xr:uid="{00000000-0005-0000-0000-00003A5E0000}"/>
    <cellStyle name="Currency 5 2 2 2 3 4" xfId="21523" xr:uid="{00000000-0005-0000-0000-00003B5E0000}"/>
    <cellStyle name="Currency 5 2 2 2 4" xfId="6223" xr:uid="{00000000-0005-0000-0000-00003C5E0000}"/>
    <cellStyle name="Currency 5 2 2 2 4 2" xfId="6224" xr:uid="{00000000-0005-0000-0000-00003D5E0000}"/>
    <cellStyle name="Currency 5 2 2 2 4 2 2" xfId="15644" xr:uid="{00000000-0005-0000-0000-00003E5E0000}"/>
    <cellStyle name="Currency 5 2 2 2 4 2 3" xfId="21520" xr:uid="{00000000-0005-0000-0000-00003F5E0000}"/>
    <cellStyle name="Currency 5 2 2 2 4 3" xfId="13900" xr:uid="{00000000-0005-0000-0000-0000405E0000}"/>
    <cellStyle name="Currency 5 2 2 2 4 3 2" xfId="27449" xr:uid="{00000000-0005-0000-0000-0000415E0000}"/>
    <cellStyle name="Currency 5 2 2 2 4 4" xfId="21521" xr:uid="{00000000-0005-0000-0000-0000425E0000}"/>
    <cellStyle name="Currency 5 2 2 2 5" xfId="6225" xr:uid="{00000000-0005-0000-0000-0000435E0000}"/>
    <cellStyle name="Currency 5 2 2 2 5 2" xfId="14481" xr:uid="{00000000-0005-0000-0000-0000445E0000}"/>
    <cellStyle name="Currency 5 2 2 2 5 2 2" xfId="28030" xr:uid="{00000000-0005-0000-0000-0000455E0000}"/>
    <cellStyle name="Currency 5 2 2 2 5 3" xfId="21519" xr:uid="{00000000-0005-0000-0000-0000465E0000}"/>
    <cellStyle name="Currency 5 2 2 2 6" xfId="6226" xr:uid="{00000000-0005-0000-0000-0000475E0000}"/>
    <cellStyle name="Currency 5 2 2 2 6 2" xfId="16367" xr:uid="{00000000-0005-0000-0000-0000485E0000}"/>
    <cellStyle name="Currency 5 2 2 2 6 2 2" xfId="29774" xr:uid="{00000000-0005-0000-0000-0000495E0000}"/>
    <cellStyle name="Currency 5 2 2 2 6 3" xfId="21518" xr:uid="{00000000-0005-0000-0000-00004A5E0000}"/>
    <cellStyle name="Currency 5 2 2 2 7" xfId="9913" xr:uid="{00000000-0005-0000-0000-00004B5E0000}"/>
    <cellStyle name="Currency 5 2 2 2 8" xfId="21527" xr:uid="{00000000-0005-0000-0000-00004C5E0000}"/>
    <cellStyle name="Currency 5 2 2 3" xfId="6227" xr:uid="{00000000-0005-0000-0000-00004D5E0000}"/>
    <cellStyle name="Currency 5 2 2 3 2" xfId="6228" xr:uid="{00000000-0005-0000-0000-00004E5E0000}"/>
    <cellStyle name="Currency 5 2 2 3 2 2" xfId="11388" xr:uid="{00000000-0005-0000-0000-00004F5E0000}"/>
    <cellStyle name="Currency 5 2 2 3 2 3" xfId="21516" xr:uid="{00000000-0005-0000-0000-0000505E0000}"/>
    <cellStyle name="Currency 5 2 2 3 3" xfId="6229" xr:uid="{00000000-0005-0000-0000-0000515E0000}"/>
    <cellStyle name="Currency 5 2 2 3 3 2" xfId="16659" xr:uid="{00000000-0005-0000-0000-0000525E0000}"/>
    <cellStyle name="Currency 5 2 2 3 3 2 2" xfId="30066" xr:uid="{00000000-0005-0000-0000-0000535E0000}"/>
    <cellStyle name="Currency 5 2 2 3 3 3" xfId="21515" xr:uid="{00000000-0005-0000-0000-0000545E0000}"/>
    <cellStyle name="Currency 5 2 2 3 4" xfId="9915" xr:uid="{00000000-0005-0000-0000-0000555E0000}"/>
    <cellStyle name="Currency 5 2 2 3 5" xfId="21517" xr:uid="{00000000-0005-0000-0000-0000565E0000}"/>
    <cellStyle name="Currency 5 2 2 4" xfId="6230" xr:uid="{00000000-0005-0000-0000-0000575E0000}"/>
    <cellStyle name="Currency 5 2 2 4 2" xfId="6231" xr:uid="{00000000-0005-0000-0000-0000585E0000}"/>
    <cellStyle name="Currency 5 2 2 4 2 2" xfId="13188" xr:uid="{00000000-0005-0000-0000-0000595E0000}"/>
    <cellStyle name="Currency 5 2 2 4 2 3" xfId="21513" xr:uid="{00000000-0005-0000-0000-00005A5E0000}"/>
    <cellStyle name="Currency 5 2 2 4 3" xfId="12036" xr:uid="{00000000-0005-0000-0000-00005B5E0000}"/>
    <cellStyle name="Currency 5 2 2 4 3 2" xfId="25751" xr:uid="{00000000-0005-0000-0000-00005C5E0000}"/>
    <cellStyle name="Currency 5 2 2 4 4" xfId="21514" xr:uid="{00000000-0005-0000-0000-00005D5E0000}"/>
    <cellStyle name="Currency 5 2 2 5" xfId="6232" xr:uid="{00000000-0005-0000-0000-00005E5E0000}"/>
    <cellStyle name="Currency 5 2 2 5 2" xfId="6233" xr:uid="{00000000-0005-0000-0000-00005F5E0000}"/>
    <cellStyle name="Currency 5 2 2 5 2 2" xfId="15645" xr:uid="{00000000-0005-0000-0000-0000605E0000}"/>
    <cellStyle name="Currency 5 2 2 5 2 3" xfId="21511" xr:uid="{00000000-0005-0000-0000-0000615E0000}"/>
    <cellStyle name="Currency 5 2 2 5 3" xfId="13611" xr:uid="{00000000-0005-0000-0000-0000625E0000}"/>
    <cellStyle name="Currency 5 2 2 5 3 2" xfId="27160" xr:uid="{00000000-0005-0000-0000-0000635E0000}"/>
    <cellStyle name="Currency 5 2 2 5 4" xfId="21512" xr:uid="{00000000-0005-0000-0000-0000645E0000}"/>
    <cellStyle name="Currency 5 2 2 6" xfId="6234" xr:uid="{00000000-0005-0000-0000-0000655E0000}"/>
    <cellStyle name="Currency 5 2 2 6 2" xfId="14192" xr:uid="{00000000-0005-0000-0000-0000665E0000}"/>
    <cellStyle name="Currency 5 2 2 6 2 2" xfId="27741" xr:uid="{00000000-0005-0000-0000-0000675E0000}"/>
    <cellStyle name="Currency 5 2 2 6 3" xfId="21510" xr:uid="{00000000-0005-0000-0000-0000685E0000}"/>
    <cellStyle name="Currency 5 2 2 7" xfId="6235" xr:uid="{00000000-0005-0000-0000-0000695E0000}"/>
    <cellStyle name="Currency 5 2 2 7 2" xfId="16078" xr:uid="{00000000-0005-0000-0000-00006A5E0000}"/>
    <cellStyle name="Currency 5 2 2 7 2 2" xfId="29485" xr:uid="{00000000-0005-0000-0000-00006B5E0000}"/>
    <cellStyle name="Currency 5 2 2 7 3" xfId="21509" xr:uid="{00000000-0005-0000-0000-00006C5E0000}"/>
    <cellStyle name="Currency 5 2 2 8" xfId="9912" xr:uid="{00000000-0005-0000-0000-00006D5E0000}"/>
    <cellStyle name="Currency 5 2 2 9" xfId="21528" xr:uid="{00000000-0005-0000-0000-00006E5E0000}"/>
    <cellStyle name="Currency 5 2 3" xfId="6236" xr:uid="{00000000-0005-0000-0000-00006F5E0000}"/>
    <cellStyle name="Currency 5 2 3 2" xfId="6237" xr:uid="{00000000-0005-0000-0000-0000705E0000}"/>
    <cellStyle name="Currency 5 2 3 2 2" xfId="6238" xr:uid="{00000000-0005-0000-0000-0000715E0000}"/>
    <cellStyle name="Currency 5 2 3 2 2 2" xfId="11389" xr:uid="{00000000-0005-0000-0000-0000725E0000}"/>
    <cellStyle name="Currency 5 2 3 2 2 3" xfId="21506" xr:uid="{00000000-0005-0000-0000-0000735E0000}"/>
    <cellStyle name="Currency 5 2 3 2 3" xfId="6239" xr:uid="{00000000-0005-0000-0000-0000745E0000}"/>
    <cellStyle name="Currency 5 2 3 2 3 2" xfId="16805" xr:uid="{00000000-0005-0000-0000-0000755E0000}"/>
    <cellStyle name="Currency 5 2 3 2 3 2 2" xfId="30212" xr:uid="{00000000-0005-0000-0000-0000765E0000}"/>
    <cellStyle name="Currency 5 2 3 2 3 3" xfId="21505" xr:uid="{00000000-0005-0000-0000-0000775E0000}"/>
    <cellStyle name="Currency 5 2 3 2 4" xfId="9917" xr:uid="{00000000-0005-0000-0000-0000785E0000}"/>
    <cellStyle name="Currency 5 2 3 2 5" xfId="21507" xr:uid="{00000000-0005-0000-0000-0000795E0000}"/>
    <cellStyle name="Currency 5 2 3 3" xfId="6240" xr:uid="{00000000-0005-0000-0000-00007A5E0000}"/>
    <cellStyle name="Currency 5 2 3 3 2" xfId="6241" xr:uid="{00000000-0005-0000-0000-00007B5E0000}"/>
    <cellStyle name="Currency 5 2 3 3 2 2" xfId="13189" xr:uid="{00000000-0005-0000-0000-00007C5E0000}"/>
    <cellStyle name="Currency 5 2 3 3 2 3" xfId="21503" xr:uid="{00000000-0005-0000-0000-00007D5E0000}"/>
    <cellStyle name="Currency 5 2 3 3 3" xfId="12193" xr:uid="{00000000-0005-0000-0000-00007E5E0000}"/>
    <cellStyle name="Currency 5 2 3 3 3 2" xfId="25905" xr:uid="{00000000-0005-0000-0000-00007F5E0000}"/>
    <cellStyle name="Currency 5 2 3 3 4" xfId="21504" xr:uid="{00000000-0005-0000-0000-0000805E0000}"/>
    <cellStyle name="Currency 5 2 3 4" xfId="6242" xr:uid="{00000000-0005-0000-0000-0000815E0000}"/>
    <cellStyle name="Currency 5 2 3 4 2" xfId="6243" xr:uid="{00000000-0005-0000-0000-0000825E0000}"/>
    <cellStyle name="Currency 5 2 3 4 2 2" xfId="15646" xr:uid="{00000000-0005-0000-0000-0000835E0000}"/>
    <cellStyle name="Currency 5 2 3 4 2 3" xfId="21501" xr:uid="{00000000-0005-0000-0000-0000845E0000}"/>
    <cellStyle name="Currency 5 2 3 4 3" xfId="13757" xr:uid="{00000000-0005-0000-0000-0000855E0000}"/>
    <cellStyle name="Currency 5 2 3 4 3 2" xfId="27306" xr:uid="{00000000-0005-0000-0000-0000865E0000}"/>
    <cellStyle name="Currency 5 2 3 4 4" xfId="21502" xr:uid="{00000000-0005-0000-0000-0000875E0000}"/>
    <cellStyle name="Currency 5 2 3 5" xfId="6244" xr:uid="{00000000-0005-0000-0000-0000885E0000}"/>
    <cellStyle name="Currency 5 2 3 5 2" xfId="14338" xr:uid="{00000000-0005-0000-0000-0000895E0000}"/>
    <cellStyle name="Currency 5 2 3 5 2 2" xfId="27887" xr:uid="{00000000-0005-0000-0000-00008A5E0000}"/>
    <cellStyle name="Currency 5 2 3 5 3" xfId="21500" xr:uid="{00000000-0005-0000-0000-00008B5E0000}"/>
    <cellStyle name="Currency 5 2 3 6" xfId="6245" xr:uid="{00000000-0005-0000-0000-00008C5E0000}"/>
    <cellStyle name="Currency 5 2 3 6 2" xfId="16224" xr:uid="{00000000-0005-0000-0000-00008D5E0000}"/>
    <cellStyle name="Currency 5 2 3 6 2 2" xfId="29631" xr:uid="{00000000-0005-0000-0000-00008E5E0000}"/>
    <cellStyle name="Currency 5 2 3 6 3" xfId="21499" xr:uid="{00000000-0005-0000-0000-00008F5E0000}"/>
    <cellStyle name="Currency 5 2 3 7" xfId="9916" xr:uid="{00000000-0005-0000-0000-0000905E0000}"/>
    <cellStyle name="Currency 5 2 3 8" xfId="21508" xr:uid="{00000000-0005-0000-0000-0000915E0000}"/>
    <cellStyle name="Currency 5 2 4" xfId="6246" xr:uid="{00000000-0005-0000-0000-0000925E0000}"/>
    <cellStyle name="Currency 5 2 4 2" xfId="6247" xr:uid="{00000000-0005-0000-0000-0000935E0000}"/>
    <cellStyle name="Currency 5 2 4 2 2" xfId="11390" xr:uid="{00000000-0005-0000-0000-0000945E0000}"/>
    <cellStyle name="Currency 5 2 4 2 3" xfId="21497" xr:uid="{00000000-0005-0000-0000-0000955E0000}"/>
    <cellStyle name="Currency 5 2 4 3" xfId="6248" xr:uid="{00000000-0005-0000-0000-0000965E0000}"/>
    <cellStyle name="Currency 5 2 4 3 2" xfId="17152" xr:uid="{00000000-0005-0000-0000-0000975E0000}"/>
    <cellStyle name="Currency 5 2 4 3 2 2" xfId="30511" xr:uid="{00000000-0005-0000-0000-0000985E0000}"/>
    <cellStyle name="Currency 5 2 4 3 3" xfId="21496" xr:uid="{00000000-0005-0000-0000-0000995E0000}"/>
    <cellStyle name="Currency 5 2 4 4" xfId="9918" xr:uid="{00000000-0005-0000-0000-00009A5E0000}"/>
    <cellStyle name="Currency 5 2 4 5" xfId="21498" xr:uid="{00000000-0005-0000-0000-00009B5E0000}"/>
    <cellStyle name="Currency 5 2 5" xfId="6249" xr:uid="{00000000-0005-0000-0000-00009C5E0000}"/>
    <cellStyle name="Currency 5 2 5 2" xfId="6250" xr:uid="{00000000-0005-0000-0000-00009D5E0000}"/>
    <cellStyle name="Currency 5 2 5 2 2" xfId="13190" xr:uid="{00000000-0005-0000-0000-00009E5E0000}"/>
    <cellStyle name="Currency 5 2 5 2 3" xfId="21494" xr:uid="{00000000-0005-0000-0000-00009F5E0000}"/>
    <cellStyle name="Currency 5 2 5 3" xfId="6251" xr:uid="{00000000-0005-0000-0000-0000A05E0000}"/>
    <cellStyle name="Currency 5 2 5 3 2" xfId="17241" xr:uid="{00000000-0005-0000-0000-0000A15E0000}"/>
    <cellStyle name="Currency 5 2 5 3 2 2" xfId="30600" xr:uid="{00000000-0005-0000-0000-0000A25E0000}"/>
    <cellStyle name="Currency 5 2 5 3 3" xfId="21493" xr:uid="{00000000-0005-0000-0000-0000A35E0000}"/>
    <cellStyle name="Currency 5 2 5 4" xfId="11891" xr:uid="{00000000-0005-0000-0000-0000A45E0000}"/>
    <cellStyle name="Currency 5 2 5 4 2" xfId="25606" xr:uid="{00000000-0005-0000-0000-0000A55E0000}"/>
    <cellStyle name="Currency 5 2 5 5" xfId="21495" xr:uid="{00000000-0005-0000-0000-0000A65E0000}"/>
    <cellStyle name="Currency 5 2 6" xfId="6252" xr:uid="{00000000-0005-0000-0000-0000A75E0000}"/>
    <cellStyle name="Currency 5 2 6 2" xfId="6253" xr:uid="{00000000-0005-0000-0000-0000A85E0000}"/>
    <cellStyle name="Currency 5 2 6 2 2" xfId="15647" xr:uid="{00000000-0005-0000-0000-0000A95E0000}"/>
    <cellStyle name="Currency 5 2 6 2 3" xfId="21491" xr:uid="{00000000-0005-0000-0000-0000AA5E0000}"/>
    <cellStyle name="Currency 5 2 6 3" xfId="6254" xr:uid="{00000000-0005-0000-0000-0000AB5E0000}"/>
    <cellStyle name="Currency 5 2 6 3 2" xfId="16516" xr:uid="{00000000-0005-0000-0000-0000AC5E0000}"/>
    <cellStyle name="Currency 5 2 6 3 2 2" xfId="29923" xr:uid="{00000000-0005-0000-0000-0000AD5E0000}"/>
    <cellStyle name="Currency 5 2 6 3 3" xfId="21490" xr:uid="{00000000-0005-0000-0000-0000AE5E0000}"/>
    <cellStyle name="Currency 5 2 6 4" xfId="13468" xr:uid="{00000000-0005-0000-0000-0000AF5E0000}"/>
    <cellStyle name="Currency 5 2 6 4 2" xfId="27017" xr:uid="{00000000-0005-0000-0000-0000B05E0000}"/>
    <cellStyle name="Currency 5 2 6 5" xfId="21492" xr:uid="{00000000-0005-0000-0000-0000B15E0000}"/>
    <cellStyle name="Currency 5 2 7" xfId="6255" xr:uid="{00000000-0005-0000-0000-0000B25E0000}"/>
    <cellStyle name="Currency 5 2 7 2" xfId="14049" xr:uid="{00000000-0005-0000-0000-0000B35E0000}"/>
    <cellStyle name="Currency 5 2 7 2 2" xfId="27598" xr:uid="{00000000-0005-0000-0000-0000B45E0000}"/>
    <cellStyle name="Currency 5 2 7 3" xfId="21489" xr:uid="{00000000-0005-0000-0000-0000B55E0000}"/>
    <cellStyle name="Currency 5 2 8" xfId="6256" xr:uid="{00000000-0005-0000-0000-0000B65E0000}"/>
    <cellStyle name="Currency 5 2 8 2" xfId="15935" xr:uid="{00000000-0005-0000-0000-0000B75E0000}"/>
    <cellStyle name="Currency 5 2 8 2 2" xfId="29342" xr:uid="{00000000-0005-0000-0000-0000B85E0000}"/>
    <cellStyle name="Currency 5 2 8 3" xfId="21488" xr:uid="{00000000-0005-0000-0000-0000B95E0000}"/>
    <cellStyle name="Currency 5 2 9" xfId="9911" xr:uid="{00000000-0005-0000-0000-0000BA5E0000}"/>
    <cellStyle name="Currency 5 3" xfId="6257" xr:uid="{00000000-0005-0000-0000-0000BB5E0000}"/>
    <cellStyle name="Currency 5 3 2" xfId="6258" xr:uid="{00000000-0005-0000-0000-0000BC5E0000}"/>
    <cellStyle name="Currency 5 3 2 2" xfId="6259" xr:uid="{00000000-0005-0000-0000-0000BD5E0000}"/>
    <cellStyle name="Currency 5 3 2 2 2" xfId="6260" xr:uid="{00000000-0005-0000-0000-0000BE5E0000}"/>
    <cellStyle name="Currency 5 3 2 2 2 2" xfId="11391" xr:uid="{00000000-0005-0000-0000-0000BF5E0000}"/>
    <cellStyle name="Currency 5 3 2 2 2 3" xfId="21484" xr:uid="{00000000-0005-0000-0000-0000C05E0000}"/>
    <cellStyle name="Currency 5 3 2 2 3" xfId="6261" xr:uid="{00000000-0005-0000-0000-0000C15E0000}"/>
    <cellStyle name="Currency 5 3 2 2 3 2" xfId="16902" xr:uid="{00000000-0005-0000-0000-0000C25E0000}"/>
    <cellStyle name="Currency 5 3 2 2 3 2 2" xfId="30309" xr:uid="{00000000-0005-0000-0000-0000C35E0000}"/>
    <cellStyle name="Currency 5 3 2 2 3 3" xfId="21483" xr:uid="{00000000-0005-0000-0000-0000C45E0000}"/>
    <cellStyle name="Currency 5 3 2 2 4" xfId="9921" xr:uid="{00000000-0005-0000-0000-0000C55E0000}"/>
    <cellStyle name="Currency 5 3 2 2 5" xfId="21485" xr:uid="{00000000-0005-0000-0000-0000C65E0000}"/>
    <cellStyle name="Currency 5 3 2 3" xfId="6262" xr:uid="{00000000-0005-0000-0000-0000C75E0000}"/>
    <cellStyle name="Currency 5 3 2 3 2" xfId="6263" xr:uid="{00000000-0005-0000-0000-0000C85E0000}"/>
    <cellStyle name="Currency 5 3 2 3 2 2" xfId="13191" xr:uid="{00000000-0005-0000-0000-0000C95E0000}"/>
    <cellStyle name="Currency 5 3 2 3 2 3" xfId="21481" xr:uid="{00000000-0005-0000-0000-0000CA5E0000}"/>
    <cellStyle name="Currency 5 3 2 3 3" xfId="12290" xr:uid="{00000000-0005-0000-0000-0000CB5E0000}"/>
    <cellStyle name="Currency 5 3 2 3 3 2" xfId="26002" xr:uid="{00000000-0005-0000-0000-0000CC5E0000}"/>
    <cellStyle name="Currency 5 3 2 3 4" xfId="21482" xr:uid="{00000000-0005-0000-0000-0000CD5E0000}"/>
    <cellStyle name="Currency 5 3 2 4" xfId="6264" xr:uid="{00000000-0005-0000-0000-0000CE5E0000}"/>
    <cellStyle name="Currency 5 3 2 4 2" xfId="6265" xr:uid="{00000000-0005-0000-0000-0000CF5E0000}"/>
    <cellStyle name="Currency 5 3 2 4 2 2" xfId="15648" xr:uid="{00000000-0005-0000-0000-0000D05E0000}"/>
    <cellStyle name="Currency 5 3 2 4 2 3" xfId="21479" xr:uid="{00000000-0005-0000-0000-0000D15E0000}"/>
    <cellStyle name="Currency 5 3 2 4 3" xfId="13854" xr:uid="{00000000-0005-0000-0000-0000D25E0000}"/>
    <cellStyle name="Currency 5 3 2 4 3 2" xfId="27403" xr:uid="{00000000-0005-0000-0000-0000D35E0000}"/>
    <cellStyle name="Currency 5 3 2 4 4" xfId="21480" xr:uid="{00000000-0005-0000-0000-0000D45E0000}"/>
    <cellStyle name="Currency 5 3 2 5" xfId="6266" xr:uid="{00000000-0005-0000-0000-0000D55E0000}"/>
    <cellStyle name="Currency 5 3 2 5 2" xfId="14435" xr:uid="{00000000-0005-0000-0000-0000D65E0000}"/>
    <cellStyle name="Currency 5 3 2 5 2 2" xfId="27984" xr:uid="{00000000-0005-0000-0000-0000D75E0000}"/>
    <cellStyle name="Currency 5 3 2 5 3" xfId="21478" xr:uid="{00000000-0005-0000-0000-0000D85E0000}"/>
    <cellStyle name="Currency 5 3 2 6" xfId="6267" xr:uid="{00000000-0005-0000-0000-0000D95E0000}"/>
    <cellStyle name="Currency 5 3 2 6 2" xfId="16321" xr:uid="{00000000-0005-0000-0000-0000DA5E0000}"/>
    <cellStyle name="Currency 5 3 2 6 2 2" xfId="29728" xr:uid="{00000000-0005-0000-0000-0000DB5E0000}"/>
    <cellStyle name="Currency 5 3 2 6 3" xfId="21477" xr:uid="{00000000-0005-0000-0000-0000DC5E0000}"/>
    <cellStyle name="Currency 5 3 2 7" xfId="9920" xr:uid="{00000000-0005-0000-0000-0000DD5E0000}"/>
    <cellStyle name="Currency 5 3 2 8" xfId="21486" xr:uid="{00000000-0005-0000-0000-0000DE5E0000}"/>
    <cellStyle name="Currency 5 3 3" xfId="6268" xr:uid="{00000000-0005-0000-0000-0000DF5E0000}"/>
    <cellStyle name="Currency 5 3 3 2" xfId="6269" xr:uid="{00000000-0005-0000-0000-0000E05E0000}"/>
    <cellStyle name="Currency 5 3 3 2 2" xfId="11392" xr:uid="{00000000-0005-0000-0000-0000E15E0000}"/>
    <cellStyle name="Currency 5 3 3 2 3" xfId="21475" xr:uid="{00000000-0005-0000-0000-0000E25E0000}"/>
    <cellStyle name="Currency 5 3 3 3" xfId="6270" xr:uid="{00000000-0005-0000-0000-0000E35E0000}"/>
    <cellStyle name="Currency 5 3 3 3 2" xfId="16613" xr:uid="{00000000-0005-0000-0000-0000E45E0000}"/>
    <cellStyle name="Currency 5 3 3 3 2 2" xfId="30020" xr:uid="{00000000-0005-0000-0000-0000E55E0000}"/>
    <cellStyle name="Currency 5 3 3 3 3" xfId="21474" xr:uid="{00000000-0005-0000-0000-0000E65E0000}"/>
    <cellStyle name="Currency 5 3 3 4" xfId="9922" xr:uid="{00000000-0005-0000-0000-0000E75E0000}"/>
    <cellStyle name="Currency 5 3 3 5" xfId="21476" xr:uid="{00000000-0005-0000-0000-0000E85E0000}"/>
    <cellStyle name="Currency 5 3 4" xfId="6271" xr:uid="{00000000-0005-0000-0000-0000E95E0000}"/>
    <cellStyle name="Currency 5 3 4 2" xfId="6272" xr:uid="{00000000-0005-0000-0000-0000EA5E0000}"/>
    <cellStyle name="Currency 5 3 4 2 2" xfId="13192" xr:uid="{00000000-0005-0000-0000-0000EB5E0000}"/>
    <cellStyle name="Currency 5 3 4 2 3" xfId="21472" xr:uid="{00000000-0005-0000-0000-0000EC5E0000}"/>
    <cellStyle name="Currency 5 3 4 3" xfId="11990" xr:uid="{00000000-0005-0000-0000-0000ED5E0000}"/>
    <cellStyle name="Currency 5 3 4 3 2" xfId="25705" xr:uid="{00000000-0005-0000-0000-0000EE5E0000}"/>
    <cellStyle name="Currency 5 3 4 4" xfId="21473" xr:uid="{00000000-0005-0000-0000-0000EF5E0000}"/>
    <cellStyle name="Currency 5 3 5" xfId="6273" xr:uid="{00000000-0005-0000-0000-0000F05E0000}"/>
    <cellStyle name="Currency 5 3 5 2" xfId="6274" xr:uid="{00000000-0005-0000-0000-0000F15E0000}"/>
    <cellStyle name="Currency 5 3 5 2 2" xfId="15649" xr:uid="{00000000-0005-0000-0000-0000F25E0000}"/>
    <cellStyle name="Currency 5 3 5 2 3" xfId="21470" xr:uid="{00000000-0005-0000-0000-0000F35E0000}"/>
    <cellStyle name="Currency 5 3 5 3" xfId="13565" xr:uid="{00000000-0005-0000-0000-0000F45E0000}"/>
    <cellStyle name="Currency 5 3 5 3 2" xfId="27114" xr:uid="{00000000-0005-0000-0000-0000F55E0000}"/>
    <cellStyle name="Currency 5 3 5 4" xfId="21471" xr:uid="{00000000-0005-0000-0000-0000F65E0000}"/>
    <cellStyle name="Currency 5 3 6" xfId="6275" xr:uid="{00000000-0005-0000-0000-0000F75E0000}"/>
    <cellStyle name="Currency 5 3 6 2" xfId="14146" xr:uid="{00000000-0005-0000-0000-0000F85E0000}"/>
    <cellStyle name="Currency 5 3 6 2 2" xfId="27695" xr:uid="{00000000-0005-0000-0000-0000F95E0000}"/>
    <cellStyle name="Currency 5 3 6 3" xfId="21469" xr:uid="{00000000-0005-0000-0000-0000FA5E0000}"/>
    <cellStyle name="Currency 5 3 7" xfId="6276" xr:uid="{00000000-0005-0000-0000-0000FB5E0000}"/>
    <cellStyle name="Currency 5 3 7 2" xfId="16032" xr:uid="{00000000-0005-0000-0000-0000FC5E0000}"/>
    <cellStyle name="Currency 5 3 7 2 2" xfId="29439" xr:uid="{00000000-0005-0000-0000-0000FD5E0000}"/>
    <cellStyle name="Currency 5 3 7 3" xfId="21468" xr:uid="{00000000-0005-0000-0000-0000FE5E0000}"/>
    <cellStyle name="Currency 5 3 8" xfId="9919" xr:uid="{00000000-0005-0000-0000-0000FF5E0000}"/>
    <cellStyle name="Currency 5 3 9" xfId="21487" xr:uid="{00000000-0005-0000-0000-0000005F0000}"/>
    <cellStyle name="Currency 5 4" xfId="6277" xr:uid="{00000000-0005-0000-0000-0000015F0000}"/>
    <cellStyle name="Currency 5 4 2" xfId="6278" xr:uid="{00000000-0005-0000-0000-0000025F0000}"/>
    <cellStyle name="Currency 5 4 2 2" xfId="6279" xr:uid="{00000000-0005-0000-0000-0000035F0000}"/>
    <cellStyle name="Currency 5 4 2 2 2" xfId="11393" xr:uid="{00000000-0005-0000-0000-0000045F0000}"/>
    <cellStyle name="Currency 5 4 2 2 3" xfId="21465" xr:uid="{00000000-0005-0000-0000-0000055F0000}"/>
    <cellStyle name="Currency 5 4 2 3" xfId="6280" xr:uid="{00000000-0005-0000-0000-0000065F0000}"/>
    <cellStyle name="Currency 5 4 2 3 2" xfId="16759" xr:uid="{00000000-0005-0000-0000-0000075F0000}"/>
    <cellStyle name="Currency 5 4 2 3 2 2" xfId="30166" xr:uid="{00000000-0005-0000-0000-0000085F0000}"/>
    <cellStyle name="Currency 5 4 2 3 3" xfId="21464" xr:uid="{00000000-0005-0000-0000-0000095F0000}"/>
    <cellStyle name="Currency 5 4 2 4" xfId="9924" xr:uid="{00000000-0005-0000-0000-00000A5F0000}"/>
    <cellStyle name="Currency 5 4 2 5" xfId="21466" xr:uid="{00000000-0005-0000-0000-00000B5F0000}"/>
    <cellStyle name="Currency 5 4 3" xfId="6281" xr:uid="{00000000-0005-0000-0000-00000C5F0000}"/>
    <cellStyle name="Currency 5 4 3 2" xfId="6282" xr:uid="{00000000-0005-0000-0000-00000D5F0000}"/>
    <cellStyle name="Currency 5 4 3 2 2" xfId="13193" xr:uid="{00000000-0005-0000-0000-00000E5F0000}"/>
    <cellStyle name="Currency 5 4 3 2 3" xfId="21462" xr:uid="{00000000-0005-0000-0000-00000F5F0000}"/>
    <cellStyle name="Currency 5 4 3 3" xfId="12147" xr:uid="{00000000-0005-0000-0000-0000105F0000}"/>
    <cellStyle name="Currency 5 4 3 3 2" xfId="25859" xr:uid="{00000000-0005-0000-0000-0000115F0000}"/>
    <cellStyle name="Currency 5 4 3 4" xfId="21463" xr:uid="{00000000-0005-0000-0000-0000125F0000}"/>
    <cellStyle name="Currency 5 4 4" xfId="6283" xr:uid="{00000000-0005-0000-0000-0000135F0000}"/>
    <cellStyle name="Currency 5 4 4 2" xfId="6284" xr:uid="{00000000-0005-0000-0000-0000145F0000}"/>
    <cellStyle name="Currency 5 4 4 2 2" xfId="15650" xr:uid="{00000000-0005-0000-0000-0000155F0000}"/>
    <cellStyle name="Currency 5 4 4 2 3" xfId="21460" xr:uid="{00000000-0005-0000-0000-0000165F0000}"/>
    <cellStyle name="Currency 5 4 4 3" xfId="13711" xr:uid="{00000000-0005-0000-0000-0000175F0000}"/>
    <cellStyle name="Currency 5 4 4 3 2" xfId="27260" xr:uid="{00000000-0005-0000-0000-0000185F0000}"/>
    <cellStyle name="Currency 5 4 4 4" xfId="21461" xr:uid="{00000000-0005-0000-0000-0000195F0000}"/>
    <cellStyle name="Currency 5 4 5" xfId="6285" xr:uid="{00000000-0005-0000-0000-00001A5F0000}"/>
    <cellStyle name="Currency 5 4 5 2" xfId="14292" xr:uid="{00000000-0005-0000-0000-00001B5F0000}"/>
    <cellStyle name="Currency 5 4 5 2 2" xfId="27841" xr:uid="{00000000-0005-0000-0000-00001C5F0000}"/>
    <cellStyle name="Currency 5 4 5 3" xfId="21459" xr:uid="{00000000-0005-0000-0000-00001D5F0000}"/>
    <cellStyle name="Currency 5 4 6" xfId="6286" xr:uid="{00000000-0005-0000-0000-00001E5F0000}"/>
    <cellStyle name="Currency 5 4 6 2" xfId="16178" xr:uid="{00000000-0005-0000-0000-00001F5F0000}"/>
    <cellStyle name="Currency 5 4 6 2 2" xfId="29585" xr:uid="{00000000-0005-0000-0000-0000205F0000}"/>
    <cellStyle name="Currency 5 4 6 3" xfId="21458" xr:uid="{00000000-0005-0000-0000-0000215F0000}"/>
    <cellStyle name="Currency 5 4 7" xfId="9923" xr:uid="{00000000-0005-0000-0000-0000225F0000}"/>
    <cellStyle name="Currency 5 4 8" xfId="21467" xr:uid="{00000000-0005-0000-0000-0000235F0000}"/>
    <cellStyle name="Currency 5 5" xfId="6287" xr:uid="{00000000-0005-0000-0000-0000245F0000}"/>
    <cellStyle name="Currency 5 5 2" xfId="6288" xr:uid="{00000000-0005-0000-0000-0000255F0000}"/>
    <cellStyle name="Currency 5 5 2 2" xfId="17020" xr:uid="{00000000-0005-0000-0000-0000265F0000}"/>
    <cellStyle name="Currency 5 5 2 2 2" xfId="30426" xr:uid="{00000000-0005-0000-0000-0000275F0000}"/>
    <cellStyle name="Currency 5 5 2 3" xfId="21456" xr:uid="{00000000-0005-0000-0000-0000285F0000}"/>
    <cellStyle name="Currency 5 5 3" xfId="9925" xr:uid="{00000000-0005-0000-0000-0000295F0000}"/>
    <cellStyle name="Currency 5 5 4" xfId="21457" xr:uid="{00000000-0005-0000-0000-00002A5F0000}"/>
    <cellStyle name="Currency 5 6" xfId="6289" xr:uid="{00000000-0005-0000-0000-00002B5F0000}"/>
    <cellStyle name="Currency 5 6 2" xfId="6290" xr:uid="{00000000-0005-0000-0000-00002C5F0000}"/>
    <cellStyle name="Currency 5 6 2 2" xfId="11394" xr:uid="{00000000-0005-0000-0000-00002D5F0000}"/>
    <cellStyle name="Currency 5 6 2 3" xfId="21454" xr:uid="{00000000-0005-0000-0000-00002E5F0000}"/>
    <cellStyle name="Currency 5 6 3" xfId="6291" xr:uid="{00000000-0005-0000-0000-00002F5F0000}"/>
    <cellStyle name="Currency 5 6 3 2" xfId="17106" xr:uid="{00000000-0005-0000-0000-0000305F0000}"/>
    <cellStyle name="Currency 5 6 3 2 2" xfId="30465" xr:uid="{00000000-0005-0000-0000-0000315F0000}"/>
    <cellStyle name="Currency 5 6 3 3" xfId="21453" xr:uid="{00000000-0005-0000-0000-0000325F0000}"/>
    <cellStyle name="Currency 5 6 4" xfId="9926" xr:uid="{00000000-0005-0000-0000-0000335F0000}"/>
    <cellStyle name="Currency 5 6 5" xfId="21455" xr:uid="{00000000-0005-0000-0000-0000345F0000}"/>
    <cellStyle name="Currency 5 7" xfId="6292" xr:uid="{00000000-0005-0000-0000-0000355F0000}"/>
    <cellStyle name="Currency 5 7 2" xfId="6293" xr:uid="{00000000-0005-0000-0000-0000365F0000}"/>
    <cellStyle name="Currency 5 7 2 2" xfId="13194" xr:uid="{00000000-0005-0000-0000-0000375F0000}"/>
    <cellStyle name="Currency 5 7 2 3" xfId="21451" xr:uid="{00000000-0005-0000-0000-0000385F0000}"/>
    <cellStyle name="Currency 5 7 3" xfId="6294" xr:uid="{00000000-0005-0000-0000-0000395F0000}"/>
    <cellStyle name="Currency 5 7 3 2" xfId="17195" xr:uid="{00000000-0005-0000-0000-00003A5F0000}"/>
    <cellStyle name="Currency 5 7 3 2 2" xfId="30554" xr:uid="{00000000-0005-0000-0000-00003B5F0000}"/>
    <cellStyle name="Currency 5 7 3 3" xfId="21450" xr:uid="{00000000-0005-0000-0000-00003C5F0000}"/>
    <cellStyle name="Currency 5 7 4" xfId="11821" xr:uid="{00000000-0005-0000-0000-00003D5F0000}"/>
    <cellStyle name="Currency 5 7 4 2" xfId="25536" xr:uid="{00000000-0005-0000-0000-00003E5F0000}"/>
    <cellStyle name="Currency 5 7 5" xfId="21452" xr:uid="{00000000-0005-0000-0000-00003F5F0000}"/>
    <cellStyle name="Currency 5 8" xfId="6295" xr:uid="{00000000-0005-0000-0000-0000405F0000}"/>
    <cellStyle name="Currency 5 8 2" xfId="6296" xr:uid="{00000000-0005-0000-0000-0000415F0000}"/>
    <cellStyle name="Currency 5 8 2 2" xfId="15651" xr:uid="{00000000-0005-0000-0000-0000425F0000}"/>
    <cellStyle name="Currency 5 8 2 3" xfId="21448" xr:uid="{00000000-0005-0000-0000-0000435F0000}"/>
    <cellStyle name="Currency 5 8 3" xfId="6297" xr:uid="{00000000-0005-0000-0000-0000445F0000}"/>
    <cellStyle name="Currency 5 8 3 2" xfId="16470" xr:uid="{00000000-0005-0000-0000-0000455F0000}"/>
    <cellStyle name="Currency 5 8 3 2 2" xfId="29877" xr:uid="{00000000-0005-0000-0000-0000465F0000}"/>
    <cellStyle name="Currency 5 8 3 3" xfId="21447" xr:uid="{00000000-0005-0000-0000-0000475F0000}"/>
    <cellStyle name="Currency 5 8 4" xfId="13422" xr:uid="{00000000-0005-0000-0000-0000485F0000}"/>
    <cellStyle name="Currency 5 8 4 2" xfId="26971" xr:uid="{00000000-0005-0000-0000-0000495F0000}"/>
    <cellStyle name="Currency 5 8 5" xfId="21449" xr:uid="{00000000-0005-0000-0000-00004A5F0000}"/>
    <cellStyle name="Currency 5 9" xfId="6298" xr:uid="{00000000-0005-0000-0000-00004B5F0000}"/>
    <cellStyle name="Currency 5 9 2" xfId="14003" xr:uid="{00000000-0005-0000-0000-00004C5F0000}"/>
    <cellStyle name="Currency 5 9 2 2" xfId="27552" xr:uid="{00000000-0005-0000-0000-00004D5F0000}"/>
    <cellStyle name="Currency 5 9 3" xfId="21446" xr:uid="{00000000-0005-0000-0000-00004E5F0000}"/>
    <cellStyle name="Currency 6" xfId="6299" xr:uid="{00000000-0005-0000-0000-00004F5F0000}"/>
    <cellStyle name="Currency 6 2" xfId="6300" xr:uid="{00000000-0005-0000-0000-0000505F0000}"/>
    <cellStyle name="Currency 6 2 2" xfId="17021" xr:uid="{00000000-0005-0000-0000-0000515F0000}"/>
    <cellStyle name="Currency 6 2 2 2" xfId="30427" xr:uid="{00000000-0005-0000-0000-0000525F0000}"/>
    <cellStyle name="Currency 6 2 3" xfId="21444" xr:uid="{00000000-0005-0000-0000-0000535F0000}"/>
    <cellStyle name="Currency 6 3" xfId="6301" xr:uid="{00000000-0005-0000-0000-0000545F0000}"/>
    <cellStyle name="Currency 6 3 2" xfId="17325" xr:uid="{00000000-0005-0000-0000-0000555F0000}"/>
    <cellStyle name="Currency 6 3 3" xfId="21443" xr:uid="{00000000-0005-0000-0000-0000565F0000}"/>
    <cellStyle name="Currency 6 4" xfId="8722" xr:uid="{00000000-0005-0000-0000-0000575F0000}"/>
    <cellStyle name="Currency 6 5" xfId="21445" xr:uid="{00000000-0005-0000-0000-0000585F0000}"/>
    <cellStyle name="Currency 7" xfId="6302" xr:uid="{00000000-0005-0000-0000-0000595F0000}"/>
    <cellStyle name="Currency 7 2" xfId="9927" xr:uid="{00000000-0005-0000-0000-00005A5F0000}"/>
    <cellStyle name="Currency 7 3" xfId="21442" xr:uid="{00000000-0005-0000-0000-00005B5F0000}"/>
    <cellStyle name="Currency 8" xfId="6303" xr:uid="{00000000-0005-0000-0000-00005C5F0000}"/>
    <cellStyle name="Currency 8 10" xfId="21441" xr:uid="{00000000-0005-0000-0000-00005D5F0000}"/>
    <cellStyle name="Currency 8 2" xfId="6304" xr:uid="{00000000-0005-0000-0000-00005E5F0000}"/>
    <cellStyle name="Currency 8 2 2" xfId="6305" xr:uid="{00000000-0005-0000-0000-00005F5F0000}"/>
    <cellStyle name="Currency 8 2 2 2" xfId="6306" xr:uid="{00000000-0005-0000-0000-0000605F0000}"/>
    <cellStyle name="Currency 8 2 2 2 2" xfId="6307" xr:uid="{00000000-0005-0000-0000-0000615F0000}"/>
    <cellStyle name="Currency 8 2 2 2 2 2" xfId="11395" xr:uid="{00000000-0005-0000-0000-0000625F0000}"/>
    <cellStyle name="Currency 8 2 2 2 2 3" xfId="21437" xr:uid="{00000000-0005-0000-0000-0000635F0000}"/>
    <cellStyle name="Currency 8 2 2 2 3" xfId="6308" xr:uid="{00000000-0005-0000-0000-0000645F0000}"/>
    <cellStyle name="Currency 8 2 2 2 3 2" xfId="16925" xr:uid="{00000000-0005-0000-0000-0000655F0000}"/>
    <cellStyle name="Currency 8 2 2 2 3 2 2" xfId="30332" xr:uid="{00000000-0005-0000-0000-0000665F0000}"/>
    <cellStyle name="Currency 8 2 2 2 3 3" xfId="21436" xr:uid="{00000000-0005-0000-0000-0000675F0000}"/>
    <cellStyle name="Currency 8 2 2 2 4" xfId="9931" xr:uid="{00000000-0005-0000-0000-0000685F0000}"/>
    <cellStyle name="Currency 8 2 2 2 5" xfId="21438" xr:uid="{00000000-0005-0000-0000-0000695F0000}"/>
    <cellStyle name="Currency 8 2 2 3" xfId="6309" xr:uid="{00000000-0005-0000-0000-00006A5F0000}"/>
    <cellStyle name="Currency 8 2 2 3 2" xfId="6310" xr:uid="{00000000-0005-0000-0000-00006B5F0000}"/>
    <cellStyle name="Currency 8 2 2 3 2 2" xfId="13195" xr:uid="{00000000-0005-0000-0000-00006C5F0000}"/>
    <cellStyle name="Currency 8 2 2 3 2 3" xfId="21434" xr:uid="{00000000-0005-0000-0000-00006D5F0000}"/>
    <cellStyle name="Currency 8 2 2 3 3" xfId="12313" xr:uid="{00000000-0005-0000-0000-00006E5F0000}"/>
    <cellStyle name="Currency 8 2 2 3 3 2" xfId="26025" xr:uid="{00000000-0005-0000-0000-00006F5F0000}"/>
    <cellStyle name="Currency 8 2 2 3 4" xfId="21435" xr:uid="{00000000-0005-0000-0000-0000705F0000}"/>
    <cellStyle name="Currency 8 2 2 4" xfId="6311" xr:uid="{00000000-0005-0000-0000-0000715F0000}"/>
    <cellStyle name="Currency 8 2 2 4 2" xfId="6312" xr:uid="{00000000-0005-0000-0000-0000725F0000}"/>
    <cellStyle name="Currency 8 2 2 4 2 2" xfId="15652" xr:uid="{00000000-0005-0000-0000-0000735F0000}"/>
    <cellStyle name="Currency 8 2 2 4 2 3" xfId="21432" xr:uid="{00000000-0005-0000-0000-0000745F0000}"/>
    <cellStyle name="Currency 8 2 2 4 3" xfId="13877" xr:uid="{00000000-0005-0000-0000-0000755F0000}"/>
    <cellStyle name="Currency 8 2 2 4 3 2" xfId="27426" xr:uid="{00000000-0005-0000-0000-0000765F0000}"/>
    <cellStyle name="Currency 8 2 2 4 4" xfId="21433" xr:uid="{00000000-0005-0000-0000-0000775F0000}"/>
    <cellStyle name="Currency 8 2 2 5" xfId="6313" xr:uid="{00000000-0005-0000-0000-0000785F0000}"/>
    <cellStyle name="Currency 8 2 2 5 2" xfId="14458" xr:uid="{00000000-0005-0000-0000-0000795F0000}"/>
    <cellStyle name="Currency 8 2 2 5 2 2" xfId="28007" xr:uid="{00000000-0005-0000-0000-00007A5F0000}"/>
    <cellStyle name="Currency 8 2 2 5 3" xfId="21431" xr:uid="{00000000-0005-0000-0000-00007B5F0000}"/>
    <cellStyle name="Currency 8 2 2 6" xfId="6314" xr:uid="{00000000-0005-0000-0000-00007C5F0000}"/>
    <cellStyle name="Currency 8 2 2 6 2" xfId="16344" xr:uid="{00000000-0005-0000-0000-00007D5F0000}"/>
    <cellStyle name="Currency 8 2 2 6 2 2" xfId="29751" xr:uid="{00000000-0005-0000-0000-00007E5F0000}"/>
    <cellStyle name="Currency 8 2 2 6 3" xfId="21430" xr:uid="{00000000-0005-0000-0000-00007F5F0000}"/>
    <cellStyle name="Currency 8 2 2 7" xfId="9930" xr:uid="{00000000-0005-0000-0000-0000805F0000}"/>
    <cellStyle name="Currency 8 2 2 8" xfId="21439" xr:uid="{00000000-0005-0000-0000-0000815F0000}"/>
    <cellStyle name="Currency 8 2 3" xfId="6315" xr:uid="{00000000-0005-0000-0000-0000825F0000}"/>
    <cellStyle name="Currency 8 2 3 2" xfId="6316" xr:uid="{00000000-0005-0000-0000-0000835F0000}"/>
    <cellStyle name="Currency 8 2 3 2 2" xfId="11396" xr:uid="{00000000-0005-0000-0000-0000845F0000}"/>
    <cellStyle name="Currency 8 2 3 2 3" xfId="21428" xr:uid="{00000000-0005-0000-0000-0000855F0000}"/>
    <cellStyle name="Currency 8 2 3 3" xfId="6317" xr:uid="{00000000-0005-0000-0000-0000865F0000}"/>
    <cellStyle name="Currency 8 2 3 3 2" xfId="16636" xr:uid="{00000000-0005-0000-0000-0000875F0000}"/>
    <cellStyle name="Currency 8 2 3 3 2 2" xfId="30043" xr:uid="{00000000-0005-0000-0000-0000885F0000}"/>
    <cellStyle name="Currency 8 2 3 3 3" xfId="21427" xr:uid="{00000000-0005-0000-0000-0000895F0000}"/>
    <cellStyle name="Currency 8 2 3 4" xfId="9932" xr:uid="{00000000-0005-0000-0000-00008A5F0000}"/>
    <cellStyle name="Currency 8 2 3 5" xfId="21429" xr:uid="{00000000-0005-0000-0000-00008B5F0000}"/>
    <cellStyle name="Currency 8 2 4" xfId="6318" xr:uid="{00000000-0005-0000-0000-00008C5F0000}"/>
    <cellStyle name="Currency 8 2 4 2" xfId="6319" xr:uid="{00000000-0005-0000-0000-00008D5F0000}"/>
    <cellStyle name="Currency 8 2 4 2 2" xfId="13196" xr:uid="{00000000-0005-0000-0000-00008E5F0000}"/>
    <cellStyle name="Currency 8 2 4 2 3" xfId="21425" xr:uid="{00000000-0005-0000-0000-00008F5F0000}"/>
    <cellStyle name="Currency 8 2 4 3" xfId="12013" xr:uid="{00000000-0005-0000-0000-0000905F0000}"/>
    <cellStyle name="Currency 8 2 4 3 2" xfId="25728" xr:uid="{00000000-0005-0000-0000-0000915F0000}"/>
    <cellStyle name="Currency 8 2 4 4" xfId="21426" xr:uid="{00000000-0005-0000-0000-0000925F0000}"/>
    <cellStyle name="Currency 8 2 5" xfId="6320" xr:uid="{00000000-0005-0000-0000-0000935F0000}"/>
    <cellStyle name="Currency 8 2 5 2" xfId="6321" xr:uid="{00000000-0005-0000-0000-0000945F0000}"/>
    <cellStyle name="Currency 8 2 5 2 2" xfId="15653" xr:uid="{00000000-0005-0000-0000-0000955F0000}"/>
    <cellStyle name="Currency 8 2 5 2 3" xfId="21423" xr:uid="{00000000-0005-0000-0000-0000965F0000}"/>
    <cellStyle name="Currency 8 2 5 3" xfId="13588" xr:uid="{00000000-0005-0000-0000-0000975F0000}"/>
    <cellStyle name="Currency 8 2 5 3 2" xfId="27137" xr:uid="{00000000-0005-0000-0000-0000985F0000}"/>
    <cellStyle name="Currency 8 2 5 4" xfId="21424" xr:uid="{00000000-0005-0000-0000-0000995F0000}"/>
    <cellStyle name="Currency 8 2 6" xfId="6322" xr:uid="{00000000-0005-0000-0000-00009A5F0000}"/>
    <cellStyle name="Currency 8 2 6 2" xfId="14169" xr:uid="{00000000-0005-0000-0000-00009B5F0000}"/>
    <cellStyle name="Currency 8 2 6 2 2" xfId="27718" xr:uid="{00000000-0005-0000-0000-00009C5F0000}"/>
    <cellStyle name="Currency 8 2 6 3" xfId="21422" xr:uid="{00000000-0005-0000-0000-00009D5F0000}"/>
    <cellStyle name="Currency 8 2 7" xfId="6323" xr:uid="{00000000-0005-0000-0000-00009E5F0000}"/>
    <cellStyle name="Currency 8 2 7 2" xfId="16055" xr:uid="{00000000-0005-0000-0000-00009F5F0000}"/>
    <cellStyle name="Currency 8 2 7 2 2" xfId="29462" xr:uid="{00000000-0005-0000-0000-0000A05F0000}"/>
    <cellStyle name="Currency 8 2 7 3" xfId="21421" xr:uid="{00000000-0005-0000-0000-0000A15F0000}"/>
    <cellStyle name="Currency 8 2 8" xfId="9929" xr:uid="{00000000-0005-0000-0000-0000A25F0000}"/>
    <cellStyle name="Currency 8 2 9" xfId="21440" xr:uid="{00000000-0005-0000-0000-0000A35F0000}"/>
    <cellStyle name="Currency 8 3" xfId="6324" xr:uid="{00000000-0005-0000-0000-0000A45F0000}"/>
    <cellStyle name="Currency 8 3 2" xfId="6325" xr:uid="{00000000-0005-0000-0000-0000A55F0000}"/>
    <cellStyle name="Currency 8 3 2 2" xfId="6326" xr:uid="{00000000-0005-0000-0000-0000A65F0000}"/>
    <cellStyle name="Currency 8 3 2 2 2" xfId="11397" xr:uid="{00000000-0005-0000-0000-0000A75F0000}"/>
    <cellStyle name="Currency 8 3 2 2 3" xfId="21418" xr:uid="{00000000-0005-0000-0000-0000A85F0000}"/>
    <cellStyle name="Currency 8 3 2 3" xfId="6327" xr:uid="{00000000-0005-0000-0000-0000A95F0000}"/>
    <cellStyle name="Currency 8 3 2 3 2" xfId="16782" xr:uid="{00000000-0005-0000-0000-0000AA5F0000}"/>
    <cellStyle name="Currency 8 3 2 3 2 2" xfId="30189" xr:uid="{00000000-0005-0000-0000-0000AB5F0000}"/>
    <cellStyle name="Currency 8 3 2 3 3" xfId="21417" xr:uid="{00000000-0005-0000-0000-0000AC5F0000}"/>
    <cellStyle name="Currency 8 3 2 4" xfId="9934" xr:uid="{00000000-0005-0000-0000-0000AD5F0000}"/>
    <cellStyle name="Currency 8 3 2 5" xfId="21419" xr:uid="{00000000-0005-0000-0000-0000AE5F0000}"/>
    <cellStyle name="Currency 8 3 3" xfId="6328" xr:uid="{00000000-0005-0000-0000-0000AF5F0000}"/>
    <cellStyle name="Currency 8 3 3 2" xfId="6329" xr:uid="{00000000-0005-0000-0000-0000B05F0000}"/>
    <cellStyle name="Currency 8 3 3 2 2" xfId="13197" xr:uid="{00000000-0005-0000-0000-0000B15F0000}"/>
    <cellStyle name="Currency 8 3 3 2 3" xfId="21415" xr:uid="{00000000-0005-0000-0000-0000B25F0000}"/>
    <cellStyle name="Currency 8 3 3 3" xfId="12170" xr:uid="{00000000-0005-0000-0000-0000B35F0000}"/>
    <cellStyle name="Currency 8 3 3 3 2" xfId="25882" xr:uid="{00000000-0005-0000-0000-0000B45F0000}"/>
    <cellStyle name="Currency 8 3 3 4" xfId="21416" xr:uid="{00000000-0005-0000-0000-0000B55F0000}"/>
    <cellStyle name="Currency 8 3 4" xfId="6330" xr:uid="{00000000-0005-0000-0000-0000B65F0000}"/>
    <cellStyle name="Currency 8 3 4 2" xfId="6331" xr:uid="{00000000-0005-0000-0000-0000B75F0000}"/>
    <cellStyle name="Currency 8 3 4 2 2" xfId="15654" xr:uid="{00000000-0005-0000-0000-0000B85F0000}"/>
    <cellStyle name="Currency 8 3 4 2 3" xfId="21413" xr:uid="{00000000-0005-0000-0000-0000B95F0000}"/>
    <cellStyle name="Currency 8 3 4 3" xfId="13734" xr:uid="{00000000-0005-0000-0000-0000BA5F0000}"/>
    <cellStyle name="Currency 8 3 4 3 2" xfId="27283" xr:uid="{00000000-0005-0000-0000-0000BB5F0000}"/>
    <cellStyle name="Currency 8 3 4 4" xfId="21414" xr:uid="{00000000-0005-0000-0000-0000BC5F0000}"/>
    <cellStyle name="Currency 8 3 5" xfId="6332" xr:uid="{00000000-0005-0000-0000-0000BD5F0000}"/>
    <cellStyle name="Currency 8 3 5 2" xfId="14315" xr:uid="{00000000-0005-0000-0000-0000BE5F0000}"/>
    <cellStyle name="Currency 8 3 5 2 2" xfId="27864" xr:uid="{00000000-0005-0000-0000-0000BF5F0000}"/>
    <cellStyle name="Currency 8 3 5 3" xfId="21412" xr:uid="{00000000-0005-0000-0000-0000C05F0000}"/>
    <cellStyle name="Currency 8 3 6" xfId="6333" xr:uid="{00000000-0005-0000-0000-0000C15F0000}"/>
    <cellStyle name="Currency 8 3 6 2" xfId="16201" xr:uid="{00000000-0005-0000-0000-0000C25F0000}"/>
    <cellStyle name="Currency 8 3 6 2 2" xfId="29608" xr:uid="{00000000-0005-0000-0000-0000C35F0000}"/>
    <cellStyle name="Currency 8 3 6 3" xfId="21411" xr:uid="{00000000-0005-0000-0000-0000C45F0000}"/>
    <cellStyle name="Currency 8 3 7" xfId="9933" xr:uid="{00000000-0005-0000-0000-0000C55F0000}"/>
    <cellStyle name="Currency 8 3 8" xfId="21420" xr:uid="{00000000-0005-0000-0000-0000C65F0000}"/>
    <cellStyle name="Currency 8 4" xfId="6334" xr:uid="{00000000-0005-0000-0000-0000C75F0000}"/>
    <cellStyle name="Currency 8 4 2" xfId="6335" xr:uid="{00000000-0005-0000-0000-0000C85F0000}"/>
    <cellStyle name="Currency 8 4 2 2" xfId="11398" xr:uid="{00000000-0005-0000-0000-0000C95F0000}"/>
    <cellStyle name="Currency 8 4 2 3" xfId="21409" xr:uid="{00000000-0005-0000-0000-0000CA5F0000}"/>
    <cellStyle name="Currency 8 4 3" xfId="6336" xr:uid="{00000000-0005-0000-0000-0000CB5F0000}"/>
    <cellStyle name="Currency 8 4 3 2" xfId="17129" xr:uid="{00000000-0005-0000-0000-0000CC5F0000}"/>
    <cellStyle name="Currency 8 4 3 2 2" xfId="30488" xr:uid="{00000000-0005-0000-0000-0000CD5F0000}"/>
    <cellStyle name="Currency 8 4 3 3" xfId="21408" xr:uid="{00000000-0005-0000-0000-0000CE5F0000}"/>
    <cellStyle name="Currency 8 4 4" xfId="9935" xr:uid="{00000000-0005-0000-0000-0000CF5F0000}"/>
    <cellStyle name="Currency 8 4 5" xfId="21410" xr:uid="{00000000-0005-0000-0000-0000D05F0000}"/>
    <cellStyle name="Currency 8 5" xfId="6337" xr:uid="{00000000-0005-0000-0000-0000D15F0000}"/>
    <cellStyle name="Currency 8 5 2" xfId="6338" xr:uid="{00000000-0005-0000-0000-0000D25F0000}"/>
    <cellStyle name="Currency 8 5 2 2" xfId="13198" xr:uid="{00000000-0005-0000-0000-0000D35F0000}"/>
    <cellStyle name="Currency 8 5 2 3" xfId="21406" xr:uid="{00000000-0005-0000-0000-0000D45F0000}"/>
    <cellStyle name="Currency 8 5 3" xfId="6339" xr:uid="{00000000-0005-0000-0000-0000D55F0000}"/>
    <cellStyle name="Currency 8 5 3 2" xfId="17218" xr:uid="{00000000-0005-0000-0000-0000D65F0000}"/>
    <cellStyle name="Currency 8 5 3 2 2" xfId="30577" xr:uid="{00000000-0005-0000-0000-0000D75F0000}"/>
    <cellStyle name="Currency 8 5 3 3" xfId="21405" xr:uid="{00000000-0005-0000-0000-0000D85F0000}"/>
    <cellStyle name="Currency 8 5 4" xfId="11865" xr:uid="{00000000-0005-0000-0000-0000D95F0000}"/>
    <cellStyle name="Currency 8 5 4 2" xfId="25580" xr:uid="{00000000-0005-0000-0000-0000DA5F0000}"/>
    <cellStyle name="Currency 8 5 5" xfId="21407" xr:uid="{00000000-0005-0000-0000-0000DB5F0000}"/>
    <cellStyle name="Currency 8 6" xfId="6340" xr:uid="{00000000-0005-0000-0000-0000DC5F0000}"/>
    <cellStyle name="Currency 8 6 2" xfId="6341" xr:uid="{00000000-0005-0000-0000-0000DD5F0000}"/>
    <cellStyle name="Currency 8 6 2 2" xfId="15655" xr:uid="{00000000-0005-0000-0000-0000DE5F0000}"/>
    <cellStyle name="Currency 8 6 2 3" xfId="21403" xr:uid="{00000000-0005-0000-0000-0000DF5F0000}"/>
    <cellStyle name="Currency 8 6 3" xfId="6342" xr:uid="{00000000-0005-0000-0000-0000E05F0000}"/>
    <cellStyle name="Currency 8 6 3 2" xfId="16493" xr:uid="{00000000-0005-0000-0000-0000E15F0000}"/>
    <cellStyle name="Currency 8 6 3 2 2" xfId="29900" xr:uid="{00000000-0005-0000-0000-0000E25F0000}"/>
    <cellStyle name="Currency 8 6 3 3" xfId="21402" xr:uid="{00000000-0005-0000-0000-0000E35F0000}"/>
    <cellStyle name="Currency 8 6 4" xfId="13445" xr:uid="{00000000-0005-0000-0000-0000E45F0000}"/>
    <cellStyle name="Currency 8 6 4 2" xfId="26994" xr:uid="{00000000-0005-0000-0000-0000E55F0000}"/>
    <cellStyle name="Currency 8 6 5" xfId="21404" xr:uid="{00000000-0005-0000-0000-0000E65F0000}"/>
    <cellStyle name="Currency 8 7" xfId="6343" xr:uid="{00000000-0005-0000-0000-0000E75F0000}"/>
    <cellStyle name="Currency 8 7 2" xfId="14026" xr:uid="{00000000-0005-0000-0000-0000E85F0000}"/>
    <cellStyle name="Currency 8 7 2 2" xfId="27575" xr:uid="{00000000-0005-0000-0000-0000E95F0000}"/>
    <cellStyle name="Currency 8 7 3" xfId="21401" xr:uid="{00000000-0005-0000-0000-0000EA5F0000}"/>
    <cellStyle name="Currency 8 8" xfId="6344" xr:uid="{00000000-0005-0000-0000-0000EB5F0000}"/>
    <cellStyle name="Currency 8 8 2" xfId="15912" xr:uid="{00000000-0005-0000-0000-0000EC5F0000}"/>
    <cellStyle name="Currency 8 8 2 2" xfId="29319" xr:uid="{00000000-0005-0000-0000-0000ED5F0000}"/>
    <cellStyle name="Currency 8 8 3" xfId="21400" xr:uid="{00000000-0005-0000-0000-0000EE5F0000}"/>
    <cellStyle name="Currency 8 9" xfId="9928" xr:uid="{00000000-0005-0000-0000-0000EF5F0000}"/>
    <cellStyle name="Currency 9" xfId="6345" xr:uid="{00000000-0005-0000-0000-0000F05F0000}"/>
    <cellStyle name="Currency 9 2" xfId="9936" xr:uid="{00000000-0005-0000-0000-0000F15F0000}"/>
    <cellStyle name="Currency 9 3" xfId="21399" xr:uid="{00000000-0005-0000-0000-0000F25F0000}"/>
    <cellStyle name="Currency0" xfId="6346" xr:uid="{00000000-0005-0000-0000-0000F35F0000}"/>
    <cellStyle name="Currency0 2" xfId="6347" xr:uid="{00000000-0005-0000-0000-0000F45F0000}"/>
    <cellStyle name="Currency0 2 2" xfId="6348" xr:uid="{00000000-0005-0000-0000-0000F55F0000}"/>
    <cellStyle name="Currency0 2 2 2" xfId="17022" xr:uid="{00000000-0005-0000-0000-0000F65F0000}"/>
    <cellStyle name="Currency0 2 2 3" xfId="21396" xr:uid="{00000000-0005-0000-0000-0000F75F0000}"/>
    <cellStyle name="Currency0 2 3" xfId="8658" xr:uid="{00000000-0005-0000-0000-0000F85F0000}"/>
    <cellStyle name="Currency0 2 4" xfId="21397" xr:uid="{00000000-0005-0000-0000-0000F95F0000}"/>
    <cellStyle name="Currency0 3" xfId="6349" xr:uid="{00000000-0005-0000-0000-0000FA5F0000}"/>
    <cellStyle name="Currency0 3 2" xfId="8716" xr:uid="{00000000-0005-0000-0000-0000FB5F0000}"/>
    <cellStyle name="Currency0 3 2 2" xfId="17326" xr:uid="{00000000-0005-0000-0000-0000FC5F0000}"/>
    <cellStyle name="Currency0 3 3" xfId="17285" xr:uid="{00000000-0005-0000-0000-0000FD5F0000}"/>
    <cellStyle name="Currency0 3 4" xfId="9937" xr:uid="{00000000-0005-0000-0000-0000FE5F0000}"/>
    <cellStyle name="Currency0 3 5" xfId="21395" xr:uid="{00000000-0005-0000-0000-0000FF5F0000}"/>
    <cellStyle name="Currency0 4" xfId="8651" xr:uid="{00000000-0005-0000-0000-000000600000}"/>
    <cellStyle name="Currency0 5" xfId="21398" xr:uid="{00000000-0005-0000-0000-000001600000}"/>
    <cellStyle name="Date" xfId="6350" xr:uid="{00000000-0005-0000-0000-000002600000}"/>
    <cellStyle name="Date 2" xfId="6351" xr:uid="{00000000-0005-0000-0000-000003600000}"/>
    <cellStyle name="Date 2 2" xfId="6352" xr:uid="{00000000-0005-0000-0000-000004600000}"/>
    <cellStyle name="Date 2 2 2" xfId="17023" xr:uid="{00000000-0005-0000-0000-000005600000}"/>
    <cellStyle name="Date 2 2 3" xfId="21392" xr:uid="{00000000-0005-0000-0000-000006600000}"/>
    <cellStyle name="Date 2 3" xfId="8686" xr:uid="{00000000-0005-0000-0000-000007600000}"/>
    <cellStyle name="Date 2 4" xfId="21393" xr:uid="{00000000-0005-0000-0000-000008600000}"/>
    <cellStyle name="Date 3" xfId="6353" xr:uid="{00000000-0005-0000-0000-000009600000}"/>
    <cellStyle name="Date 3 2" xfId="8659" xr:uid="{00000000-0005-0000-0000-00000A600000}"/>
    <cellStyle name="Date 3 3" xfId="21391" xr:uid="{00000000-0005-0000-0000-00000B600000}"/>
    <cellStyle name="Date 4" xfId="6354" xr:uid="{00000000-0005-0000-0000-00000C600000}"/>
    <cellStyle name="Date 4 2" xfId="8730" xr:uid="{00000000-0005-0000-0000-00000D600000}"/>
    <cellStyle name="Date 4 2 2" xfId="17327" xr:uid="{00000000-0005-0000-0000-00000E600000}"/>
    <cellStyle name="Date 4 3" xfId="17286" xr:uid="{00000000-0005-0000-0000-00000F600000}"/>
    <cellStyle name="Date 4 4" xfId="9938" xr:uid="{00000000-0005-0000-0000-000010600000}"/>
    <cellStyle name="Date 4 5" xfId="30680" xr:uid="{00000000-0005-0000-0000-000011600000}"/>
    <cellStyle name="Date 5" xfId="8650" xr:uid="{00000000-0005-0000-0000-000012600000}"/>
    <cellStyle name="Date 6" xfId="21394" xr:uid="{00000000-0005-0000-0000-000013600000}"/>
    <cellStyle name="Explanatory Text" xfId="33025" builtinId="53" customBuiltin="1"/>
    <cellStyle name="Explanatory Text 2" xfId="6356" xr:uid="{00000000-0005-0000-0000-000015600000}"/>
    <cellStyle name="Explanatory Text 2 2" xfId="8729" xr:uid="{00000000-0005-0000-0000-000016600000}"/>
    <cellStyle name="Explanatory Text 2 3" xfId="30682" xr:uid="{00000000-0005-0000-0000-000017600000}"/>
    <cellStyle name="Explanatory Text 3" xfId="8804" xr:uid="{00000000-0005-0000-0000-000018600000}"/>
    <cellStyle name="Explanatory Text 4" xfId="30681" xr:uid="{00000000-0005-0000-0000-000019600000}"/>
    <cellStyle name="Explanatory Text 5" xfId="6355" xr:uid="{00000000-0005-0000-0000-00001A600000}"/>
    <cellStyle name="Fixed" xfId="6357" xr:uid="{00000000-0005-0000-0000-00001B600000}"/>
    <cellStyle name="Fixed 2" xfId="6358" xr:uid="{00000000-0005-0000-0000-00001C600000}"/>
    <cellStyle name="Fixed 2 2" xfId="6359" xr:uid="{00000000-0005-0000-0000-00001D600000}"/>
    <cellStyle name="Fixed 2 2 2" xfId="17024" xr:uid="{00000000-0005-0000-0000-00001E600000}"/>
    <cellStyle name="Fixed 2 2 3" xfId="30685" xr:uid="{00000000-0005-0000-0000-00001F600000}"/>
    <cellStyle name="Fixed 2 3" xfId="8660" xr:uid="{00000000-0005-0000-0000-000020600000}"/>
    <cellStyle name="Fixed 2 4" xfId="30684" xr:uid="{00000000-0005-0000-0000-000021600000}"/>
    <cellStyle name="Fixed 3" xfId="6360" xr:uid="{00000000-0005-0000-0000-000022600000}"/>
    <cellStyle name="Fixed 3 2" xfId="8720" xr:uid="{00000000-0005-0000-0000-000023600000}"/>
    <cellStyle name="Fixed 3 2 2" xfId="17328" xr:uid="{00000000-0005-0000-0000-000024600000}"/>
    <cellStyle name="Fixed 3 3" xfId="17287" xr:uid="{00000000-0005-0000-0000-000025600000}"/>
    <cellStyle name="Fixed 3 4" xfId="9939" xr:uid="{00000000-0005-0000-0000-000026600000}"/>
    <cellStyle name="Fixed 3 5" xfId="30686" xr:uid="{00000000-0005-0000-0000-000027600000}"/>
    <cellStyle name="Fixed 4" xfId="8652" xr:uid="{00000000-0005-0000-0000-000028600000}"/>
    <cellStyle name="Fixed 5" xfId="30683" xr:uid="{00000000-0005-0000-0000-000029600000}"/>
    <cellStyle name="Good" xfId="9" builtinId="26" customBuiltin="1"/>
    <cellStyle name="Good 10" xfId="6361" xr:uid="{00000000-0005-0000-0000-00002B600000}"/>
    <cellStyle name="Good 10 2" xfId="9941" xr:uid="{00000000-0005-0000-0000-00002C600000}"/>
    <cellStyle name="Good 10 3" xfId="30687" xr:uid="{00000000-0005-0000-0000-00002D600000}"/>
    <cellStyle name="Good 11" xfId="6362" xr:uid="{00000000-0005-0000-0000-00002E600000}"/>
    <cellStyle name="Good 11 2" xfId="9942" xr:uid="{00000000-0005-0000-0000-00002F600000}"/>
    <cellStyle name="Good 11 3" xfId="30688" xr:uid="{00000000-0005-0000-0000-000030600000}"/>
    <cellStyle name="Good 12" xfId="6363" xr:uid="{00000000-0005-0000-0000-000031600000}"/>
    <cellStyle name="Good 12 2" xfId="6364" xr:uid="{00000000-0005-0000-0000-000032600000}"/>
    <cellStyle name="Good 12 2 2" xfId="15656" xr:uid="{00000000-0005-0000-0000-000033600000}"/>
    <cellStyle name="Good 12 2 3" xfId="30690" xr:uid="{00000000-0005-0000-0000-000034600000}"/>
    <cellStyle name="Good 12 3" xfId="10478" xr:uid="{00000000-0005-0000-0000-000035600000}"/>
    <cellStyle name="Good 12 4" xfId="30689" xr:uid="{00000000-0005-0000-0000-000036600000}"/>
    <cellStyle name="Good 13" xfId="6365" xr:uid="{00000000-0005-0000-0000-000037600000}"/>
    <cellStyle name="Good 13 2" xfId="11399" xr:uid="{00000000-0005-0000-0000-000038600000}"/>
    <cellStyle name="Good 13 3" xfId="30691" xr:uid="{00000000-0005-0000-0000-000039600000}"/>
    <cellStyle name="Good 14" xfId="6366" xr:uid="{00000000-0005-0000-0000-00003A600000}"/>
    <cellStyle name="Good 14 2" xfId="9940" xr:uid="{00000000-0005-0000-0000-00003B600000}"/>
    <cellStyle name="Good 14 3" xfId="30692" xr:uid="{00000000-0005-0000-0000-00003C600000}"/>
    <cellStyle name="Good 2" xfId="6367" xr:uid="{00000000-0005-0000-0000-00003D600000}"/>
    <cellStyle name="Good 2 2" xfId="9943" xr:uid="{00000000-0005-0000-0000-00003E600000}"/>
    <cellStyle name="Good 2 3" xfId="30693" xr:uid="{00000000-0005-0000-0000-00003F600000}"/>
    <cellStyle name="Good 3" xfId="6368" xr:uid="{00000000-0005-0000-0000-000040600000}"/>
    <cellStyle name="Good 3 2" xfId="6369" xr:uid="{00000000-0005-0000-0000-000041600000}"/>
    <cellStyle name="Good 3 2 2" xfId="9945" xr:uid="{00000000-0005-0000-0000-000042600000}"/>
    <cellStyle name="Good 3 2 3" xfId="30695" xr:uid="{00000000-0005-0000-0000-000043600000}"/>
    <cellStyle name="Good 3 3" xfId="9944" xr:uid="{00000000-0005-0000-0000-000044600000}"/>
    <cellStyle name="Good 3 4" xfId="30694" xr:uid="{00000000-0005-0000-0000-000045600000}"/>
    <cellStyle name="Good 4" xfId="6370" xr:uid="{00000000-0005-0000-0000-000046600000}"/>
    <cellStyle name="Good 4 2" xfId="6371" xr:uid="{00000000-0005-0000-0000-000047600000}"/>
    <cellStyle name="Good 4 2 2" xfId="13200" xr:uid="{00000000-0005-0000-0000-000048600000}"/>
    <cellStyle name="Good 4 2 3" xfId="30697" xr:uid="{00000000-0005-0000-0000-000049600000}"/>
    <cellStyle name="Good 4 3" xfId="6372" xr:uid="{00000000-0005-0000-0000-00004A600000}"/>
    <cellStyle name="Good 4 3 2" xfId="13199" xr:uid="{00000000-0005-0000-0000-00004B600000}"/>
    <cellStyle name="Good 4 3 3" xfId="30698" xr:uid="{00000000-0005-0000-0000-00004C600000}"/>
    <cellStyle name="Good 4 4" xfId="9946" xr:uid="{00000000-0005-0000-0000-00004D600000}"/>
    <cellStyle name="Good 4 5" xfId="30696" xr:uid="{00000000-0005-0000-0000-00004E600000}"/>
    <cellStyle name="Good 5" xfId="6373" xr:uid="{00000000-0005-0000-0000-00004F600000}"/>
    <cellStyle name="Good 5 2" xfId="6374" xr:uid="{00000000-0005-0000-0000-000050600000}"/>
    <cellStyle name="Good 5 2 2" xfId="9948" xr:uid="{00000000-0005-0000-0000-000051600000}"/>
    <cellStyle name="Good 5 2 3" xfId="30700" xr:uid="{00000000-0005-0000-0000-000052600000}"/>
    <cellStyle name="Good 5 3" xfId="9947" xr:uid="{00000000-0005-0000-0000-000053600000}"/>
    <cellStyle name="Good 5 4" xfId="30699" xr:uid="{00000000-0005-0000-0000-000054600000}"/>
    <cellStyle name="Good 6" xfId="6375" xr:uid="{00000000-0005-0000-0000-000055600000}"/>
    <cellStyle name="Good 6 2" xfId="9949" xr:uid="{00000000-0005-0000-0000-000056600000}"/>
    <cellStyle name="Good 6 3" xfId="30701" xr:uid="{00000000-0005-0000-0000-000057600000}"/>
    <cellStyle name="Good 7" xfId="6376" xr:uid="{00000000-0005-0000-0000-000058600000}"/>
    <cellStyle name="Good 7 2" xfId="9950" xr:uid="{00000000-0005-0000-0000-000059600000}"/>
    <cellStyle name="Good 7 3" xfId="30702" xr:uid="{00000000-0005-0000-0000-00005A600000}"/>
    <cellStyle name="Good 8" xfId="6377" xr:uid="{00000000-0005-0000-0000-00005B600000}"/>
    <cellStyle name="Good 8 2" xfId="9951" xr:uid="{00000000-0005-0000-0000-00005C600000}"/>
    <cellStyle name="Good 8 3" xfId="30703" xr:uid="{00000000-0005-0000-0000-00005D600000}"/>
    <cellStyle name="Good 9" xfId="6378" xr:uid="{00000000-0005-0000-0000-00005E600000}"/>
    <cellStyle name="Good 9 2" xfId="9952" xr:uid="{00000000-0005-0000-0000-00005F600000}"/>
    <cellStyle name="Good 9 3" xfId="30704" xr:uid="{00000000-0005-0000-0000-000060600000}"/>
    <cellStyle name="Heading 1" xfId="5" builtinId="16" customBuiltin="1"/>
    <cellStyle name="Heading 1 2" xfId="6379" xr:uid="{00000000-0005-0000-0000-000062600000}"/>
    <cellStyle name="Heading 1 2 10" xfId="6380" xr:uid="{00000000-0005-0000-0000-000063600000}"/>
    <cellStyle name="Heading 1 2 10 2" xfId="6381" xr:uid="{00000000-0005-0000-0000-000064600000}"/>
    <cellStyle name="Heading 1 2 10 2 2" xfId="11401" xr:uid="{00000000-0005-0000-0000-000065600000}"/>
    <cellStyle name="Heading 1 2 10 2 3" xfId="30707" xr:uid="{00000000-0005-0000-0000-000066600000}"/>
    <cellStyle name="Heading 1 2 10 3" xfId="9955" xr:uid="{00000000-0005-0000-0000-000067600000}"/>
    <cellStyle name="Heading 1 2 10 4" xfId="30706" xr:uid="{00000000-0005-0000-0000-000068600000}"/>
    <cellStyle name="Heading 1 2 11" xfId="6382" xr:uid="{00000000-0005-0000-0000-000069600000}"/>
    <cellStyle name="Heading 1 2 11 2" xfId="6383" xr:uid="{00000000-0005-0000-0000-00006A600000}"/>
    <cellStyle name="Heading 1 2 11 2 2" xfId="11402" xr:uid="{00000000-0005-0000-0000-00006B600000}"/>
    <cellStyle name="Heading 1 2 11 2 3" xfId="30709" xr:uid="{00000000-0005-0000-0000-00006C600000}"/>
    <cellStyle name="Heading 1 2 11 3" xfId="9956" xr:uid="{00000000-0005-0000-0000-00006D600000}"/>
    <cellStyle name="Heading 1 2 11 4" xfId="30708" xr:uid="{00000000-0005-0000-0000-00006E600000}"/>
    <cellStyle name="Heading 1 2 12" xfId="6384" xr:uid="{00000000-0005-0000-0000-00006F600000}"/>
    <cellStyle name="Heading 1 2 12 2" xfId="6385" xr:uid="{00000000-0005-0000-0000-000070600000}"/>
    <cellStyle name="Heading 1 2 12 2 2" xfId="11403" xr:uid="{00000000-0005-0000-0000-000071600000}"/>
    <cellStyle name="Heading 1 2 12 2 3" xfId="30711" xr:uid="{00000000-0005-0000-0000-000072600000}"/>
    <cellStyle name="Heading 1 2 12 3" xfId="9957" xr:uid="{00000000-0005-0000-0000-000073600000}"/>
    <cellStyle name="Heading 1 2 12 4" xfId="30710" xr:uid="{00000000-0005-0000-0000-000074600000}"/>
    <cellStyle name="Heading 1 2 13" xfId="6386" xr:uid="{00000000-0005-0000-0000-000075600000}"/>
    <cellStyle name="Heading 1 2 13 2" xfId="6387" xr:uid="{00000000-0005-0000-0000-000076600000}"/>
    <cellStyle name="Heading 1 2 13 2 2" xfId="15657" xr:uid="{00000000-0005-0000-0000-000077600000}"/>
    <cellStyle name="Heading 1 2 13 2 3" xfId="30713" xr:uid="{00000000-0005-0000-0000-000078600000}"/>
    <cellStyle name="Heading 1 2 13 3" xfId="9958" xr:uid="{00000000-0005-0000-0000-000079600000}"/>
    <cellStyle name="Heading 1 2 13 4" xfId="30712" xr:uid="{00000000-0005-0000-0000-00007A600000}"/>
    <cellStyle name="Heading 1 2 14" xfId="6388" xr:uid="{00000000-0005-0000-0000-00007B600000}"/>
    <cellStyle name="Heading 1 2 14 2" xfId="6389" xr:uid="{00000000-0005-0000-0000-00007C600000}"/>
    <cellStyle name="Heading 1 2 14 2 2" xfId="15658" xr:uid="{00000000-0005-0000-0000-00007D600000}"/>
    <cellStyle name="Heading 1 2 14 2 3" xfId="30715" xr:uid="{00000000-0005-0000-0000-00007E600000}"/>
    <cellStyle name="Heading 1 2 14 3" xfId="10479" xr:uid="{00000000-0005-0000-0000-00007F600000}"/>
    <cellStyle name="Heading 1 2 14 4" xfId="30714" xr:uid="{00000000-0005-0000-0000-000080600000}"/>
    <cellStyle name="Heading 1 2 15" xfId="6390" xr:uid="{00000000-0005-0000-0000-000081600000}"/>
    <cellStyle name="Heading 1 2 15 2" xfId="11400" xr:uid="{00000000-0005-0000-0000-000082600000}"/>
    <cellStyle name="Heading 1 2 15 3" xfId="30716" xr:uid="{00000000-0005-0000-0000-000083600000}"/>
    <cellStyle name="Heading 1 2 16" xfId="8653" xr:uid="{00000000-0005-0000-0000-000084600000}"/>
    <cellStyle name="Heading 1 2 16 2" xfId="9954" xr:uid="{00000000-0005-0000-0000-000085600000}"/>
    <cellStyle name="Heading 1 2 17" xfId="17292" xr:uid="{00000000-0005-0000-0000-000086600000}"/>
    <cellStyle name="Heading 1 2 18" xfId="30705" xr:uid="{00000000-0005-0000-0000-000087600000}"/>
    <cellStyle name="Heading 1 2 2" xfId="6391" xr:uid="{00000000-0005-0000-0000-000088600000}"/>
    <cellStyle name="Heading 1 2 2 2" xfId="6392" xr:uid="{00000000-0005-0000-0000-000089600000}"/>
    <cellStyle name="Heading 1 2 2 2 2" xfId="6393" xr:uid="{00000000-0005-0000-0000-00008A600000}"/>
    <cellStyle name="Heading 1 2 2 2 2 2" xfId="11404" xr:uid="{00000000-0005-0000-0000-00008B600000}"/>
    <cellStyle name="Heading 1 2 2 2 2 3" xfId="30719" xr:uid="{00000000-0005-0000-0000-00008C600000}"/>
    <cellStyle name="Heading 1 2 2 2 3" xfId="9960" xr:uid="{00000000-0005-0000-0000-00008D600000}"/>
    <cellStyle name="Heading 1 2 2 2 4" xfId="30718" xr:uid="{00000000-0005-0000-0000-00008E600000}"/>
    <cellStyle name="Heading 1 2 2 3" xfId="6394" xr:uid="{00000000-0005-0000-0000-00008F600000}"/>
    <cellStyle name="Heading 1 2 2 3 2" xfId="6395" xr:uid="{00000000-0005-0000-0000-000090600000}"/>
    <cellStyle name="Heading 1 2 2 3 2 2" xfId="15659" xr:uid="{00000000-0005-0000-0000-000091600000}"/>
    <cellStyle name="Heading 1 2 2 3 2 3" xfId="30721" xr:uid="{00000000-0005-0000-0000-000092600000}"/>
    <cellStyle name="Heading 1 2 2 3 3" xfId="11653" xr:uid="{00000000-0005-0000-0000-000093600000}"/>
    <cellStyle name="Heading 1 2 2 3 4" xfId="30720" xr:uid="{00000000-0005-0000-0000-000094600000}"/>
    <cellStyle name="Heading 1 2 2 4" xfId="6396" xr:uid="{00000000-0005-0000-0000-000095600000}"/>
    <cellStyle name="Heading 1 2 2 4 2" xfId="12078" xr:uid="{00000000-0005-0000-0000-000096600000}"/>
    <cellStyle name="Heading 1 2 2 4 3" xfId="30722" xr:uid="{00000000-0005-0000-0000-000097600000}"/>
    <cellStyle name="Heading 1 2 2 5" xfId="6397" xr:uid="{00000000-0005-0000-0000-000098600000}"/>
    <cellStyle name="Heading 1 2 2 5 2" xfId="9959" xr:uid="{00000000-0005-0000-0000-000099600000}"/>
    <cellStyle name="Heading 1 2 2 5 3" xfId="30723" xr:uid="{00000000-0005-0000-0000-00009A600000}"/>
    <cellStyle name="Heading 1 2 2 6" xfId="8682" xr:uid="{00000000-0005-0000-0000-00009B600000}"/>
    <cellStyle name="Heading 1 2 2 7" xfId="30717" xr:uid="{00000000-0005-0000-0000-00009C600000}"/>
    <cellStyle name="Heading 1 2 3" xfId="6398" xr:uid="{00000000-0005-0000-0000-00009D600000}"/>
    <cellStyle name="Heading 1 2 3 2" xfId="6399" xr:uid="{00000000-0005-0000-0000-00009E600000}"/>
    <cellStyle name="Heading 1 2 3 2 2" xfId="9962" xr:uid="{00000000-0005-0000-0000-00009F600000}"/>
    <cellStyle name="Heading 1 2 3 2 3" xfId="30725" xr:uid="{00000000-0005-0000-0000-0000A0600000}"/>
    <cellStyle name="Heading 1 2 3 3" xfId="6400" xr:uid="{00000000-0005-0000-0000-0000A1600000}"/>
    <cellStyle name="Heading 1 2 3 3 2" xfId="11405" xr:uid="{00000000-0005-0000-0000-0000A2600000}"/>
    <cellStyle name="Heading 1 2 3 3 3" xfId="30726" xr:uid="{00000000-0005-0000-0000-0000A3600000}"/>
    <cellStyle name="Heading 1 2 3 4" xfId="6401" xr:uid="{00000000-0005-0000-0000-0000A4600000}"/>
    <cellStyle name="Heading 1 2 3 4 2" xfId="17329" xr:uid="{00000000-0005-0000-0000-0000A5600000}"/>
    <cellStyle name="Heading 1 2 3 4 3" xfId="30727" xr:uid="{00000000-0005-0000-0000-0000A6600000}"/>
    <cellStyle name="Heading 1 2 3 5" xfId="8714" xr:uid="{00000000-0005-0000-0000-0000A7600000}"/>
    <cellStyle name="Heading 1 2 3 6" xfId="9961" xr:uid="{00000000-0005-0000-0000-0000A8600000}"/>
    <cellStyle name="Heading 1 2 3 7" xfId="30724" xr:uid="{00000000-0005-0000-0000-0000A9600000}"/>
    <cellStyle name="Heading 1 2 4" xfId="6402" xr:uid="{00000000-0005-0000-0000-0000AA600000}"/>
    <cellStyle name="Heading 1 2 4 2" xfId="6403" xr:uid="{00000000-0005-0000-0000-0000AB600000}"/>
    <cellStyle name="Heading 1 2 4 2 2" xfId="9964" xr:uid="{00000000-0005-0000-0000-0000AC600000}"/>
    <cellStyle name="Heading 1 2 4 2 3" xfId="30729" xr:uid="{00000000-0005-0000-0000-0000AD600000}"/>
    <cellStyle name="Heading 1 2 4 3" xfId="6404" xr:uid="{00000000-0005-0000-0000-0000AE600000}"/>
    <cellStyle name="Heading 1 2 4 3 2" xfId="13202" xr:uid="{00000000-0005-0000-0000-0000AF600000}"/>
    <cellStyle name="Heading 1 2 4 3 3" xfId="30730" xr:uid="{00000000-0005-0000-0000-0000B0600000}"/>
    <cellStyle name="Heading 1 2 4 4" xfId="6405" xr:uid="{00000000-0005-0000-0000-0000B1600000}"/>
    <cellStyle name="Heading 1 2 4 4 2" xfId="13201" xr:uid="{00000000-0005-0000-0000-0000B2600000}"/>
    <cellStyle name="Heading 1 2 4 4 3" xfId="30731" xr:uid="{00000000-0005-0000-0000-0000B3600000}"/>
    <cellStyle name="Heading 1 2 4 5" xfId="9963" xr:uid="{00000000-0005-0000-0000-0000B4600000}"/>
    <cellStyle name="Heading 1 2 4 6" xfId="30728" xr:uid="{00000000-0005-0000-0000-0000B5600000}"/>
    <cellStyle name="Heading 1 2 5" xfId="6406" xr:uid="{00000000-0005-0000-0000-0000B6600000}"/>
    <cellStyle name="Heading 1 2 5 2" xfId="6407" xr:uid="{00000000-0005-0000-0000-0000B7600000}"/>
    <cellStyle name="Heading 1 2 5 2 2" xfId="13204" xr:uid="{00000000-0005-0000-0000-0000B8600000}"/>
    <cellStyle name="Heading 1 2 5 2 3" xfId="30733" xr:uid="{00000000-0005-0000-0000-0000B9600000}"/>
    <cellStyle name="Heading 1 2 5 3" xfId="6408" xr:uid="{00000000-0005-0000-0000-0000BA600000}"/>
    <cellStyle name="Heading 1 2 5 3 2" xfId="13203" xr:uid="{00000000-0005-0000-0000-0000BB600000}"/>
    <cellStyle name="Heading 1 2 5 3 3" xfId="30734" xr:uid="{00000000-0005-0000-0000-0000BC600000}"/>
    <cellStyle name="Heading 1 2 5 4" xfId="6409" xr:uid="{00000000-0005-0000-0000-0000BD600000}"/>
    <cellStyle name="Heading 1 2 5 4 2" xfId="15660" xr:uid="{00000000-0005-0000-0000-0000BE600000}"/>
    <cellStyle name="Heading 1 2 5 4 3" xfId="30735" xr:uid="{00000000-0005-0000-0000-0000BF600000}"/>
    <cellStyle name="Heading 1 2 5 5" xfId="9965" xr:uid="{00000000-0005-0000-0000-0000C0600000}"/>
    <cellStyle name="Heading 1 2 5 6" xfId="30732" xr:uid="{00000000-0005-0000-0000-0000C1600000}"/>
    <cellStyle name="Heading 1 2 6" xfId="6410" xr:uid="{00000000-0005-0000-0000-0000C2600000}"/>
    <cellStyle name="Heading 1 2 6 2" xfId="6411" xr:uid="{00000000-0005-0000-0000-0000C3600000}"/>
    <cellStyle name="Heading 1 2 6 2 2" xfId="6412" xr:uid="{00000000-0005-0000-0000-0000C4600000}"/>
    <cellStyle name="Heading 1 2 6 2 2 2" xfId="11407" xr:uid="{00000000-0005-0000-0000-0000C5600000}"/>
    <cellStyle name="Heading 1 2 6 2 2 3" xfId="30738" xr:uid="{00000000-0005-0000-0000-0000C6600000}"/>
    <cellStyle name="Heading 1 2 6 2 3" xfId="9967" xr:uid="{00000000-0005-0000-0000-0000C7600000}"/>
    <cellStyle name="Heading 1 2 6 2 4" xfId="30737" xr:uid="{00000000-0005-0000-0000-0000C8600000}"/>
    <cellStyle name="Heading 1 2 6 3" xfId="6413" xr:uid="{00000000-0005-0000-0000-0000C9600000}"/>
    <cellStyle name="Heading 1 2 6 3 2" xfId="11406" xr:uid="{00000000-0005-0000-0000-0000CA600000}"/>
    <cellStyle name="Heading 1 2 6 3 3" xfId="30739" xr:uid="{00000000-0005-0000-0000-0000CB600000}"/>
    <cellStyle name="Heading 1 2 6 4" xfId="9966" xr:uid="{00000000-0005-0000-0000-0000CC600000}"/>
    <cellStyle name="Heading 1 2 6 5" xfId="30736" xr:uid="{00000000-0005-0000-0000-0000CD600000}"/>
    <cellStyle name="Heading 1 2 7" xfId="6414" xr:uid="{00000000-0005-0000-0000-0000CE600000}"/>
    <cellStyle name="Heading 1 2 7 2" xfId="6415" xr:uid="{00000000-0005-0000-0000-0000CF600000}"/>
    <cellStyle name="Heading 1 2 7 2 2" xfId="6416" xr:uid="{00000000-0005-0000-0000-0000D0600000}"/>
    <cellStyle name="Heading 1 2 7 2 2 2" xfId="11409" xr:uid="{00000000-0005-0000-0000-0000D1600000}"/>
    <cellStyle name="Heading 1 2 7 2 2 3" xfId="30742" xr:uid="{00000000-0005-0000-0000-0000D2600000}"/>
    <cellStyle name="Heading 1 2 7 2 3" xfId="9969" xr:uid="{00000000-0005-0000-0000-0000D3600000}"/>
    <cellStyle name="Heading 1 2 7 2 4" xfId="30741" xr:uid="{00000000-0005-0000-0000-0000D4600000}"/>
    <cellStyle name="Heading 1 2 7 3" xfId="6417" xr:uid="{00000000-0005-0000-0000-0000D5600000}"/>
    <cellStyle name="Heading 1 2 7 3 2" xfId="11408" xr:uid="{00000000-0005-0000-0000-0000D6600000}"/>
    <cellStyle name="Heading 1 2 7 3 3" xfId="30743" xr:uid="{00000000-0005-0000-0000-0000D7600000}"/>
    <cellStyle name="Heading 1 2 7 4" xfId="9968" xr:uid="{00000000-0005-0000-0000-0000D8600000}"/>
    <cellStyle name="Heading 1 2 7 5" xfId="30740" xr:uid="{00000000-0005-0000-0000-0000D9600000}"/>
    <cellStyle name="Heading 1 2 8" xfId="6418" xr:uid="{00000000-0005-0000-0000-0000DA600000}"/>
    <cellStyle name="Heading 1 2 8 2" xfId="6419" xr:uid="{00000000-0005-0000-0000-0000DB600000}"/>
    <cellStyle name="Heading 1 2 8 2 2" xfId="11410" xr:uid="{00000000-0005-0000-0000-0000DC600000}"/>
    <cellStyle name="Heading 1 2 8 2 3" xfId="30745" xr:uid="{00000000-0005-0000-0000-0000DD600000}"/>
    <cellStyle name="Heading 1 2 8 3" xfId="9970" xr:uid="{00000000-0005-0000-0000-0000DE600000}"/>
    <cellStyle name="Heading 1 2 8 4" xfId="30744" xr:uid="{00000000-0005-0000-0000-0000DF600000}"/>
    <cellStyle name="Heading 1 2 9" xfId="6420" xr:uid="{00000000-0005-0000-0000-0000E0600000}"/>
    <cellStyle name="Heading 1 2 9 2" xfId="6421" xr:uid="{00000000-0005-0000-0000-0000E1600000}"/>
    <cellStyle name="Heading 1 2 9 2 2" xfId="11411" xr:uid="{00000000-0005-0000-0000-0000E2600000}"/>
    <cellStyle name="Heading 1 2 9 2 3" xfId="30747" xr:uid="{00000000-0005-0000-0000-0000E3600000}"/>
    <cellStyle name="Heading 1 2 9 3" xfId="9971" xr:uid="{00000000-0005-0000-0000-0000E4600000}"/>
    <cellStyle name="Heading 1 2 9 4" xfId="30746" xr:uid="{00000000-0005-0000-0000-0000E5600000}"/>
    <cellStyle name="Heading 1 3" xfId="6422" xr:uid="{00000000-0005-0000-0000-0000E6600000}"/>
    <cellStyle name="Heading 1 3 2" xfId="8661" xr:uid="{00000000-0005-0000-0000-0000E7600000}"/>
    <cellStyle name="Heading 1 3 3" xfId="30748" xr:uid="{00000000-0005-0000-0000-0000E8600000}"/>
    <cellStyle name="Heading 1 4" xfId="6423" xr:uid="{00000000-0005-0000-0000-0000E9600000}"/>
    <cellStyle name="Heading 1 4 2" xfId="9972" xr:uid="{00000000-0005-0000-0000-0000EA600000}"/>
    <cellStyle name="Heading 1 4 3" xfId="30749" xr:uid="{00000000-0005-0000-0000-0000EB600000}"/>
    <cellStyle name="Heading 1 5" xfId="6424" xr:uid="{00000000-0005-0000-0000-0000EC600000}"/>
    <cellStyle name="Heading 1 5 2" xfId="9973" xr:uid="{00000000-0005-0000-0000-0000ED600000}"/>
    <cellStyle name="Heading 1 5 3" xfId="30750" xr:uid="{00000000-0005-0000-0000-0000EE600000}"/>
    <cellStyle name="Heading 1 6" xfId="6425" xr:uid="{00000000-0005-0000-0000-0000EF600000}"/>
    <cellStyle name="Heading 1 6 2" xfId="9974" xr:uid="{00000000-0005-0000-0000-0000F0600000}"/>
    <cellStyle name="Heading 1 6 3" xfId="30751" xr:uid="{00000000-0005-0000-0000-0000F1600000}"/>
    <cellStyle name="Heading 1 7" xfId="6426" xr:uid="{00000000-0005-0000-0000-0000F2600000}"/>
    <cellStyle name="Heading 1 7 2" xfId="9975" xr:uid="{00000000-0005-0000-0000-0000F3600000}"/>
    <cellStyle name="Heading 1 7 3" xfId="30752" xr:uid="{00000000-0005-0000-0000-0000F4600000}"/>
    <cellStyle name="Heading 1 8" xfId="9953" xr:uid="{00000000-0005-0000-0000-0000F5600000}"/>
    <cellStyle name="Heading 2" xfId="6" builtinId="17" customBuiltin="1"/>
    <cellStyle name="Heading 2 2" xfId="6427" xr:uid="{00000000-0005-0000-0000-0000F7600000}"/>
    <cellStyle name="Heading 2 2 10" xfId="6428" xr:uid="{00000000-0005-0000-0000-0000F8600000}"/>
    <cellStyle name="Heading 2 2 10 2" xfId="6429" xr:uid="{00000000-0005-0000-0000-0000F9600000}"/>
    <cellStyle name="Heading 2 2 10 2 2" xfId="11413" xr:uid="{00000000-0005-0000-0000-0000FA600000}"/>
    <cellStyle name="Heading 2 2 10 2 3" xfId="30755" xr:uid="{00000000-0005-0000-0000-0000FB600000}"/>
    <cellStyle name="Heading 2 2 10 3" xfId="9978" xr:uid="{00000000-0005-0000-0000-0000FC600000}"/>
    <cellStyle name="Heading 2 2 10 4" xfId="30754" xr:uid="{00000000-0005-0000-0000-0000FD600000}"/>
    <cellStyle name="Heading 2 2 11" xfId="6430" xr:uid="{00000000-0005-0000-0000-0000FE600000}"/>
    <cellStyle name="Heading 2 2 11 2" xfId="6431" xr:uid="{00000000-0005-0000-0000-0000FF600000}"/>
    <cellStyle name="Heading 2 2 11 2 2" xfId="11414" xr:uid="{00000000-0005-0000-0000-000000610000}"/>
    <cellStyle name="Heading 2 2 11 2 3" xfId="30757" xr:uid="{00000000-0005-0000-0000-000001610000}"/>
    <cellStyle name="Heading 2 2 11 3" xfId="9979" xr:uid="{00000000-0005-0000-0000-000002610000}"/>
    <cellStyle name="Heading 2 2 11 4" xfId="30756" xr:uid="{00000000-0005-0000-0000-000003610000}"/>
    <cellStyle name="Heading 2 2 12" xfId="6432" xr:uid="{00000000-0005-0000-0000-000004610000}"/>
    <cellStyle name="Heading 2 2 12 2" xfId="6433" xr:uid="{00000000-0005-0000-0000-000005610000}"/>
    <cellStyle name="Heading 2 2 12 2 2" xfId="11415" xr:uid="{00000000-0005-0000-0000-000006610000}"/>
    <cellStyle name="Heading 2 2 12 2 3" xfId="30759" xr:uid="{00000000-0005-0000-0000-000007610000}"/>
    <cellStyle name="Heading 2 2 12 3" xfId="9980" xr:uid="{00000000-0005-0000-0000-000008610000}"/>
    <cellStyle name="Heading 2 2 12 4" xfId="30758" xr:uid="{00000000-0005-0000-0000-000009610000}"/>
    <cellStyle name="Heading 2 2 13" xfId="6434" xr:uid="{00000000-0005-0000-0000-00000A610000}"/>
    <cellStyle name="Heading 2 2 13 2" xfId="6435" xr:uid="{00000000-0005-0000-0000-00000B610000}"/>
    <cellStyle name="Heading 2 2 13 2 2" xfId="15661" xr:uid="{00000000-0005-0000-0000-00000C610000}"/>
    <cellStyle name="Heading 2 2 13 2 3" xfId="30761" xr:uid="{00000000-0005-0000-0000-00000D610000}"/>
    <cellStyle name="Heading 2 2 13 3" xfId="9981" xr:uid="{00000000-0005-0000-0000-00000E610000}"/>
    <cellStyle name="Heading 2 2 13 4" xfId="30760" xr:uid="{00000000-0005-0000-0000-00000F610000}"/>
    <cellStyle name="Heading 2 2 14" xfId="6436" xr:uid="{00000000-0005-0000-0000-000010610000}"/>
    <cellStyle name="Heading 2 2 14 2" xfId="6437" xr:uid="{00000000-0005-0000-0000-000011610000}"/>
    <cellStyle name="Heading 2 2 14 2 2" xfId="15662" xr:uid="{00000000-0005-0000-0000-000012610000}"/>
    <cellStyle name="Heading 2 2 14 2 3" xfId="30763" xr:uid="{00000000-0005-0000-0000-000013610000}"/>
    <cellStyle name="Heading 2 2 14 3" xfId="10480" xr:uid="{00000000-0005-0000-0000-000014610000}"/>
    <cellStyle name="Heading 2 2 14 4" xfId="30762" xr:uid="{00000000-0005-0000-0000-000015610000}"/>
    <cellStyle name="Heading 2 2 15" xfId="6438" xr:uid="{00000000-0005-0000-0000-000016610000}"/>
    <cellStyle name="Heading 2 2 15 2" xfId="11412" xr:uid="{00000000-0005-0000-0000-000017610000}"/>
    <cellStyle name="Heading 2 2 15 3" xfId="30764" xr:uid="{00000000-0005-0000-0000-000018610000}"/>
    <cellStyle name="Heading 2 2 16" xfId="8654" xr:uid="{00000000-0005-0000-0000-000019610000}"/>
    <cellStyle name="Heading 2 2 16 2" xfId="9977" xr:uid="{00000000-0005-0000-0000-00001A610000}"/>
    <cellStyle name="Heading 2 2 17" xfId="17293" xr:uid="{00000000-0005-0000-0000-00001B610000}"/>
    <cellStyle name="Heading 2 2 18" xfId="30753" xr:uid="{00000000-0005-0000-0000-00001C610000}"/>
    <cellStyle name="Heading 2 2 2" xfId="6439" xr:uid="{00000000-0005-0000-0000-00001D610000}"/>
    <cellStyle name="Heading 2 2 2 2" xfId="6440" xr:uid="{00000000-0005-0000-0000-00001E610000}"/>
    <cellStyle name="Heading 2 2 2 2 2" xfId="6441" xr:uid="{00000000-0005-0000-0000-00001F610000}"/>
    <cellStyle name="Heading 2 2 2 2 2 2" xfId="11416" xr:uid="{00000000-0005-0000-0000-000020610000}"/>
    <cellStyle name="Heading 2 2 2 2 2 3" xfId="30767" xr:uid="{00000000-0005-0000-0000-000021610000}"/>
    <cellStyle name="Heading 2 2 2 2 3" xfId="9983" xr:uid="{00000000-0005-0000-0000-000022610000}"/>
    <cellStyle name="Heading 2 2 2 2 4" xfId="30766" xr:uid="{00000000-0005-0000-0000-000023610000}"/>
    <cellStyle name="Heading 2 2 2 3" xfId="6442" xr:uid="{00000000-0005-0000-0000-000024610000}"/>
    <cellStyle name="Heading 2 2 2 3 2" xfId="6443" xr:uid="{00000000-0005-0000-0000-000025610000}"/>
    <cellStyle name="Heading 2 2 2 3 2 2" xfId="15663" xr:uid="{00000000-0005-0000-0000-000026610000}"/>
    <cellStyle name="Heading 2 2 2 3 2 3" xfId="30769" xr:uid="{00000000-0005-0000-0000-000027610000}"/>
    <cellStyle name="Heading 2 2 2 3 3" xfId="11716" xr:uid="{00000000-0005-0000-0000-000028610000}"/>
    <cellStyle name="Heading 2 2 2 3 4" xfId="30768" xr:uid="{00000000-0005-0000-0000-000029610000}"/>
    <cellStyle name="Heading 2 2 2 4" xfId="6444" xr:uid="{00000000-0005-0000-0000-00002A610000}"/>
    <cellStyle name="Heading 2 2 2 4 2" xfId="12092" xr:uid="{00000000-0005-0000-0000-00002B610000}"/>
    <cellStyle name="Heading 2 2 2 4 3" xfId="30770" xr:uid="{00000000-0005-0000-0000-00002C610000}"/>
    <cellStyle name="Heading 2 2 2 5" xfId="6445" xr:uid="{00000000-0005-0000-0000-00002D610000}"/>
    <cellStyle name="Heading 2 2 2 5 2" xfId="9982" xr:uid="{00000000-0005-0000-0000-00002E610000}"/>
    <cellStyle name="Heading 2 2 2 5 3" xfId="30771" xr:uid="{00000000-0005-0000-0000-00002F610000}"/>
    <cellStyle name="Heading 2 2 2 6" xfId="8683" xr:uid="{00000000-0005-0000-0000-000030610000}"/>
    <cellStyle name="Heading 2 2 2 7" xfId="30765" xr:uid="{00000000-0005-0000-0000-000031610000}"/>
    <cellStyle name="Heading 2 2 3" xfId="6446" xr:uid="{00000000-0005-0000-0000-000032610000}"/>
    <cellStyle name="Heading 2 2 3 2" xfId="6447" xr:uid="{00000000-0005-0000-0000-000033610000}"/>
    <cellStyle name="Heading 2 2 3 2 2" xfId="9985" xr:uid="{00000000-0005-0000-0000-000034610000}"/>
    <cellStyle name="Heading 2 2 3 2 3" xfId="30773" xr:uid="{00000000-0005-0000-0000-000035610000}"/>
    <cellStyle name="Heading 2 2 3 3" xfId="6448" xr:uid="{00000000-0005-0000-0000-000036610000}"/>
    <cellStyle name="Heading 2 2 3 3 2" xfId="11417" xr:uid="{00000000-0005-0000-0000-000037610000}"/>
    <cellStyle name="Heading 2 2 3 3 3" xfId="30774" xr:uid="{00000000-0005-0000-0000-000038610000}"/>
    <cellStyle name="Heading 2 2 3 4" xfId="6449" xr:uid="{00000000-0005-0000-0000-000039610000}"/>
    <cellStyle name="Heading 2 2 3 4 2" xfId="17330" xr:uid="{00000000-0005-0000-0000-00003A610000}"/>
    <cellStyle name="Heading 2 2 3 4 3" xfId="30775" xr:uid="{00000000-0005-0000-0000-00003B610000}"/>
    <cellStyle name="Heading 2 2 3 5" xfId="8718" xr:uid="{00000000-0005-0000-0000-00003C610000}"/>
    <cellStyle name="Heading 2 2 3 6" xfId="9984" xr:uid="{00000000-0005-0000-0000-00003D610000}"/>
    <cellStyle name="Heading 2 2 3 7" xfId="30772" xr:uid="{00000000-0005-0000-0000-00003E610000}"/>
    <cellStyle name="Heading 2 2 4" xfId="6450" xr:uid="{00000000-0005-0000-0000-00003F610000}"/>
    <cellStyle name="Heading 2 2 4 2" xfId="6451" xr:uid="{00000000-0005-0000-0000-000040610000}"/>
    <cellStyle name="Heading 2 2 4 2 2" xfId="9987" xr:uid="{00000000-0005-0000-0000-000041610000}"/>
    <cellStyle name="Heading 2 2 4 2 3" xfId="30777" xr:uid="{00000000-0005-0000-0000-000042610000}"/>
    <cellStyle name="Heading 2 2 4 3" xfId="6452" xr:uid="{00000000-0005-0000-0000-000043610000}"/>
    <cellStyle name="Heading 2 2 4 3 2" xfId="13206" xr:uid="{00000000-0005-0000-0000-000044610000}"/>
    <cellStyle name="Heading 2 2 4 3 3" xfId="30778" xr:uid="{00000000-0005-0000-0000-000045610000}"/>
    <cellStyle name="Heading 2 2 4 4" xfId="6453" xr:uid="{00000000-0005-0000-0000-000046610000}"/>
    <cellStyle name="Heading 2 2 4 4 2" xfId="13205" xr:uid="{00000000-0005-0000-0000-000047610000}"/>
    <cellStyle name="Heading 2 2 4 4 3" xfId="30779" xr:uid="{00000000-0005-0000-0000-000048610000}"/>
    <cellStyle name="Heading 2 2 4 5" xfId="9986" xr:uid="{00000000-0005-0000-0000-000049610000}"/>
    <cellStyle name="Heading 2 2 4 6" xfId="30776" xr:uid="{00000000-0005-0000-0000-00004A610000}"/>
    <cellStyle name="Heading 2 2 5" xfId="6454" xr:uid="{00000000-0005-0000-0000-00004B610000}"/>
    <cellStyle name="Heading 2 2 5 2" xfId="6455" xr:uid="{00000000-0005-0000-0000-00004C610000}"/>
    <cellStyle name="Heading 2 2 5 2 2" xfId="13208" xr:uid="{00000000-0005-0000-0000-00004D610000}"/>
    <cellStyle name="Heading 2 2 5 2 3" xfId="30781" xr:uid="{00000000-0005-0000-0000-00004E610000}"/>
    <cellStyle name="Heading 2 2 5 3" xfId="6456" xr:uid="{00000000-0005-0000-0000-00004F610000}"/>
    <cellStyle name="Heading 2 2 5 3 2" xfId="13207" xr:uid="{00000000-0005-0000-0000-000050610000}"/>
    <cellStyle name="Heading 2 2 5 3 3" xfId="30782" xr:uid="{00000000-0005-0000-0000-000051610000}"/>
    <cellStyle name="Heading 2 2 5 4" xfId="6457" xr:uid="{00000000-0005-0000-0000-000052610000}"/>
    <cellStyle name="Heading 2 2 5 4 2" xfId="15664" xr:uid="{00000000-0005-0000-0000-000053610000}"/>
    <cellStyle name="Heading 2 2 5 4 3" xfId="30783" xr:uid="{00000000-0005-0000-0000-000054610000}"/>
    <cellStyle name="Heading 2 2 5 5" xfId="9988" xr:uid="{00000000-0005-0000-0000-000055610000}"/>
    <cellStyle name="Heading 2 2 5 6" xfId="30780" xr:uid="{00000000-0005-0000-0000-000056610000}"/>
    <cellStyle name="Heading 2 2 6" xfId="6458" xr:uid="{00000000-0005-0000-0000-000057610000}"/>
    <cellStyle name="Heading 2 2 6 2" xfId="6459" xr:uid="{00000000-0005-0000-0000-000058610000}"/>
    <cellStyle name="Heading 2 2 6 2 2" xfId="6460" xr:uid="{00000000-0005-0000-0000-000059610000}"/>
    <cellStyle name="Heading 2 2 6 2 2 2" xfId="11419" xr:uid="{00000000-0005-0000-0000-00005A610000}"/>
    <cellStyle name="Heading 2 2 6 2 2 3" xfId="30786" xr:uid="{00000000-0005-0000-0000-00005B610000}"/>
    <cellStyle name="Heading 2 2 6 2 3" xfId="9990" xr:uid="{00000000-0005-0000-0000-00005C610000}"/>
    <cellStyle name="Heading 2 2 6 2 4" xfId="30785" xr:uid="{00000000-0005-0000-0000-00005D610000}"/>
    <cellStyle name="Heading 2 2 6 3" xfId="6461" xr:uid="{00000000-0005-0000-0000-00005E610000}"/>
    <cellStyle name="Heading 2 2 6 3 2" xfId="11418" xr:uid="{00000000-0005-0000-0000-00005F610000}"/>
    <cellStyle name="Heading 2 2 6 3 3" xfId="30787" xr:uid="{00000000-0005-0000-0000-000060610000}"/>
    <cellStyle name="Heading 2 2 6 4" xfId="9989" xr:uid="{00000000-0005-0000-0000-000061610000}"/>
    <cellStyle name="Heading 2 2 6 5" xfId="30784" xr:uid="{00000000-0005-0000-0000-000062610000}"/>
    <cellStyle name="Heading 2 2 7" xfId="6462" xr:uid="{00000000-0005-0000-0000-000063610000}"/>
    <cellStyle name="Heading 2 2 7 2" xfId="6463" xr:uid="{00000000-0005-0000-0000-000064610000}"/>
    <cellStyle name="Heading 2 2 7 2 2" xfId="6464" xr:uid="{00000000-0005-0000-0000-000065610000}"/>
    <cellStyle name="Heading 2 2 7 2 2 2" xfId="11421" xr:uid="{00000000-0005-0000-0000-000066610000}"/>
    <cellStyle name="Heading 2 2 7 2 2 3" xfId="30790" xr:uid="{00000000-0005-0000-0000-000067610000}"/>
    <cellStyle name="Heading 2 2 7 2 3" xfId="9992" xr:uid="{00000000-0005-0000-0000-000068610000}"/>
    <cellStyle name="Heading 2 2 7 2 4" xfId="30789" xr:uid="{00000000-0005-0000-0000-000069610000}"/>
    <cellStyle name="Heading 2 2 7 3" xfId="6465" xr:uid="{00000000-0005-0000-0000-00006A610000}"/>
    <cellStyle name="Heading 2 2 7 3 2" xfId="11420" xr:uid="{00000000-0005-0000-0000-00006B610000}"/>
    <cellStyle name="Heading 2 2 7 3 3" xfId="30791" xr:uid="{00000000-0005-0000-0000-00006C610000}"/>
    <cellStyle name="Heading 2 2 7 4" xfId="9991" xr:uid="{00000000-0005-0000-0000-00006D610000}"/>
    <cellStyle name="Heading 2 2 7 5" xfId="30788" xr:uid="{00000000-0005-0000-0000-00006E610000}"/>
    <cellStyle name="Heading 2 2 8" xfId="6466" xr:uid="{00000000-0005-0000-0000-00006F610000}"/>
    <cellStyle name="Heading 2 2 8 2" xfId="6467" xr:uid="{00000000-0005-0000-0000-000070610000}"/>
    <cellStyle name="Heading 2 2 8 2 2" xfId="11422" xr:uid="{00000000-0005-0000-0000-000071610000}"/>
    <cellStyle name="Heading 2 2 8 2 3" xfId="30793" xr:uid="{00000000-0005-0000-0000-000072610000}"/>
    <cellStyle name="Heading 2 2 8 3" xfId="9993" xr:uid="{00000000-0005-0000-0000-000073610000}"/>
    <cellStyle name="Heading 2 2 8 4" xfId="30792" xr:uid="{00000000-0005-0000-0000-000074610000}"/>
    <cellStyle name="Heading 2 2 9" xfId="6468" xr:uid="{00000000-0005-0000-0000-000075610000}"/>
    <cellStyle name="Heading 2 2 9 2" xfId="6469" xr:uid="{00000000-0005-0000-0000-000076610000}"/>
    <cellStyle name="Heading 2 2 9 2 2" xfId="11423" xr:uid="{00000000-0005-0000-0000-000077610000}"/>
    <cellStyle name="Heading 2 2 9 2 3" xfId="30795" xr:uid="{00000000-0005-0000-0000-000078610000}"/>
    <cellStyle name="Heading 2 2 9 3" xfId="9994" xr:uid="{00000000-0005-0000-0000-000079610000}"/>
    <cellStyle name="Heading 2 2 9 4" xfId="30794" xr:uid="{00000000-0005-0000-0000-00007A610000}"/>
    <cellStyle name="Heading 2 3" xfId="6470" xr:uid="{00000000-0005-0000-0000-00007B610000}"/>
    <cellStyle name="Heading 2 3 2" xfId="8662" xr:uid="{00000000-0005-0000-0000-00007C610000}"/>
    <cellStyle name="Heading 2 3 3" xfId="30796" xr:uid="{00000000-0005-0000-0000-00007D610000}"/>
    <cellStyle name="Heading 2 4" xfId="6471" xr:uid="{00000000-0005-0000-0000-00007E610000}"/>
    <cellStyle name="Heading 2 4 2" xfId="9995" xr:uid="{00000000-0005-0000-0000-00007F610000}"/>
    <cellStyle name="Heading 2 4 3" xfId="30797" xr:uid="{00000000-0005-0000-0000-000080610000}"/>
    <cellStyle name="Heading 2 5" xfId="6472" xr:uid="{00000000-0005-0000-0000-000081610000}"/>
    <cellStyle name="Heading 2 5 2" xfId="9996" xr:uid="{00000000-0005-0000-0000-000082610000}"/>
    <cellStyle name="Heading 2 5 3" xfId="30798" xr:uid="{00000000-0005-0000-0000-000083610000}"/>
    <cellStyle name="Heading 2 6" xfId="6473" xr:uid="{00000000-0005-0000-0000-000084610000}"/>
    <cellStyle name="Heading 2 6 2" xfId="9997" xr:uid="{00000000-0005-0000-0000-000085610000}"/>
    <cellStyle name="Heading 2 6 3" xfId="30799" xr:uid="{00000000-0005-0000-0000-000086610000}"/>
    <cellStyle name="Heading 2 7" xfId="6474" xr:uid="{00000000-0005-0000-0000-000087610000}"/>
    <cellStyle name="Heading 2 7 2" xfId="9998" xr:uid="{00000000-0005-0000-0000-000088610000}"/>
    <cellStyle name="Heading 2 7 3" xfId="30800" xr:uid="{00000000-0005-0000-0000-000089610000}"/>
    <cellStyle name="Heading 2 8" xfId="9976" xr:uid="{00000000-0005-0000-0000-00008A610000}"/>
    <cellStyle name="Heading 3" xfId="7" builtinId="18" customBuiltin="1"/>
    <cellStyle name="Heading 3 10" xfId="6475" xr:uid="{00000000-0005-0000-0000-00008C610000}"/>
    <cellStyle name="Heading 3 10 2" xfId="6476" xr:uid="{00000000-0005-0000-0000-00008D610000}"/>
    <cellStyle name="Heading 3 10 2 2" xfId="11425" xr:uid="{00000000-0005-0000-0000-00008E610000}"/>
    <cellStyle name="Heading 3 10 2 3" xfId="30802" xr:uid="{00000000-0005-0000-0000-00008F610000}"/>
    <cellStyle name="Heading 3 10 3" xfId="10000" xr:uid="{00000000-0005-0000-0000-000090610000}"/>
    <cellStyle name="Heading 3 10 4" xfId="30801" xr:uid="{00000000-0005-0000-0000-000091610000}"/>
    <cellStyle name="Heading 3 11" xfId="6477" xr:uid="{00000000-0005-0000-0000-000092610000}"/>
    <cellStyle name="Heading 3 11 2" xfId="6478" xr:uid="{00000000-0005-0000-0000-000093610000}"/>
    <cellStyle name="Heading 3 11 2 2" xfId="11426" xr:uid="{00000000-0005-0000-0000-000094610000}"/>
    <cellStyle name="Heading 3 11 2 3" xfId="30804" xr:uid="{00000000-0005-0000-0000-000095610000}"/>
    <cellStyle name="Heading 3 11 3" xfId="10001" xr:uid="{00000000-0005-0000-0000-000096610000}"/>
    <cellStyle name="Heading 3 11 4" xfId="30803" xr:uid="{00000000-0005-0000-0000-000097610000}"/>
    <cellStyle name="Heading 3 12" xfId="6479" xr:uid="{00000000-0005-0000-0000-000098610000}"/>
    <cellStyle name="Heading 3 12 2" xfId="6480" xr:uid="{00000000-0005-0000-0000-000099610000}"/>
    <cellStyle name="Heading 3 12 2 2" xfId="15665" xr:uid="{00000000-0005-0000-0000-00009A610000}"/>
    <cellStyle name="Heading 3 12 2 3" xfId="30806" xr:uid="{00000000-0005-0000-0000-00009B610000}"/>
    <cellStyle name="Heading 3 12 3" xfId="10002" xr:uid="{00000000-0005-0000-0000-00009C610000}"/>
    <cellStyle name="Heading 3 12 4" xfId="30805" xr:uid="{00000000-0005-0000-0000-00009D610000}"/>
    <cellStyle name="Heading 3 13" xfId="6481" xr:uid="{00000000-0005-0000-0000-00009E610000}"/>
    <cellStyle name="Heading 3 13 2" xfId="6482" xr:uid="{00000000-0005-0000-0000-00009F610000}"/>
    <cellStyle name="Heading 3 13 2 2" xfId="15666" xr:uid="{00000000-0005-0000-0000-0000A0610000}"/>
    <cellStyle name="Heading 3 13 2 3" xfId="30808" xr:uid="{00000000-0005-0000-0000-0000A1610000}"/>
    <cellStyle name="Heading 3 13 3" xfId="10481" xr:uid="{00000000-0005-0000-0000-0000A2610000}"/>
    <cellStyle name="Heading 3 13 4" xfId="30807" xr:uid="{00000000-0005-0000-0000-0000A3610000}"/>
    <cellStyle name="Heading 3 14" xfId="6483" xr:uid="{00000000-0005-0000-0000-0000A4610000}"/>
    <cellStyle name="Heading 3 14 2" xfId="11424" xr:uid="{00000000-0005-0000-0000-0000A5610000}"/>
    <cellStyle name="Heading 3 14 3" xfId="30809" xr:uid="{00000000-0005-0000-0000-0000A6610000}"/>
    <cellStyle name="Heading 3 15" xfId="6484" xr:uid="{00000000-0005-0000-0000-0000A7610000}"/>
    <cellStyle name="Heading 3 15 2" xfId="9999" xr:uid="{00000000-0005-0000-0000-0000A8610000}"/>
    <cellStyle name="Heading 3 15 3" xfId="30810" xr:uid="{00000000-0005-0000-0000-0000A9610000}"/>
    <cellStyle name="Heading 3 2" xfId="6485" xr:uid="{00000000-0005-0000-0000-0000AA610000}"/>
    <cellStyle name="Heading 3 2 2" xfId="6486" xr:uid="{00000000-0005-0000-0000-0000AB610000}"/>
    <cellStyle name="Heading 3 2 2 2" xfId="11683" xr:uid="{00000000-0005-0000-0000-0000AC610000}"/>
    <cellStyle name="Heading 3 2 2 3" xfId="30812" xr:uid="{00000000-0005-0000-0000-0000AD610000}"/>
    <cellStyle name="Heading 3 2 3" xfId="6487" xr:uid="{00000000-0005-0000-0000-0000AE610000}"/>
    <cellStyle name="Heading 3 2 3 2" xfId="17331" xr:uid="{00000000-0005-0000-0000-0000AF610000}"/>
    <cellStyle name="Heading 3 2 3 3" xfId="30813" xr:uid="{00000000-0005-0000-0000-0000B0610000}"/>
    <cellStyle name="Heading 3 2 4" xfId="8723" xr:uid="{00000000-0005-0000-0000-0000B1610000}"/>
    <cellStyle name="Heading 3 2 5" xfId="10003" xr:uid="{00000000-0005-0000-0000-0000B2610000}"/>
    <cellStyle name="Heading 3 2 6" xfId="30811" xr:uid="{00000000-0005-0000-0000-0000B3610000}"/>
    <cellStyle name="Heading 3 3" xfId="6488" xr:uid="{00000000-0005-0000-0000-0000B4610000}"/>
    <cellStyle name="Heading 3 3 2" xfId="6489" xr:uid="{00000000-0005-0000-0000-0000B5610000}"/>
    <cellStyle name="Heading 3 3 2 2" xfId="10005" xr:uid="{00000000-0005-0000-0000-0000B6610000}"/>
    <cellStyle name="Heading 3 3 2 3" xfId="30815" xr:uid="{00000000-0005-0000-0000-0000B7610000}"/>
    <cellStyle name="Heading 3 3 3" xfId="6490" xr:uid="{00000000-0005-0000-0000-0000B8610000}"/>
    <cellStyle name="Heading 3 3 3 2" xfId="13209" xr:uid="{00000000-0005-0000-0000-0000B9610000}"/>
    <cellStyle name="Heading 3 3 3 3" xfId="30816" xr:uid="{00000000-0005-0000-0000-0000BA610000}"/>
    <cellStyle name="Heading 3 3 4" xfId="10004" xr:uid="{00000000-0005-0000-0000-0000BB610000}"/>
    <cellStyle name="Heading 3 3 5" xfId="30814" xr:uid="{00000000-0005-0000-0000-0000BC610000}"/>
    <cellStyle name="Heading 3 4" xfId="6491" xr:uid="{00000000-0005-0000-0000-0000BD610000}"/>
    <cellStyle name="Heading 3 4 2" xfId="6492" xr:uid="{00000000-0005-0000-0000-0000BE610000}"/>
    <cellStyle name="Heading 3 4 2 2" xfId="10007" xr:uid="{00000000-0005-0000-0000-0000BF610000}"/>
    <cellStyle name="Heading 3 4 2 3" xfId="30818" xr:uid="{00000000-0005-0000-0000-0000C0610000}"/>
    <cellStyle name="Heading 3 4 3" xfId="6493" xr:uid="{00000000-0005-0000-0000-0000C1610000}"/>
    <cellStyle name="Heading 3 4 3 2" xfId="13211" xr:uid="{00000000-0005-0000-0000-0000C2610000}"/>
    <cellStyle name="Heading 3 4 3 3" xfId="30819" xr:uid="{00000000-0005-0000-0000-0000C3610000}"/>
    <cellStyle name="Heading 3 4 4" xfId="6494" xr:uid="{00000000-0005-0000-0000-0000C4610000}"/>
    <cellStyle name="Heading 3 4 4 2" xfId="13210" xr:uid="{00000000-0005-0000-0000-0000C5610000}"/>
    <cellStyle name="Heading 3 4 4 3" xfId="30820" xr:uid="{00000000-0005-0000-0000-0000C6610000}"/>
    <cellStyle name="Heading 3 4 5" xfId="10006" xr:uid="{00000000-0005-0000-0000-0000C7610000}"/>
    <cellStyle name="Heading 3 4 6" xfId="30817" xr:uid="{00000000-0005-0000-0000-0000C8610000}"/>
    <cellStyle name="Heading 3 5" xfId="6495" xr:uid="{00000000-0005-0000-0000-0000C9610000}"/>
    <cellStyle name="Heading 3 5 2" xfId="6496" xr:uid="{00000000-0005-0000-0000-0000CA610000}"/>
    <cellStyle name="Heading 3 5 2 2" xfId="6497" xr:uid="{00000000-0005-0000-0000-0000CB610000}"/>
    <cellStyle name="Heading 3 5 2 2 2" xfId="11428" xr:uid="{00000000-0005-0000-0000-0000CC610000}"/>
    <cellStyle name="Heading 3 5 2 2 3" xfId="30823" xr:uid="{00000000-0005-0000-0000-0000CD610000}"/>
    <cellStyle name="Heading 3 5 2 3" xfId="10009" xr:uid="{00000000-0005-0000-0000-0000CE610000}"/>
    <cellStyle name="Heading 3 5 2 4" xfId="30822" xr:uid="{00000000-0005-0000-0000-0000CF610000}"/>
    <cellStyle name="Heading 3 5 3" xfId="6498" xr:uid="{00000000-0005-0000-0000-0000D0610000}"/>
    <cellStyle name="Heading 3 5 3 2" xfId="11427" xr:uid="{00000000-0005-0000-0000-0000D1610000}"/>
    <cellStyle name="Heading 3 5 3 3" xfId="30824" xr:uid="{00000000-0005-0000-0000-0000D2610000}"/>
    <cellStyle name="Heading 3 5 4" xfId="6499" xr:uid="{00000000-0005-0000-0000-0000D3610000}"/>
    <cellStyle name="Heading 3 5 4 2" xfId="13212" xr:uid="{00000000-0005-0000-0000-0000D4610000}"/>
    <cellStyle name="Heading 3 5 4 3" xfId="30825" xr:uid="{00000000-0005-0000-0000-0000D5610000}"/>
    <cellStyle name="Heading 3 5 5" xfId="6500" xr:uid="{00000000-0005-0000-0000-0000D6610000}"/>
    <cellStyle name="Heading 3 5 5 2" xfId="15667" xr:uid="{00000000-0005-0000-0000-0000D7610000}"/>
    <cellStyle name="Heading 3 5 5 3" xfId="30826" xr:uid="{00000000-0005-0000-0000-0000D8610000}"/>
    <cellStyle name="Heading 3 5 6" xfId="10008" xr:uid="{00000000-0005-0000-0000-0000D9610000}"/>
    <cellStyle name="Heading 3 5 7" xfId="30821" xr:uid="{00000000-0005-0000-0000-0000DA610000}"/>
    <cellStyle name="Heading 3 6" xfId="6501" xr:uid="{00000000-0005-0000-0000-0000DB610000}"/>
    <cellStyle name="Heading 3 6 2" xfId="6502" xr:uid="{00000000-0005-0000-0000-0000DC610000}"/>
    <cellStyle name="Heading 3 6 2 2" xfId="6503" xr:uid="{00000000-0005-0000-0000-0000DD610000}"/>
    <cellStyle name="Heading 3 6 2 2 2" xfId="11430" xr:uid="{00000000-0005-0000-0000-0000DE610000}"/>
    <cellStyle name="Heading 3 6 2 2 3" xfId="30829" xr:uid="{00000000-0005-0000-0000-0000DF610000}"/>
    <cellStyle name="Heading 3 6 2 3" xfId="10011" xr:uid="{00000000-0005-0000-0000-0000E0610000}"/>
    <cellStyle name="Heading 3 6 2 4" xfId="30828" xr:uid="{00000000-0005-0000-0000-0000E1610000}"/>
    <cellStyle name="Heading 3 6 3" xfId="6504" xr:uid="{00000000-0005-0000-0000-0000E2610000}"/>
    <cellStyle name="Heading 3 6 3 2" xfId="11429" xr:uid="{00000000-0005-0000-0000-0000E3610000}"/>
    <cellStyle name="Heading 3 6 3 3" xfId="30830" xr:uid="{00000000-0005-0000-0000-0000E4610000}"/>
    <cellStyle name="Heading 3 6 4" xfId="10010" xr:uid="{00000000-0005-0000-0000-0000E5610000}"/>
    <cellStyle name="Heading 3 6 5" xfId="30827" xr:uid="{00000000-0005-0000-0000-0000E6610000}"/>
    <cellStyle name="Heading 3 7" xfId="6505" xr:uid="{00000000-0005-0000-0000-0000E7610000}"/>
    <cellStyle name="Heading 3 7 2" xfId="6506" xr:uid="{00000000-0005-0000-0000-0000E8610000}"/>
    <cellStyle name="Heading 3 7 2 2" xfId="11431" xr:uid="{00000000-0005-0000-0000-0000E9610000}"/>
    <cellStyle name="Heading 3 7 2 3" xfId="30832" xr:uid="{00000000-0005-0000-0000-0000EA610000}"/>
    <cellStyle name="Heading 3 7 3" xfId="10012" xr:uid="{00000000-0005-0000-0000-0000EB610000}"/>
    <cellStyle name="Heading 3 7 4" xfId="30831" xr:uid="{00000000-0005-0000-0000-0000EC610000}"/>
    <cellStyle name="Heading 3 8" xfId="6507" xr:uid="{00000000-0005-0000-0000-0000ED610000}"/>
    <cellStyle name="Heading 3 8 2" xfId="6508" xr:uid="{00000000-0005-0000-0000-0000EE610000}"/>
    <cellStyle name="Heading 3 8 2 2" xfId="11432" xr:uid="{00000000-0005-0000-0000-0000EF610000}"/>
    <cellStyle name="Heading 3 8 2 3" xfId="30834" xr:uid="{00000000-0005-0000-0000-0000F0610000}"/>
    <cellStyle name="Heading 3 8 3" xfId="10013" xr:uid="{00000000-0005-0000-0000-0000F1610000}"/>
    <cellStyle name="Heading 3 8 4" xfId="30833" xr:uid="{00000000-0005-0000-0000-0000F2610000}"/>
    <cellStyle name="Heading 3 9" xfId="6509" xr:uid="{00000000-0005-0000-0000-0000F3610000}"/>
    <cellStyle name="Heading 3 9 2" xfId="6510" xr:uid="{00000000-0005-0000-0000-0000F4610000}"/>
    <cellStyle name="Heading 3 9 2 2" xfId="11433" xr:uid="{00000000-0005-0000-0000-0000F5610000}"/>
    <cellStyle name="Heading 3 9 2 3" xfId="30836" xr:uid="{00000000-0005-0000-0000-0000F6610000}"/>
    <cellStyle name="Heading 3 9 3" xfId="10014" xr:uid="{00000000-0005-0000-0000-0000F7610000}"/>
    <cellStyle name="Heading 3 9 4" xfId="30835" xr:uid="{00000000-0005-0000-0000-0000F8610000}"/>
    <cellStyle name="Heading 4" xfId="8" builtinId="19" customBuiltin="1"/>
    <cellStyle name="Heading 4 10" xfId="6511" xr:uid="{00000000-0005-0000-0000-0000FA610000}"/>
    <cellStyle name="Heading 4 10 2" xfId="6512" xr:uid="{00000000-0005-0000-0000-0000FB610000}"/>
    <cellStyle name="Heading 4 10 2 2" xfId="11435" xr:uid="{00000000-0005-0000-0000-0000FC610000}"/>
    <cellStyle name="Heading 4 10 2 3" xfId="30838" xr:uid="{00000000-0005-0000-0000-0000FD610000}"/>
    <cellStyle name="Heading 4 10 3" xfId="10016" xr:uid="{00000000-0005-0000-0000-0000FE610000}"/>
    <cellStyle name="Heading 4 10 4" xfId="30837" xr:uid="{00000000-0005-0000-0000-0000FF610000}"/>
    <cellStyle name="Heading 4 11" xfId="6513" xr:uid="{00000000-0005-0000-0000-000000620000}"/>
    <cellStyle name="Heading 4 11 2" xfId="6514" xr:uid="{00000000-0005-0000-0000-000001620000}"/>
    <cellStyle name="Heading 4 11 2 2" xfId="15668" xr:uid="{00000000-0005-0000-0000-000002620000}"/>
    <cellStyle name="Heading 4 11 2 3" xfId="30840" xr:uid="{00000000-0005-0000-0000-000003620000}"/>
    <cellStyle name="Heading 4 11 3" xfId="10017" xr:uid="{00000000-0005-0000-0000-000004620000}"/>
    <cellStyle name="Heading 4 11 4" xfId="30839" xr:uid="{00000000-0005-0000-0000-000005620000}"/>
    <cellStyle name="Heading 4 12" xfId="6515" xr:uid="{00000000-0005-0000-0000-000006620000}"/>
    <cellStyle name="Heading 4 12 2" xfId="6516" xr:uid="{00000000-0005-0000-0000-000007620000}"/>
    <cellStyle name="Heading 4 12 2 2" xfId="15669" xr:uid="{00000000-0005-0000-0000-000008620000}"/>
    <cellStyle name="Heading 4 12 2 3" xfId="30842" xr:uid="{00000000-0005-0000-0000-000009620000}"/>
    <cellStyle name="Heading 4 12 3" xfId="10482" xr:uid="{00000000-0005-0000-0000-00000A620000}"/>
    <cellStyle name="Heading 4 12 4" xfId="30841" xr:uid="{00000000-0005-0000-0000-00000B620000}"/>
    <cellStyle name="Heading 4 13" xfId="6517" xr:uid="{00000000-0005-0000-0000-00000C620000}"/>
    <cellStyle name="Heading 4 13 2" xfId="11434" xr:uid="{00000000-0005-0000-0000-00000D620000}"/>
    <cellStyle name="Heading 4 13 3" xfId="30843" xr:uid="{00000000-0005-0000-0000-00000E620000}"/>
    <cellStyle name="Heading 4 14" xfId="6518" xr:uid="{00000000-0005-0000-0000-00000F620000}"/>
    <cellStyle name="Heading 4 14 2" xfId="10015" xr:uid="{00000000-0005-0000-0000-000010620000}"/>
    <cellStyle name="Heading 4 14 3" xfId="30844" xr:uid="{00000000-0005-0000-0000-000011620000}"/>
    <cellStyle name="Heading 4 2" xfId="6519" xr:uid="{00000000-0005-0000-0000-000012620000}"/>
    <cellStyle name="Heading 4 2 2" xfId="6520" xr:uid="{00000000-0005-0000-0000-000013620000}"/>
    <cellStyle name="Heading 4 2 2 2" xfId="10019" xr:uid="{00000000-0005-0000-0000-000014620000}"/>
    <cellStyle name="Heading 4 2 2 3" xfId="30846" xr:uid="{00000000-0005-0000-0000-000015620000}"/>
    <cellStyle name="Heading 4 2 3" xfId="6521" xr:uid="{00000000-0005-0000-0000-000016620000}"/>
    <cellStyle name="Heading 4 2 3 2" xfId="13213" xr:uid="{00000000-0005-0000-0000-000017620000}"/>
    <cellStyle name="Heading 4 2 3 3" xfId="30847" xr:uid="{00000000-0005-0000-0000-000018620000}"/>
    <cellStyle name="Heading 4 2 4" xfId="10018" xr:uid="{00000000-0005-0000-0000-000019620000}"/>
    <cellStyle name="Heading 4 2 5" xfId="30845" xr:uid="{00000000-0005-0000-0000-00001A620000}"/>
    <cellStyle name="Heading 4 3" xfId="6522" xr:uid="{00000000-0005-0000-0000-00001B620000}"/>
    <cellStyle name="Heading 4 3 2" xfId="6523" xr:uid="{00000000-0005-0000-0000-00001C620000}"/>
    <cellStyle name="Heading 4 3 2 2" xfId="10021" xr:uid="{00000000-0005-0000-0000-00001D620000}"/>
    <cellStyle name="Heading 4 3 2 3" xfId="30849" xr:uid="{00000000-0005-0000-0000-00001E620000}"/>
    <cellStyle name="Heading 4 3 3" xfId="6524" xr:uid="{00000000-0005-0000-0000-00001F620000}"/>
    <cellStyle name="Heading 4 3 3 2" xfId="13215" xr:uid="{00000000-0005-0000-0000-000020620000}"/>
    <cellStyle name="Heading 4 3 3 3" xfId="30850" xr:uid="{00000000-0005-0000-0000-000021620000}"/>
    <cellStyle name="Heading 4 3 4" xfId="6525" xr:uid="{00000000-0005-0000-0000-000022620000}"/>
    <cellStyle name="Heading 4 3 4 2" xfId="13214" xr:uid="{00000000-0005-0000-0000-000023620000}"/>
    <cellStyle name="Heading 4 3 4 3" xfId="30851" xr:uid="{00000000-0005-0000-0000-000024620000}"/>
    <cellStyle name="Heading 4 3 5" xfId="10020" xr:uid="{00000000-0005-0000-0000-000025620000}"/>
    <cellStyle name="Heading 4 3 6" xfId="30848" xr:uid="{00000000-0005-0000-0000-000026620000}"/>
    <cellStyle name="Heading 4 4" xfId="6526" xr:uid="{00000000-0005-0000-0000-000027620000}"/>
    <cellStyle name="Heading 4 4 2" xfId="6527" xr:uid="{00000000-0005-0000-0000-000028620000}"/>
    <cellStyle name="Heading 4 4 2 2" xfId="6528" xr:uid="{00000000-0005-0000-0000-000029620000}"/>
    <cellStyle name="Heading 4 4 2 2 2" xfId="11437" xr:uid="{00000000-0005-0000-0000-00002A620000}"/>
    <cellStyle name="Heading 4 4 2 2 3" xfId="30854" xr:uid="{00000000-0005-0000-0000-00002B620000}"/>
    <cellStyle name="Heading 4 4 2 3" xfId="10023" xr:uid="{00000000-0005-0000-0000-00002C620000}"/>
    <cellStyle name="Heading 4 4 2 4" xfId="30853" xr:uid="{00000000-0005-0000-0000-00002D620000}"/>
    <cellStyle name="Heading 4 4 3" xfId="6529" xr:uid="{00000000-0005-0000-0000-00002E620000}"/>
    <cellStyle name="Heading 4 4 3 2" xfId="11436" xr:uid="{00000000-0005-0000-0000-00002F620000}"/>
    <cellStyle name="Heading 4 4 3 3" xfId="30855" xr:uid="{00000000-0005-0000-0000-000030620000}"/>
    <cellStyle name="Heading 4 4 4" xfId="6530" xr:uid="{00000000-0005-0000-0000-000031620000}"/>
    <cellStyle name="Heading 4 4 4 2" xfId="13216" xr:uid="{00000000-0005-0000-0000-000032620000}"/>
    <cellStyle name="Heading 4 4 4 3" xfId="30856" xr:uid="{00000000-0005-0000-0000-000033620000}"/>
    <cellStyle name="Heading 4 4 5" xfId="6531" xr:uid="{00000000-0005-0000-0000-000034620000}"/>
    <cellStyle name="Heading 4 4 5 2" xfId="15670" xr:uid="{00000000-0005-0000-0000-000035620000}"/>
    <cellStyle name="Heading 4 4 5 3" xfId="30857" xr:uid="{00000000-0005-0000-0000-000036620000}"/>
    <cellStyle name="Heading 4 4 6" xfId="10022" xr:uid="{00000000-0005-0000-0000-000037620000}"/>
    <cellStyle name="Heading 4 4 7" xfId="30852" xr:uid="{00000000-0005-0000-0000-000038620000}"/>
    <cellStyle name="Heading 4 5" xfId="6532" xr:uid="{00000000-0005-0000-0000-000039620000}"/>
    <cellStyle name="Heading 4 5 2" xfId="6533" xr:uid="{00000000-0005-0000-0000-00003A620000}"/>
    <cellStyle name="Heading 4 5 2 2" xfId="6534" xr:uid="{00000000-0005-0000-0000-00003B620000}"/>
    <cellStyle name="Heading 4 5 2 2 2" xfId="11439" xr:uid="{00000000-0005-0000-0000-00003C620000}"/>
    <cellStyle name="Heading 4 5 2 2 3" xfId="30860" xr:uid="{00000000-0005-0000-0000-00003D620000}"/>
    <cellStyle name="Heading 4 5 2 3" xfId="10025" xr:uid="{00000000-0005-0000-0000-00003E620000}"/>
    <cellStyle name="Heading 4 5 2 4" xfId="30859" xr:uid="{00000000-0005-0000-0000-00003F620000}"/>
    <cellStyle name="Heading 4 5 3" xfId="6535" xr:uid="{00000000-0005-0000-0000-000040620000}"/>
    <cellStyle name="Heading 4 5 3 2" xfId="11438" xr:uid="{00000000-0005-0000-0000-000041620000}"/>
    <cellStyle name="Heading 4 5 3 3" xfId="30861" xr:uid="{00000000-0005-0000-0000-000042620000}"/>
    <cellStyle name="Heading 4 5 4" xfId="10024" xr:uid="{00000000-0005-0000-0000-000043620000}"/>
    <cellStyle name="Heading 4 5 5" xfId="30858" xr:uid="{00000000-0005-0000-0000-000044620000}"/>
    <cellStyle name="Heading 4 6" xfId="6536" xr:uid="{00000000-0005-0000-0000-000045620000}"/>
    <cellStyle name="Heading 4 6 2" xfId="6537" xr:uid="{00000000-0005-0000-0000-000046620000}"/>
    <cellStyle name="Heading 4 6 2 2" xfId="11440" xr:uid="{00000000-0005-0000-0000-000047620000}"/>
    <cellStyle name="Heading 4 6 2 3" xfId="30863" xr:uid="{00000000-0005-0000-0000-000048620000}"/>
    <cellStyle name="Heading 4 6 3" xfId="10026" xr:uid="{00000000-0005-0000-0000-000049620000}"/>
    <cellStyle name="Heading 4 6 4" xfId="30862" xr:uid="{00000000-0005-0000-0000-00004A620000}"/>
    <cellStyle name="Heading 4 7" xfId="6538" xr:uid="{00000000-0005-0000-0000-00004B620000}"/>
    <cellStyle name="Heading 4 7 2" xfId="6539" xr:uid="{00000000-0005-0000-0000-00004C620000}"/>
    <cellStyle name="Heading 4 7 2 2" xfId="11441" xr:uid="{00000000-0005-0000-0000-00004D620000}"/>
    <cellStyle name="Heading 4 7 2 3" xfId="30865" xr:uid="{00000000-0005-0000-0000-00004E620000}"/>
    <cellStyle name="Heading 4 7 3" xfId="10027" xr:uid="{00000000-0005-0000-0000-00004F620000}"/>
    <cellStyle name="Heading 4 7 4" xfId="30864" xr:uid="{00000000-0005-0000-0000-000050620000}"/>
    <cellStyle name="Heading 4 8" xfId="6540" xr:uid="{00000000-0005-0000-0000-000051620000}"/>
    <cellStyle name="Heading 4 8 2" xfId="6541" xr:uid="{00000000-0005-0000-0000-000052620000}"/>
    <cellStyle name="Heading 4 8 2 2" xfId="11442" xr:uid="{00000000-0005-0000-0000-000053620000}"/>
    <cellStyle name="Heading 4 8 2 3" xfId="30867" xr:uid="{00000000-0005-0000-0000-000054620000}"/>
    <cellStyle name="Heading 4 8 3" xfId="10028" xr:uid="{00000000-0005-0000-0000-000055620000}"/>
    <cellStyle name="Heading 4 8 4" xfId="30866" xr:uid="{00000000-0005-0000-0000-000056620000}"/>
    <cellStyle name="Heading 4 9" xfId="6542" xr:uid="{00000000-0005-0000-0000-000057620000}"/>
    <cellStyle name="Heading 4 9 2" xfId="6543" xr:uid="{00000000-0005-0000-0000-000058620000}"/>
    <cellStyle name="Heading 4 9 2 2" xfId="11443" xr:uid="{00000000-0005-0000-0000-000059620000}"/>
    <cellStyle name="Heading 4 9 2 3" xfId="30869" xr:uid="{00000000-0005-0000-0000-00005A620000}"/>
    <cellStyle name="Heading 4 9 3" xfId="10029" xr:uid="{00000000-0005-0000-0000-00005B620000}"/>
    <cellStyle name="Heading 4 9 4" xfId="30868" xr:uid="{00000000-0005-0000-0000-00005C620000}"/>
    <cellStyle name="Hyperlink" xfId="33028" builtinId="8"/>
    <cellStyle name="Hyperlink 2" xfId="6544" xr:uid="{00000000-0005-0000-0000-00005E620000}"/>
    <cellStyle name="Hyperlink 2 2" xfId="8688" xr:uid="{00000000-0005-0000-0000-00005F620000}"/>
    <cellStyle name="Hyperlink 2 3" xfId="30870" xr:uid="{00000000-0005-0000-0000-000060620000}"/>
    <cellStyle name="Hyperlink 3" xfId="6545" xr:uid="{00000000-0005-0000-0000-000061620000}"/>
    <cellStyle name="Hyperlink 3 2" xfId="10030" xr:uid="{00000000-0005-0000-0000-000062620000}"/>
    <cellStyle name="Hyperlink 3 3" xfId="30871" xr:uid="{00000000-0005-0000-0000-000063620000}"/>
    <cellStyle name="Hyperlink 4" xfId="33027" xr:uid="{00000000-0005-0000-0000-000064620000}"/>
    <cellStyle name="Input" xfId="12" builtinId="20" customBuiltin="1"/>
    <cellStyle name="Input 10" xfId="6546" xr:uid="{00000000-0005-0000-0000-000066620000}"/>
    <cellStyle name="Input 10 2" xfId="10032" xr:uid="{00000000-0005-0000-0000-000067620000}"/>
    <cellStyle name="Input 10 3" xfId="30872" xr:uid="{00000000-0005-0000-0000-000068620000}"/>
    <cellStyle name="Input 11" xfId="6547" xr:uid="{00000000-0005-0000-0000-000069620000}"/>
    <cellStyle name="Input 11 2" xfId="10033" xr:uid="{00000000-0005-0000-0000-00006A620000}"/>
    <cellStyle name="Input 11 3" xfId="30873" xr:uid="{00000000-0005-0000-0000-00006B620000}"/>
    <cellStyle name="Input 12" xfId="6548" xr:uid="{00000000-0005-0000-0000-00006C620000}"/>
    <cellStyle name="Input 12 2" xfId="6549" xr:uid="{00000000-0005-0000-0000-00006D620000}"/>
    <cellStyle name="Input 12 2 2" xfId="15671" xr:uid="{00000000-0005-0000-0000-00006E620000}"/>
    <cellStyle name="Input 12 2 3" xfId="30875" xr:uid="{00000000-0005-0000-0000-00006F620000}"/>
    <cellStyle name="Input 12 3" xfId="10483" xr:uid="{00000000-0005-0000-0000-000070620000}"/>
    <cellStyle name="Input 12 4" xfId="30874" xr:uid="{00000000-0005-0000-0000-000071620000}"/>
    <cellStyle name="Input 13" xfId="6550" xr:uid="{00000000-0005-0000-0000-000072620000}"/>
    <cellStyle name="Input 13 2" xfId="11444" xr:uid="{00000000-0005-0000-0000-000073620000}"/>
    <cellStyle name="Input 13 3" xfId="30876" xr:uid="{00000000-0005-0000-0000-000074620000}"/>
    <cellStyle name="Input 14" xfId="6551" xr:uid="{00000000-0005-0000-0000-000075620000}"/>
    <cellStyle name="Input 14 2" xfId="10031" xr:uid="{00000000-0005-0000-0000-000076620000}"/>
    <cellStyle name="Input 14 3" xfId="30877" xr:uid="{00000000-0005-0000-0000-000077620000}"/>
    <cellStyle name="Input 2" xfId="6552" xr:uid="{00000000-0005-0000-0000-000078620000}"/>
    <cellStyle name="Input 2 2" xfId="10034" xr:uid="{00000000-0005-0000-0000-000079620000}"/>
    <cellStyle name="Input 2 3" xfId="30878" xr:uid="{00000000-0005-0000-0000-00007A620000}"/>
    <cellStyle name="Input 3" xfId="6553" xr:uid="{00000000-0005-0000-0000-00007B620000}"/>
    <cellStyle name="Input 3 2" xfId="6554" xr:uid="{00000000-0005-0000-0000-00007C620000}"/>
    <cellStyle name="Input 3 2 2" xfId="10036" xr:uid="{00000000-0005-0000-0000-00007D620000}"/>
    <cellStyle name="Input 3 2 3" xfId="30880" xr:uid="{00000000-0005-0000-0000-00007E620000}"/>
    <cellStyle name="Input 3 3" xfId="10035" xr:uid="{00000000-0005-0000-0000-00007F620000}"/>
    <cellStyle name="Input 3 4" xfId="30879" xr:uid="{00000000-0005-0000-0000-000080620000}"/>
    <cellStyle name="Input 4" xfId="6555" xr:uid="{00000000-0005-0000-0000-000081620000}"/>
    <cellStyle name="Input 4 2" xfId="6556" xr:uid="{00000000-0005-0000-0000-000082620000}"/>
    <cellStyle name="Input 4 2 2" xfId="13218" xr:uid="{00000000-0005-0000-0000-000083620000}"/>
    <cellStyle name="Input 4 2 3" xfId="30882" xr:uid="{00000000-0005-0000-0000-000084620000}"/>
    <cellStyle name="Input 4 3" xfId="6557" xr:uid="{00000000-0005-0000-0000-000085620000}"/>
    <cellStyle name="Input 4 3 2" xfId="13217" xr:uid="{00000000-0005-0000-0000-000086620000}"/>
    <cellStyle name="Input 4 3 3" xfId="30883" xr:uid="{00000000-0005-0000-0000-000087620000}"/>
    <cellStyle name="Input 4 4" xfId="10037" xr:uid="{00000000-0005-0000-0000-000088620000}"/>
    <cellStyle name="Input 4 5" xfId="30881" xr:uid="{00000000-0005-0000-0000-000089620000}"/>
    <cellStyle name="Input 5" xfId="6558" xr:uid="{00000000-0005-0000-0000-00008A620000}"/>
    <cellStyle name="Input 5 2" xfId="6559" xr:uid="{00000000-0005-0000-0000-00008B620000}"/>
    <cellStyle name="Input 5 2 2" xfId="10039" xr:uid="{00000000-0005-0000-0000-00008C620000}"/>
    <cellStyle name="Input 5 2 3" xfId="30885" xr:uid="{00000000-0005-0000-0000-00008D620000}"/>
    <cellStyle name="Input 5 3" xfId="10038" xr:uid="{00000000-0005-0000-0000-00008E620000}"/>
    <cellStyle name="Input 5 4" xfId="30884" xr:uid="{00000000-0005-0000-0000-00008F620000}"/>
    <cellStyle name="Input 6" xfId="6560" xr:uid="{00000000-0005-0000-0000-000090620000}"/>
    <cellStyle name="Input 6 2" xfId="10040" xr:uid="{00000000-0005-0000-0000-000091620000}"/>
    <cellStyle name="Input 6 3" xfId="30886" xr:uid="{00000000-0005-0000-0000-000092620000}"/>
    <cellStyle name="Input 7" xfId="6561" xr:uid="{00000000-0005-0000-0000-000093620000}"/>
    <cellStyle name="Input 7 2" xfId="10041" xr:uid="{00000000-0005-0000-0000-000094620000}"/>
    <cellStyle name="Input 7 3" xfId="30887" xr:uid="{00000000-0005-0000-0000-000095620000}"/>
    <cellStyle name="Input 8" xfId="6562" xr:uid="{00000000-0005-0000-0000-000096620000}"/>
    <cellStyle name="Input 8 2" xfId="10042" xr:uid="{00000000-0005-0000-0000-000097620000}"/>
    <cellStyle name="Input 8 3" xfId="30888" xr:uid="{00000000-0005-0000-0000-000098620000}"/>
    <cellStyle name="Input 9" xfId="6563" xr:uid="{00000000-0005-0000-0000-000099620000}"/>
    <cellStyle name="Input 9 2" xfId="10043" xr:uid="{00000000-0005-0000-0000-00009A620000}"/>
    <cellStyle name="Input 9 3" xfId="30889" xr:uid="{00000000-0005-0000-0000-00009B620000}"/>
    <cellStyle name="Linked Cell" xfId="15" builtinId="24" customBuiltin="1"/>
    <cellStyle name="Linked Cell 10" xfId="6564" xr:uid="{00000000-0005-0000-0000-00009D620000}"/>
    <cellStyle name="Linked Cell 10 2" xfId="6565" xr:uid="{00000000-0005-0000-0000-00009E620000}"/>
    <cellStyle name="Linked Cell 10 2 2" xfId="11446" xr:uid="{00000000-0005-0000-0000-00009F620000}"/>
    <cellStyle name="Linked Cell 10 2 3" xfId="30891" xr:uid="{00000000-0005-0000-0000-0000A0620000}"/>
    <cellStyle name="Linked Cell 10 3" xfId="10045" xr:uid="{00000000-0005-0000-0000-0000A1620000}"/>
    <cellStyle name="Linked Cell 10 4" xfId="30890" xr:uid="{00000000-0005-0000-0000-0000A2620000}"/>
    <cellStyle name="Linked Cell 11" xfId="6566" xr:uid="{00000000-0005-0000-0000-0000A3620000}"/>
    <cellStyle name="Linked Cell 11 2" xfId="6567" xr:uid="{00000000-0005-0000-0000-0000A4620000}"/>
    <cellStyle name="Linked Cell 11 2 2" xfId="11447" xr:uid="{00000000-0005-0000-0000-0000A5620000}"/>
    <cellStyle name="Linked Cell 11 2 3" xfId="30893" xr:uid="{00000000-0005-0000-0000-0000A6620000}"/>
    <cellStyle name="Linked Cell 11 3" xfId="10046" xr:uid="{00000000-0005-0000-0000-0000A7620000}"/>
    <cellStyle name="Linked Cell 11 4" xfId="30892" xr:uid="{00000000-0005-0000-0000-0000A8620000}"/>
    <cellStyle name="Linked Cell 12" xfId="6568" xr:uid="{00000000-0005-0000-0000-0000A9620000}"/>
    <cellStyle name="Linked Cell 12 2" xfId="6569" xr:uid="{00000000-0005-0000-0000-0000AA620000}"/>
    <cellStyle name="Linked Cell 12 2 2" xfId="15672" xr:uid="{00000000-0005-0000-0000-0000AB620000}"/>
    <cellStyle name="Linked Cell 12 2 3" xfId="30895" xr:uid="{00000000-0005-0000-0000-0000AC620000}"/>
    <cellStyle name="Linked Cell 12 3" xfId="10047" xr:uid="{00000000-0005-0000-0000-0000AD620000}"/>
    <cellStyle name="Linked Cell 12 4" xfId="30894" xr:uid="{00000000-0005-0000-0000-0000AE620000}"/>
    <cellStyle name="Linked Cell 13" xfId="6570" xr:uid="{00000000-0005-0000-0000-0000AF620000}"/>
    <cellStyle name="Linked Cell 13 2" xfId="6571" xr:uid="{00000000-0005-0000-0000-0000B0620000}"/>
    <cellStyle name="Linked Cell 13 2 2" xfId="15673" xr:uid="{00000000-0005-0000-0000-0000B1620000}"/>
    <cellStyle name="Linked Cell 13 2 3" xfId="30897" xr:uid="{00000000-0005-0000-0000-0000B2620000}"/>
    <cellStyle name="Linked Cell 13 3" xfId="10484" xr:uid="{00000000-0005-0000-0000-0000B3620000}"/>
    <cellStyle name="Linked Cell 13 4" xfId="30896" xr:uid="{00000000-0005-0000-0000-0000B4620000}"/>
    <cellStyle name="Linked Cell 14" xfId="6572" xr:uid="{00000000-0005-0000-0000-0000B5620000}"/>
    <cellStyle name="Linked Cell 14 2" xfId="11445" xr:uid="{00000000-0005-0000-0000-0000B6620000}"/>
    <cellStyle name="Linked Cell 14 3" xfId="30898" xr:uid="{00000000-0005-0000-0000-0000B7620000}"/>
    <cellStyle name="Linked Cell 15" xfId="6573" xr:uid="{00000000-0005-0000-0000-0000B8620000}"/>
    <cellStyle name="Linked Cell 15 2" xfId="10044" xr:uid="{00000000-0005-0000-0000-0000B9620000}"/>
    <cellStyle name="Linked Cell 15 3" xfId="30899" xr:uid="{00000000-0005-0000-0000-0000BA620000}"/>
    <cellStyle name="Linked Cell 2" xfId="6574" xr:uid="{00000000-0005-0000-0000-0000BB620000}"/>
    <cellStyle name="Linked Cell 2 2" xfId="6575" xr:uid="{00000000-0005-0000-0000-0000BC620000}"/>
    <cellStyle name="Linked Cell 2 2 2" xfId="10049" xr:uid="{00000000-0005-0000-0000-0000BD620000}"/>
    <cellStyle name="Linked Cell 2 2 3" xfId="30901" xr:uid="{00000000-0005-0000-0000-0000BE620000}"/>
    <cellStyle name="Linked Cell 2 3" xfId="6576" xr:uid="{00000000-0005-0000-0000-0000BF620000}"/>
    <cellStyle name="Linked Cell 2 3 2" xfId="13219" xr:uid="{00000000-0005-0000-0000-0000C0620000}"/>
    <cellStyle name="Linked Cell 2 3 3" xfId="30902" xr:uid="{00000000-0005-0000-0000-0000C1620000}"/>
    <cellStyle name="Linked Cell 2 4" xfId="10048" xr:uid="{00000000-0005-0000-0000-0000C2620000}"/>
    <cellStyle name="Linked Cell 2 5" xfId="30900" xr:uid="{00000000-0005-0000-0000-0000C3620000}"/>
    <cellStyle name="Linked Cell 3" xfId="6577" xr:uid="{00000000-0005-0000-0000-0000C4620000}"/>
    <cellStyle name="Linked Cell 3 2" xfId="6578" xr:uid="{00000000-0005-0000-0000-0000C5620000}"/>
    <cellStyle name="Linked Cell 3 2 2" xfId="10051" xr:uid="{00000000-0005-0000-0000-0000C6620000}"/>
    <cellStyle name="Linked Cell 3 2 3" xfId="30904" xr:uid="{00000000-0005-0000-0000-0000C7620000}"/>
    <cellStyle name="Linked Cell 3 3" xfId="6579" xr:uid="{00000000-0005-0000-0000-0000C8620000}"/>
    <cellStyle name="Linked Cell 3 3 2" xfId="13221" xr:uid="{00000000-0005-0000-0000-0000C9620000}"/>
    <cellStyle name="Linked Cell 3 3 3" xfId="30905" xr:uid="{00000000-0005-0000-0000-0000CA620000}"/>
    <cellStyle name="Linked Cell 3 4" xfId="6580" xr:uid="{00000000-0005-0000-0000-0000CB620000}"/>
    <cellStyle name="Linked Cell 3 4 2" xfId="13220" xr:uid="{00000000-0005-0000-0000-0000CC620000}"/>
    <cellStyle name="Linked Cell 3 4 3" xfId="30906" xr:uid="{00000000-0005-0000-0000-0000CD620000}"/>
    <cellStyle name="Linked Cell 3 5" xfId="10050" xr:uid="{00000000-0005-0000-0000-0000CE620000}"/>
    <cellStyle name="Linked Cell 3 6" xfId="30903" xr:uid="{00000000-0005-0000-0000-0000CF620000}"/>
    <cellStyle name="Linked Cell 4" xfId="6581" xr:uid="{00000000-0005-0000-0000-0000D0620000}"/>
    <cellStyle name="Linked Cell 4 2" xfId="6582" xr:uid="{00000000-0005-0000-0000-0000D1620000}"/>
    <cellStyle name="Linked Cell 4 2 2" xfId="6583" xr:uid="{00000000-0005-0000-0000-0000D2620000}"/>
    <cellStyle name="Linked Cell 4 2 2 2" xfId="11449" xr:uid="{00000000-0005-0000-0000-0000D3620000}"/>
    <cellStyle name="Linked Cell 4 2 2 3" xfId="30909" xr:uid="{00000000-0005-0000-0000-0000D4620000}"/>
    <cellStyle name="Linked Cell 4 2 3" xfId="10053" xr:uid="{00000000-0005-0000-0000-0000D5620000}"/>
    <cellStyle name="Linked Cell 4 2 4" xfId="30908" xr:uid="{00000000-0005-0000-0000-0000D6620000}"/>
    <cellStyle name="Linked Cell 4 3" xfId="6584" xr:uid="{00000000-0005-0000-0000-0000D7620000}"/>
    <cellStyle name="Linked Cell 4 3 2" xfId="11448" xr:uid="{00000000-0005-0000-0000-0000D8620000}"/>
    <cellStyle name="Linked Cell 4 3 3" xfId="30910" xr:uid="{00000000-0005-0000-0000-0000D9620000}"/>
    <cellStyle name="Linked Cell 4 4" xfId="6585" xr:uid="{00000000-0005-0000-0000-0000DA620000}"/>
    <cellStyle name="Linked Cell 4 4 2" xfId="13222" xr:uid="{00000000-0005-0000-0000-0000DB620000}"/>
    <cellStyle name="Linked Cell 4 4 3" xfId="30911" xr:uid="{00000000-0005-0000-0000-0000DC620000}"/>
    <cellStyle name="Linked Cell 4 5" xfId="6586" xr:uid="{00000000-0005-0000-0000-0000DD620000}"/>
    <cellStyle name="Linked Cell 4 5 2" xfId="15674" xr:uid="{00000000-0005-0000-0000-0000DE620000}"/>
    <cellStyle name="Linked Cell 4 5 3" xfId="30912" xr:uid="{00000000-0005-0000-0000-0000DF620000}"/>
    <cellStyle name="Linked Cell 4 6" xfId="10052" xr:uid="{00000000-0005-0000-0000-0000E0620000}"/>
    <cellStyle name="Linked Cell 4 7" xfId="30907" xr:uid="{00000000-0005-0000-0000-0000E1620000}"/>
    <cellStyle name="Linked Cell 5" xfId="6587" xr:uid="{00000000-0005-0000-0000-0000E2620000}"/>
    <cellStyle name="Linked Cell 5 2" xfId="6588" xr:uid="{00000000-0005-0000-0000-0000E3620000}"/>
    <cellStyle name="Linked Cell 5 2 2" xfId="6589" xr:uid="{00000000-0005-0000-0000-0000E4620000}"/>
    <cellStyle name="Linked Cell 5 2 2 2" xfId="11451" xr:uid="{00000000-0005-0000-0000-0000E5620000}"/>
    <cellStyle name="Linked Cell 5 2 2 3" xfId="30915" xr:uid="{00000000-0005-0000-0000-0000E6620000}"/>
    <cellStyle name="Linked Cell 5 2 3" xfId="10055" xr:uid="{00000000-0005-0000-0000-0000E7620000}"/>
    <cellStyle name="Linked Cell 5 2 4" xfId="30914" xr:uid="{00000000-0005-0000-0000-0000E8620000}"/>
    <cellStyle name="Linked Cell 5 3" xfId="6590" xr:uid="{00000000-0005-0000-0000-0000E9620000}"/>
    <cellStyle name="Linked Cell 5 3 2" xfId="11450" xr:uid="{00000000-0005-0000-0000-0000EA620000}"/>
    <cellStyle name="Linked Cell 5 3 3" xfId="30916" xr:uid="{00000000-0005-0000-0000-0000EB620000}"/>
    <cellStyle name="Linked Cell 5 4" xfId="10054" xr:uid="{00000000-0005-0000-0000-0000EC620000}"/>
    <cellStyle name="Linked Cell 5 5" xfId="30913" xr:uid="{00000000-0005-0000-0000-0000ED620000}"/>
    <cellStyle name="Linked Cell 6" xfId="6591" xr:uid="{00000000-0005-0000-0000-0000EE620000}"/>
    <cellStyle name="Linked Cell 6 2" xfId="10056" xr:uid="{00000000-0005-0000-0000-0000EF620000}"/>
    <cellStyle name="Linked Cell 6 3" xfId="30917" xr:uid="{00000000-0005-0000-0000-0000F0620000}"/>
    <cellStyle name="Linked Cell 7" xfId="6592" xr:uid="{00000000-0005-0000-0000-0000F1620000}"/>
    <cellStyle name="Linked Cell 7 2" xfId="6593" xr:uid="{00000000-0005-0000-0000-0000F2620000}"/>
    <cellStyle name="Linked Cell 7 2 2" xfId="11452" xr:uid="{00000000-0005-0000-0000-0000F3620000}"/>
    <cellStyle name="Linked Cell 7 2 3" xfId="30919" xr:uid="{00000000-0005-0000-0000-0000F4620000}"/>
    <cellStyle name="Linked Cell 7 3" xfId="10057" xr:uid="{00000000-0005-0000-0000-0000F5620000}"/>
    <cellStyle name="Linked Cell 7 4" xfId="30918" xr:uid="{00000000-0005-0000-0000-0000F6620000}"/>
    <cellStyle name="Linked Cell 8" xfId="6594" xr:uid="{00000000-0005-0000-0000-0000F7620000}"/>
    <cellStyle name="Linked Cell 8 2" xfId="6595" xr:uid="{00000000-0005-0000-0000-0000F8620000}"/>
    <cellStyle name="Linked Cell 8 2 2" xfId="11453" xr:uid="{00000000-0005-0000-0000-0000F9620000}"/>
    <cellStyle name="Linked Cell 8 2 3" xfId="30921" xr:uid="{00000000-0005-0000-0000-0000FA620000}"/>
    <cellStyle name="Linked Cell 8 3" xfId="10058" xr:uid="{00000000-0005-0000-0000-0000FB620000}"/>
    <cellStyle name="Linked Cell 8 4" xfId="30920" xr:uid="{00000000-0005-0000-0000-0000FC620000}"/>
    <cellStyle name="Linked Cell 9" xfId="6596" xr:uid="{00000000-0005-0000-0000-0000FD620000}"/>
    <cellStyle name="Linked Cell 9 2" xfId="6597" xr:uid="{00000000-0005-0000-0000-0000FE620000}"/>
    <cellStyle name="Linked Cell 9 2 2" xfId="11454" xr:uid="{00000000-0005-0000-0000-0000FF620000}"/>
    <cellStyle name="Linked Cell 9 2 3" xfId="30923" xr:uid="{00000000-0005-0000-0000-000000630000}"/>
    <cellStyle name="Linked Cell 9 3" xfId="10059" xr:uid="{00000000-0005-0000-0000-000001630000}"/>
    <cellStyle name="Linked Cell 9 4" xfId="30922" xr:uid="{00000000-0005-0000-0000-000002630000}"/>
    <cellStyle name="Neutral" xfId="11" builtinId="28" customBuiltin="1"/>
    <cellStyle name="Neutral 10" xfId="6598" xr:uid="{00000000-0005-0000-0000-000004630000}"/>
    <cellStyle name="Neutral 10 2" xfId="10061" xr:uid="{00000000-0005-0000-0000-000005630000}"/>
    <cellStyle name="Neutral 10 3" xfId="30924" xr:uid="{00000000-0005-0000-0000-000006630000}"/>
    <cellStyle name="Neutral 11" xfId="6599" xr:uid="{00000000-0005-0000-0000-000007630000}"/>
    <cellStyle name="Neutral 11 2" xfId="10062" xr:uid="{00000000-0005-0000-0000-000008630000}"/>
    <cellStyle name="Neutral 11 3" xfId="30925" xr:uid="{00000000-0005-0000-0000-000009630000}"/>
    <cellStyle name="Neutral 12" xfId="6600" xr:uid="{00000000-0005-0000-0000-00000A630000}"/>
    <cellStyle name="Neutral 12 2" xfId="6601" xr:uid="{00000000-0005-0000-0000-00000B630000}"/>
    <cellStyle name="Neutral 12 2 2" xfId="15675" xr:uid="{00000000-0005-0000-0000-00000C630000}"/>
    <cellStyle name="Neutral 12 2 3" xfId="30927" xr:uid="{00000000-0005-0000-0000-00000D630000}"/>
    <cellStyle name="Neutral 12 3" xfId="10485" xr:uid="{00000000-0005-0000-0000-00000E630000}"/>
    <cellStyle name="Neutral 12 4" xfId="30926" xr:uid="{00000000-0005-0000-0000-00000F630000}"/>
    <cellStyle name="Neutral 13" xfId="6602" xr:uid="{00000000-0005-0000-0000-000010630000}"/>
    <cellStyle name="Neutral 13 2" xfId="11455" xr:uid="{00000000-0005-0000-0000-000011630000}"/>
    <cellStyle name="Neutral 13 3" xfId="30928" xr:uid="{00000000-0005-0000-0000-000012630000}"/>
    <cellStyle name="Neutral 14" xfId="6603" xr:uid="{00000000-0005-0000-0000-000013630000}"/>
    <cellStyle name="Neutral 14 2" xfId="10060" xr:uid="{00000000-0005-0000-0000-000014630000}"/>
    <cellStyle name="Neutral 14 3" xfId="30929" xr:uid="{00000000-0005-0000-0000-000015630000}"/>
    <cellStyle name="Neutral 2" xfId="6604" xr:uid="{00000000-0005-0000-0000-000016630000}"/>
    <cellStyle name="Neutral 2 2" xfId="10063" xr:uid="{00000000-0005-0000-0000-000017630000}"/>
    <cellStyle name="Neutral 2 3" xfId="30930" xr:uid="{00000000-0005-0000-0000-000018630000}"/>
    <cellStyle name="Neutral 3" xfId="6605" xr:uid="{00000000-0005-0000-0000-000019630000}"/>
    <cellStyle name="Neutral 3 2" xfId="6606" xr:uid="{00000000-0005-0000-0000-00001A630000}"/>
    <cellStyle name="Neutral 3 2 2" xfId="10065" xr:uid="{00000000-0005-0000-0000-00001B630000}"/>
    <cellStyle name="Neutral 3 2 3" xfId="30932" xr:uid="{00000000-0005-0000-0000-00001C630000}"/>
    <cellStyle name="Neutral 3 3" xfId="10064" xr:uid="{00000000-0005-0000-0000-00001D630000}"/>
    <cellStyle name="Neutral 3 4" xfId="30931" xr:uid="{00000000-0005-0000-0000-00001E630000}"/>
    <cellStyle name="Neutral 4" xfId="6607" xr:uid="{00000000-0005-0000-0000-00001F630000}"/>
    <cellStyle name="Neutral 4 2" xfId="6608" xr:uid="{00000000-0005-0000-0000-000020630000}"/>
    <cellStyle name="Neutral 4 2 2" xfId="13224" xr:uid="{00000000-0005-0000-0000-000021630000}"/>
    <cellStyle name="Neutral 4 2 3" xfId="30934" xr:uid="{00000000-0005-0000-0000-000022630000}"/>
    <cellStyle name="Neutral 4 3" xfId="6609" xr:uid="{00000000-0005-0000-0000-000023630000}"/>
    <cellStyle name="Neutral 4 3 2" xfId="13223" xr:uid="{00000000-0005-0000-0000-000024630000}"/>
    <cellStyle name="Neutral 4 3 3" xfId="30935" xr:uid="{00000000-0005-0000-0000-000025630000}"/>
    <cellStyle name="Neutral 4 4" xfId="10066" xr:uid="{00000000-0005-0000-0000-000026630000}"/>
    <cellStyle name="Neutral 4 5" xfId="30933" xr:uid="{00000000-0005-0000-0000-000027630000}"/>
    <cellStyle name="Neutral 5" xfId="6610" xr:uid="{00000000-0005-0000-0000-000028630000}"/>
    <cellStyle name="Neutral 5 2" xfId="6611" xr:uid="{00000000-0005-0000-0000-000029630000}"/>
    <cellStyle name="Neutral 5 2 2" xfId="10068" xr:uid="{00000000-0005-0000-0000-00002A630000}"/>
    <cellStyle name="Neutral 5 2 3" xfId="30937" xr:uid="{00000000-0005-0000-0000-00002B630000}"/>
    <cellStyle name="Neutral 5 3" xfId="10067" xr:uid="{00000000-0005-0000-0000-00002C630000}"/>
    <cellStyle name="Neutral 5 4" xfId="30936" xr:uid="{00000000-0005-0000-0000-00002D630000}"/>
    <cellStyle name="Neutral 6" xfId="6612" xr:uid="{00000000-0005-0000-0000-00002E630000}"/>
    <cellStyle name="Neutral 6 2" xfId="10069" xr:uid="{00000000-0005-0000-0000-00002F630000}"/>
    <cellStyle name="Neutral 6 3" xfId="30938" xr:uid="{00000000-0005-0000-0000-000030630000}"/>
    <cellStyle name="Neutral 7" xfId="6613" xr:uid="{00000000-0005-0000-0000-000031630000}"/>
    <cellStyle name="Neutral 7 2" xfId="10070" xr:uid="{00000000-0005-0000-0000-000032630000}"/>
    <cellStyle name="Neutral 7 3" xfId="30939" xr:uid="{00000000-0005-0000-0000-000033630000}"/>
    <cellStyle name="Neutral 8" xfId="6614" xr:uid="{00000000-0005-0000-0000-000034630000}"/>
    <cellStyle name="Neutral 8 2" xfId="10071" xr:uid="{00000000-0005-0000-0000-000035630000}"/>
    <cellStyle name="Neutral 8 3" xfId="30940" xr:uid="{00000000-0005-0000-0000-000036630000}"/>
    <cellStyle name="Neutral 9" xfId="6615" xr:uid="{00000000-0005-0000-0000-000037630000}"/>
    <cellStyle name="Neutral 9 2" xfId="10072" xr:uid="{00000000-0005-0000-0000-000038630000}"/>
    <cellStyle name="Neutral 9 3" xfId="30941" xr:uid="{00000000-0005-0000-0000-000039630000}"/>
    <cellStyle name="Normal" xfId="0" builtinId="0"/>
    <cellStyle name="Normal 10" xfId="6616" xr:uid="{00000000-0005-0000-0000-00003B630000}"/>
    <cellStyle name="Normal 10 2" xfId="6617" xr:uid="{00000000-0005-0000-0000-00003C630000}"/>
    <cellStyle name="Normal 10 2 2" xfId="6618" xr:uid="{00000000-0005-0000-0000-00003D630000}"/>
    <cellStyle name="Normal 10 2 2 2" xfId="11682" xr:uid="{00000000-0005-0000-0000-00003E630000}"/>
    <cellStyle name="Normal 10 2 2 2 2" xfId="25418" xr:uid="{00000000-0005-0000-0000-00003F630000}"/>
    <cellStyle name="Normal 10 2 2 3" xfId="30942" xr:uid="{00000000-0005-0000-0000-000040630000}"/>
    <cellStyle name="Normal 10 2 3" xfId="6619" xr:uid="{00000000-0005-0000-0000-000041630000}"/>
    <cellStyle name="Normal 10 2 3 2" xfId="17332" xr:uid="{00000000-0005-0000-0000-000042630000}"/>
    <cellStyle name="Normal 10 2 3 3" xfId="30943" xr:uid="{00000000-0005-0000-0000-000043630000}"/>
    <cellStyle name="Normal 10 2 4" xfId="8719" xr:uid="{00000000-0005-0000-0000-000044630000}"/>
    <cellStyle name="Normal 10 2 5" xfId="10074" xr:uid="{00000000-0005-0000-0000-000045630000}"/>
    <cellStyle name="Normal 10 3" xfId="6620" xr:uid="{00000000-0005-0000-0000-000046630000}"/>
    <cellStyle name="Normal 10 3 2" xfId="6621" xr:uid="{00000000-0005-0000-0000-000047630000}"/>
    <cellStyle name="Normal 10 3 2 2" xfId="13226" xr:uid="{00000000-0005-0000-0000-000048630000}"/>
    <cellStyle name="Normal 10 3 2 2 2" xfId="26871" xr:uid="{00000000-0005-0000-0000-000049630000}"/>
    <cellStyle name="Normal 10 3 2 3" xfId="30945" xr:uid="{00000000-0005-0000-0000-00004A630000}"/>
    <cellStyle name="Normal 10 3 3" xfId="6622" xr:uid="{00000000-0005-0000-0000-00004B630000}"/>
    <cellStyle name="Normal 10 3 3 2" xfId="15677" xr:uid="{00000000-0005-0000-0000-00004C630000}"/>
    <cellStyle name="Normal 10 3 3 2 2" xfId="29163" xr:uid="{00000000-0005-0000-0000-00004D630000}"/>
    <cellStyle name="Normal 10 3 3 3" xfId="30946" xr:uid="{00000000-0005-0000-0000-00004E630000}"/>
    <cellStyle name="Normal 10 3 4" xfId="11456" xr:uid="{00000000-0005-0000-0000-00004F630000}"/>
    <cellStyle name="Normal 10 3 4 2" xfId="25288" xr:uid="{00000000-0005-0000-0000-000050630000}"/>
    <cellStyle name="Normal 10 3 5" xfId="30944" xr:uid="{00000000-0005-0000-0000-000051630000}"/>
    <cellStyle name="Normal 10 3 6" xfId="32935" xr:uid="{00000000-0005-0000-0000-000052630000}"/>
    <cellStyle name="Normal 10 3 7" xfId="32993" xr:uid="{00000000-0005-0000-0000-000053630000}"/>
    <cellStyle name="Normal 10 4" xfId="6623" xr:uid="{00000000-0005-0000-0000-000054630000}"/>
    <cellStyle name="Normal 10 4 2" xfId="13225" xr:uid="{00000000-0005-0000-0000-000055630000}"/>
    <cellStyle name="Normal 10 4 2 2" xfId="26870" xr:uid="{00000000-0005-0000-0000-000056630000}"/>
    <cellStyle name="Normal 10 4 3" xfId="30947" xr:uid="{00000000-0005-0000-0000-000057630000}"/>
    <cellStyle name="Normal 10 5" xfId="6624" xr:uid="{00000000-0005-0000-0000-000058630000}"/>
    <cellStyle name="Normal 10 5 2" xfId="15676" xr:uid="{00000000-0005-0000-0000-000059630000}"/>
    <cellStyle name="Normal 10 5 2 2" xfId="29162" xr:uid="{00000000-0005-0000-0000-00005A630000}"/>
    <cellStyle name="Normal 10 5 3" xfId="30948" xr:uid="{00000000-0005-0000-0000-00005B630000}"/>
    <cellStyle name="Normal 10 6" xfId="6625" xr:uid="{00000000-0005-0000-0000-00005C630000}"/>
    <cellStyle name="Normal 10 6 2" xfId="15792" xr:uid="{00000000-0005-0000-0000-00005D630000}"/>
    <cellStyle name="Normal 10 6 2 2" xfId="29199" xr:uid="{00000000-0005-0000-0000-00005E630000}"/>
    <cellStyle name="Normal 10 6 3" xfId="30949" xr:uid="{00000000-0005-0000-0000-00005F630000}"/>
    <cellStyle name="Normal 10 7" xfId="8709" xr:uid="{00000000-0005-0000-0000-000060630000}"/>
    <cellStyle name="Normal 10 7 2" xfId="10073" xr:uid="{00000000-0005-0000-0000-000061630000}"/>
    <cellStyle name="Normal 10 7 2 2" xfId="24305" xr:uid="{00000000-0005-0000-0000-000062630000}"/>
    <cellStyle name="Normal 10 8" xfId="8710" xr:uid="{00000000-0005-0000-0000-000063630000}"/>
    <cellStyle name="Normal 10 8 2" xfId="17318" xr:uid="{00000000-0005-0000-0000-000064630000}"/>
    <cellStyle name="Normal 10 8 3" xfId="23225" xr:uid="{00000000-0005-0000-0000-000065630000}"/>
    <cellStyle name="Normal 11" xfId="6626" xr:uid="{00000000-0005-0000-0000-000066630000}"/>
    <cellStyle name="Normal 11 2" xfId="10075" xr:uid="{00000000-0005-0000-0000-000067630000}"/>
    <cellStyle name="Normal 11 3" xfId="30950" xr:uid="{00000000-0005-0000-0000-000068630000}"/>
    <cellStyle name="Normal 11 4" xfId="32906" xr:uid="{00000000-0005-0000-0000-000069630000}"/>
    <cellStyle name="Normal 11 5" xfId="32966" xr:uid="{00000000-0005-0000-0000-00006A630000}"/>
    <cellStyle name="Normal 12" xfId="6627" xr:uid="{00000000-0005-0000-0000-00006B630000}"/>
    <cellStyle name="Normal 12 2" xfId="10076" xr:uid="{00000000-0005-0000-0000-00006C630000}"/>
    <cellStyle name="Normal 12 3" xfId="30951" xr:uid="{00000000-0005-0000-0000-00006D630000}"/>
    <cellStyle name="Normal 12 4" xfId="32932" xr:uid="{00000000-0005-0000-0000-00006E630000}"/>
    <cellStyle name="Normal 13" xfId="6628" xr:uid="{00000000-0005-0000-0000-00006F630000}"/>
    <cellStyle name="Normal 13 10" xfId="6629" xr:uid="{00000000-0005-0000-0000-000070630000}"/>
    <cellStyle name="Normal 13 10 2" xfId="6630" xr:uid="{00000000-0005-0000-0000-000071630000}"/>
    <cellStyle name="Normal 13 10 2 2" xfId="13227" xr:uid="{00000000-0005-0000-0000-000072630000}"/>
    <cellStyle name="Normal 13 10 2 2 2" xfId="26872" xr:uid="{00000000-0005-0000-0000-000073630000}"/>
    <cellStyle name="Normal 13 10 2 3" xfId="30953" xr:uid="{00000000-0005-0000-0000-000074630000}"/>
    <cellStyle name="Normal 13 10 3" xfId="6631" xr:uid="{00000000-0005-0000-0000-000075630000}"/>
    <cellStyle name="Normal 13 10 3 2" xfId="15678" xr:uid="{00000000-0005-0000-0000-000076630000}"/>
    <cellStyle name="Normal 13 10 3 2 2" xfId="29164" xr:uid="{00000000-0005-0000-0000-000077630000}"/>
    <cellStyle name="Normal 13 10 3 3" xfId="30954" xr:uid="{00000000-0005-0000-0000-000078630000}"/>
    <cellStyle name="Normal 13 10 4" xfId="6632" xr:uid="{00000000-0005-0000-0000-000079630000}"/>
    <cellStyle name="Normal 13 10 4 2" xfId="17099" xr:uid="{00000000-0005-0000-0000-00007A630000}"/>
    <cellStyle name="Normal 13 10 4 2 2" xfId="30458" xr:uid="{00000000-0005-0000-0000-00007B630000}"/>
    <cellStyle name="Normal 13 10 4 3" xfId="30955" xr:uid="{00000000-0005-0000-0000-00007C630000}"/>
    <cellStyle name="Normal 13 10 5" xfId="10510" xr:uid="{00000000-0005-0000-0000-00007D630000}"/>
    <cellStyle name="Normal 13 10 5 2" xfId="24456" xr:uid="{00000000-0005-0000-0000-00007E630000}"/>
    <cellStyle name="Normal 13 10 6" xfId="30952" xr:uid="{00000000-0005-0000-0000-00007F630000}"/>
    <cellStyle name="Normal 13 11" xfId="6633" xr:uid="{00000000-0005-0000-0000-000080630000}"/>
    <cellStyle name="Normal 13 11 2" xfId="6634" xr:uid="{00000000-0005-0000-0000-000081630000}"/>
    <cellStyle name="Normal 13 11 2 2" xfId="13228" xr:uid="{00000000-0005-0000-0000-000082630000}"/>
    <cellStyle name="Normal 13 11 2 2 2" xfId="26873" xr:uid="{00000000-0005-0000-0000-000083630000}"/>
    <cellStyle name="Normal 13 11 2 3" xfId="30957" xr:uid="{00000000-0005-0000-0000-000084630000}"/>
    <cellStyle name="Normal 13 11 3" xfId="6635" xr:uid="{00000000-0005-0000-0000-000085630000}"/>
    <cellStyle name="Normal 13 11 3 2" xfId="15679" xr:uid="{00000000-0005-0000-0000-000086630000}"/>
    <cellStyle name="Normal 13 11 3 2 2" xfId="29165" xr:uid="{00000000-0005-0000-0000-000087630000}"/>
    <cellStyle name="Normal 13 11 3 3" xfId="30958" xr:uid="{00000000-0005-0000-0000-000088630000}"/>
    <cellStyle name="Normal 13 11 4" xfId="6636" xr:uid="{00000000-0005-0000-0000-000089630000}"/>
    <cellStyle name="Normal 13 11 4 2" xfId="17188" xr:uid="{00000000-0005-0000-0000-00008A630000}"/>
    <cellStyle name="Normal 13 11 4 2 2" xfId="30547" xr:uid="{00000000-0005-0000-0000-00008B630000}"/>
    <cellStyle name="Normal 13 11 4 3" xfId="30959" xr:uid="{00000000-0005-0000-0000-00008C630000}"/>
    <cellStyle name="Normal 13 11 5" xfId="11457" xr:uid="{00000000-0005-0000-0000-00008D630000}"/>
    <cellStyle name="Normal 13 11 5 2" xfId="25289" xr:uid="{00000000-0005-0000-0000-00008E630000}"/>
    <cellStyle name="Normal 13 11 6" xfId="30956" xr:uid="{00000000-0005-0000-0000-00008F630000}"/>
    <cellStyle name="Normal 13 12" xfId="6637" xr:uid="{00000000-0005-0000-0000-000090630000}"/>
    <cellStyle name="Normal 13 12 2" xfId="6638" xr:uid="{00000000-0005-0000-0000-000091630000}"/>
    <cellStyle name="Normal 13 12 2 2" xfId="17277" xr:uid="{00000000-0005-0000-0000-000092630000}"/>
    <cellStyle name="Normal 13 12 2 2 2" xfId="30636" xr:uid="{00000000-0005-0000-0000-000093630000}"/>
    <cellStyle name="Normal 13 12 2 3" xfId="30961" xr:uid="{00000000-0005-0000-0000-000094630000}"/>
    <cellStyle name="Normal 13 12 3" xfId="11766" xr:uid="{00000000-0005-0000-0000-000095630000}"/>
    <cellStyle name="Normal 13 12 3 2" xfId="25481" xr:uid="{00000000-0005-0000-0000-000096630000}"/>
    <cellStyle name="Normal 13 12 4" xfId="30960" xr:uid="{00000000-0005-0000-0000-000097630000}"/>
    <cellStyle name="Normal 13 13" xfId="6639" xr:uid="{00000000-0005-0000-0000-000098630000}"/>
    <cellStyle name="Normal 13 13 2" xfId="6640" xr:uid="{00000000-0005-0000-0000-000099630000}"/>
    <cellStyle name="Normal 13 13 2 2" xfId="16429" xr:uid="{00000000-0005-0000-0000-00009A630000}"/>
    <cellStyle name="Normal 13 13 2 2 2" xfId="29836" xr:uid="{00000000-0005-0000-0000-00009B630000}"/>
    <cellStyle name="Normal 13 13 2 3" xfId="30963" xr:uid="{00000000-0005-0000-0000-00009C630000}"/>
    <cellStyle name="Normal 13 13 3" xfId="13381" xr:uid="{00000000-0005-0000-0000-00009D630000}"/>
    <cellStyle name="Normal 13 13 3 2" xfId="26930" xr:uid="{00000000-0005-0000-0000-00009E630000}"/>
    <cellStyle name="Normal 13 13 4" xfId="30962" xr:uid="{00000000-0005-0000-0000-00009F630000}"/>
    <cellStyle name="Normal 13 14" xfId="6641" xr:uid="{00000000-0005-0000-0000-0000A0630000}"/>
    <cellStyle name="Normal 13 14 2" xfId="13962" xr:uid="{00000000-0005-0000-0000-0000A1630000}"/>
    <cellStyle name="Normal 13 14 2 2" xfId="27511" xr:uid="{00000000-0005-0000-0000-0000A2630000}"/>
    <cellStyle name="Normal 13 14 3" xfId="30964" xr:uid="{00000000-0005-0000-0000-0000A3630000}"/>
    <cellStyle name="Normal 13 15" xfId="6642" xr:uid="{00000000-0005-0000-0000-0000A4630000}"/>
    <cellStyle name="Normal 13 15 2" xfId="15831" xr:uid="{00000000-0005-0000-0000-0000A5630000}"/>
    <cellStyle name="Normal 13 15 2 2" xfId="29238" xr:uid="{00000000-0005-0000-0000-0000A6630000}"/>
    <cellStyle name="Normal 13 15 3" xfId="30965" xr:uid="{00000000-0005-0000-0000-0000A7630000}"/>
    <cellStyle name="Normal 13 16" xfId="6643" xr:uid="{00000000-0005-0000-0000-0000A8630000}"/>
    <cellStyle name="Normal 13 16 2" xfId="15848" xr:uid="{00000000-0005-0000-0000-0000A9630000}"/>
    <cellStyle name="Normal 13 16 2 2" xfId="29255" xr:uid="{00000000-0005-0000-0000-0000AA630000}"/>
    <cellStyle name="Normal 13 16 3" xfId="30966" xr:uid="{00000000-0005-0000-0000-0000AB630000}"/>
    <cellStyle name="Normal 13 17" xfId="17364" xr:uid="{00000000-0005-0000-0000-0000AC630000}"/>
    <cellStyle name="Normal 13 18" xfId="10077" xr:uid="{00000000-0005-0000-0000-0000AD630000}"/>
    <cellStyle name="Normal 13 18 2" xfId="24306" xr:uid="{00000000-0005-0000-0000-0000AE630000}"/>
    <cellStyle name="Normal 13 2" xfId="6644" xr:uid="{00000000-0005-0000-0000-0000AF630000}"/>
    <cellStyle name="Normal 13 2 10" xfId="6645" xr:uid="{00000000-0005-0000-0000-0000B0630000}"/>
    <cellStyle name="Normal 13 2 10 2" xfId="15905" xr:uid="{00000000-0005-0000-0000-0000B1630000}"/>
    <cellStyle name="Normal 13 2 10 2 2" xfId="29312" xr:uid="{00000000-0005-0000-0000-0000B2630000}"/>
    <cellStyle name="Normal 13 2 10 3" xfId="30968" xr:uid="{00000000-0005-0000-0000-0000B3630000}"/>
    <cellStyle name="Normal 13 2 11" xfId="10078" xr:uid="{00000000-0005-0000-0000-0000B4630000}"/>
    <cellStyle name="Normal 13 2 11 2" xfId="24307" xr:uid="{00000000-0005-0000-0000-0000B5630000}"/>
    <cellStyle name="Normal 13 2 12" xfId="30967" xr:uid="{00000000-0005-0000-0000-0000B6630000}"/>
    <cellStyle name="Normal 13 2 2" xfId="6646" xr:uid="{00000000-0005-0000-0000-0000B7630000}"/>
    <cellStyle name="Normal 13 2 2 10" xfId="30969" xr:uid="{00000000-0005-0000-0000-0000B8630000}"/>
    <cellStyle name="Normal 13 2 2 2" xfId="6647" xr:uid="{00000000-0005-0000-0000-0000B9630000}"/>
    <cellStyle name="Normal 13 2 2 2 2" xfId="6648" xr:uid="{00000000-0005-0000-0000-0000BA630000}"/>
    <cellStyle name="Normal 13 2 2 2 2 2" xfId="6649" xr:uid="{00000000-0005-0000-0000-0000BB630000}"/>
    <cellStyle name="Normal 13 2 2 2 2 2 2" xfId="6650" xr:uid="{00000000-0005-0000-0000-0000BC630000}"/>
    <cellStyle name="Normal 13 2 2 2 2 2 2 2" xfId="16964" xr:uid="{00000000-0005-0000-0000-0000BD630000}"/>
    <cellStyle name="Normal 13 2 2 2 2 2 2 2 2" xfId="30371" xr:uid="{00000000-0005-0000-0000-0000BE630000}"/>
    <cellStyle name="Normal 13 2 2 2 2 2 2 3" xfId="30973" xr:uid="{00000000-0005-0000-0000-0000BF630000}"/>
    <cellStyle name="Normal 13 2 2 2 2 2 3" xfId="11461" xr:uid="{00000000-0005-0000-0000-0000C0630000}"/>
    <cellStyle name="Normal 13 2 2 2 2 2 3 2" xfId="25293" xr:uid="{00000000-0005-0000-0000-0000C1630000}"/>
    <cellStyle name="Normal 13 2 2 2 2 2 4" xfId="30972" xr:uid="{00000000-0005-0000-0000-0000C2630000}"/>
    <cellStyle name="Normal 13 2 2 2 2 3" xfId="6651" xr:uid="{00000000-0005-0000-0000-0000C3630000}"/>
    <cellStyle name="Normal 13 2 2 2 2 3 2" xfId="12352" xr:uid="{00000000-0005-0000-0000-0000C4630000}"/>
    <cellStyle name="Normal 13 2 2 2 2 3 2 2" xfId="26064" xr:uid="{00000000-0005-0000-0000-0000C5630000}"/>
    <cellStyle name="Normal 13 2 2 2 2 3 3" xfId="30974" xr:uid="{00000000-0005-0000-0000-0000C6630000}"/>
    <cellStyle name="Normal 13 2 2 2 2 4" xfId="6652" xr:uid="{00000000-0005-0000-0000-0000C7630000}"/>
    <cellStyle name="Normal 13 2 2 2 2 4 2" xfId="13916" xr:uid="{00000000-0005-0000-0000-0000C8630000}"/>
    <cellStyle name="Normal 13 2 2 2 2 4 2 2" xfId="27465" xr:uid="{00000000-0005-0000-0000-0000C9630000}"/>
    <cellStyle name="Normal 13 2 2 2 2 4 3" xfId="30975" xr:uid="{00000000-0005-0000-0000-0000CA630000}"/>
    <cellStyle name="Normal 13 2 2 2 2 5" xfId="6653" xr:uid="{00000000-0005-0000-0000-0000CB630000}"/>
    <cellStyle name="Normal 13 2 2 2 2 5 2" xfId="14497" xr:uid="{00000000-0005-0000-0000-0000CC630000}"/>
    <cellStyle name="Normal 13 2 2 2 2 5 2 2" xfId="28046" xr:uid="{00000000-0005-0000-0000-0000CD630000}"/>
    <cellStyle name="Normal 13 2 2 2 2 5 3" xfId="30976" xr:uid="{00000000-0005-0000-0000-0000CE630000}"/>
    <cellStyle name="Normal 13 2 2 2 2 6" xfId="6654" xr:uid="{00000000-0005-0000-0000-0000CF630000}"/>
    <cellStyle name="Normal 13 2 2 2 2 6 2" xfId="16383" xr:uid="{00000000-0005-0000-0000-0000D0630000}"/>
    <cellStyle name="Normal 13 2 2 2 2 6 2 2" xfId="29790" xr:uid="{00000000-0005-0000-0000-0000D1630000}"/>
    <cellStyle name="Normal 13 2 2 2 2 6 3" xfId="30977" xr:uid="{00000000-0005-0000-0000-0000D2630000}"/>
    <cellStyle name="Normal 13 2 2 2 2 7" xfId="10081" xr:uid="{00000000-0005-0000-0000-0000D3630000}"/>
    <cellStyle name="Normal 13 2 2 2 2 7 2" xfId="24310" xr:uid="{00000000-0005-0000-0000-0000D4630000}"/>
    <cellStyle name="Normal 13 2 2 2 2 8" xfId="30971" xr:uid="{00000000-0005-0000-0000-0000D5630000}"/>
    <cellStyle name="Normal 13 2 2 2 3" xfId="6655" xr:uid="{00000000-0005-0000-0000-0000D6630000}"/>
    <cellStyle name="Normal 13 2 2 2 3 2" xfId="6656" xr:uid="{00000000-0005-0000-0000-0000D7630000}"/>
    <cellStyle name="Normal 13 2 2 2 3 2 2" xfId="16675" xr:uid="{00000000-0005-0000-0000-0000D8630000}"/>
    <cellStyle name="Normal 13 2 2 2 3 2 2 2" xfId="30082" xr:uid="{00000000-0005-0000-0000-0000D9630000}"/>
    <cellStyle name="Normal 13 2 2 2 3 2 3" xfId="30979" xr:uid="{00000000-0005-0000-0000-0000DA630000}"/>
    <cellStyle name="Normal 13 2 2 2 3 3" xfId="11460" xr:uid="{00000000-0005-0000-0000-0000DB630000}"/>
    <cellStyle name="Normal 13 2 2 2 3 3 2" xfId="25292" xr:uid="{00000000-0005-0000-0000-0000DC630000}"/>
    <cellStyle name="Normal 13 2 2 2 3 4" xfId="30978" xr:uid="{00000000-0005-0000-0000-0000DD630000}"/>
    <cellStyle name="Normal 13 2 2 2 4" xfId="6657" xr:uid="{00000000-0005-0000-0000-0000DE630000}"/>
    <cellStyle name="Normal 13 2 2 2 4 2" xfId="12052" xr:uid="{00000000-0005-0000-0000-0000DF630000}"/>
    <cellStyle name="Normal 13 2 2 2 4 2 2" xfId="25767" xr:uid="{00000000-0005-0000-0000-0000E0630000}"/>
    <cellStyle name="Normal 13 2 2 2 4 3" xfId="30980" xr:uid="{00000000-0005-0000-0000-0000E1630000}"/>
    <cellStyle name="Normal 13 2 2 2 5" xfId="6658" xr:uid="{00000000-0005-0000-0000-0000E2630000}"/>
    <cellStyle name="Normal 13 2 2 2 5 2" xfId="13627" xr:uid="{00000000-0005-0000-0000-0000E3630000}"/>
    <cellStyle name="Normal 13 2 2 2 5 2 2" xfId="27176" xr:uid="{00000000-0005-0000-0000-0000E4630000}"/>
    <cellStyle name="Normal 13 2 2 2 5 3" xfId="30981" xr:uid="{00000000-0005-0000-0000-0000E5630000}"/>
    <cellStyle name="Normal 13 2 2 2 6" xfId="6659" xr:uid="{00000000-0005-0000-0000-0000E6630000}"/>
    <cellStyle name="Normal 13 2 2 2 6 2" xfId="14208" xr:uid="{00000000-0005-0000-0000-0000E7630000}"/>
    <cellStyle name="Normal 13 2 2 2 6 2 2" xfId="27757" xr:uid="{00000000-0005-0000-0000-0000E8630000}"/>
    <cellStyle name="Normal 13 2 2 2 6 3" xfId="30982" xr:uid="{00000000-0005-0000-0000-0000E9630000}"/>
    <cellStyle name="Normal 13 2 2 2 7" xfId="6660" xr:uid="{00000000-0005-0000-0000-0000EA630000}"/>
    <cellStyle name="Normal 13 2 2 2 7 2" xfId="16094" xr:uid="{00000000-0005-0000-0000-0000EB630000}"/>
    <cellStyle name="Normal 13 2 2 2 7 2 2" xfId="29501" xr:uid="{00000000-0005-0000-0000-0000EC630000}"/>
    <cellStyle name="Normal 13 2 2 2 7 3" xfId="30983" xr:uid="{00000000-0005-0000-0000-0000ED630000}"/>
    <cellStyle name="Normal 13 2 2 2 8" xfId="10080" xr:uid="{00000000-0005-0000-0000-0000EE630000}"/>
    <cellStyle name="Normal 13 2 2 2 8 2" xfId="24309" xr:uid="{00000000-0005-0000-0000-0000EF630000}"/>
    <cellStyle name="Normal 13 2 2 2 9" xfId="30970" xr:uid="{00000000-0005-0000-0000-0000F0630000}"/>
    <cellStyle name="Normal 13 2 2 3" xfId="6661" xr:uid="{00000000-0005-0000-0000-0000F1630000}"/>
    <cellStyle name="Normal 13 2 2 3 2" xfId="6662" xr:uid="{00000000-0005-0000-0000-0000F2630000}"/>
    <cellStyle name="Normal 13 2 2 3 2 2" xfId="6663" xr:uid="{00000000-0005-0000-0000-0000F3630000}"/>
    <cellStyle name="Normal 13 2 2 3 2 2 2" xfId="16821" xr:uid="{00000000-0005-0000-0000-0000F4630000}"/>
    <cellStyle name="Normal 13 2 2 3 2 2 2 2" xfId="30228" xr:uid="{00000000-0005-0000-0000-0000F5630000}"/>
    <cellStyle name="Normal 13 2 2 3 2 2 3" xfId="30986" xr:uid="{00000000-0005-0000-0000-0000F6630000}"/>
    <cellStyle name="Normal 13 2 2 3 2 3" xfId="11462" xr:uid="{00000000-0005-0000-0000-0000F7630000}"/>
    <cellStyle name="Normal 13 2 2 3 2 3 2" xfId="25294" xr:uid="{00000000-0005-0000-0000-0000F8630000}"/>
    <cellStyle name="Normal 13 2 2 3 2 4" xfId="30985" xr:uid="{00000000-0005-0000-0000-0000F9630000}"/>
    <cellStyle name="Normal 13 2 2 3 3" xfId="6664" xr:uid="{00000000-0005-0000-0000-0000FA630000}"/>
    <cellStyle name="Normal 13 2 2 3 3 2" xfId="12209" xr:uid="{00000000-0005-0000-0000-0000FB630000}"/>
    <cellStyle name="Normal 13 2 2 3 3 2 2" xfId="25921" xr:uid="{00000000-0005-0000-0000-0000FC630000}"/>
    <cellStyle name="Normal 13 2 2 3 3 3" xfId="30987" xr:uid="{00000000-0005-0000-0000-0000FD630000}"/>
    <cellStyle name="Normal 13 2 2 3 4" xfId="6665" xr:uid="{00000000-0005-0000-0000-0000FE630000}"/>
    <cellStyle name="Normal 13 2 2 3 4 2" xfId="13773" xr:uid="{00000000-0005-0000-0000-0000FF630000}"/>
    <cellStyle name="Normal 13 2 2 3 4 2 2" xfId="27322" xr:uid="{00000000-0005-0000-0000-000000640000}"/>
    <cellStyle name="Normal 13 2 2 3 4 3" xfId="30988" xr:uid="{00000000-0005-0000-0000-000001640000}"/>
    <cellStyle name="Normal 13 2 2 3 5" xfId="6666" xr:uid="{00000000-0005-0000-0000-000002640000}"/>
    <cellStyle name="Normal 13 2 2 3 5 2" xfId="14354" xr:uid="{00000000-0005-0000-0000-000003640000}"/>
    <cellStyle name="Normal 13 2 2 3 5 2 2" xfId="27903" xr:uid="{00000000-0005-0000-0000-000004640000}"/>
    <cellStyle name="Normal 13 2 2 3 5 3" xfId="30989" xr:uid="{00000000-0005-0000-0000-000005640000}"/>
    <cellStyle name="Normal 13 2 2 3 6" xfId="6667" xr:uid="{00000000-0005-0000-0000-000006640000}"/>
    <cellStyle name="Normal 13 2 2 3 6 2" xfId="16240" xr:uid="{00000000-0005-0000-0000-000007640000}"/>
    <cellStyle name="Normal 13 2 2 3 6 2 2" xfId="29647" xr:uid="{00000000-0005-0000-0000-000008640000}"/>
    <cellStyle name="Normal 13 2 2 3 6 3" xfId="30990" xr:uid="{00000000-0005-0000-0000-000009640000}"/>
    <cellStyle name="Normal 13 2 2 3 7" xfId="10082" xr:uid="{00000000-0005-0000-0000-00000A640000}"/>
    <cellStyle name="Normal 13 2 2 3 7 2" xfId="24311" xr:uid="{00000000-0005-0000-0000-00000B640000}"/>
    <cellStyle name="Normal 13 2 2 3 8" xfId="30984" xr:uid="{00000000-0005-0000-0000-00000C640000}"/>
    <cellStyle name="Normal 13 2 2 4" xfId="6668" xr:uid="{00000000-0005-0000-0000-00000D640000}"/>
    <cellStyle name="Normal 13 2 2 4 2" xfId="6669" xr:uid="{00000000-0005-0000-0000-00000E640000}"/>
    <cellStyle name="Normal 13 2 2 4 2 2" xfId="17168" xr:uid="{00000000-0005-0000-0000-00000F640000}"/>
    <cellStyle name="Normal 13 2 2 4 2 2 2" xfId="30527" xr:uid="{00000000-0005-0000-0000-000010640000}"/>
    <cellStyle name="Normal 13 2 2 4 2 3" xfId="30992" xr:uid="{00000000-0005-0000-0000-000011640000}"/>
    <cellStyle name="Normal 13 2 2 4 3" xfId="11459" xr:uid="{00000000-0005-0000-0000-000012640000}"/>
    <cellStyle name="Normal 13 2 2 4 3 2" xfId="25291" xr:uid="{00000000-0005-0000-0000-000013640000}"/>
    <cellStyle name="Normal 13 2 2 4 4" xfId="30991" xr:uid="{00000000-0005-0000-0000-000014640000}"/>
    <cellStyle name="Normal 13 2 2 5" xfId="6670" xr:uid="{00000000-0005-0000-0000-000015640000}"/>
    <cellStyle name="Normal 13 2 2 5 2" xfId="6671" xr:uid="{00000000-0005-0000-0000-000016640000}"/>
    <cellStyle name="Normal 13 2 2 5 2 2" xfId="17257" xr:uid="{00000000-0005-0000-0000-000017640000}"/>
    <cellStyle name="Normal 13 2 2 5 2 2 2" xfId="30616" xr:uid="{00000000-0005-0000-0000-000018640000}"/>
    <cellStyle name="Normal 13 2 2 5 2 3" xfId="30994" xr:uid="{00000000-0005-0000-0000-000019640000}"/>
    <cellStyle name="Normal 13 2 2 5 3" xfId="11907" xr:uid="{00000000-0005-0000-0000-00001A640000}"/>
    <cellStyle name="Normal 13 2 2 5 3 2" xfId="25622" xr:uid="{00000000-0005-0000-0000-00001B640000}"/>
    <cellStyle name="Normal 13 2 2 5 4" xfId="30993" xr:uid="{00000000-0005-0000-0000-00001C640000}"/>
    <cellStyle name="Normal 13 2 2 6" xfId="6672" xr:uid="{00000000-0005-0000-0000-00001D640000}"/>
    <cellStyle name="Normal 13 2 2 6 2" xfId="6673" xr:uid="{00000000-0005-0000-0000-00001E640000}"/>
    <cellStyle name="Normal 13 2 2 6 2 2" xfId="16532" xr:uid="{00000000-0005-0000-0000-00001F640000}"/>
    <cellStyle name="Normal 13 2 2 6 2 2 2" xfId="29939" xr:uid="{00000000-0005-0000-0000-000020640000}"/>
    <cellStyle name="Normal 13 2 2 6 2 3" xfId="30996" xr:uid="{00000000-0005-0000-0000-000021640000}"/>
    <cellStyle name="Normal 13 2 2 6 3" xfId="13484" xr:uid="{00000000-0005-0000-0000-000022640000}"/>
    <cellStyle name="Normal 13 2 2 6 3 2" xfId="27033" xr:uid="{00000000-0005-0000-0000-000023640000}"/>
    <cellStyle name="Normal 13 2 2 6 4" xfId="30995" xr:uid="{00000000-0005-0000-0000-000024640000}"/>
    <cellStyle name="Normal 13 2 2 7" xfId="6674" xr:uid="{00000000-0005-0000-0000-000025640000}"/>
    <cellStyle name="Normal 13 2 2 7 2" xfId="14065" xr:uid="{00000000-0005-0000-0000-000026640000}"/>
    <cellStyle name="Normal 13 2 2 7 2 2" xfId="27614" xr:uid="{00000000-0005-0000-0000-000027640000}"/>
    <cellStyle name="Normal 13 2 2 7 3" xfId="30997" xr:uid="{00000000-0005-0000-0000-000028640000}"/>
    <cellStyle name="Normal 13 2 2 8" xfId="6675" xr:uid="{00000000-0005-0000-0000-000029640000}"/>
    <cellStyle name="Normal 13 2 2 8 2" xfId="15951" xr:uid="{00000000-0005-0000-0000-00002A640000}"/>
    <cellStyle name="Normal 13 2 2 8 2 2" xfId="29358" xr:uid="{00000000-0005-0000-0000-00002B640000}"/>
    <cellStyle name="Normal 13 2 2 8 3" xfId="30998" xr:uid="{00000000-0005-0000-0000-00002C640000}"/>
    <cellStyle name="Normal 13 2 2 9" xfId="10079" xr:uid="{00000000-0005-0000-0000-00002D640000}"/>
    <cellStyle name="Normal 13 2 2 9 2" xfId="24308" xr:uid="{00000000-0005-0000-0000-00002E640000}"/>
    <cellStyle name="Normal 13 2 3" xfId="6676" xr:uid="{00000000-0005-0000-0000-00002F640000}"/>
    <cellStyle name="Normal 13 2 3 2" xfId="6677" xr:uid="{00000000-0005-0000-0000-000030640000}"/>
    <cellStyle name="Normal 13 2 3 2 2" xfId="6678" xr:uid="{00000000-0005-0000-0000-000031640000}"/>
    <cellStyle name="Normal 13 2 3 2 2 2" xfId="6679" xr:uid="{00000000-0005-0000-0000-000032640000}"/>
    <cellStyle name="Normal 13 2 3 2 2 2 2" xfId="16918" xr:uid="{00000000-0005-0000-0000-000033640000}"/>
    <cellStyle name="Normal 13 2 3 2 2 2 2 2" xfId="30325" xr:uid="{00000000-0005-0000-0000-000034640000}"/>
    <cellStyle name="Normal 13 2 3 2 2 2 3" xfId="31002" xr:uid="{00000000-0005-0000-0000-000035640000}"/>
    <cellStyle name="Normal 13 2 3 2 2 3" xfId="11464" xr:uid="{00000000-0005-0000-0000-000036640000}"/>
    <cellStyle name="Normal 13 2 3 2 2 3 2" xfId="25296" xr:uid="{00000000-0005-0000-0000-000037640000}"/>
    <cellStyle name="Normal 13 2 3 2 2 4" xfId="31001" xr:uid="{00000000-0005-0000-0000-000038640000}"/>
    <cellStyle name="Normal 13 2 3 2 3" xfId="6680" xr:uid="{00000000-0005-0000-0000-000039640000}"/>
    <cellStyle name="Normal 13 2 3 2 3 2" xfId="12306" xr:uid="{00000000-0005-0000-0000-00003A640000}"/>
    <cellStyle name="Normal 13 2 3 2 3 2 2" xfId="26018" xr:uid="{00000000-0005-0000-0000-00003B640000}"/>
    <cellStyle name="Normal 13 2 3 2 3 3" xfId="31003" xr:uid="{00000000-0005-0000-0000-00003C640000}"/>
    <cellStyle name="Normal 13 2 3 2 4" xfId="6681" xr:uid="{00000000-0005-0000-0000-00003D640000}"/>
    <cellStyle name="Normal 13 2 3 2 4 2" xfId="13870" xr:uid="{00000000-0005-0000-0000-00003E640000}"/>
    <cellStyle name="Normal 13 2 3 2 4 2 2" xfId="27419" xr:uid="{00000000-0005-0000-0000-00003F640000}"/>
    <cellStyle name="Normal 13 2 3 2 4 3" xfId="31004" xr:uid="{00000000-0005-0000-0000-000040640000}"/>
    <cellStyle name="Normal 13 2 3 2 5" xfId="6682" xr:uid="{00000000-0005-0000-0000-000041640000}"/>
    <cellStyle name="Normal 13 2 3 2 5 2" xfId="14451" xr:uid="{00000000-0005-0000-0000-000042640000}"/>
    <cellStyle name="Normal 13 2 3 2 5 2 2" xfId="28000" xr:uid="{00000000-0005-0000-0000-000043640000}"/>
    <cellStyle name="Normal 13 2 3 2 5 3" xfId="31005" xr:uid="{00000000-0005-0000-0000-000044640000}"/>
    <cellStyle name="Normal 13 2 3 2 6" xfId="6683" xr:uid="{00000000-0005-0000-0000-000045640000}"/>
    <cellStyle name="Normal 13 2 3 2 6 2" xfId="16337" xr:uid="{00000000-0005-0000-0000-000046640000}"/>
    <cellStyle name="Normal 13 2 3 2 6 2 2" xfId="29744" xr:uid="{00000000-0005-0000-0000-000047640000}"/>
    <cellStyle name="Normal 13 2 3 2 6 3" xfId="31006" xr:uid="{00000000-0005-0000-0000-000048640000}"/>
    <cellStyle name="Normal 13 2 3 2 7" xfId="10084" xr:uid="{00000000-0005-0000-0000-000049640000}"/>
    <cellStyle name="Normal 13 2 3 2 7 2" xfId="24313" xr:uid="{00000000-0005-0000-0000-00004A640000}"/>
    <cellStyle name="Normal 13 2 3 2 8" xfId="31000" xr:uid="{00000000-0005-0000-0000-00004B640000}"/>
    <cellStyle name="Normal 13 2 3 3" xfId="6684" xr:uid="{00000000-0005-0000-0000-00004C640000}"/>
    <cellStyle name="Normal 13 2 3 3 2" xfId="6685" xr:uid="{00000000-0005-0000-0000-00004D640000}"/>
    <cellStyle name="Normal 13 2 3 3 2 2" xfId="16629" xr:uid="{00000000-0005-0000-0000-00004E640000}"/>
    <cellStyle name="Normal 13 2 3 3 2 2 2" xfId="30036" xr:uid="{00000000-0005-0000-0000-00004F640000}"/>
    <cellStyle name="Normal 13 2 3 3 2 3" xfId="31008" xr:uid="{00000000-0005-0000-0000-000050640000}"/>
    <cellStyle name="Normal 13 2 3 3 3" xfId="11463" xr:uid="{00000000-0005-0000-0000-000051640000}"/>
    <cellStyle name="Normal 13 2 3 3 3 2" xfId="25295" xr:uid="{00000000-0005-0000-0000-000052640000}"/>
    <cellStyle name="Normal 13 2 3 3 4" xfId="31007" xr:uid="{00000000-0005-0000-0000-000053640000}"/>
    <cellStyle name="Normal 13 2 3 4" xfId="6686" xr:uid="{00000000-0005-0000-0000-000054640000}"/>
    <cellStyle name="Normal 13 2 3 4 2" xfId="12006" xr:uid="{00000000-0005-0000-0000-000055640000}"/>
    <cellStyle name="Normal 13 2 3 4 2 2" xfId="25721" xr:uid="{00000000-0005-0000-0000-000056640000}"/>
    <cellStyle name="Normal 13 2 3 4 3" xfId="31009" xr:uid="{00000000-0005-0000-0000-000057640000}"/>
    <cellStyle name="Normal 13 2 3 5" xfId="6687" xr:uid="{00000000-0005-0000-0000-000058640000}"/>
    <cellStyle name="Normal 13 2 3 5 2" xfId="13581" xr:uid="{00000000-0005-0000-0000-000059640000}"/>
    <cellStyle name="Normal 13 2 3 5 2 2" xfId="27130" xr:uid="{00000000-0005-0000-0000-00005A640000}"/>
    <cellStyle name="Normal 13 2 3 5 3" xfId="31010" xr:uid="{00000000-0005-0000-0000-00005B640000}"/>
    <cellStyle name="Normal 13 2 3 6" xfId="6688" xr:uid="{00000000-0005-0000-0000-00005C640000}"/>
    <cellStyle name="Normal 13 2 3 6 2" xfId="14162" xr:uid="{00000000-0005-0000-0000-00005D640000}"/>
    <cellStyle name="Normal 13 2 3 6 2 2" xfId="27711" xr:uid="{00000000-0005-0000-0000-00005E640000}"/>
    <cellStyle name="Normal 13 2 3 6 3" xfId="31011" xr:uid="{00000000-0005-0000-0000-00005F640000}"/>
    <cellStyle name="Normal 13 2 3 7" xfId="6689" xr:uid="{00000000-0005-0000-0000-000060640000}"/>
    <cellStyle name="Normal 13 2 3 7 2" xfId="16048" xr:uid="{00000000-0005-0000-0000-000061640000}"/>
    <cellStyle name="Normal 13 2 3 7 2 2" xfId="29455" xr:uid="{00000000-0005-0000-0000-000062640000}"/>
    <cellStyle name="Normal 13 2 3 7 3" xfId="31012" xr:uid="{00000000-0005-0000-0000-000063640000}"/>
    <cellStyle name="Normal 13 2 3 8" xfId="10083" xr:uid="{00000000-0005-0000-0000-000064640000}"/>
    <cellStyle name="Normal 13 2 3 8 2" xfId="24312" xr:uid="{00000000-0005-0000-0000-000065640000}"/>
    <cellStyle name="Normal 13 2 3 9" xfId="30999" xr:uid="{00000000-0005-0000-0000-000066640000}"/>
    <cellStyle name="Normal 13 2 4" xfId="6690" xr:uid="{00000000-0005-0000-0000-000067640000}"/>
    <cellStyle name="Normal 13 2 4 2" xfId="6691" xr:uid="{00000000-0005-0000-0000-000068640000}"/>
    <cellStyle name="Normal 13 2 4 2 2" xfId="6692" xr:uid="{00000000-0005-0000-0000-000069640000}"/>
    <cellStyle name="Normal 13 2 4 2 2 2" xfId="16775" xr:uid="{00000000-0005-0000-0000-00006A640000}"/>
    <cellStyle name="Normal 13 2 4 2 2 2 2" xfId="30182" xr:uid="{00000000-0005-0000-0000-00006B640000}"/>
    <cellStyle name="Normal 13 2 4 2 2 3" xfId="31015" xr:uid="{00000000-0005-0000-0000-00006C640000}"/>
    <cellStyle name="Normal 13 2 4 2 3" xfId="11465" xr:uid="{00000000-0005-0000-0000-00006D640000}"/>
    <cellStyle name="Normal 13 2 4 2 3 2" xfId="25297" xr:uid="{00000000-0005-0000-0000-00006E640000}"/>
    <cellStyle name="Normal 13 2 4 2 4" xfId="31014" xr:uid="{00000000-0005-0000-0000-00006F640000}"/>
    <cellStyle name="Normal 13 2 4 3" xfId="6693" xr:uid="{00000000-0005-0000-0000-000070640000}"/>
    <cellStyle name="Normal 13 2 4 3 2" xfId="12163" xr:uid="{00000000-0005-0000-0000-000071640000}"/>
    <cellStyle name="Normal 13 2 4 3 2 2" xfId="25875" xr:uid="{00000000-0005-0000-0000-000072640000}"/>
    <cellStyle name="Normal 13 2 4 3 3" xfId="31016" xr:uid="{00000000-0005-0000-0000-000073640000}"/>
    <cellStyle name="Normal 13 2 4 4" xfId="6694" xr:uid="{00000000-0005-0000-0000-000074640000}"/>
    <cellStyle name="Normal 13 2 4 4 2" xfId="13727" xr:uid="{00000000-0005-0000-0000-000075640000}"/>
    <cellStyle name="Normal 13 2 4 4 2 2" xfId="27276" xr:uid="{00000000-0005-0000-0000-000076640000}"/>
    <cellStyle name="Normal 13 2 4 4 3" xfId="31017" xr:uid="{00000000-0005-0000-0000-000077640000}"/>
    <cellStyle name="Normal 13 2 4 5" xfId="6695" xr:uid="{00000000-0005-0000-0000-000078640000}"/>
    <cellStyle name="Normal 13 2 4 5 2" xfId="14308" xr:uid="{00000000-0005-0000-0000-000079640000}"/>
    <cellStyle name="Normal 13 2 4 5 2 2" xfId="27857" xr:uid="{00000000-0005-0000-0000-00007A640000}"/>
    <cellStyle name="Normal 13 2 4 5 3" xfId="31018" xr:uid="{00000000-0005-0000-0000-00007B640000}"/>
    <cellStyle name="Normal 13 2 4 6" xfId="6696" xr:uid="{00000000-0005-0000-0000-00007C640000}"/>
    <cellStyle name="Normal 13 2 4 6 2" xfId="16194" xr:uid="{00000000-0005-0000-0000-00007D640000}"/>
    <cellStyle name="Normal 13 2 4 6 2 2" xfId="29601" xr:uid="{00000000-0005-0000-0000-00007E640000}"/>
    <cellStyle name="Normal 13 2 4 6 3" xfId="31019" xr:uid="{00000000-0005-0000-0000-00007F640000}"/>
    <cellStyle name="Normal 13 2 4 7" xfId="10085" xr:uid="{00000000-0005-0000-0000-000080640000}"/>
    <cellStyle name="Normal 13 2 4 7 2" xfId="24314" xr:uid="{00000000-0005-0000-0000-000081640000}"/>
    <cellStyle name="Normal 13 2 4 8" xfId="31013" xr:uid="{00000000-0005-0000-0000-000082640000}"/>
    <cellStyle name="Normal 13 2 5" xfId="6697" xr:uid="{00000000-0005-0000-0000-000083640000}"/>
    <cellStyle name="Normal 13 2 5 2" xfId="6698" xr:uid="{00000000-0005-0000-0000-000084640000}"/>
    <cellStyle name="Normal 13 2 5 2 2" xfId="13229" xr:uid="{00000000-0005-0000-0000-000085640000}"/>
    <cellStyle name="Normal 13 2 5 2 2 2" xfId="26874" xr:uid="{00000000-0005-0000-0000-000086640000}"/>
    <cellStyle name="Normal 13 2 5 2 3" xfId="31021" xr:uid="{00000000-0005-0000-0000-000087640000}"/>
    <cellStyle name="Normal 13 2 5 3" xfId="6699" xr:uid="{00000000-0005-0000-0000-000088640000}"/>
    <cellStyle name="Normal 13 2 5 3 2" xfId="15680" xr:uid="{00000000-0005-0000-0000-000089640000}"/>
    <cellStyle name="Normal 13 2 5 3 2 2" xfId="29166" xr:uid="{00000000-0005-0000-0000-00008A640000}"/>
    <cellStyle name="Normal 13 2 5 3 3" xfId="31022" xr:uid="{00000000-0005-0000-0000-00008B640000}"/>
    <cellStyle name="Normal 13 2 5 4" xfId="6700" xr:uid="{00000000-0005-0000-0000-00008C640000}"/>
    <cellStyle name="Normal 13 2 5 4 2" xfId="17026" xr:uid="{00000000-0005-0000-0000-00008D640000}"/>
    <cellStyle name="Normal 13 2 5 4 2 2" xfId="30429" xr:uid="{00000000-0005-0000-0000-00008E640000}"/>
    <cellStyle name="Normal 13 2 5 4 3" xfId="31023" xr:uid="{00000000-0005-0000-0000-00008F640000}"/>
    <cellStyle name="Normal 13 2 5 5" xfId="10531" xr:uid="{00000000-0005-0000-0000-000090640000}"/>
    <cellStyle name="Normal 13 2 5 5 2" xfId="24473" xr:uid="{00000000-0005-0000-0000-000091640000}"/>
    <cellStyle name="Normal 13 2 5 6" xfId="31020" xr:uid="{00000000-0005-0000-0000-000092640000}"/>
    <cellStyle name="Normal 13 2 6" xfId="6701" xr:uid="{00000000-0005-0000-0000-000093640000}"/>
    <cellStyle name="Normal 13 2 6 2" xfId="6702" xr:uid="{00000000-0005-0000-0000-000094640000}"/>
    <cellStyle name="Normal 13 2 6 2 2" xfId="13230" xr:uid="{00000000-0005-0000-0000-000095640000}"/>
    <cellStyle name="Normal 13 2 6 2 2 2" xfId="26875" xr:uid="{00000000-0005-0000-0000-000096640000}"/>
    <cellStyle name="Normal 13 2 6 2 3" xfId="31025" xr:uid="{00000000-0005-0000-0000-000097640000}"/>
    <cellStyle name="Normal 13 2 6 3" xfId="6703" xr:uid="{00000000-0005-0000-0000-000098640000}"/>
    <cellStyle name="Normal 13 2 6 3 2" xfId="15681" xr:uid="{00000000-0005-0000-0000-000099640000}"/>
    <cellStyle name="Normal 13 2 6 3 2 2" xfId="29167" xr:uid="{00000000-0005-0000-0000-00009A640000}"/>
    <cellStyle name="Normal 13 2 6 3 3" xfId="31026" xr:uid="{00000000-0005-0000-0000-00009B640000}"/>
    <cellStyle name="Normal 13 2 6 4" xfId="6704" xr:uid="{00000000-0005-0000-0000-00009C640000}"/>
    <cellStyle name="Normal 13 2 6 4 2" xfId="17122" xr:uid="{00000000-0005-0000-0000-00009D640000}"/>
    <cellStyle name="Normal 13 2 6 4 2 2" xfId="30481" xr:uid="{00000000-0005-0000-0000-00009E640000}"/>
    <cellStyle name="Normal 13 2 6 4 3" xfId="31027" xr:uid="{00000000-0005-0000-0000-00009F640000}"/>
    <cellStyle name="Normal 13 2 6 5" xfId="11458" xr:uid="{00000000-0005-0000-0000-0000A0640000}"/>
    <cellStyle name="Normal 13 2 6 5 2" xfId="25290" xr:uid="{00000000-0005-0000-0000-0000A1640000}"/>
    <cellStyle name="Normal 13 2 6 6" xfId="31024" xr:uid="{00000000-0005-0000-0000-0000A2640000}"/>
    <cellStyle name="Normal 13 2 7" xfId="6705" xr:uid="{00000000-0005-0000-0000-0000A3640000}"/>
    <cellStyle name="Normal 13 2 7 2" xfId="6706" xr:uid="{00000000-0005-0000-0000-0000A4640000}"/>
    <cellStyle name="Normal 13 2 7 2 2" xfId="17211" xr:uid="{00000000-0005-0000-0000-0000A5640000}"/>
    <cellStyle name="Normal 13 2 7 2 2 2" xfId="30570" xr:uid="{00000000-0005-0000-0000-0000A6640000}"/>
    <cellStyle name="Normal 13 2 7 2 3" xfId="31029" xr:uid="{00000000-0005-0000-0000-0000A7640000}"/>
    <cellStyle name="Normal 13 2 7 3" xfId="11848" xr:uid="{00000000-0005-0000-0000-0000A8640000}"/>
    <cellStyle name="Normal 13 2 7 3 2" xfId="25563" xr:uid="{00000000-0005-0000-0000-0000A9640000}"/>
    <cellStyle name="Normal 13 2 7 4" xfId="31028" xr:uid="{00000000-0005-0000-0000-0000AA640000}"/>
    <cellStyle name="Normal 13 2 8" xfId="6707" xr:uid="{00000000-0005-0000-0000-0000AB640000}"/>
    <cellStyle name="Normal 13 2 8 2" xfId="6708" xr:uid="{00000000-0005-0000-0000-0000AC640000}"/>
    <cellStyle name="Normal 13 2 8 2 2" xfId="16486" xr:uid="{00000000-0005-0000-0000-0000AD640000}"/>
    <cellStyle name="Normal 13 2 8 2 2 2" xfId="29893" xr:uid="{00000000-0005-0000-0000-0000AE640000}"/>
    <cellStyle name="Normal 13 2 8 2 3" xfId="31031" xr:uid="{00000000-0005-0000-0000-0000AF640000}"/>
    <cellStyle name="Normal 13 2 8 3" xfId="13438" xr:uid="{00000000-0005-0000-0000-0000B0640000}"/>
    <cellStyle name="Normal 13 2 8 3 2" xfId="26987" xr:uid="{00000000-0005-0000-0000-0000B1640000}"/>
    <cellStyle name="Normal 13 2 8 4" xfId="31030" xr:uid="{00000000-0005-0000-0000-0000B2640000}"/>
    <cellStyle name="Normal 13 2 9" xfId="6709" xr:uid="{00000000-0005-0000-0000-0000B3640000}"/>
    <cellStyle name="Normal 13 2 9 2" xfId="14019" xr:uid="{00000000-0005-0000-0000-0000B4640000}"/>
    <cellStyle name="Normal 13 2 9 2 2" xfId="27568" xr:uid="{00000000-0005-0000-0000-0000B5640000}"/>
    <cellStyle name="Normal 13 2 9 3" xfId="31032" xr:uid="{00000000-0005-0000-0000-0000B6640000}"/>
    <cellStyle name="Normal 13 3" xfId="6710" xr:uid="{00000000-0005-0000-0000-0000B7640000}"/>
    <cellStyle name="Normal 13 3 10" xfId="31033" xr:uid="{00000000-0005-0000-0000-0000B8640000}"/>
    <cellStyle name="Normal 13 3 2" xfId="6711" xr:uid="{00000000-0005-0000-0000-0000B9640000}"/>
    <cellStyle name="Normal 13 3 2 2" xfId="6712" xr:uid="{00000000-0005-0000-0000-0000BA640000}"/>
    <cellStyle name="Normal 13 3 2 2 2" xfId="6713" xr:uid="{00000000-0005-0000-0000-0000BB640000}"/>
    <cellStyle name="Normal 13 3 2 2 2 2" xfId="6714" xr:uid="{00000000-0005-0000-0000-0000BC640000}"/>
    <cellStyle name="Normal 13 3 2 2 2 2 2" xfId="16941" xr:uid="{00000000-0005-0000-0000-0000BD640000}"/>
    <cellStyle name="Normal 13 3 2 2 2 2 2 2" xfId="30348" xr:uid="{00000000-0005-0000-0000-0000BE640000}"/>
    <cellStyle name="Normal 13 3 2 2 2 2 3" xfId="31037" xr:uid="{00000000-0005-0000-0000-0000BF640000}"/>
    <cellStyle name="Normal 13 3 2 2 2 3" xfId="11468" xr:uid="{00000000-0005-0000-0000-0000C0640000}"/>
    <cellStyle name="Normal 13 3 2 2 2 3 2" xfId="25300" xr:uid="{00000000-0005-0000-0000-0000C1640000}"/>
    <cellStyle name="Normal 13 3 2 2 2 4" xfId="31036" xr:uid="{00000000-0005-0000-0000-0000C2640000}"/>
    <cellStyle name="Normal 13 3 2 2 3" xfId="6715" xr:uid="{00000000-0005-0000-0000-0000C3640000}"/>
    <cellStyle name="Normal 13 3 2 2 3 2" xfId="12329" xr:uid="{00000000-0005-0000-0000-0000C4640000}"/>
    <cellStyle name="Normal 13 3 2 2 3 2 2" xfId="26041" xr:uid="{00000000-0005-0000-0000-0000C5640000}"/>
    <cellStyle name="Normal 13 3 2 2 3 3" xfId="31038" xr:uid="{00000000-0005-0000-0000-0000C6640000}"/>
    <cellStyle name="Normal 13 3 2 2 4" xfId="6716" xr:uid="{00000000-0005-0000-0000-0000C7640000}"/>
    <cellStyle name="Normal 13 3 2 2 4 2" xfId="13893" xr:uid="{00000000-0005-0000-0000-0000C8640000}"/>
    <cellStyle name="Normal 13 3 2 2 4 2 2" xfId="27442" xr:uid="{00000000-0005-0000-0000-0000C9640000}"/>
    <cellStyle name="Normal 13 3 2 2 4 3" xfId="31039" xr:uid="{00000000-0005-0000-0000-0000CA640000}"/>
    <cellStyle name="Normal 13 3 2 2 5" xfId="6717" xr:uid="{00000000-0005-0000-0000-0000CB640000}"/>
    <cellStyle name="Normal 13 3 2 2 5 2" xfId="14474" xr:uid="{00000000-0005-0000-0000-0000CC640000}"/>
    <cellStyle name="Normal 13 3 2 2 5 2 2" xfId="28023" xr:uid="{00000000-0005-0000-0000-0000CD640000}"/>
    <cellStyle name="Normal 13 3 2 2 5 3" xfId="31040" xr:uid="{00000000-0005-0000-0000-0000CE640000}"/>
    <cellStyle name="Normal 13 3 2 2 6" xfId="6718" xr:uid="{00000000-0005-0000-0000-0000CF640000}"/>
    <cellStyle name="Normal 13 3 2 2 6 2" xfId="16360" xr:uid="{00000000-0005-0000-0000-0000D0640000}"/>
    <cellStyle name="Normal 13 3 2 2 6 2 2" xfId="29767" xr:uid="{00000000-0005-0000-0000-0000D1640000}"/>
    <cellStyle name="Normal 13 3 2 2 6 3" xfId="31041" xr:uid="{00000000-0005-0000-0000-0000D2640000}"/>
    <cellStyle name="Normal 13 3 2 2 7" xfId="10088" xr:uid="{00000000-0005-0000-0000-0000D3640000}"/>
    <cellStyle name="Normal 13 3 2 2 7 2" xfId="24317" xr:uid="{00000000-0005-0000-0000-0000D4640000}"/>
    <cellStyle name="Normal 13 3 2 2 8" xfId="31035" xr:uid="{00000000-0005-0000-0000-0000D5640000}"/>
    <cellStyle name="Normal 13 3 2 3" xfId="6719" xr:uid="{00000000-0005-0000-0000-0000D6640000}"/>
    <cellStyle name="Normal 13 3 2 3 2" xfId="6720" xr:uid="{00000000-0005-0000-0000-0000D7640000}"/>
    <cellStyle name="Normal 13 3 2 3 2 2" xfId="16652" xr:uid="{00000000-0005-0000-0000-0000D8640000}"/>
    <cellStyle name="Normal 13 3 2 3 2 2 2" xfId="30059" xr:uid="{00000000-0005-0000-0000-0000D9640000}"/>
    <cellStyle name="Normal 13 3 2 3 2 3" xfId="31043" xr:uid="{00000000-0005-0000-0000-0000DA640000}"/>
    <cellStyle name="Normal 13 3 2 3 3" xfId="11467" xr:uid="{00000000-0005-0000-0000-0000DB640000}"/>
    <cellStyle name="Normal 13 3 2 3 3 2" xfId="25299" xr:uid="{00000000-0005-0000-0000-0000DC640000}"/>
    <cellStyle name="Normal 13 3 2 3 4" xfId="31042" xr:uid="{00000000-0005-0000-0000-0000DD640000}"/>
    <cellStyle name="Normal 13 3 2 4" xfId="6721" xr:uid="{00000000-0005-0000-0000-0000DE640000}"/>
    <cellStyle name="Normal 13 3 2 4 2" xfId="12029" xr:uid="{00000000-0005-0000-0000-0000DF640000}"/>
    <cellStyle name="Normal 13 3 2 4 2 2" xfId="25744" xr:uid="{00000000-0005-0000-0000-0000E0640000}"/>
    <cellStyle name="Normal 13 3 2 4 3" xfId="31044" xr:uid="{00000000-0005-0000-0000-0000E1640000}"/>
    <cellStyle name="Normal 13 3 2 5" xfId="6722" xr:uid="{00000000-0005-0000-0000-0000E2640000}"/>
    <cellStyle name="Normal 13 3 2 5 2" xfId="13604" xr:uid="{00000000-0005-0000-0000-0000E3640000}"/>
    <cellStyle name="Normal 13 3 2 5 2 2" xfId="27153" xr:uid="{00000000-0005-0000-0000-0000E4640000}"/>
    <cellStyle name="Normal 13 3 2 5 3" xfId="31045" xr:uid="{00000000-0005-0000-0000-0000E5640000}"/>
    <cellStyle name="Normal 13 3 2 6" xfId="6723" xr:uid="{00000000-0005-0000-0000-0000E6640000}"/>
    <cellStyle name="Normal 13 3 2 6 2" xfId="14185" xr:uid="{00000000-0005-0000-0000-0000E7640000}"/>
    <cellStyle name="Normal 13 3 2 6 2 2" xfId="27734" xr:uid="{00000000-0005-0000-0000-0000E8640000}"/>
    <cellStyle name="Normal 13 3 2 6 3" xfId="31046" xr:uid="{00000000-0005-0000-0000-0000E9640000}"/>
    <cellStyle name="Normal 13 3 2 7" xfId="6724" xr:uid="{00000000-0005-0000-0000-0000EA640000}"/>
    <cellStyle name="Normal 13 3 2 7 2" xfId="16071" xr:uid="{00000000-0005-0000-0000-0000EB640000}"/>
    <cellStyle name="Normal 13 3 2 7 2 2" xfId="29478" xr:uid="{00000000-0005-0000-0000-0000EC640000}"/>
    <cellStyle name="Normal 13 3 2 7 3" xfId="31047" xr:uid="{00000000-0005-0000-0000-0000ED640000}"/>
    <cellStyle name="Normal 13 3 2 8" xfId="10087" xr:uid="{00000000-0005-0000-0000-0000EE640000}"/>
    <cellStyle name="Normal 13 3 2 8 2" xfId="24316" xr:uid="{00000000-0005-0000-0000-0000EF640000}"/>
    <cellStyle name="Normal 13 3 2 9" xfId="31034" xr:uid="{00000000-0005-0000-0000-0000F0640000}"/>
    <cellStyle name="Normal 13 3 3" xfId="6725" xr:uid="{00000000-0005-0000-0000-0000F1640000}"/>
    <cellStyle name="Normal 13 3 3 2" xfId="6726" xr:uid="{00000000-0005-0000-0000-0000F2640000}"/>
    <cellStyle name="Normal 13 3 3 2 2" xfId="6727" xr:uid="{00000000-0005-0000-0000-0000F3640000}"/>
    <cellStyle name="Normal 13 3 3 2 2 2" xfId="16798" xr:uid="{00000000-0005-0000-0000-0000F4640000}"/>
    <cellStyle name="Normal 13 3 3 2 2 2 2" xfId="30205" xr:uid="{00000000-0005-0000-0000-0000F5640000}"/>
    <cellStyle name="Normal 13 3 3 2 2 3" xfId="31050" xr:uid="{00000000-0005-0000-0000-0000F6640000}"/>
    <cellStyle name="Normal 13 3 3 2 3" xfId="11469" xr:uid="{00000000-0005-0000-0000-0000F7640000}"/>
    <cellStyle name="Normal 13 3 3 2 3 2" xfId="25301" xr:uid="{00000000-0005-0000-0000-0000F8640000}"/>
    <cellStyle name="Normal 13 3 3 2 4" xfId="31049" xr:uid="{00000000-0005-0000-0000-0000F9640000}"/>
    <cellStyle name="Normal 13 3 3 3" xfId="6728" xr:uid="{00000000-0005-0000-0000-0000FA640000}"/>
    <cellStyle name="Normal 13 3 3 3 2" xfId="12186" xr:uid="{00000000-0005-0000-0000-0000FB640000}"/>
    <cellStyle name="Normal 13 3 3 3 2 2" xfId="25898" xr:uid="{00000000-0005-0000-0000-0000FC640000}"/>
    <cellStyle name="Normal 13 3 3 3 3" xfId="31051" xr:uid="{00000000-0005-0000-0000-0000FD640000}"/>
    <cellStyle name="Normal 13 3 3 4" xfId="6729" xr:uid="{00000000-0005-0000-0000-0000FE640000}"/>
    <cellStyle name="Normal 13 3 3 4 2" xfId="13750" xr:uid="{00000000-0005-0000-0000-0000FF640000}"/>
    <cellStyle name="Normal 13 3 3 4 2 2" xfId="27299" xr:uid="{00000000-0005-0000-0000-000000650000}"/>
    <cellStyle name="Normal 13 3 3 4 3" xfId="31052" xr:uid="{00000000-0005-0000-0000-000001650000}"/>
    <cellStyle name="Normal 13 3 3 5" xfId="6730" xr:uid="{00000000-0005-0000-0000-000002650000}"/>
    <cellStyle name="Normal 13 3 3 5 2" xfId="14331" xr:uid="{00000000-0005-0000-0000-000003650000}"/>
    <cellStyle name="Normal 13 3 3 5 2 2" xfId="27880" xr:uid="{00000000-0005-0000-0000-000004650000}"/>
    <cellStyle name="Normal 13 3 3 5 3" xfId="31053" xr:uid="{00000000-0005-0000-0000-000005650000}"/>
    <cellStyle name="Normal 13 3 3 6" xfId="6731" xr:uid="{00000000-0005-0000-0000-000006650000}"/>
    <cellStyle name="Normal 13 3 3 6 2" xfId="16217" xr:uid="{00000000-0005-0000-0000-000007650000}"/>
    <cellStyle name="Normal 13 3 3 6 2 2" xfId="29624" xr:uid="{00000000-0005-0000-0000-000008650000}"/>
    <cellStyle name="Normal 13 3 3 6 3" xfId="31054" xr:uid="{00000000-0005-0000-0000-000009650000}"/>
    <cellStyle name="Normal 13 3 3 7" xfId="10089" xr:uid="{00000000-0005-0000-0000-00000A650000}"/>
    <cellStyle name="Normal 13 3 3 7 2" xfId="24318" xr:uid="{00000000-0005-0000-0000-00000B650000}"/>
    <cellStyle name="Normal 13 3 3 8" xfId="31048" xr:uid="{00000000-0005-0000-0000-00000C650000}"/>
    <cellStyle name="Normal 13 3 4" xfId="6732" xr:uid="{00000000-0005-0000-0000-00000D650000}"/>
    <cellStyle name="Normal 13 3 4 2" xfId="6733" xr:uid="{00000000-0005-0000-0000-00000E650000}"/>
    <cellStyle name="Normal 13 3 4 2 2" xfId="17145" xr:uid="{00000000-0005-0000-0000-00000F650000}"/>
    <cellStyle name="Normal 13 3 4 2 2 2" xfId="30504" xr:uid="{00000000-0005-0000-0000-000010650000}"/>
    <cellStyle name="Normal 13 3 4 2 3" xfId="31056" xr:uid="{00000000-0005-0000-0000-000011650000}"/>
    <cellStyle name="Normal 13 3 4 3" xfId="11466" xr:uid="{00000000-0005-0000-0000-000012650000}"/>
    <cellStyle name="Normal 13 3 4 3 2" xfId="25298" xr:uid="{00000000-0005-0000-0000-000013650000}"/>
    <cellStyle name="Normal 13 3 4 4" xfId="31055" xr:uid="{00000000-0005-0000-0000-000014650000}"/>
    <cellStyle name="Normal 13 3 5" xfId="6734" xr:uid="{00000000-0005-0000-0000-000015650000}"/>
    <cellStyle name="Normal 13 3 5 2" xfId="6735" xr:uid="{00000000-0005-0000-0000-000016650000}"/>
    <cellStyle name="Normal 13 3 5 2 2" xfId="17234" xr:uid="{00000000-0005-0000-0000-000017650000}"/>
    <cellStyle name="Normal 13 3 5 2 2 2" xfId="30593" xr:uid="{00000000-0005-0000-0000-000018650000}"/>
    <cellStyle name="Normal 13 3 5 2 3" xfId="31058" xr:uid="{00000000-0005-0000-0000-000019650000}"/>
    <cellStyle name="Normal 13 3 5 3" xfId="11884" xr:uid="{00000000-0005-0000-0000-00001A650000}"/>
    <cellStyle name="Normal 13 3 5 3 2" xfId="25599" xr:uid="{00000000-0005-0000-0000-00001B650000}"/>
    <cellStyle name="Normal 13 3 5 4" xfId="31057" xr:uid="{00000000-0005-0000-0000-00001C650000}"/>
    <cellStyle name="Normal 13 3 6" xfId="6736" xr:uid="{00000000-0005-0000-0000-00001D650000}"/>
    <cellStyle name="Normal 13 3 6 2" xfId="6737" xr:uid="{00000000-0005-0000-0000-00001E650000}"/>
    <cellStyle name="Normal 13 3 6 2 2" xfId="16509" xr:uid="{00000000-0005-0000-0000-00001F650000}"/>
    <cellStyle name="Normal 13 3 6 2 2 2" xfId="29916" xr:uid="{00000000-0005-0000-0000-000020650000}"/>
    <cellStyle name="Normal 13 3 6 2 3" xfId="31060" xr:uid="{00000000-0005-0000-0000-000021650000}"/>
    <cellStyle name="Normal 13 3 6 3" xfId="13461" xr:uid="{00000000-0005-0000-0000-000022650000}"/>
    <cellStyle name="Normal 13 3 6 3 2" xfId="27010" xr:uid="{00000000-0005-0000-0000-000023650000}"/>
    <cellStyle name="Normal 13 3 6 4" xfId="31059" xr:uid="{00000000-0005-0000-0000-000024650000}"/>
    <cellStyle name="Normal 13 3 7" xfId="6738" xr:uid="{00000000-0005-0000-0000-000025650000}"/>
    <cellStyle name="Normal 13 3 7 2" xfId="14042" xr:uid="{00000000-0005-0000-0000-000026650000}"/>
    <cellStyle name="Normal 13 3 7 2 2" xfId="27591" xr:uid="{00000000-0005-0000-0000-000027650000}"/>
    <cellStyle name="Normal 13 3 7 3" xfId="31061" xr:uid="{00000000-0005-0000-0000-000028650000}"/>
    <cellStyle name="Normal 13 3 8" xfId="6739" xr:uid="{00000000-0005-0000-0000-000029650000}"/>
    <cellStyle name="Normal 13 3 8 2" xfId="15928" xr:uid="{00000000-0005-0000-0000-00002A650000}"/>
    <cellStyle name="Normal 13 3 8 2 2" xfId="29335" xr:uid="{00000000-0005-0000-0000-00002B650000}"/>
    <cellStyle name="Normal 13 3 8 3" xfId="31062" xr:uid="{00000000-0005-0000-0000-00002C650000}"/>
    <cellStyle name="Normal 13 3 9" xfId="10086" xr:uid="{00000000-0005-0000-0000-00002D650000}"/>
    <cellStyle name="Normal 13 3 9 2" xfId="24315" xr:uid="{00000000-0005-0000-0000-00002E650000}"/>
    <cellStyle name="Normal 13 4" xfId="6740" xr:uid="{00000000-0005-0000-0000-00002F650000}"/>
    <cellStyle name="Normal 13 4 10" xfId="31063" xr:uid="{00000000-0005-0000-0000-000030650000}"/>
    <cellStyle name="Normal 13 4 2" xfId="6741" xr:uid="{00000000-0005-0000-0000-000031650000}"/>
    <cellStyle name="Normal 13 4 2 2" xfId="6742" xr:uid="{00000000-0005-0000-0000-000032650000}"/>
    <cellStyle name="Normal 13 4 2 2 2" xfId="6743" xr:uid="{00000000-0005-0000-0000-000033650000}"/>
    <cellStyle name="Normal 13 4 2 2 2 2" xfId="6744" xr:uid="{00000000-0005-0000-0000-000034650000}"/>
    <cellStyle name="Normal 13 4 2 2 2 2 2" xfId="16895" xr:uid="{00000000-0005-0000-0000-000035650000}"/>
    <cellStyle name="Normal 13 4 2 2 2 2 2 2" xfId="30302" xr:uid="{00000000-0005-0000-0000-000036650000}"/>
    <cellStyle name="Normal 13 4 2 2 2 2 3" xfId="31067" xr:uid="{00000000-0005-0000-0000-000037650000}"/>
    <cellStyle name="Normal 13 4 2 2 2 3" xfId="11472" xr:uid="{00000000-0005-0000-0000-000038650000}"/>
    <cellStyle name="Normal 13 4 2 2 2 3 2" xfId="25304" xr:uid="{00000000-0005-0000-0000-000039650000}"/>
    <cellStyle name="Normal 13 4 2 2 2 4" xfId="31066" xr:uid="{00000000-0005-0000-0000-00003A650000}"/>
    <cellStyle name="Normal 13 4 2 2 3" xfId="6745" xr:uid="{00000000-0005-0000-0000-00003B650000}"/>
    <cellStyle name="Normal 13 4 2 2 3 2" xfId="12283" xr:uid="{00000000-0005-0000-0000-00003C650000}"/>
    <cellStyle name="Normal 13 4 2 2 3 2 2" xfId="25995" xr:uid="{00000000-0005-0000-0000-00003D650000}"/>
    <cellStyle name="Normal 13 4 2 2 3 3" xfId="31068" xr:uid="{00000000-0005-0000-0000-00003E650000}"/>
    <cellStyle name="Normal 13 4 2 2 4" xfId="6746" xr:uid="{00000000-0005-0000-0000-00003F650000}"/>
    <cellStyle name="Normal 13 4 2 2 4 2" xfId="13847" xr:uid="{00000000-0005-0000-0000-000040650000}"/>
    <cellStyle name="Normal 13 4 2 2 4 2 2" xfId="27396" xr:uid="{00000000-0005-0000-0000-000041650000}"/>
    <cellStyle name="Normal 13 4 2 2 4 3" xfId="31069" xr:uid="{00000000-0005-0000-0000-000042650000}"/>
    <cellStyle name="Normal 13 4 2 2 5" xfId="6747" xr:uid="{00000000-0005-0000-0000-000043650000}"/>
    <cellStyle name="Normal 13 4 2 2 5 2" xfId="14428" xr:uid="{00000000-0005-0000-0000-000044650000}"/>
    <cellStyle name="Normal 13 4 2 2 5 2 2" xfId="27977" xr:uid="{00000000-0005-0000-0000-000045650000}"/>
    <cellStyle name="Normal 13 4 2 2 5 3" xfId="31070" xr:uid="{00000000-0005-0000-0000-000046650000}"/>
    <cellStyle name="Normal 13 4 2 2 6" xfId="6748" xr:uid="{00000000-0005-0000-0000-000047650000}"/>
    <cellStyle name="Normal 13 4 2 2 6 2" xfId="16314" xr:uid="{00000000-0005-0000-0000-000048650000}"/>
    <cellStyle name="Normal 13 4 2 2 6 2 2" xfId="29721" xr:uid="{00000000-0005-0000-0000-000049650000}"/>
    <cellStyle name="Normal 13 4 2 2 6 3" xfId="31071" xr:uid="{00000000-0005-0000-0000-00004A650000}"/>
    <cellStyle name="Normal 13 4 2 2 7" xfId="10092" xr:uid="{00000000-0005-0000-0000-00004B650000}"/>
    <cellStyle name="Normal 13 4 2 2 7 2" xfId="24321" xr:uid="{00000000-0005-0000-0000-00004C650000}"/>
    <cellStyle name="Normal 13 4 2 2 8" xfId="31065" xr:uid="{00000000-0005-0000-0000-00004D650000}"/>
    <cellStyle name="Normal 13 4 2 3" xfId="6749" xr:uid="{00000000-0005-0000-0000-00004E650000}"/>
    <cellStyle name="Normal 13 4 2 3 2" xfId="6750" xr:uid="{00000000-0005-0000-0000-00004F650000}"/>
    <cellStyle name="Normal 13 4 2 3 2 2" xfId="16606" xr:uid="{00000000-0005-0000-0000-000050650000}"/>
    <cellStyle name="Normal 13 4 2 3 2 2 2" xfId="30013" xr:uid="{00000000-0005-0000-0000-000051650000}"/>
    <cellStyle name="Normal 13 4 2 3 2 3" xfId="31073" xr:uid="{00000000-0005-0000-0000-000052650000}"/>
    <cellStyle name="Normal 13 4 2 3 3" xfId="11471" xr:uid="{00000000-0005-0000-0000-000053650000}"/>
    <cellStyle name="Normal 13 4 2 3 3 2" xfId="25303" xr:uid="{00000000-0005-0000-0000-000054650000}"/>
    <cellStyle name="Normal 13 4 2 3 4" xfId="31072" xr:uid="{00000000-0005-0000-0000-000055650000}"/>
    <cellStyle name="Normal 13 4 2 4" xfId="6751" xr:uid="{00000000-0005-0000-0000-000056650000}"/>
    <cellStyle name="Normal 13 4 2 4 2" xfId="11983" xr:uid="{00000000-0005-0000-0000-000057650000}"/>
    <cellStyle name="Normal 13 4 2 4 2 2" xfId="25698" xr:uid="{00000000-0005-0000-0000-000058650000}"/>
    <cellStyle name="Normal 13 4 2 4 3" xfId="31074" xr:uid="{00000000-0005-0000-0000-000059650000}"/>
    <cellStyle name="Normal 13 4 2 5" xfId="6752" xr:uid="{00000000-0005-0000-0000-00005A650000}"/>
    <cellStyle name="Normal 13 4 2 5 2" xfId="13558" xr:uid="{00000000-0005-0000-0000-00005B650000}"/>
    <cellStyle name="Normal 13 4 2 5 2 2" xfId="27107" xr:uid="{00000000-0005-0000-0000-00005C650000}"/>
    <cellStyle name="Normal 13 4 2 5 3" xfId="31075" xr:uid="{00000000-0005-0000-0000-00005D650000}"/>
    <cellStyle name="Normal 13 4 2 6" xfId="6753" xr:uid="{00000000-0005-0000-0000-00005E650000}"/>
    <cellStyle name="Normal 13 4 2 6 2" xfId="14139" xr:uid="{00000000-0005-0000-0000-00005F650000}"/>
    <cellStyle name="Normal 13 4 2 6 2 2" xfId="27688" xr:uid="{00000000-0005-0000-0000-000060650000}"/>
    <cellStyle name="Normal 13 4 2 6 3" xfId="31076" xr:uid="{00000000-0005-0000-0000-000061650000}"/>
    <cellStyle name="Normal 13 4 2 7" xfId="6754" xr:uid="{00000000-0005-0000-0000-000062650000}"/>
    <cellStyle name="Normal 13 4 2 7 2" xfId="16025" xr:uid="{00000000-0005-0000-0000-000063650000}"/>
    <cellStyle name="Normal 13 4 2 7 2 2" xfId="29432" xr:uid="{00000000-0005-0000-0000-000064650000}"/>
    <cellStyle name="Normal 13 4 2 7 3" xfId="31077" xr:uid="{00000000-0005-0000-0000-000065650000}"/>
    <cellStyle name="Normal 13 4 2 8" xfId="10091" xr:uid="{00000000-0005-0000-0000-000066650000}"/>
    <cellStyle name="Normal 13 4 2 8 2" xfId="24320" xr:uid="{00000000-0005-0000-0000-000067650000}"/>
    <cellStyle name="Normal 13 4 2 9" xfId="31064" xr:uid="{00000000-0005-0000-0000-000068650000}"/>
    <cellStyle name="Normal 13 4 3" xfId="6755" xr:uid="{00000000-0005-0000-0000-000069650000}"/>
    <cellStyle name="Normal 13 4 3 2" xfId="6756" xr:uid="{00000000-0005-0000-0000-00006A650000}"/>
    <cellStyle name="Normal 13 4 3 2 2" xfId="6757" xr:uid="{00000000-0005-0000-0000-00006B650000}"/>
    <cellStyle name="Normal 13 4 3 2 2 2" xfId="16755" xr:uid="{00000000-0005-0000-0000-00006C650000}"/>
    <cellStyle name="Normal 13 4 3 2 2 2 2" xfId="30162" xr:uid="{00000000-0005-0000-0000-00006D650000}"/>
    <cellStyle name="Normal 13 4 3 2 2 3" xfId="31080" xr:uid="{00000000-0005-0000-0000-00006E650000}"/>
    <cellStyle name="Normal 13 4 3 2 3" xfId="11473" xr:uid="{00000000-0005-0000-0000-00006F650000}"/>
    <cellStyle name="Normal 13 4 3 2 3 2" xfId="25305" xr:uid="{00000000-0005-0000-0000-000070650000}"/>
    <cellStyle name="Normal 13 4 3 2 4" xfId="31079" xr:uid="{00000000-0005-0000-0000-000071650000}"/>
    <cellStyle name="Normal 13 4 3 3" xfId="6758" xr:uid="{00000000-0005-0000-0000-000072650000}"/>
    <cellStyle name="Normal 13 4 3 3 2" xfId="12143" xr:uid="{00000000-0005-0000-0000-000073650000}"/>
    <cellStyle name="Normal 13 4 3 3 2 2" xfId="25855" xr:uid="{00000000-0005-0000-0000-000074650000}"/>
    <cellStyle name="Normal 13 4 3 3 3" xfId="31081" xr:uid="{00000000-0005-0000-0000-000075650000}"/>
    <cellStyle name="Normal 13 4 3 4" xfId="6759" xr:uid="{00000000-0005-0000-0000-000076650000}"/>
    <cellStyle name="Normal 13 4 3 4 2" xfId="13707" xr:uid="{00000000-0005-0000-0000-000077650000}"/>
    <cellStyle name="Normal 13 4 3 4 2 2" xfId="27256" xr:uid="{00000000-0005-0000-0000-000078650000}"/>
    <cellStyle name="Normal 13 4 3 4 3" xfId="31082" xr:uid="{00000000-0005-0000-0000-000079650000}"/>
    <cellStyle name="Normal 13 4 3 5" xfId="6760" xr:uid="{00000000-0005-0000-0000-00007A650000}"/>
    <cellStyle name="Normal 13 4 3 5 2" xfId="14288" xr:uid="{00000000-0005-0000-0000-00007B650000}"/>
    <cellStyle name="Normal 13 4 3 5 2 2" xfId="27837" xr:uid="{00000000-0005-0000-0000-00007C650000}"/>
    <cellStyle name="Normal 13 4 3 5 3" xfId="31083" xr:uid="{00000000-0005-0000-0000-00007D650000}"/>
    <cellStyle name="Normal 13 4 3 6" xfId="6761" xr:uid="{00000000-0005-0000-0000-00007E650000}"/>
    <cellStyle name="Normal 13 4 3 6 2" xfId="16174" xr:uid="{00000000-0005-0000-0000-00007F650000}"/>
    <cellStyle name="Normal 13 4 3 6 2 2" xfId="29581" xr:uid="{00000000-0005-0000-0000-000080650000}"/>
    <cellStyle name="Normal 13 4 3 6 3" xfId="31084" xr:uid="{00000000-0005-0000-0000-000081650000}"/>
    <cellStyle name="Normal 13 4 3 7" xfId="10093" xr:uid="{00000000-0005-0000-0000-000082650000}"/>
    <cellStyle name="Normal 13 4 3 7 2" xfId="24322" xr:uid="{00000000-0005-0000-0000-000083650000}"/>
    <cellStyle name="Normal 13 4 3 8" xfId="31078" xr:uid="{00000000-0005-0000-0000-000084650000}"/>
    <cellStyle name="Normal 13 4 4" xfId="6762" xr:uid="{00000000-0005-0000-0000-000085650000}"/>
    <cellStyle name="Normal 13 4 4 2" xfId="6763" xr:uid="{00000000-0005-0000-0000-000086650000}"/>
    <cellStyle name="Normal 13 4 4 2 2" xfId="16463" xr:uid="{00000000-0005-0000-0000-000087650000}"/>
    <cellStyle name="Normal 13 4 4 2 2 2" xfId="29870" xr:uid="{00000000-0005-0000-0000-000088650000}"/>
    <cellStyle name="Normal 13 4 4 2 3" xfId="31086" xr:uid="{00000000-0005-0000-0000-000089650000}"/>
    <cellStyle name="Normal 13 4 4 3" xfId="11470" xr:uid="{00000000-0005-0000-0000-00008A650000}"/>
    <cellStyle name="Normal 13 4 4 3 2" xfId="25302" xr:uid="{00000000-0005-0000-0000-00008B650000}"/>
    <cellStyle name="Normal 13 4 4 4" xfId="31085" xr:uid="{00000000-0005-0000-0000-00008C650000}"/>
    <cellStyle name="Normal 13 4 5" xfId="6764" xr:uid="{00000000-0005-0000-0000-00008D650000}"/>
    <cellStyle name="Normal 13 4 5 2" xfId="11814" xr:uid="{00000000-0005-0000-0000-00008E650000}"/>
    <cellStyle name="Normal 13 4 5 2 2" xfId="25529" xr:uid="{00000000-0005-0000-0000-00008F650000}"/>
    <cellStyle name="Normal 13 4 5 3" xfId="31087" xr:uid="{00000000-0005-0000-0000-000090650000}"/>
    <cellStyle name="Normal 13 4 6" xfId="6765" xr:uid="{00000000-0005-0000-0000-000091650000}"/>
    <cellStyle name="Normal 13 4 6 2" xfId="13415" xr:uid="{00000000-0005-0000-0000-000092650000}"/>
    <cellStyle name="Normal 13 4 6 2 2" xfId="26964" xr:uid="{00000000-0005-0000-0000-000093650000}"/>
    <cellStyle name="Normal 13 4 6 3" xfId="31088" xr:uid="{00000000-0005-0000-0000-000094650000}"/>
    <cellStyle name="Normal 13 4 7" xfId="6766" xr:uid="{00000000-0005-0000-0000-000095650000}"/>
    <cellStyle name="Normal 13 4 7 2" xfId="13996" xr:uid="{00000000-0005-0000-0000-000096650000}"/>
    <cellStyle name="Normal 13 4 7 2 2" xfId="27545" xr:uid="{00000000-0005-0000-0000-000097650000}"/>
    <cellStyle name="Normal 13 4 7 3" xfId="31089" xr:uid="{00000000-0005-0000-0000-000098650000}"/>
    <cellStyle name="Normal 13 4 8" xfId="6767" xr:uid="{00000000-0005-0000-0000-000099650000}"/>
    <cellStyle name="Normal 13 4 8 2" xfId="15882" xr:uid="{00000000-0005-0000-0000-00009A650000}"/>
    <cellStyle name="Normal 13 4 8 2 2" xfId="29289" xr:uid="{00000000-0005-0000-0000-00009B650000}"/>
    <cellStyle name="Normal 13 4 8 3" xfId="31090" xr:uid="{00000000-0005-0000-0000-00009C650000}"/>
    <cellStyle name="Normal 13 4 9" xfId="10090" xr:uid="{00000000-0005-0000-0000-00009D650000}"/>
    <cellStyle name="Normal 13 4 9 2" xfId="24319" xr:uid="{00000000-0005-0000-0000-00009E650000}"/>
    <cellStyle name="Normal 13 5" xfId="6768" xr:uid="{00000000-0005-0000-0000-00009F650000}"/>
    <cellStyle name="Normal 13 5 10" xfId="31091" xr:uid="{00000000-0005-0000-0000-0000A0650000}"/>
    <cellStyle name="Normal 13 5 2" xfId="6769" xr:uid="{00000000-0005-0000-0000-0000A1650000}"/>
    <cellStyle name="Normal 13 5 2 2" xfId="6770" xr:uid="{00000000-0005-0000-0000-0000A2650000}"/>
    <cellStyle name="Normal 13 5 2 2 2" xfId="6771" xr:uid="{00000000-0005-0000-0000-0000A3650000}"/>
    <cellStyle name="Normal 13 5 2 2 2 2" xfId="6772" xr:uid="{00000000-0005-0000-0000-0000A4650000}"/>
    <cellStyle name="Normal 13 5 2 2 2 2 2" xfId="16878" xr:uid="{00000000-0005-0000-0000-0000A5650000}"/>
    <cellStyle name="Normal 13 5 2 2 2 2 2 2" xfId="30285" xr:uid="{00000000-0005-0000-0000-0000A6650000}"/>
    <cellStyle name="Normal 13 5 2 2 2 2 3" xfId="31095" xr:uid="{00000000-0005-0000-0000-0000A7650000}"/>
    <cellStyle name="Normal 13 5 2 2 2 3" xfId="11476" xr:uid="{00000000-0005-0000-0000-0000A8650000}"/>
    <cellStyle name="Normal 13 5 2 2 2 3 2" xfId="25308" xr:uid="{00000000-0005-0000-0000-0000A9650000}"/>
    <cellStyle name="Normal 13 5 2 2 2 4" xfId="31094" xr:uid="{00000000-0005-0000-0000-0000AA650000}"/>
    <cellStyle name="Normal 13 5 2 2 3" xfId="6773" xr:uid="{00000000-0005-0000-0000-0000AB650000}"/>
    <cellStyle name="Normal 13 5 2 2 3 2" xfId="12266" xr:uid="{00000000-0005-0000-0000-0000AC650000}"/>
    <cellStyle name="Normal 13 5 2 2 3 2 2" xfId="25978" xr:uid="{00000000-0005-0000-0000-0000AD650000}"/>
    <cellStyle name="Normal 13 5 2 2 3 3" xfId="31096" xr:uid="{00000000-0005-0000-0000-0000AE650000}"/>
    <cellStyle name="Normal 13 5 2 2 4" xfId="6774" xr:uid="{00000000-0005-0000-0000-0000AF650000}"/>
    <cellStyle name="Normal 13 5 2 2 4 2" xfId="13830" xr:uid="{00000000-0005-0000-0000-0000B0650000}"/>
    <cellStyle name="Normal 13 5 2 2 4 2 2" xfId="27379" xr:uid="{00000000-0005-0000-0000-0000B1650000}"/>
    <cellStyle name="Normal 13 5 2 2 4 3" xfId="31097" xr:uid="{00000000-0005-0000-0000-0000B2650000}"/>
    <cellStyle name="Normal 13 5 2 2 5" xfId="6775" xr:uid="{00000000-0005-0000-0000-0000B3650000}"/>
    <cellStyle name="Normal 13 5 2 2 5 2" xfId="14411" xr:uid="{00000000-0005-0000-0000-0000B4650000}"/>
    <cellStyle name="Normal 13 5 2 2 5 2 2" xfId="27960" xr:uid="{00000000-0005-0000-0000-0000B5650000}"/>
    <cellStyle name="Normal 13 5 2 2 5 3" xfId="31098" xr:uid="{00000000-0005-0000-0000-0000B6650000}"/>
    <cellStyle name="Normal 13 5 2 2 6" xfId="6776" xr:uid="{00000000-0005-0000-0000-0000B7650000}"/>
    <cellStyle name="Normal 13 5 2 2 6 2" xfId="16297" xr:uid="{00000000-0005-0000-0000-0000B8650000}"/>
    <cellStyle name="Normal 13 5 2 2 6 2 2" xfId="29704" xr:uid="{00000000-0005-0000-0000-0000B9650000}"/>
    <cellStyle name="Normal 13 5 2 2 6 3" xfId="31099" xr:uid="{00000000-0005-0000-0000-0000BA650000}"/>
    <cellStyle name="Normal 13 5 2 2 7" xfId="10096" xr:uid="{00000000-0005-0000-0000-0000BB650000}"/>
    <cellStyle name="Normal 13 5 2 2 7 2" xfId="24325" xr:uid="{00000000-0005-0000-0000-0000BC650000}"/>
    <cellStyle name="Normal 13 5 2 2 8" xfId="31093" xr:uid="{00000000-0005-0000-0000-0000BD650000}"/>
    <cellStyle name="Normal 13 5 2 3" xfId="6777" xr:uid="{00000000-0005-0000-0000-0000BE650000}"/>
    <cellStyle name="Normal 13 5 2 3 2" xfId="6778" xr:uid="{00000000-0005-0000-0000-0000BF650000}"/>
    <cellStyle name="Normal 13 5 2 3 2 2" xfId="16589" xr:uid="{00000000-0005-0000-0000-0000C0650000}"/>
    <cellStyle name="Normal 13 5 2 3 2 2 2" xfId="29996" xr:uid="{00000000-0005-0000-0000-0000C1650000}"/>
    <cellStyle name="Normal 13 5 2 3 2 3" xfId="31101" xr:uid="{00000000-0005-0000-0000-0000C2650000}"/>
    <cellStyle name="Normal 13 5 2 3 3" xfId="11475" xr:uid="{00000000-0005-0000-0000-0000C3650000}"/>
    <cellStyle name="Normal 13 5 2 3 3 2" xfId="25307" xr:uid="{00000000-0005-0000-0000-0000C4650000}"/>
    <cellStyle name="Normal 13 5 2 3 4" xfId="31100" xr:uid="{00000000-0005-0000-0000-0000C5650000}"/>
    <cellStyle name="Normal 13 5 2 4" xfId="6779" xr:uid="{00000000-0005-0000-0000-0000C6650000}"/>
    <cellStyle name="Normal 13 5 2 4 2" xfId="11966" xr:uid="{00000000-0005-0000-0000-0000C7650000}"/>
    <cellStyle name="Normal 13 5 2 4 2 2" xfId="25681" xr:uid="{00000000-0005-0000-0000-0000C8650000}"/>
    <cellStyle name="Normal 13 5 2 4 3" xfId="31102" xr:uid="{00000000-0005-0000-0000-0000C9650000}"/>
    <cellStyle name="Normal 13 5 2 5" xfId="6780" xr:uid="{00000000-0005-0000-0000-0000CA650000}"/>
    <cellStyle name="Normal 13 5 2 5 2" xfId="13541" xr:uid="{00000000-0005-0000-0000-0000CB650000}"/>
    <cellStyle name="Normal 13 5 2 5 2 2" xfId="27090" xr:uid="{00000000-0005-0000-0000-0000CC650000}"/>
    <cellStyle name="Normal 13 5 2 5 3" xfId="31103" xr:uid="{00000000-0005-0000-0000-0000CD650000}"/>
    <cellStyle name="Normal 13 5 2 6" xfId="6781" xr:uid="{00000000-0005-0000-0000-0000CE650000}"/>
    <cellStyle name="Normal 13 5 2 6 2" xfId="14122" xr:uid="{00000000-0005-0000-0000-0000CF650000}"/>
    <cellStyle name="Normal 13 5 2 6 2 2" xfId="27671" xr:uid="{00000000-0005-0000-0000-0000D0650000}"/>
    <cellStyle name="Normal 13 5 2 6 3" xfId="31104" xr:uid="{00000000-0005-0000-0000-0000D1650000}"/>
    <cellStyle name="Normal 13 5 2 7" xfId="6782" xr:uid="{00000000-0005-0000-0000-0000D2650000}"/>
    <cellStyle name="Normal 13 5 2 7 2" xfId="16008" xr:uid="{00000000-0005-0000-0000-0000D3650000}"/>
    <cellStyle name="Normal 13 5 2 7 2 2" xfId="29415" xr:uid="{00000000-0005-0000-0000-0000D4650000}"/>
    <cellStyle name="Normal 13 5 2 7 3" xfId="31105" xr:uid="{00000000-0005-0000-0000-0000D5650000}"/>
    <cellStyle name="Normal 13 5 2 8" xfId="10095" xr:uid="{00000000-0005-0000-0000-0000D6650000}"/>
    <cellStyle name="Normal 13 5 2 8 2" xfId="24324" xr:uid="{00000000-0005-0000-0000-0000D7650000}"/>
    <cellStyle name="Normal 13 5 2 9" xfId="31092" xr:uid="{00000000-0005-0000-0000-0000D8650000}"/>
    <cellStyle name="Normal 13 5 3" xfId="6783" xr:uid="{00000000-0005-0000-0000-0000D9650000}"/>
    <cellStyle name="Normal 13 5 3 2" xfId="6784" xr:uid="{00000000-0005-0000-0000-0000DA650000}"/>
    <cellStyle name="Normal 13 5 3 2 2" xfId="6785" xr:uid="{00000000-0005-0000-0000-0000DB650000}"/>
    <cellStyle name="Normal 13 5 3 2 2 2" xfId="16738" xr:uid="{00000000-0005-0000-0000-0000DC650000}"/>
    <cellStyle name="Normal 13 5 3 2 2 2 2" xfId="30145" xr:uid="{00000000-0005-0000-0000-0000DD650000}"/>
    <cellStyle name="Normal 13 5 3 2 2 3" xfId="31108" xr:uid="{00000000-0005-0000-0000-0000DE650000}"/>
    <cellStyle name="Normal 13 5 3 2 3" xfId="11477" xr:uid="{00000000-0005-0000-0000-0000DF650000}"/>
    <cellStyle name="Normal 13 5 3 2 3 2" xfId="25309" xr:uid="{00000000-0005-0000-0000-0000E0650000}"/>
    <cellStyle name="Normal 13 5 3 2 4" xfId="31107" xr:uid="{00000000-0005-0000-0000-0000E1650000}"/>
    <cellStyle name="Normal 13 5 3 3" xfId="6786" xr:uid="{00000000-0005-0000-0000-0000E2650000}"/>
    <cellStyle name="Normal 13 5 3 3 2" xfId="12126" xr:uid="{00000000-0005-0000-0000-0000E3650000}"/>
    <cellStyle name="Normal 13 5 3 3 2 2" xfId="25838" xr:uid="{00000000-0005-0000-0000-0000E4650000}"/>
    <cellStyle name="Normal 13 5 3 3 3" xfId="31109" xr:uid="{00000000-0005-0000-0000-0000E5650000}"/>
    <cellStyle name="Normal 13 5 3 4" xfId="6787" xr:uid="{00000000-0005-0000-0000-0000E6650000}"/>
    <cellStyle name="Normal 13 5 3 4 2" xfId="13690" xr:uid="{00000000-0005-0000-0000-0000E7650000}"/>
    <cellStyle name="Normal 13 5 3 4 2 2" xfId="27239" xr:uid="{00000000-0005-0000-0000-0000E8650000}"/>
    <cellStyle name="Normal 13 5 3 4 3" xfId="31110" xr:uid="{00000000-0005-0000-0000-0000E9650000}"/>
    <cellStyle name="Normal 13 5 3 5" xfId="6788" xr:uid="{00000000-0005-0000-0000-0000EA650000}"/>
    <cellStyle name="Normal 13 5 3 5 2" xfId="14271" xr:uid="{00000000-0005-0000-0000-0000EB650000}"/>
    <cellStyle name="Normal 13 5 3 5 2 2" xfId="27820" xr:uid="{00000000-0005-0000-0000-0000EC650000}"/>
    <cellStyle name="Normal 13 5 3 5 3" xfId="31111" xr:uid="{00000000-0005-0000-0000-0000ED650000}"/>
    <cellStyle name="Normal 13 5 3 6" xfId="6789" xr:uid="{00000000-0005-0000-0000-0000EE650000}"/>
    <cellStyle name="Normal 13 5 3 6 2" xfId="16157" xr:uid="{00000000-0005-0000-0000-0000EF650000}"/>
    <cellStyle name="Normal 13 5 3 6 2 2" xfId="29564" xr:uid="{00000000-0005-0000-0000-0000F0650000}"/>
    <cellStyle name="Normal 13 5 3 6 3" xfId="31112" xr:uid="{00000000-0005-0000-0000-0000F1650000}"/>
    <cellStyle name="Normal 13 5 3 7" xfId="10097" xr:uid="{00000000-0005-0000-0000-0000F2650000}"/>
    <cellStyle name="Normal 13 5 3 7 2" xfId="24326" xr:uid="{00000000-0005-0000-0000-0000F3650000}"/>
    <cellStyle name="Normal 13 5 3 8" xfId="31106" xr:uid="{00000000-0005-0000-0000-0000F4650000}"/>
    <cellStyle name="Normal 13 5 4" xfId="6790" xr:uid="{00000000-0005-0000-0000-0000F5650000}"/>
    <cellStyle name="Normal 13 5 4 2" xfId="6791" xr:uid="{00000000-0005-0000-0000-0000F6650000}"/>
    <cellStyle name="Normal 13 5 4 2 2" xfId="16446" xr:uid="{00000000-0005-0000-0000-0000F7650000}"/>
    <cellStyle name="Normal 13 5 4 2 2 2" xfId="29853" xr:uid="{00000000-0005-0000-0000-0000F8650000}"/>
    <cellStyle name="Normal 13 5 4 2 3" xfId="31114" xr:uid="{00000000-0005-0000-0000-0000F9650000}"/>
    <cellStyle name="Normal 13 5 4 3" xfId="11474" xr:uid="{00000000-0005-0000-0000-0000FA650000}"/>
    <cellStyle name="Normal 13 5 4 3 2" xfId="25306" xr:uid="{00000000-0005-0000-0000-0000FB650000}"/>
    <cellStyle name="Normal 13 5 4 4" xfId="31113" xr:uid="{00000000-0005-0000-0000-0000FC650000}"/>
    <cellStyle name="Normal 13 5 5" xfId="6792" xr:uid="{00000000-0005-0000-0000-0000FD650000}"/>
    <cellStyle name="Normal 13 5 5 2" xfId="11797" xr:uid="{00000000-0005-0000-0000-0000FE650000}"/>
    <cellStyle name="Normal 13 5 5 2 2" xfId="25512" xr:uid="{00000000-0005-0000-0000-0000FF650000}"/>
    <cellStyle name="Normal 13 5 5 3" xfId="31115" xr:uid="{00000000-0005-0000-0000-000000660000}"/>
    <cellStyle name="Normal 13 5 6" xfId="6793" xr:uid="{00000000-0005-0000-0000-000001660000}"/>
    <cellStyle name="Normal 13 5 6 2" xfId="13398" xr:uid="{00000000-0005-0000-0000-000002660000}"/>
    <cellStyle name="Normal 13 5 6 2 2" xfId="26947" xr:uid="{00000000-0005-0000-0000-000003660000}"/>
    <cellStyle name="Normal 13 5 6 3" xfId="31116" xr:uid="{00000000-0005-0000-0000-000004660000}"/>
    <cellStyle name="Normal 13 5 7" xfId="6794" xr:uid="{00000000-0005-0000-0000-000005660000}"/>
    <cellStyle name="Normal 13 5 7 2" xfId="13979" xr:uid="{00000000-0005-0000-0000-000006660000}"/>
    <cellStyle name="Normal 13 5 7 2 2" xfId="27528" xr:uid="{00000000-0005-0000-0000-000007660000}"/>
    <cellStyle name="Normal 13 5 7 3" xfId="31117" xr:uid="{00000000-0005-0000-0000-000008660000}"/>
    <cellStyle name="Normal 13 5 8" xfId="6795" xr:uid="{00000000-0005-0000-0000-000009660000}"/>
    <cellStyle name="Normal 13 5 8 2" xfId="15865" xr:uid="{00000000-0005-0000-0000-00000A660000}"/>
    <cellStyle name="Normal 13 5 8 2 2" xfId="29272" xr:uid="{00000000-0005-0000-0000-00000B660000}"/>
    <cellStyle name="Normal 13 5 8 3" xfId="31118" xr:uid="{00000000-0005-0000-0000-00000C660000}"/>
    <cellStyle name="Normal 13 5 9" xfId="10094" xr:uid="{00000000-0005-0000-0000-00000D660000}"/>
    <cellStyle name="Normal 13 5 9 2" xfId="24323" xr:uid="{00000000-0005-0000-0000-00000E660000}"/>
    <cellStyle name="Normal 13 6" xfId="6796" xr:uid="{00000000-0005-0000-0000-00000F660000}"/>
    <cellStyle name="Normal 13 6 10" xfId="31119" xr:uid="{00000000-0005-0000-0000-000010660000}"/>
    <cellStyle name="Normal 13 6 2" xfId="6797" xr:uid="{00000000-0005-0000-0000-000011660000}"/>
    <cellStyle name="Normal 13 6 2 2" xfId="6798" xr:uid="{00000000-0005-0000-0000-000012660000}"/>
    <cellStyle name="Normal 13 6 2 2 2" xfId="6799" xr:uid="{00000000-0005-0000-0000-000013660000}"/>
    <cellStyle name="Normal 13 6 2 2 2 2" xfId="6800" xr:uid="{00000000-0005-0000-0000-000014660000}"/>
    <cellStyle name="Normal 13 6 2 2 2 2 2" xfId="16984" xr:uid="{00000000-0005-0000-0000-000015660000}"/>
    <cellStyle name="Normal 13 6 2 2 2 2 2 2" xfId="30391" xr:uid="{00000000-0005-0000-0000-000016660000}"/>
    <cellStyle name="Normal 13 6 2 2 2 2 3" xfId="31123" xr:uid="{00000000-0005-0000-0000-000017660000}"/>
    <cellStyle name="Normal 13 6 2 2 2 3" xfId="11480" xr:uid="{00000000-0005-0000-0000-000018660000}"/>
    <cellStyle name="Normal 13 6 2 2 2 3 2" xfId="25312" xr:uid="{00000000-0005-0000-0000-000019660000}"/>
    <cellStyle name="Normal 13 6 2 2 2 4" xfId="31122" xr:uid="{00000000-0005-0000-0000-00001A660000}"/>
    <cellStyle name="Normal 13 6 2 2 3" xfId="6801" xr:uid="{00000000-0005-0000-0000-00001B660000}"/>
    <cellStyle name="Normal 13 6 2 2 3 2" xfId="12372" xr:uid="{00000000-0005-0000-0000-00001C660000}"/>
    <cellStyle name="Normal 13 6 2 2 3 2 2" xfId="26084" xr:uid="{00000000-0005-0000-0000-00001D660000}"/>
    <cellStyle name="Normal 13 6 2 2 3 3" xfId="31124" xr:uid="{00000000-0005-0000-0000-00001E660000}"/>
    <cellStyle name="Normal 13 6 2 2 4" xfId="6802" xr:uid="{00000000-0005-0000-0000-00001F660000}"/>
    <cellStyle name="Normal 13 6 2 2 4 2" xfId="13936" xr:uid="{00000000-0005-0000-0000-000020660000}"/>
    <cellStyle name="Normal 13 6 2 2 4 2 2" xfId="27485" xr:uid="{00000000-0005-0000-0000-000021660000}"/>
    <cellStyle name="Normal 13 6 2 2 4 3" xfId="31125" xr:uid="{00000000-0005-0000-0000-000022660000}"/>
    <cellStyle name="Normal 13 6 2 2 5" xfId="6803" xr:uid="{00000000-0005-0000-0000-000023660000}"/>
    <cellStyle name="Normal 13 6 2 2 5 2" xfId="14517" xr:uid="{00000000-0005-0000-0000-000024660000}"/>
    <cellStyle name="Normal 13 6 2 2 5 2 2" xfId="28066" xr:uid="{00000000-0005-0000-0000-000025660000}"/>
    <cellStyle name="Normal 13 6 2 2 5 3" xfId="31126" xr:uid="{00000000-0005-0000-0000-000026660000}"/>
    <cellStyle name="Normal 13 6 2 2 6" xfId="6804" xr:uid="{00000000-0005-0000-0000-000027660000}"/>
    <cellStyle name="Normal 13 6 2 2 6 2" xfId="16403" xr:uid="{00000000-0005-0000-0000-000028660000}"/>
    <cellStyle name="Normal 13 6 2 2 6 2 2" xfId="29810" xr:uid="{00000000-0005-0000-0000-000029660000}"/>
    <cellStyle name="Normal 13 6 2 2 6 3" xfId="31127" xr:uid="{00000000-0005-0000-0000-00002A660000}"/>
    <cellStyle name="Normal 13 6 2 2 7" xfId="10100" xr:uid="{00000000-0005-0000-0000-00002B660000}"/>
    <cellStyle name="Normal 13 6 2 2 7 2" xfId="24329" xr:uid="{00000000-0005-0000-0000-00002C660000}"/>
    <cellStyle name="Normal 13 6 2 2 8" xfId="31121" xr:uid="{00000000-0005-0000-0000-00002D660000}"/>
    <cellStyle name="Normal 13 6 2 3" xfId="6805" xr:uid="{00000000-0005-0000-0000-00002E660000}"/>
    <cellStyle name="Normal 13 6 2 3 2" xfId="6806" xr:uid="{00000000-0005-0000-0000-00002F660000}"/>
    <cellStyle name="Normal 13 6 2 3 2 2" xfId="16695" xr:uid="{00000000-0005-0000-0000-000030660000}"/>
    <cellStyle name="Normal 13 6 2 3 2 2 2" xfId="30102" xr:uid="{00000000-0005-0000-0000-000031660000}"/>
    <cellStyle name="Normal 13 6 2 3 2 3" xfId="31129" xr:uid="{00000000-0005-0000-0000-000032660000}"/>
    <cellStyle name="Normal 13 6 2 3 3" xfId="11479" xr:uid="{00000000-0005-0000-0000-000033660000}"/>
    <cellStyle name="Normal 13 6 2 3 3 2" xfId="25311" xr:uid="{00000000-0005-0000-0000-000034660000}"/>
    <cellStyle name="Normal 13 6 2 3 4" xfId="31128" xr:uid="{00000000-0005-0000-0000-000035660000}"/>
    <cellStyle name="Normal 13 6 2 4" xfId="6807" xr:uid="{00000000-0005-0000-0000-000036660000}"/>
    <cellStyle name="Normal 13 6 2 4 2" xfId="12072" xr:uid="{00000000-0005-0000-0000-000037660000}"/>
    <cellStyle name="Normal 13 6 2 4 2 2" xfId="25787" xr:uid="{00000000-0005-0000-0000-000038660000}"/>
    <cellStyle name="Normal 13 6 2 4 3" xfId="31130" xr:uid="{00000000-0005-0000-0000-000039660000}"/>
    <cellStyle name="Normal 13 6 2 5" xfId="6808" xr:uid="{00000000-0005-0000-0000-00003A660000}"/>
    <cellStyle name="Normal 13 6 2 5 2" xfId="13647" xr:uid="{00000000-0005-0000-0000-00003B660000}"/>
    <cellStyle name="Normal 13 6 2 5 2 2" xfId="27196" xr:uid="{00000000-0005-0000-0000-00003C660000}"/>
    <cellStyle name="Normal 13 6 2 5 3" xfId="31131" xr:uid="{00000000-0005-0000-0000-00003D660000}"/>
    <cellStyle name="Normal 13 6 2 6" xfId="6809" xr:uid="{00000000-0005-0000-0000-00003E660000}"/>
    <cellStyle name="Normal 13 6 2 6 2" xfId="14228" xr:uid="{00000000-0005-0000-0000-00003F660000}"/>
    <cellStyle name="Normal 13 6 2 6 2 2" xfId="27777" xr:uid="{00000000-0005-0000-0000-000040660000}"/>
    <cellStyle name="Normal 13 6 2 6 3" xfId="31132" xr:uid="{00000000-0005-0000-0000-000041660000}"/>
    <cellStyle name="Normal 13 6 2 7" xfId="6810" xr:uid="{00000000-0005-0000-0000-000042660000}"/>
    <cellStyle name="Normal 13 6 2 7 2" xfId="16114" xr:uid="{00000000-0005-0000-0000-000043660000}"/>
    <cellStyle name="Normal 13 6 2 7 2 2" xfId="29521" xr:uid="{00000000-0005-0000-0000-000044660000}"/>
    <cellStyle name="Normal 13 6 2 7 3" xfId="31133" xr:uid="{00000000-0005-0000-0000-000045660000}"/>
    <cellStyle name="Normal 13 6 2 8" xfId="10099" xr:uid="{00000000-0005-0000-0000-000046660000}"/>
    <cellStyle name="Normal 13 6 2 8 2" xfId="24328" xr:uid="{00000000-0005-0000-0000-000047660000}"/>
    <cellStyle name="Normal 13 6 2 9" xfId="31120" xr:uid="{00000000-0005-0000-0000-000048660000}"/>
    <cellStyle name="Normal 13 6 3" xfId="6811" xr:uid="{00000000-0005-0000-0000-000049660000}"/>
    <cellStyle name="Normal 13 6 3 2" xfId="6812" xr:uid="{00000000-0005-0000-0000-00004A660000}"/>
    <cellStyle name="Normal 13 6 3 2 2" xfId="6813" xr:uid="{00000000-0005-0000-0000-00004B660000}"/>
    <cellStyle name="Normal 13 6 3 2 2 2" xfId="16841" xr:uid="{00000000-0005-0000-0000-00004C660000}"/>
    <cellStyle name="Normal 13 6 3 2 2 2 2" xfId="30248" xr:uid="{00000000-0005-0000-0000-00004D660000}"/>
    <cellStyle name="Normal 13 6 3 2 2 3" xfId="31136" xr:uid="{00000000-0005-0000-0000-00004E660000}"/>
    <cellStyle name="Normal 13 6 3 2 3" xfId="11481" xr:uid="{00000000-0005-0000-0000-00004F660000}"/>
    <cellStyle name="Normal 13 6 3 2 3 2" xfId="25313" xr:uid="{00000000-0005-0000-0000-000050660000}"/>
    <cellStyle name="Normal 13 6 3 2 4" xfId="31135" xr:uid="{00000000-0005-0000-0000-000051660000}"/>
    <cellStyle name="Normal 13 6 3 3" xfId="6814" xr:uid="{00000000-0005-0000-0000-000052660000}"/>
    <cellStyle name="Normal 13 6 3 3 2" xfId="12229" xr:uid="{00000000-0005-0000-0000-000053660000}"/>
    <cellStyle name="Normal 13 6 3 3 2 2" xfId="25941" xr:uid="{00000000-0005-0000-0000-000054660000}"/>
    <cellStyle name="Normal 13 6 3 3 3" xfId="31137" xr:uid="{00000000-0005-0000-0000-000055660000}"/>
    <cellStyle name="Normal 13 6 3 4" xfId="6815" xr:uid="{00000000-0005-0000-0000-000056660000}"/>
    <cellStyle name="Normal 13 6 3 4 2" xfId="13793" xr:uid="{00000000-0005-0000-0000-000057660000}"/>
    <cellStyle name="Normal 13 6 3 4 2 2" xfId="27342" xr:uid="{00000000-0005-0000-0000-000058660000}"/>
    <cellStyle name="Normal 13 6 3 4 3" xfId="31138" xr:uid="{00000000-0005-0000-0000-000059660000}"/>
    <cellStyle name="Normal 13 6 3 5" xfId="6816" xr:uid="{00000000-0005-0000-0000-00005A660000}"/>
    <cellStyle name="Normal 13 6 3 5 2" xfId="14374" xr:uid="{00000000-0005-0000-0000-00005B660000}"/>
    <cellStyle name="Normal 13 6 3 5 2 2" xfId="27923" xr:uid="{00000000-0005-0000-0000-00005C660000}"/>
    <cellStyle name="Normal 13 6 3 5 3" xfId="31139" xr:uid="{00000000-0005-0000-0000-00005D660000}"/>
    <cellStyle name="Normal 13 6 3 6" xfId="6817" xr:uid="{00000000-0005-0000-0000-00005E660000}"/>
    <cellStyle name="Normal 13 6 3 6 2" xfId="16260" xr:uid="{00000000-0005-0000-0000-00005F660000}"/>
    <cellStyle name="Normal 13 6 3 6 2 2" xfId="29667" xr:uid="{00000000-0005-0000-0000-000060660000}"/>
    <cellStyle name="Normal 13 6 3 6 3" xfId="31140" xr:uid="{00000000-0005-0000-0000-000061660000}"/>
    <cellStyle name="Normal 13 6 3 7" xfId="10101" xr:uid="{00000000-0005-0000-0000-000062660000}"/>
    <cellStyle name="Normal 13 6 3 7 2" xfId="24330" xr:uid="{00000000-0005-0000-0000-000063660000}"/>
    <cellStyle name="Normal 13 6 3 8" xfId="31134" xr:uid="{00000000-0005-0000-0000-000064660000}"/>
    <cellStyle name="Normal 13 6 4" xfId="6818" xr:uid="{00000000-0005-0000-0000-000065660000}"/>
    <cellStyle name="Normal 13 6 4 2" xfId="6819" xr:uid="{00000000-0005-0000-0000-000066660000}"/>
    <cellStyle name="Normal 13 6 4 2 2" xfId="16552" xr:uid="{00000000-0005-0000-0000-000067660000}"/>
    <cellStyle name="Normal 13 6 4 2 2 2" xfId="29959" xr:uid="{00000000-0005-0000-0000-000068660000}"/>
    <cellStyle name="Normal 13 6 4 2 3" xfId="31142" xr:uid="{00000000-0005-0000-0000-000069660000}"/>
    <cellStyle name="Normal 13 6 4 3" xfId="11478" xr:uid="{00000000-0005-0000-0000-00006A660000}"/>
    <cellStyle name="Normal 13 6 4 3 2" xfId="25310" xr:uid="{00000000-0005-0000-0000-00006B660000}"/>
    <cellStyle name="Normal 13 6 4 4" xfId="31141" xr:uid="{00000000-0005-0000-0000-00006C660000}"/>
    <cellStyle name="Normal 13 6 5" xfId="6820" xr:uid="{00000000-0005-0000-0000-00006D660000}"/>
    <cellStyle name="Normal 13 6 5 2" xfId="11927" xr:uid="{00000000-0005-0000-0000-00006E660000}"/>
    <cellStyle name="Normal 13 6 5 2 2" xfId="25642" xr:uid="{00000000-0005-0000-0000-00006F660000}"/>
    <cellStyle name="Normal 13 6 5 3" xfId="31143" xr:uid="{00000000-0005-0000-0000-000070660000}"/>
    <cellStyle name="Normal 13 6 6" xfId="6821" xr:uid="{00000000-0005-0000-0000-000071660000}"/>
    <cellStyle name="Normal 13 6 6 2" xfId="13504" xr:uid="{00000000-0005-0000-0000-000072660000}"/>
    <cellStyle name="Normal 13 6 6 2 2" xfId="27053" xr:uid="{00000000-0005-0000-0000-000073660000}"/>
    <cellStyle name="Normal 13 6 6 3" xfId="31144" xr:uid="{00000000-0005-0000-0000-000074660000}"/>
    <cellStyle name="Normal 13 6 7" xfId="6822" xr:uid="{00000000-0005-0000-0000-000075660000}"/>
    <cellStyle name="Normal 13 6 7 2" xfId="14085" xr:uid="{00000000-0005-0000-0000-000076660000}"/>
    <cellStyle name="Normal 13 6 7 2 2" xfId="27634" xr:uid="{00000000-0005-0000-0000-000077660000}"/>
    <cellStyle name="Normal 13 6 7 3" xfId="31145" xr:uid="{00000000-0005-0000-0000-000078660000}"/>
    <cellStyle name="Normal 13 6 8" xfId="6823" xr:uid="{00000000-0005-0000-0000-000079660000}"/>
    <cellStyle name="Normal 13 6 8 2" xfId="15971" xr:uid="{00000000-0005-0000-0000-00007A660000}"/>
    <cellStyle name="Normal 13 6 8 2 2" xfId="29378" xr:uid="{00000000-0005-0000-0000-00007B660000}"/>
    <cellStyle name="Normal 13 6 8 3" xfId="31146" xr:uid="{00000000-0005-0000-0000-00007C660000}"/>
    <cellStyle name="Normal 13 6 9" xfId="10098" xr:uid="{00000000-0005-0000-0000-00007D660000}"/>
    <cellStyle name="Normal 13 6 9 2" xfId="24327" xr:uid="{00000000-0005-0000-0000-00007E660000}"/>
    <cellStyle name="Normal 13 7" xfId="6824" xr:uid="{00000000-0005-0000-0000-00007F660000}"/>
    <cellStyle name="Normal 13 7 2" xfId="6825" xr:uid="{00000000-0005-0000-0000-000080660000}"/>
    <cellStyle name="Normal 13 7 2 2" xfId="6826" xr:uid="{00000000-0005-0000-0000-000081660000}"/>
    <cellStyle name="Normal 13 7 2 2 2" xfId="6827" xr:uid="{00000000-0005-0000-0000-000082660000}"/>
    <cellStyle name="Normal 13 7 2 2 2 2" xfId="16861" xr:uid="{00000000-0005-0000-0000-000083660000}"/>
    <cellStyle name="Normal 13 7 2 2 2 2 2" xfId="30268" xr:uid="{00000000-0005-0000-0000-000084660000}"/>
    <cellStyle name="Normal 13 7 2 2 2 3" xfId="31150" xr:uid="{00000000-0005-0000-0000-000085660000}"/>
    <cellStyle name="Normal 13 7 2 2 3" xfId="11483" xr:uid="{00000000-0005-0000-0000-000086660000}"/>
    <cellStyle name="Normal 13 7 2 2 3 2" xfId="25315" xr:uid="{00000000-0005-0000-0000-000087660000}"/>
    <cellStyle name="Normal 13 7 2 2 4" xfId="31149" xr:uid="{00000000-0005-0000-0000-000088660000}"/>
    <cellStyle name="Normal 13 7 2 3" xfId="6828" xr:uid="{00000000-0005-0000-0000-000089660000}"/>
    <cellStyle name="Normal 13 7 2 3 2" xfId="12249" xr:uid="{00000000-0005-0000-0000-00008A660000}"/>
    <cellStyle name="Normal 13 7 2 3 2 2" xfId="25961" xr:uid="{00000000-0005-0000-0000-00008B660000}"/>
    <cellStyle name="Normal 13 7 2 3 3" xfId="31151" xr:uid="{00000000-0005-0000-0000-00008C660000}"/>
    <cellStyle name="Normal 13 7 2 4" xfId="6829" xr:uid="{00000000-0005-0000-0000-00008D660000}"/>
    <cellStyle name="Normal 13 7 2 4 2" xfId="13813" xr:uid="{00000000-0005-0000-0000-00008E660000}"/>
    <cellStyle name="Normal 13 7 2 4 2 2" xfId="27362" xr:uid="{00000000-0005-0000-0000-00008F660000}"/>
    <cellStyle name="Normal 13 7 2 4 3" xfId="31152" xr:uid="{00000000-0005-0000-0000-000090660000}"/>
    <cellStyle name="Normal 13 7 2 5" xfId="6830" xr:uid="{00000000-0005-0000-0000-000091660000}"/>
    <cellStyle name="Normal 13 7 2 5 2" xfId="14394" xr:uid="{00000000-0005-0000-0000-000092660000}"/>
    <cellStyle name="Normal 13 7 2 5 2 2" xfId="27943" xr:uid="{00000000-0005-0000-0000-000093660000}"/>
    <cellStyle name="Normal 13 7 2 5 3" xfId="31153" xr:uid="{00000000-0005-0000-0000-000094660000}"/>
    <cellStyle name="Normal 13 7 2 6" xfId="6831" xr:uid="{00000000-0005-0000-0000-000095660000}"/>
    <cellStyle name="Normal 13 7 2 6 2" xfId="16280" xr:uid="{00000000-0005-0000-0000-000096660000}"/>
    <cellStyle name="Normal 13 7 2 6 2 2" xfId="29687" xr:uid="{00000000-0005-0000-0000-000097660000}"/>
    <cellStyle name="Normal 13 7 2 6 3" xfId="31154" xr:uid="{00000000-0005-0000-0000-000098660000}"/>
    <cellStyle name="Normal 13 7 2 7" xfId="10103" xr:uid="{00000000-0005-0000-0000-000099660000}"/>
    <cellStyle name="Normal 13 7 2 7 2" xfId="24332" xr:uid="{00000000-0005-0000-0000-00009A660000}"/>
    <cellStyle name="Normal 13 7 2 8" xfId="31148" xr:uid="{00000000-0005-0000-0000-00009B660000}"/>
    <cellStyle name="Normal 13 7 3" xfId="6832" xr:uid="{00000000-0005-0000-0000-00009C660000}"/>
    <cellStyle name="Normal 13 7 3 2" xfId="6833" xr:uid="{00000000-0005-0000-0000-00009D660000}"/>
    <cellStyle name="Normal 13 7 3 2 2" xfId="16572" xr:uid="{00000000-0005-0000-0000-00009E660000}"/>
    <cellStyle name="Normal 13 7 3 2 2 2" xfId="29979" xr:uid="{00000000-0005-0000-0000-00009F660000}"/>
    <cellStyle name="Normal 13 7 3 2 3" xfId="31156" xr:uid="{00000000-0005-0000-0000-0000A0660000}"/>
    <cellStyle name="Normal 13 7 3 3" xfId="11482" xr:uid="{00000000-0005-0000-0000-0000A1660000}"/>
    <cellStyle name="Normal 13 7 3 3 2" xfId="25314" xr:uid="{00000000-0005-0000-0000-0000A2660000}"/>
    <cellStyle name="Normal 13 7 3 4" xfId="31155" xr:uid="{00000000-0005-0000-0000-0000A3660000}"/>
    <cellStyle name="Normal 13 7 4" xfId="6834" xr:uid="{00000000-0005-0000-0000-0000A4660000}"/>
    <cellStyle name="Normal 13 7 4 2" xfId="11949" xr:uid="{00000000-0005-0000-0000-0000A5660000}"/>
    <cellStyle name="Normal 13 7 4 2 2" xfId="25664" xr:uid="{00000000-0005-0000-0000-0000A6660000}"/>
    <cellStyle name="Normal 13 7 4 3" xfId="31157" xr:uid="{00000000-0005-0000-0000-0000A7660000}"/>
    <cellStyle name="Normal 13 7 5" xfId="6835" xr:uid="{00000000-0005-0000-0000-0000A8660000}"/>
    <cellStyle name="Normal 13 7 5 2" xfId="13524" xr:uid="{00000000-0005-0000-0000-0000A9660000}"/>
    <cellStyle name="Normal 13 7 5 2 2" xfId="27073" xr:uid="{00000000-0005-0000-0000-0000AA660000}"/>
    <cellStyle name="Normal 13 7 5 3" xfId="31158" xr:uid="{00000000-0005-0000-0000-0000AB660000}"/>
    <cellStyle name="Normal 13 7 6" xfId="6836" xr:uid="{00000000-0005-0000-0000-0000AC660000}"/>
    <cellStyle name="Normal 13 7 6 2" xfId="14105" xr:uid="{00000000-0005-0000-0000-0000AD660000}"/>
    <cellStyle name="Normal 13 7 6 2 2" xfId="27654" xr:uid="{00000000-0005-0000-0000-0000AE660000}"/>
    <cellStyle name="Normal 13 7 6 3" xfId="31159" xr:uid="{00000000-0005-0000-0000-0000AF660000}"/>
    <cellStyle name="Normal 13 7 7" xfId="6837" xr:uid="{00000000-0005-0000-0000-0000B0660000}"/>
    <cellStyle name="Normal 13 7 7 2" xfId="15991" xr:uid="{00000000-0005-0000-0000-0000B1660000}"/>
    <cellStyle name="Normal 13 7 7 2 2" xfId="29398" xr:uid="{00000000-0005-0000-0000-0000B2660000}"/>
    <cellStyle name="Normal 13 7 7 3" xfId="31160" xr:uid="{00000000-0005-0000-0000-0000B3660000}"/>
    <cellStyle name="Normal 13 7 8" xfId="10102" xr:uid="{00000000-0005-0000-0000-0000B4660000}"/>
    <cellStyle name="Normal 13 7 8 2" xfId="24331" xr:uid="{00000000-0005-0000-0000-0000B5660000}"/>
    <cellStyle name="Normal 13 7 9" xfId="31147" xr:uid="{00000000-0005-0000-0000-0000B6660000}"/>
    <cellStyle name="Normal 13 8" xfId="6838" xr:uid="{00000000-0005-0000-0000-0000B7660000}"/>
    <cellStyle name="Normal 13 8 2" xfId="6839" xr:uid="{00000000-0005-0000-0000-0000B8660000}"/>
    <cellStyle name="Normal 13 8 2 2" xfId="6840" xr:uid="{00000000-0005-0000-0000-0000B9660000}"/>
    <cellStyle name="Normal 13 8 2 2 2" xfId="16717" xr:uid="{00000000-0005-0000-0000-0000BA660000}"/>
    <cellStyle name="Normal 13 8 2 2 2 2" xfId="30124" xr:uid="{00000000-0005-0000-0000-0000BB660000}"/>
    <cellStyle name="Normal 13 8 2 2 3" xfId="31163" xr:uid="{00000000-0005-0000-0000-0000BC660000}"/>
    <cellStyle name="Normal 13 8 2 3" xfId="11484" xr:uid="{00000000-0005-0000-0000-0000BD660000}"/>
    <cellStyle name="Normal 13 8 2 3 2" xfId="25316" xr:uid="{00000000-0005-0000-0000-0000BE660000}"/>
    <cellStyle name="Normal 13 8 2 4" xfId="31162" xr:uid="{00000000-0005-0000-0000-0000BF660000}"/>
    <cellStyle name="Normal 13 8 3" xfId="6841" xr:uid="{00000000-0005-0000-0000-0000C0660000}"/>
    <cellStyle name="Normal 13 8 3 2" xfId="12102" xr:uid="{00000000-0005-0000-0000-0000C1660000}"/>
    <cellStyle name="Normal 13 8 3 2 2" xfId="25814" xr:uid="{00000000-0005-0000-0000-0000C2660000}"/>
    <cellStyle name="Normal 13 8 3 3" xfId="31164" xr:uid="{00000000-0005-0000-0000-0000C3660000}"/>
    <cellStyle name="Normal 13 8 4" xfId="6842" xr:uid="{00000000-0005-0000-0000-0000C4660000}"/>
    <cellStyle name="Normal 13 8 4 2" xfId="13669" xr:uid="{00000000-0005-0000-0000-0000C5660000}"/>
    <cellStyle name="Normal 13 8 4 2 2" xfId="27218" xr:uid="{00000000-0005-0000-0000-0000C6660000}"/>
    <cellStyle name="Normal 13 8 4 3" xfId="31165" xr:uid="{00000000-0005-0000-0000-0000C7660000}"/>
    <cellStyle name="Normal 13 8 5" xfId="6843" xr:uid="{00000000-0005-0000-0000-0000C8660000}"/>
    <cellStyle name="Normal 13 8 5 2" xfId="14250" xr:uid="{00000000-0005-0000-0000-0000C9660000}"/>
    <cellStyle name="Normal 13 8 5 2 2" xfId="27799" xr:uid="{00000000-0005-0000-0000-0000CA660000}"/>
    <cellStyle name="Normal 13 8 5 3" xfId="31166" xr:uid="{00000000-0005-0000-0000-0000CB660000}"/>
    <cellStyle name="Normal 13 8 6" xfId="6844" xr:uid="{00000000-0005-0000-0000-0000CC660000}"/>
    <cellStyle name="Normal 13 8 6 2" xfId="16136" xr:uid="{00000000-0005-0000-0000-0000CD660000}"/>
    <cellStyle name="Normal 13 8 6 2 2" xfId="29543" xr:uid="{00000000-0005-0000-0000-0000CE660000}"/>
    <cellStyle name="Normal 13 8 6 3" xfId="31167" xr:uid="{00000000-0005-0000-0000-0000CF660000}"/>
    <cellStyle name="Normal 13 8 7" xfId="10104" xr:uid="{00000000-0005-0000-0000-0000D0660000}"/>
    <cellStyle name="Normal 13 8 7 2" xfId="24333" xr:uid="{00000000-0005-0000-0000-0000D1660000}"/>
    <cellStyle name="Normal 13 8 8" xfId="31161" xr:uid="{00000000-0005-0000-0000-0000D2660000}"/>
    <cellStyle name="Normal 13 9" xfId="6845" xr:uid="{00000000-0005-0000-0000-0000D3660000}"/>
    <cellStyle name="Normal 13 9 2" xfId="6846" xr:uid="{00000000-0005-0000-0000-0000D4660000}"/>
    <cellStyle name="Normal 13 9 2 2" xfId="11713" xr:uid="{00000000-0005-0000-0000-0000D5660000}"/>
    <cellStyle name="Normal 13 9 2 2 2" xfId="25433" xr:uid="{00000000-0005-0000-0000-0000D6660000}"/>
    <cellStyle name="Normal 13 9 2 3" xfId="31169" xr:uid="{00000000-0005-0000-0000-0000D7660000}"/>
    <cellStyle name="Normal 13 9 3" xfId="6847" xr:uid="{00000000-0005-0000-0000-0000D8660000}"/>
    <cellStyle name="Normal 13 9 3 2" xfId="13231" xr:uid="{00000000-0005-0000-0000-0000D9660000}"/>
    <cellStyle name="Normal 13 9 3 2 2" xfId="26876" xr:uid="{00000000-0005-0000-0000-0000DA660000}"/>
    <cellStyle name="Normal 13 9 3 3" xfId="31170" xr:uid="{00000000-0005-0000-0000-0000DB660000}"/>
    <cellStyle name="Normal 13 9 4" xfId="6848" xr:uid="{00000000-0005-0000-0000-0000DC660000}"/>
    <cellStyle name="Normal 13 9 4 2" xfId="15682" xr:uid="{00000000-0005-0000-0000-0000DD660000}"/>
    <cellStyle name="Normal 13 9 4 2 2" xfId="29168" xr:uid="{00000000-0005-0000-0000-0000DE660000}"/>
    <cellStyle name="Normal 13 9 4 3" xfId="31171" xr:uid="{00000000-0005-0000-0000-0000DF660000}"/>
    <cellStyle name="Normal 13 9 5" xfId="6849" xr:uid="{00000000-0005-0000-0000-0000E0660000}"/>
    <cellStyle name="Normal 13 9 5 2" xfId="17025" xr:uid="{00000000-0005-0000-0000-0000E1660000}"/>
    <cellStyle name="Normal 13 9 5 2 2" xfId="30428" xr:uid="{00000000-0005-0000-0000-0000E2660000}"/>
    <cellStyle name="Normal 13 9 5 3" xfId="31172" xr:uid="{00000000-0005-0000-0000-0000E3660000}"/>
    <cellStyle name="Normal 13 9 6" xfId="10486" xr:uid="{00000000-0005-0000-0000-0000E4660000}"/>
    <cellStyle name="Normal 13 9 6 2" xfId="24437" xr:uid="{00000000-0005-0000-0000-0000E5660000}"/>
    <cellStyle name="Normal 13 9 7" xfId="31168" xr:uid="{00000000-0005-0000-0000-0000E6660000}"/>
    <cellStyle name="Normal 14" xfId="6850" xr:uid="{00000000-0005-0000-0000-0000E7660000}"/>
    <cellStyle name="Normal 14 10" xfId="6851" xr:uid="{00000000-0005-0000-0000-0000E8660000}"/>
    <cellStyle name="Normal 14 10 2" xfId="6852" xr:uid="{00000000-0005-0000-0000-0000E9660000}"/>
    <cellStyle name="Normal 14 10 2 2" xfId="17280" xr:uid="{00000000-0005-0000-0000-0000EA660000}"/>
    <cellStyle name="Normal 14 10 2 2 2" xfId="30639" xr:uid="{00000000-0005-0000-0000-0000EB660000}"/>
    <cellStyle name="Normal 14 10 2 3" xfId="31175" xr:uid="{00000000-0005-0000-0000-0000EC660000}"/>
    <cellStyle name="Normal 14 10 3" xfId="13999" xr:uid="{00000000-0005-0000-0000-0000ED660000}"/>
    <cellStyle name="Normal 14 10 3 2" xfId="27548" xr:uid="{00000000-0005-0000-0000-0000EE660000}"/>
    <cellStyle name="Normal 14 10 4" xfId="31174" xr:uid="{00000000-0005-0000-0000-0000EF660000}"/>
    <cellStyle name="Normal 14 11" xfId="6853" xr:uid="{00000000-0005-0000-0000-0000F0660000}"/>
    <cellStyle name="Normal 14 11 2" xfId="16466" xr:uid="{00000000-0005-0000-0000-0000F1660000}"/>
    <cellStyle name="Normal 14 11 2 2" xfId="29873" xr:uid="{00000000-0005-0000-0000-0000F2660000}"/>
    <cellStyle name="Normal 14 11 3" xfId="31176" xr:uid="{00000000-0005-0000-0000-0000F3660000}"/>
    <cellStyle name="Normal 14 12" xfId="6854" xr:uid="{00000000-0005-0000-0000-0000F4660000}"/>
    <cellStyle name="Normal 14 12 2" xfId="15885" xr:uid="{00000000-0005-0000-0000-0000F5660000}"/>
    <cellStyle name="Normal 14 12 2 2" xfId="29292" xr:uid="{00000000-0005-0000-0000-0000F6660000}"/>
    <cellStyle name="Normal 14 12 3" xfId="31177" xr:uid="{00000000-0005-0000-0000-0000F7660000}"/>
    <cellStyle name="Normal 14 13" xfId="10105" xr:uid="{00000000-0005-0000-0000-0000F8660000}"/>
    <cellStyle name="Normal 14 14" xfId="31173" xr:uid="{00000000-0005-0000-0000-0000F9660000}"/>
    <cellStyle name="Normal 14 2" xfId="6855" xr:uid="{00000000-0005-0000-0000-0000FA660000}"/>
    <cellStyle name="Normal 14 2 10" xfId="10106" xr:uid="{00000000-0005-0000-0000-0000FB660000}"/>
    <cellStyle name="Normal 14 2 10 2" xfId="24334" xr:uid="{00000000-0005-0000-0000-0000FC660000}"/>
    <cellStyle name="Normal 14 2 11" xfId="31178" xr:uid="{00000000-0005-0000-0000-0000FD660000}"/>
    <cellStyle name="Normal 14 2 2" xfId="6856" xr:uid="{00000000-0005-0000-0000-0000FE660000}"/>
    <cellStyle name="Normal 14 2 2 10" xfId="31179" xr:uid="{00000000-0005-0000-0000-0000FF660000}"/>
    <cellStyle name="Normal 14 2 2 2" xfId="6857" xr:uid="{00000000-0005-0000-0000-000000670000}"/>
    <cellStyle name="Normal 14 2 2 2 2" xfId="6858" xr:uid="{00000000-0005-0000-0000-000001670000}"/>
    <cellStyle name="Normal 14 2 2 2 2 2" xfId="6859" xr:uid="{00000000-0005-0000-0000-000002670000}"/>
    <cellStyle name="Normal 14 2 2 2 2 2 2" xfId="6860" xr:uid="{00000000-0005-0000-0000-000003670000}"/>
    <cellStyle name="Normal 14 2 2 2 2 2 2 2" xfId="16967" xr:uid="{00000000-0005-0000-0000-000004670000}"/>
    <cellStyle name="Normal 14 2 2 2 2 2 2 2 2" xfId="30374" xr:uid="{00000000-0005-0000-0000-000005670000}"/>
    <cellStyle name="Normal 14 2 2 2 2 2 2 3" xfId="31183" xr:uid="{00000000-0005-0000-0000-000006670000}"/>
    <cellStyle name="Normal 14 2 2 2 2 2 3" xfId="11488" xr:uid="{00000000-0005-0000-0000-000007670000}"/>
    <cellStyle name="Normal 14 2 2 2 2 2 3 2" xfId="25320" xr:uid="{00000000-0005-0000-0000-000008670000}"/>
    <cellStyle name="Normal 14 2 2 2 2 2 4" xfId="31182" xr:uid="{00000000-0005-0000-0000-000009670000}"/>
    <cellStyle name="Normal 14 2 2 2 2 3" xfId="6861" xr:uid="{00000000-0005-0000-0000-00000A670000}"/>
    <cellStyle name="Normal 14 2 2 2 2 3 2" xfId="12355" xr:uid="{00000000-0005-0000-0000-00000B670000}"/>
    <cellStyle name="Normal 14 2 2 2 2 3 2 2" xfId="26067" xr:uid="{00000000-0005-0000-0000-00000C670000}"/>
    <cellStyle name="Normal 14 2 2 2 2 3 3" xfId="31184" xr:uid="{00000000-0005-0000-0000-00000D670000}"/>
    <cellStyle name="Normal 14 2 2 2 2 4" xfId="6862" xr:uid="{00000000-0005-0000-0000-00000E670000}"/>
    <cellStyle name="Normal 14 2 2 2 2 4 2" xfId="13919" xr:uid="{00000000-0005-0000-0000-00000F670000}"/>
    <cellStyle name="Normal 14 2 2 2 2 4 2 2" xfId="27468" xr:uid="{00000000-0005-0000-0000-000010670000}"/>
    <cellStyle name="Normal 14 2 2 2 2 4 3" xfId="31185" xr:uid="{00000000-0005-0000-0000-000011670000}"/>
    <cellStyle name="Normal 14 2 2 2 2 5" xfId="6863" xr:uid="{00000000-0005-0000-0000-000012670000}"/>
    <cellStyle name="Normal 14 2 2 2 2 5 2" xfId="14500" xr:uid="{00000000-0005-0000-0000-000013670000}"/>
    <cellStyle name="Normal 14 2 2 2 2 5 2 2" xfId="28049" xr:uid="{00000000-0005-0000-0000-000014670000}"/>
    <cellStyle name="Normal 14 2 2 2 2 5 3" xfId="31186" xr:uid="{00000000-0005-0000-0000-000015670000}"/>
    <cellStyle name="Normal 14 2 2 2 2 6" xfId="6864" xr:uid="{00000000-0005-0000-0000-000016670000}"/>
    <cellStyle name="Normal 14 2 2 2 2 6 2" xfId="16386" xr:uid="{00000000-0005-0000-0000-000017670000}"/>
    <cellStyle name="Normal 14 2 2 2 2 6 2 2" xfId="29793" xr:uid="{00000000-0005-0000-0000-000018670000}"/>
    <cellStyle name="Normal 14 2 2 2 2 6 3" xfId="31187" xr:uid="{00000000-0005-0000-0000-000019670000}"/>
    <cellStyle name="Normal 14 2 2 2 2 7" xfId="10109" xr:uid="{00000000-0005-0000-0000-00001A670000}"/>
    <cellStyle name="Normal 14 2 2 2 2 7 2" xfId="24337" xr:uid="{00000000-0005-0000-0000-00001B670000}"/>
    <cellStyle name="Normal 14 2 2 2 2 8" xfId="31181" xr:uid="{00000000-0005-0000-0000-00001C670000}"/>
    <cellStyle name="Normal 14 2 2 2 3" xfId="6865" xr:uid="{00000000-0005-0000-0000-00001D670000}"/>
    <cellStyle name="Normal 14 2 2 2 3 2" xfId="6866" xr:uid="{00000000-0005-0000-0000-00001E670000}"/>
    <cellStyle name="Normal 14 2 2 2 3 2 2" xfId="16678" xr:uid="{00000000-0005-0000-0000-00001F670000}"/>
    <cellStyle name="Normal 14 2 2 2 3 2 2 2" xfId="30085" xr:uid="{00000000-0005-0000-0000-000020670000}"/>
    <cellStyle name="Normal 14 2 2 2 3 2 3" xfId="31189" xr:uid="{00000000-0005-0000-0000-000021670000}"/>
    <cellStyle name="Normal 14 2 2 2 3 3" xfId="11487" xr:uid="{00000000-0005-0000-0000-000022670000}"/>
    <cellStyle name="Normal 14 2 2 2 3 3 2" xfId="25319" xr:uid="{00000000-0005-0000-0000-000023670000}"/>
    <cellStyle name="Normal 14 2 2 2 3 4" xfId="31188" xr:uid="{00000000-0005-0000-0000-000024670000}"/>
    <cellStyle name="Normal 14 2 2 2 4" xfId="6867" xr:uid="{00000000-0005-0000-0000-000025670000}"/>
    <cellStyle name="Normal 14 2 2 2 4 2" xfId="12055" xr:uid="{00000000-0005-0000-0000-000026670000}"/>
    <cellStyle name="Normal 14 2 2 2 4 2 2" xfId="25770" xr:uid="{00000000-0005-0000-0000-000027670000}"/>
    <cellStyle name="Normal 14 2 2 2 4 3" xfId="31190" xr:uid="{00000000-0005-0000-0000-000028670000}"/>
    <cellStyle name="Normal 14 2 2 2 5" xfId="6868" xr:uid="{00000000-0005-0000-0000-000029670000}"/>
    <cellStyle name="Normal 14 2 2 2 5 2" xfId="13630" xr:uid="{00000000-0005-0000-0000-00002A670000}"/>
    <cellStyle name="Normal 14 2 2 2 5 2 2" xfId="27179" xr:uid="{00000000-0005-0000-0000-00002B670000}"/>
    <cellStyle name="Normal 14 2 2 2 5 3" xfId="31191" xr:uid="{00000000-0005-0000-0000-00002C670000}"/>
    <cellStyle name="Normal 14 2 2 2 6" xfId="6869" xr:uid="{00000000-0005-0000-0000-00002D670000}"/>
    <cellStyle name="Normal 14 2 2 2 6 2" xfId="14211" xr:uid="{00000000-0005-0000-0000-00002E670000}"/>
    <cellStyle name="Normal 14 2 2 2 6 2 2" xfId="27760" xr:uid="{00000000-0005-0000-0000-00002F670000}"/>
    <cellStyle name="Normal 14 2 2 2 6 3" xfId="31192" xr:uid="{00000000-0005-0000-0000-000030670000}"/>
    <cellStyle name="Normal 14 2 2 2 7" xfId="6870" xr:uid="{00000000-0005-0000-0000-000031670000}"/>
    <cellStyle name="Normal 14 2 2 2 7 2" xfId="16097" xr:uid="{00000000-0005-0000-0000-000032670000}"/>
    <cellStyle name="Normal 14 2 2 2 7 2 2" xfId="29504" xr:uid="{00000000-0005-0000-0000-000033670000}"/>
    <cellStyle name="Normal 14 2 2 2 7 3" xfId="31193" xr:uid="{00000000-0005-0000-0000-000034670000}"/>
    <cellStyle name="Normal 14 2 2 2 8" xfId="10108" xr:uid="{00000000-0005-0000-0000-000035670000}"/>
    <cellStyle name="Normal 14 2 2 2 8 2" xfId="24336" xr:uid="{00000000-0005-0000-0000-000036670000}"/>
    <cellStyle name="Normal 14 2 2 2 9" xfId="31180" xr:uid="{00000000-0005-0000-0000-000037670000}"/>
    <cellStyle name="Normal 14 2 2 3" xfId="6871" xr:uid="{00000000-0005-0000-0000-000038670000}"/>
    <cellStyle name="Normal 14 2 2 3 2" xfId="6872" xr:uid="{00000000-0005-0000-0000-000039670000}"/>
    <cellStyle name="Normal 14 2 2 3 2 2" xfId="6873" xr:uid="{00000000-0005-0000-0000-00003A670000}"/>
    <cellStyle name="Normal 14 2 2 3 2 2 2" xfId="16824" xr:uid="{00000000-0005-0000-0000-00003B670000}"/>
    <cellStyle name="Normal 14 2 2 3 2 2 2 2" xfId="30231" xr:uid="{00000000-0005-0000-0000-00003C670000}"/>
    <cellStyle name="Normal 14 2 2 3 2 2 3" xfId="31196" xr:uid="{00000000-0005-0000-0000-00003D670000}"/>
    <cellStyle name="Normal 14 2 2 3 2 3" xfId="11489" xr:uid="{00000000-0005-0000-0000-00003E670000}"/>
    <cellStyle name="Normal 14 2 2 3 2 3 2" xfId="25321" xr:uid="{00000000-0005-0000-0000-00003F670000}"/>
    <cellStyle name="Normal 14 2 2 3 2 4" xfId="31195" xr:uid="{00000000-0005-0000-0000-000040670000}"/>
    <cellStyle name="Normal 14 2 2 3 3" xfId="6874" xr:uid="{00000000-0005-0000-0000-000041670000}"/>
    <cellStyle name="Normal 14 2 2 3 3 2" xfId="12212" xr:uid="{00000000-0005-0000-0000-000042670000}"/>
    <cellStyle name="Normal 14 2 2 3 3 2 2" xfId="25924" xr:uid="{00000000-0005-0000-0000-000043670000}"/>
    <cellStyle name="Normal 14 2 2 3 3 3" xfId="31197" xr:uid="{00000000-0005-0000-0000-000044670000}"/>
    <cellStyle name="Normal 14 2 2 3 4" xfId="6875" xr:uid="{00000000-0005-0000-0000-000045670000}"/>
    <cellStyle name="Normal 14 2 2 3 4 2" xfId="13776" xr:uid="{00000000-0005-0000-0000-000046670000}"/>
    <cellStyle name="Normal 14 2 2 3 4 2 2" xfId="27325" xr:uid="{00000000-0005-0000-0000-000047670000}"/>
    <cellStyle name="Normal 14 2 2 3 4 3" xfId="31198" xr:uid="{00000000-0005-0000-0000-000048670000}"/>
    <cellStyle name="Normal 14 2 2 3 5" xfId="6876" xr:uid="{00000000-0005-0000-0000-000049670000}"/>
    <cellStyle name="Normal 14 2 2 3 5 2" xfId="14357" xr:uid="{00000000-0005-0000-0000-00004A670000}"/>
    <cellStyle name="Normal 14 2 2 3 5 2 2" xfId="27906" xr:uid="{00000000-0005-0000-0000-00004B670000}"/>
    <cellStyle name="Normal 14 2 2 3 5 3" xfId="31199" xr:uid="{00000000-0005-0000-0000-00004C670000}"/>
    <cellStyle name="Normal 14 2 2 3 6" xfId="6877" xr:uid="{00000000-0005-0000-0000-00004D670000}"/>
    <cellStyle name="Normal 14 2 2 3 6 2" xfId="16243" xr:uid="{00000000-0005-0000-0000-00004E670000}"/>
    <cellStyle name="Normal 14 2 2 3 6 2 2" xfId="29650" xr:uid="{00000000-0005-0000-0000-00004F670000}"/>
    <cellStyle name="Normal 14 2 2 3 6 3" xfId="31200" xr:uid="{00000000-0005-0000-0000-000050670000}"/>
    <cellStyle name="Normal 14 2 2 3 7" xfId="10110" xr:uid="{00000000-0005-0000-0000-000051670000}"/>
    <cellStyle name="Normal 14 2 2 3 7 2" xfId="24338" xr:uid="{00000000-0005-0000-0000-000052670000}"/>
    <cellStyle name="Normal 14 2 2 3 8" xfId="31194" xr:uid="{00000000-0005-0000-0000-000053670000}"/>
    <cellStyle name="Normal 14 2 2 4" xfId="6878" xr:uid="{00000000-0005-0000-0000-000054670000}"/>
    <cellStyle name="Normal 14 2 2 4 2" xfId="6879" xr:uid="{00000000-0005-0000-0000-000055670000}"/>
    <cellStyle name="Normal 14 2 2 4 2 2" xfId="17171" xr:uid="{00000000-0005-0000-0000-000056670000}"/>
    <cellStyle name="Normal 14 2 2 4 2 2 2" xfId="30530" xr:uid="{00000000-0005-0000-0000-000057670000}"/>
    <cellStyle name="Normal 14 2 2 4 2 3" xfId="31202" xr:uid="{00000000-0005-0000-0000-000058670000}"/>
    <cellStyle name="Normal 14 2 2 4 3" xfId="11486" xr:uid="{00000000-0005-0000-0000-000059670000}"/>
    <cellStyle name="Normal 14 2 2 4 3 2" xfId="25318" xr:uid="{00000000-0005-0000-0000-00005A670000}"/>
    <cellStyle name="Normal 14 2 2 4 4" xfId="31201" xr:uid="{00000000-0005-0000-0000-00005B670000}"/>
    <cellStyle name="Normal 14 2 2 5" xfId="6880" xr:uid="{00000000-0005-0000-0000-00005C670000}"/>
    <cellStyle name="Normal 14 2 2 5 2" xfId="6881" xr:uid="{00000000-0005-0000-0000-00005D670000}"/>
    <cellStyle name="Normal 14 2 2 5 2 2" xfId="17260" xr:uid="{00000000-0005-0000-0000-00005E670000}"/>
    <cellStyle name="Normal 14 2 2 5 2 2 2" xfId="30619" xr:uid="{00000000-0005-0000-0000-00005F670000}"/>
    <cellStyle name="Normal 14 2 2 5 2 3" xfId="31204" xr:uid="{00000000-0005-0000-0000-000060670000}"/>
    <cellStyle name="Normal 14 2 2 5 3" xfId="11910" xr:uid="{00000000-0005-0000-0000-000061670000}"/>
    <cellStyle name="Normal 14 2 2 5 3 2" xfId="25625" xr:uid="{00000000-0005-0000-0000-000062670000}"/>
    <cellStyle name="Normal 14 2 2 5 4" xfId="31203" xr:uid="{00000000-0005-0000-0000-000063670000}"/>
    <cellStyle name="Normal 14 2 2 6" xfId="6882" xr:uid="{00000000-0005-0000-0000-000064670000}"/>
    <cellStyle name="Normal 14 2 2 6 2" xfId="6883" xr:uid="{00000000-0005-0000-0000-000065670000}"/>
    <cellStyle name="Normal 14 2 2 6 2 2" xfId="16535" xr:uid="{00000000-0005-0000-0000-000066670000}"/>
    <cellStyle name="Normal 14 2 2 6 2 2 2" xfId="29942" xr:uid="{00000000-0005-0000-0000-000067670000}"/>
    <cellStyle name="Normal 14 2 2 6 2 3" xfId="31206" xr:uid="{00000000-0005-0000-0000-000068670000}"/>
    <cellStyle name="Normal 14 2 2 6 3" xfId="13487" xr:uid="{00000000-0005-0000-0000-000069670000}"/>
    <cellStyle name="Normal 14 2 2 6 3 2" xfId="27036" xr:uid="{00000000-0005-0000-0000-00006A670000}"/>
    <cellStyle name="Normal 14 2 2 6 4" xfId="31205" xr:uid="{00000000-0005-0000-0000-00006B670000}"/>
    <cellStyle name="Normal 14 2 2 7" xfId="6884" xr:uid="{00000000-0005-0000-0000-00006C670000}"/>
    <cellStyle name="Normal 14 2 2 7 2" xfId="14068" xr:uid="{00000000-0005-0000-0000-00006D670000}"/>
    <cellStyle name="Normal 14 2 2 7 2 2" xfId="27617" xr:uid="{00000000-0005-0000-0000-00006E670000}"/>
    <cellStyle name="Normal 14 2 2 7 3" xfId="31207" xr:uid="{00000000-0005-0000-0000-00006F670000}"/>
    <cellStyle name="Normal 14 2 2 8" xfId="6885" xr:uid="{00000000-0005-0000-0000-000070670000}"/>
    <cellStyle name="Normal 14 2 2 8 2" xfId="15954" xr:uid="{00000000-0005-0000-0000-000071670000}"/>
    <cellStyle name="Normal 14 2 2 8 2 2" xfId="29361" xr:uid="{00000000-0005-0000-0000-000072670000}"/>
    <cellStyle name="Normal 14 2 2 8 3" xfId="31208" xr:uid="{00000000-0005-0000-0000-000073670000}"/>
    <cellStyle name="Normal 14 2 2 9" xfId="10107" xr:uid="{00000000-0005-0000-0000-000074670000}"/>
    <cellStyle name="Normal 14 2 2 9 2" xfId="24335" xr:uid="{00000000-0005-0000-0000-000075670000}"/>
    <cellStyle name="Normal 14 2 3" xfId="6886" xr:uid="{00000000-0005-0000-0000-000076670000}"/>
    <cellStyle name="Normal 14 2 3 2" xfId="6887" xr:uid="{00000000-0005-0000-0000-000077670000}"/>
    <cellStyle name="Normal 14 2 3 2 2" xfId="6888" xr:uid="{00000000-0005-0000-0000-000078670000}"/>
    <cellStyle name="Normal 14 2 3 2 2 2" xfId="6889" xr:uid="{00000000-0005-0000-0000-000079670000}"/>
    <cellStyle name="Normal 14 2 3 2 2 2 2" xfId="16921" xr:uid="{00000000-0005-0000-0000-00007A670000}"/>
    <cellStyle name="Normal 14 2 3 2 2 2 2 2" xfId="30328" xr:uid="{00000000-0005-0000-0000-00007B670000}"/>
    <cellStyle name="Normal 14 2 3 2 2 2 3" xfId="31212" xr:uid="{00000000-0005-0000-0000-00007C670000}"/>
    <cellStyle name="Normal 14 2 3 2 2 3" xfId="11491" xr:uid="{00000000-0005-0000-0000-00007D670000}"/>
    <cellStyle name="Normal 14 2 3 2 2 3 2" xfId="25323" xr:uid="{00000000-0005-0000-0000-00007E670000}"/>
    <cellStyle name="Normal 14 2 3 2 2 4" xfId="31211" xr:uid="{00000000-0005-0000-0000-00007F670000}"/>
    <cellStyle name="Normal 14 2 3 2 3" xfId="6890" xr:uid="{00000000-0005-0000-0000-000080670000}"/>
    <cellStyle name="Normal 14 2 3 2 3 2" xfId="12309" xr:uid="{00000000-0005-0000-0000-000081670000}"/>
    <cellStyle name="Normal 14 2 3 2 3 2 2" xfId="26021" xr:uid="{00000000-0005-0000-0000-000082670000}"/>
    <cellStyle name="Normal 14 2 3 2 3 3" xfId="31213" xr:uid="{00000000-0005-0000-0000-000083670000}"/>
    <cellStyle name="Normal 14 2 3 2 4" xfId="6891" xr:uid="{00000000-0005-0000-0000-000084670000}"/>
    <cellStyle name="Normal 14 2 3 2 4 2" xfId="13873" xr:uid="{00000000-0005-0000-0000-000085670000}"/>
    <cellStyle name="Normal 14 2 3 2 4 2 2" xfId="27422" xr:uid="{00000000-0005-0000-0000-000086670000}"/>
    <cellStyle name="Normal 14 2 3 2 4 3" xfId="31214" xr:uid="{00000000-0005-0000-0000-000087670000}"/>
    <cellStyle name="Normal 14 2 3 2 5" xfId="6892" xr:uid="{00000000-0005-0000-0000-000088670000}"/>
    <cellStyle name="Normal 14 2 3 2 5 2" xfId="14454" xr:uid="{00000000-0005-0000-0000-000089670000}"/>
    <cellStyle name="Normal 14 2 3 2 5 2 2" xfId="28003" xr:uid="{00000000-0005-0000-0000-00008A670000}"/>
    <cellStyle name="Normal 14 2 3 2 5 3" xfId="31215" xr:uid="{00000000-0005-0000-0000-00008B670000}"/>
    <cellStyle name="Normal 14 2 3 2 6" xfId="6893" xr:uid="{00000000-0005-0000-0000-00008C670000}"/>
    <cellStyle name="Normal 14 2 3 2 6 2" xfId="16340" xr:uid="{00000000-0005-0000-0000-00008D670000}"/>
    <cellStyle name="Normal 14 2 3 2 6 2 2" xfId="29747" xr:uid="{00000000-0005-0000-0000-00008E670000}"/>
    <cellStyle name="Normal 14 2 3 2 6 3" xfId="31216" xr:uid="{00000000-0005-0000-0000-00008F670000}"/>
    <cellStyle name="Normal 14 2 3 2 7" xfId="10112" xr:uid="{00000000-0005-0000-0000-000090670000}"/>
    <cellStyle name="Normal 14 2 3 2 7 2" xfId="24340" xr:uid="{00000000-0005-0000-0000-000091670000}"/>
    <cellStyle name="Normal 14 2 3 2 8" xfId="31210" xr:uid="{00000000-0005-0000-0000-000092670000}"/>
    <cellStyle name="Normal 14 2 3 3" xfId="6894" xr:uid="{00000000-0005-0000-0000-000093670000}"/>
    <cellStyle name="Normal 14 2 3 3 2" xfId="6895" xr:uid="{00000000-0005-0000-0000-000094670000}"/>
    <cellStyle name="Normal 14 2 3 3 2 2" xfId="16632" xr:uid="{00000000-0005-0000-0000-000095670000}"/>
    <cellStyle name="Normal 14 2 3 3 2 2 2" xfId="30039" xr:uid="{00000000-0005-0000-0000-000096670000}"/>
    <cellStyle name="Normal 14 2 3 3 2 3" xfId="31218" xr:uid="{00000000-0005-0000-0000-000097670000}"/>
    <cellStyle name="Normal 14 2 3 3 3" xfId="11490" xr:uid="{00000000-0005-0000-0000-000098670000}"/>
    <cellStyle name="Normal 14 2 3 3 3 2" xfId="25322" xr:uid="{00000000-0005-0000-0000-000099670000}"/>
    <cellStyle name="Normal 14 2 3 3 4" xfId="31217" xr:uid="{00000000-0005-0000-0000-00009A670000}"/>
    <cellStyle name="Normal 14 2 3 4" xfId="6896" xr:uid="{00000000-0005-0000-0000-00009B670000}"/>
    <cellStyle name="Normal 14 2 3 4 2" xfId="12009" xr:uid="{00000000-0005-0000-0000-00009C670000}"/>
    <cellStyle name="Normal 14 2 3 4 2 2" xfId="25724" xr:uid="{00000000-0005-0000-0000-00009D670000}"/>
    <cellStyle name="Normal 14 2 3 4 3" xfId="31219" xr:uid="{00000000-0005-0000-0000-00009E670000}"/>
    <cellStyle name="Normal 14 2 3 5" xfId="6897" xr:uid="{00000000-0005-0000-0000-00009F670000}"/>
    <cellStyle name="Normal 14 2 3 5 2" xfId="13584" xr:uid="{00000000-0005-0000-0000-0000A0670000}"/>
    <cellStyle name="Normal 14 2 3 5 2 2" xfId="27133" xr:uid="{00000000-0005-0000-0000-0000A1670000}"/>
    <cellStyle name="Normal 14 2 3 5 3" xfId="31220" xr:uid="{00000000-0005-0000-0000-0000A2670000}"/>
    <cellStyle name="Normal 14 2 3 6" xfId="6898" xr:uid="{00000000-0005-0000-0000-0000A3670000}"/>
    <cellStyle name="Normal 14 2 3 6 2" xfId="14165" xr:uid="{00000000-0005-0000-0000-0000A4670000}"/>
    <cellStyle name="Normal 14 2 3 6 2 2" xfId="27714" xr:uid="{00000000-0005-0000-0000-0000A5670000}"/>
    <cellStyle name="Normal 14 2 3 6 3" xfId="31221" xr:uid="{00000000-0005-0000-0000-0000A6670000}"/>
    <cellStyle name="Normal 14 2 3 7" xfId="6899" xr:uid="{00000000-0005-0000-0000-0000A7670000}"/>
    <cellStyle name="Normal 14 2 3 7 2" xfId="16051" xr:uid="{00000000-0005-0000-0000-0000A8670000}"/>
    <cellStyle name="Normal 14 2 3 7 2 2" xfId="29458" xr:uid="{00000000-0005-0000-0000-0000A9670000}"/>
    <cellStyle name="Normal 14 2 3 7 3" xfId="31222" xr:uid="{00000000-0005-0000-0000-0000AA670000}"/>
    <cellStyle name="Normal 14 2 3 8" xfId="10111" xr:uid="{00000000-0005-0000-0000-0000AB670000}"/>
    <cellStyle name="Normal 14 2 3 8 2" xfId="24339" xr:uid="{00000000-0005-0000-0000-0000AC670000}"/>
    <cellStyle name="Normal 14 2 3 9" xfId="31209" xr:uid="{00000000-0005-0000-0000-0000AD670000}"/>
    <cellStyle name="Normal 14 2 4" xfId="6900" xr:uid="{00000000-0005-0000-0000-0000AE670000}"/>
    <cellStyle name="Normal 14 2 4 2" xfId="6901" xr:uid="{00000000-0005-0000-0000-0000AF670000}"/>
    <cellStyle name="Normal 14 2 4 2 2" xfId="6902" xr:uid="{00000000-0005-0000-0000-0000B0670000}"/>
    <cellStyle name="Normal 14 2 4 2 2 2" xfId="16778" xr:uid="{00000000-0005-0000-0000-0000B1670000}"/>
    <cellStyle name="Normal 14 2 4 2 2 2 2" xfId="30185" xr:uid="{00000000-0005-0000-0000-0000B2670000}"/>
    <cellStyle name="Normal 14 2 4 2 2 3" xfId="31225" xr:uid="{00000000-0005-0000-0000-0000B3670000}"/>
    <cellStyle name="Normal 14 2 4 2 3" xfId="11492" xr:uid="{00000000-0005-0000-0000-0000B4670000}"/>
    <cellStyle name="Normal 14 2 4 2 3 2" xfId="25324" xr:uid="{00000000-0005-0000-0000-0000B5670000}"/>
    <cellStyle name="Normal 14 2 4 2 4" xfId="31224" xr:uid="{00000000-0005-0000-0000-0000B6670000}"/>
    <cellStyle name="Normal 14 2 4 3" xfId="6903" xr:uid="{00000000-0005-0000-0000-0000B7670000}"/>
    <cellStyle name="Normal 14 2 4 3 2" xfId="12166" xr:uid="{00000000-0005-0000-0000-0000B8670000}"/>
    <cellStyle name="Normal 14 2 4 3 2 2" xfId="25878" xr:uid="{00000000-0005-0000-0000-0000B9670000}"/>
    <cellStyle name="Normal 14 2 4 3 3" xfId="31226" xr:uid="{00000000-0005-0000-0000-0000BA670000}"/>
    <cellStyle name="Normal 14 2 4 4" xfId="6904" xr:uid="{00000000-0005-0000-0000-0000BB670000}"/>
    <cellStyle name="Normal 14 2 4 4 2" xfId="13730" xr:uid="{00000000-0005-0000-0000-0000BC670000}"/>
    <cellStyle name="Normal 14 2 4 4 2 2" xfId="27279" xr:uid="{00000000-0005-0000-0000-0000BD670000}"/>
    <cellStyle name="Normal 14 2 4 4 3" xfId="31227" xr:uid="{00000000-0005-0000-0000-0000BE670000}"/>
    <cellStyle name="Normal 14 2 4 5" xfId="6905" xr:uid="{00000000-0005-0000-0000-0000BF670000}"/>
    <cellStyle name="Normal 14 2 4 5 2" xfId="14311" xr:uid="{00000000-0005-0000-0000-0000C0670000}"/>
    <cellStyle name="Normal 14 2 4 5 2 2" xfId="27860" xr:uid="{00000000-0005-0000-0000-0000C1670000}"/>
    <cellStyle name="Normal 14 2 4 5 3" xfId="31228" xr:uid="{00000000-0005-0000-0000-0000C2670000}"/>
    <cellStyle name="Normal 14 2 4 6" xfId="6906" xr:uid="{00000000-0005-0000-0000-0000C3670000}"/>
    <cellStyle name="Normal 14 2 4 6 2" xfId="16197" xr:uid="{00000000-0005-0000-0000-0000C4670000}"/>
    <cellStyle name="Normal 14 2 4 6 2 2" xfId="29604" xr:uid="{00000000-0005-0000-0000-0000C5670000}"/>
    <cellStyle name="Normal 14 2 4 6 3" xfId="31229" xr:uid="{00000000-0005-0000-0000-0000C6670000}"/>
    <cellStyle name="Normal 14 2 4 7" xfId="10113" xr:uid="{00000000-0005-0000-0000-0000C7670000}"/>
    <cellStyle name="Normal 14 2 4 7 2" xfId="24341" xr:uid="{00000000-0005-0000-0000-0000C8670000}"/>
    <cellStyle name="Normal 14 2 4 8" xfId="31223" xr:uid="{00000000-0005-0000-0000-0000C9670000}"/>
    <cellStyle name="Normal 14 2 5" xfId="6907" xr:uid="{00000000-0005-0000-0000-0000CA670000}"/>
    <cellStyle name="Normal 14 2 5 2" xfId="6908" xr:uid="{00000000-0005-0000-0000-0000CB670000}"/>
    <cellStyle name="Normal 14 2 5 2 2" xfId="17125" xr:uid="{00000000-0005-0000-0000-0000CC670000}"/>
    <cellStyle name="Normal 14 2 5 2 2 2" xfId="30484" xr:uid="{00000000-0005-0000-0000-0000CD670000}"/>
    <cellStyle name="Normal 14 2 5 2 3" xfId="31231" xr:uid="{00000000-0005-0000-0000-0000CE670000}"/>
    <cellStyle name="Normal 14 2 5 3" xfId="11485" xr:uid="{00000000-0005-0000-0000-0000CF670000}"/>
    <cellStyle name="Normal 14 2 5 3 2" xfId="25317" xr:uid="{00000000-0005-0000-0000-0000D0670000}"/>
    <cellStyle name="Normal 14 2 5 4" xfId="31230" xr:uid="{00000000-0005-0000-0000-0000D1670000}"/>
    <cellStyle name="Normal 14 2 6" xfId="6909" xr:uid="{00000000-0005-0000-0000-0000D2670000}"/>
    <cellStyle name="Normal 14 2 6 2" xfId="6910" xr:uid="{00000000-0005-0000-0000-0000D3670000}"/>
    <cellStyle name="Normal 14 2 6 2 2" xfId="17214" xr:uid="{00000000-0005-0000-0000-0000D4670000}"/>
    <cellStyle name="Normal 14 2 6 2 2 2" xfId="30573" xr:uid="{00000000-0005-0000-0000-0000D5670000}"/>
    <cellStyle name="Normal 14 2 6 2 3" xfId="31233" xr:uid="{00000000-0005-0000-0000-0000D6670000}"/>
    <cellStyle name="Normal 14 2 6 3" xfId="11853" xr:uid="{00000000-0005-0000-0000-0000D7670000}"/>
    <cellStyle name="Normal 14 2 6 3 2" xfId="25568" xr:uid="{00000000-0005-0000-0000-0000D8670000}"/>
    <cellStyle name="Normal 14 2 6 4" xfId="31232" xr:uid="{00000000-0005-0000-0000-0000D9670000}"/>
    <cellStyle name="Normal 14 2 7" xfId="6911" xr:uid="{00000000-0005-0000-0000-0000DA670000}"/>
    <cellStyle name="Normal 14 2 7 2" xfId="6912" xr:uid="{00000000-0005-0000-0000-0000DB670000}"/>
    <cellStyle name="Normal 14 2 7 2 2" xfId="16489" xr:uid="{00000000-0005-0000-0000-0000DC670000}"/>
    <cellStyle name="Normal 14 2 7 2 2 2" xfId="29896" xr:uid="{00000000-0005-0000-0000-0000DD670000}"/>
    <cellStyle name="Normal 14 2 7 2 3" xfId="31235" xr:uid="{00000000-0005-0000-0000-0000DE670000}"/>
    <cellStyle name="Normal 14 2 7 3" xfId="13441" xr:uid="{00000000-0005-0000-0000-0000DF670000}"/>
    <cellStyle name="Normal 14 2 7 3 2" xfId="26990" xr:uid="{00000000-0005-0000-0000-0000E0670000}"/>
    <cellStyle name="Normal 14 2 7 4" xfId="31234" xr:uid="{00000000-0005-0000-0000-0000E1670000}"/>
    <cellStyle name="Normal 14 2 8" xfId="6913" xr:uid="{00000000-0005-0000-0000-0000E2670000}"/>
    <cellStyle name="Normal 14 2 8 2" xfId="14022" xr:uid="{00000000-0005-0000-0000-0000E3670000}"/>
    <cellStyle name="Normal 14 2 8 2 2" xfId="27571" xr:uid="{00000000-0005-0000-0000-0000E4670000}"/>
    <cellStyle name="Normal 14 2 8 3" xfId="31236" xr:uid="{00000000-0005-0000-0000-0000E5670000}"/>
    <cellStyle name="Normal 14 2 9" xfId="6914" xr:uid="{00000000-0005-0000-0000-0000E6670000}"/>
    <cellStyle name="Normal 14 2 9 2" xfId="15908" xr:uid="{00000000-0005-0000-0000-0000E7670000}"/>
    <cellStyle name="Normal 14 2 9 2 2" xfId="29315" xr:uid="{00000000-0005-0000-0000-0000E8670000}"/>
    <cellStyle name="Normal 14 2 9 3" xfId="31237" xr:uid="{00000000-0005-0000-0000-0000E9670000}"/>
    <cellStyle name="Normal 14 3" xfId="6915" xr:uid="{00000000-0005-0000-0000-0000EA670000}"/>
    <cellStyle name="Normal 14 3 10" xfId="31238" xr:uid="{00000000-0005-0000-0000-0000EB670000}"/>
    <cellStyle name="Normal 14 3 2" xfId="6916" xr:uid="{00000000-0005-0000-0000-0000EC670000}"/>
    <cellStyle name="Normal 14 3 2 2" xfId="6917" xr:uid="{00000000-0005-0000-0000-0000ED670000}"/>
    <cellStyle name="Normal 14 3 2 2 2" xfId="6918" xr:uid="{00000000-0005-0000-0000-0000EE670000}"/>
    <cellStyle name="Normal 14 3 2 2 2 2" xfId="6919" xr:uid="{00000000-0005-0000-0000-0000EF670000}"/>
    <cellStyle name="Normal 14 3 2 2 2 2 2" xfId="16944" xr:uid="{00000000-0005-0000-0000-0000F0670000}"/>
    <cellStyle name="Normal 14 3 2 2 2 2 2 2" xfId="30351" xr:uid="{00000000-0005-0000-0000-0000F1670000}"/>
    <cellStyle name="Normal 14 3 2 2 2 2 3" xfId="31242" xr:uid="{00000000-0005-0000-0000-0000F2670000}"/>
    <cellStyle name="Normal 14 3 2 2 2 3" xfId="11495" xr:uid="{00000000-0005-0000-0000-0000F3670000}"/>
    <cellStyle name="Normal 14 3 2 2 2 3 2" xfId="25327" xr:uid="{00000000-0005-0000-0000-0000F4670000}"/>
    <cellStyle name="Normal 14 3 2 2 2 4" xfId="31241" xr:uid="{00000000-0005-0000-0000-0000F5670000}"/>
    <cellStyle name="Normal 14 3 2 2 3" xfId="6920" xr:uid="{00000000-0005-0000-0000-0000F6670000}"/>
    <cellStyle name="Normal 14 3 2 2 3 2" xfId="12332" xr:uid="{00000000-0005-0000-0000-0000F7670000}"/>
    <cellStyle name="Normal 14 3 2 2 3 2 2" xfId="26044" xr:uid="{00000000-0005-0000-0000-0000F8670000}"/>
    <cellStyle name="Normal 14 3 2 2 3 3" xfId="31243" xr:uid="{00000000-0005-0000-0000-0000F9670000}"/>
    <cellStyle name="Normal 14 3 2 2 4" xfId="6921" xr:uid="{00000000-0005-0000-0000-0000FA670000}"/>
    <cellStyle name="Normal 14 3 2 2 4 2" xfId="13896" xr:uid="{00000000-0005-0000-0000-0000FB670000}"/>
    <cellStyle name="Normal 14 3 2 2 4 2 2" xfId="27445" xr:uid="{00000000-0005-0000-0000-0000FC670000}"/>
    <cellStyle name="Normal 14 3 2 2 4 3" xfId="31244" xr:uid="{00000000-0005-0000-0000-0000FD670000}"/>
    <cellStyle name="Normal 14 3 2 2 5" xfId="6922" xr:uid="{00000000-0005-0000-0000-0000FE670000}"/>
    <cellStyle name="Normal 14 3 2 2 5 2" xfId="14477" xr:uid="{00000000-0005-0000-0000-0000FF670000}"/>
    <cellStyle name="Normal 14 3 2 2 5 2 2" xfId="28026" xr:uid="{00000000-0005-0000-0000-000000680000}"/>
    <cellStyle name="Normal 14 3 2 2 5 3" xfId="31245" xr:uid="{00000000-0005-0000-0000-000001680000}"/>
    <cellStyle name="Normal 14 3 2 2 6" xfId="6923" xr:uid="{00000000-0005-0000-0000-000002680000}"/>
    <cellStyle name="Normal 14 3 2 2 6 2" xfId="16363" xr:uid="{00000000-0005-0000-0000-000003680000}"/>
    <cellStyle name="Normal 14 3 2 2 6 2 2" xfId="29770" xr:uid="{00000000-0005-0000-0000-000004680000}"/>
    <cellStyle name="Normal 14 3 2 2 6 3" xfId="31246" xr:uid="{00000000-0005-0000-0000-000005680000}"/>
    <cellStyle name="Normal 14 3 2 2 7" xfId="10116" xr:uid="{00000000-0005-0000-0000-000006680000}"/>
    <cellStyle name="Normal 14 3 2 2 7 2" xfId="24344" xr:uid="{00000000-0005-0000-0000-000007680000}"/>
    <cellStyle name="Normal 14 3 2 2 8" xfId="31240" xr:uid="{00000000-0005-0000-0000-000008680000}"/>
    <cellStyle name="Normal 14 3 2 3" xfId="6924" xr:uid="{00000000-0005-0000-0000-000009680000}"/>
    <cellStyle name="Normal 14 3 2 3 2" xfId="6925" xr:uid="{00000000-0005-0000-0000-00000A680000}"/>
    <cellStyle name="Normal 14 3 2 3 2 2" xfId="16655" xr:uid="{00000000-0005-0000-0000-00000B680000}"/>
    <cellStyle name="Normal 14 3 2 3 2 2 2" xfId="30062" xr:uid="{00000000-0005-0000-0000-00000C680000}"/>
    <cellStyle name="Normal 14 3 2 3 2 3" xfId="31248" xr:uid="{00000000-0005-0000-0000-00000D680000}"/>
    <cellStyle name="Normal 14 3 2 3 3" xfId="11494" xr:uid="{00000000-0005-0000-0000-00000E680000}"/>
    <cellStyle name="Normal 14 3 2 3 3 2" xfId="25326" xr:uid="{00000000-0005-0000-0000-00000F680000}"/>
    <cellStyle name="Normal 14 3 2 3 4" xfId="31247" xr:uid="{00000000-0005-0000-0000-000010680000}"/>
    <cellStyle name="Normal 14 3 2 4" xfId="6926" xr:uid="{00000000-0005-0000-0000-000011680000}"/>
    <cellStyle name="Normal 14 3 2 4 2" xfId="12032" xr:uid="{00000000-0005-0000-0000-000012680000}"/>
    <cellStyle name="Normal 14 3 2 4 2 2" xfId="25747" xr:uid="{00000000-0005-0000-0000-000013680000}"/>
    <cellStyle name="Normal 14 3 2 4 3" xfId="31249" xr:uid="{00000000-0005-0000-0000-000014680000}"/>
    <cellStyle name="Normal 14 3 2 5" xfId="6927" xr:uid="{00000000-0005-0000-0000-000015680000}"/>
    <cellStyle name="Normal 14 3 2 5 2" xfId="13607" xr:uid="{00000000-0005-0000-0000-000016680000}"/>
    <cellStyle name="Normal 14 3 2 5 2 2" xfId="27156" xr:uid="{00000000-0005-0000-0000-000017680000}"/>
    <cellStyle name="Normal 14 3 2 5 3" xfId="31250" xr:uid="{00000000-0005-0000-0000-000018680000}"/>
    <cellStyle name="Normal 14 3 2 6" xfId="6928" xr:uid="{00000000-0005-0000-0000-000019680000}"/>
    <cellStyle name="Normal 14 3 2 6 2" xfId="14188" xr:uid="{00000000-0005-0000-0000-00001A680000}"/>
    <cellStyle name="Normal 14 3 2 6 2 2" xfId="27737" xr:uid="{00000000-0005-0000-0000-00001B680000}"/>
    <cellStyle name="Normal 14 3 2 6 3" xfId="31251" xr:uid="{00000000-0005-0000-0000-00001C680000}"/>
    <cellStyle name="Normal 14 3 2 7" xfId="6929" xr:uid="{00000000-0005-0000-0000-00001D680000}"/>
    <cellStyle name="Normal 14 3 2 7 2" xfId="16074" xr:uid="{00000000-0005-0000-0000-00001E680000}"/>
    <cellStyle name="Normal 14 3 2 7 2 2" xfId="29481" xr:uid="{00000000-0005-0000-0000-00001F680000}"/>
    <cellStyle name="Normal 14 3 2 7 3" xfId="31252" xr:uid="{00000000-0005-0000-0000-000020680000}"/>
    <cellStyle name="Normal 14 3 2 8" xfId="10115" xr:uid="{00000000-0005-0000-0000-000021680000}"/>
    <cellStyle name="Normal 14 3 2 8 2" xfId="24343" xr:uid="{00000000-0005-0000-0000-000022680000}"/>
    <cellStyle name="Normal 14 3 2 9" xfId="31239" xr:uid="{00000000-0005-0000-0000-000023680000}"/>
    <cellStyle name="Normal 14 3 3" xfId="6930" xr:uid="{00000000-0005-0000-0000-000024680000}"/>
    <cellStyle name="Normal 14 3 3 2" xfId="6931" xr:uid="{00000000-0005-0000-0000-000025680000}"/>
    <cellStyle name="Normal 14 3 3 2 2" xfId="6932" xr:uid="{00000000-0005-0000-0000-000026680000}"/>
    <cellStyle name="Normal 14 3 3 2 2 2" xfId="16801" xr:uid="{00000000-0005-0000-0000-000027680000}"/>
    <cellStyle name="Normal 14 3 3 2 2 2 2" xfId="30208" xr:uid="{00000000-0005-0000-0000-000028680000}"/>
    <cellStyle name="Normal 14 3 3 2 2 3" xfId="31255" xr:uid="{00000000-0005-0000-0000-000029680000}"/>
    <cellStyle name="Normal 14 3 3 2 3" xfId="11496" xr:uid="{00000000-0005-0000-0000-00002A680000}"/>
    <cellStyle name="Normal 14 3 3 2 3 2" xfId="25328" xr:uid="{00000000-0005-0000-0000-00002B680000}"/>
    <cellStyle name="Normal 14 3 3 2 4" xfId="31254" xr:uid="{00000000-0005-0000-0000-00002C680000}"/>
    <cellStyle name="Normal 14 3 3 3" xfId="6933" xr:uid="{00000000-0005-0000-0000-00002D680000}"/>
    <cellStyle name="Normal 14 3 3 3 2" xfId="12189" xr:uid="{00000000-0005-0000-0000-00002E680000}"/>
    <cellStyle name="Normal 14 3 3 3 2 2" xfId="25901" xr:uid="{00000000-0005-0000-0000-00002F680000}"/>
    <cellStyle name="Normal 14 3 3 3 3" xfId="31256" xr:uid="{00000000-0005-0000-0000-000030680000}"/>
    <cellStyle name="Normal 14 3 3 4" xfId="6934" xr:uid="{00000000-0005-0000-0000-000031680000}"/>
    <cellStyle name="Normal 14 3 3 4 2" xfId="13753" xr:uid="{00000000-0005-0000-0000-000032680000}"/>
    <cellStyle name="Normal 14 3 3 4 2 2" xfId="27302" xr:uid="{00000000-0005-0000-0000-000033680000}"/>
    <cellStyle name="Normal 14 3 3 4 3" xfId="31257" xr:uid="{00000000-0005-0000-0000-000034680000}"/>
    <cellStyle name="Normal 14 3 3 5" xfId="6935" xr:uid="{00000000-0005-0000-0000-000035680000}"/>
    <cellStyle name="Normal 14 3 3 5 2" xfId="14334" xr:uid="{00000000-0005-0000-0000-000036680000}"/>
    <cellStyle name="Normal 14 3 3 5 2 2" xfId="27883" xr:uid="{00000000-0005-0000-0000-000037680000}"/>
    <cellStyle name="Normal 14 3 3 5 3" xfId="31258" xr:uid="{00000000-0005-0000-0000-000038680000}"/>
    <cellStyle name="Normal 14 3 3 6" xfId="6936" xr:uid="{00000000-0005-0000-0000-000039680000}"/>
    <cellStyle name="Normal 14 3 3 6 2" xfId="16220" xr:uid="{00000000-0005-0000-0000-00003A680000}"/>
    <cellStyle name="Normal 14 3 3 6 2 2" xfId="29627" xr:uid="{00000000-0005-0000-0000-00003B680000}"/>
    <cellStyle name="Normal 14 3 3 6 3" xfId="31259" xr:uid="{00000000-0005-0000-0000-00003C680000}"/>
    <cellStyle name="Normal 14 3 3 7" xfId="10117" xr:uid="{00000000-0005-0000-0000-00003D680000}"/>
    <cellStyle name="Normal 14 3 3 7 2" xfId="24345" xr:uid="{00000000-0005-0000-0000-00003E680000}"/>
    <cellStyle name="Normal 14 3 3 8" xfId="31253" xr:uid="{00000000-0005-0000-0000-00003F680000}"/>
    <cellStyle name="Normal 14 3 4" xfId="6937" xr:uid="{00000000-0005-0000-0000-000040680000}"/>
    <cellStyle name="Normal 14 3 4 2" xfId="6938" xr:uid="{00000000-0005-0000-0000-000041680000}"/>
    <cellStyle name="Normal 14 3 4 2 2" xfId="17148" xr:uid="{00000000-0005-0000-0000-000042680000}"/>
    <cellStyle name="Normal 14 3 4 2 2 2" xfId="30507" xr:uid="{00000000-0005-0000-0000-000043680000}"/>
    <cellStyle name="Normal 14 3 4 2 3" xfId="31261" xr:uid="{00000000-0005-0000-0000-000044680000}"/>
    <cellStyle name="Normal 14 3 4 3" xfId="11493" xr:uid="{00000000-0005-0000-0000-000045680000}"/>
    <cellStyle name="Normal 14 3 4 3 2" xfId="25325" xr:uid="{00000000-0005-0000-0000-000046680000}"/>
    <cellStyle name="Normal 14 3 4 4" xfId="31260" xr:uid="{00000000-0005-0000-0000-000047680000}"/>
    <cellStyle name="Normal 14 3 5" xfId="6939" xr:uid="{00000000-0005-0000-0000-000048680000}"/>
    <cellStyle name="Normal 14 3 5 2" xfId="6940" xr:uid="{00000000-0005-0000-0000-000049680000}"/>
    <cellStyle name="Normal 14 3 5 2 2" xfId="17237" xr:uid="{00000000-0005-0000-0000-00004A680000}"/>
    <cellStyle name="Normal 14 3 5 2 2 2" xfId="30596" xr:uid="{00000000-0005-0000-0000-00004B680000}"/>
    <cellStyle name="Normal 14 3 5 2 3" xfId="31263" xr:uid="{00000000-0005-0000-0000-00004C680000}"/>
    <cellStyle name="Normal 14 3 5 3" xfId="11887" xr:uid="{00000000-0005-0000-0000-00004D680000}"/>
    <cellStyle name="Normal 14 3 5 3 2" xfId="25602" xr:uid="{00000000-0005-0000-0000-00004E680000}"/>
    <cellStyle name="Normal 14 3 5 4" xfId="31262" xr:uid="{00000000-0005-0000-0000-00004F680000}"/>
    <cellStyle name="Normal 14 3 6" xfId="6941" xr:uid="{00000000-0005-0000-0000-000050680000}"/>
    <cellStyle name="Normal 14 3 6 2" xfId="6942" xr:uid="{00000000-0005-0000-0000-000051680000}"/>
    <cellStyle name="Normal 14 3 6 2 2" xfId="16512" xr:uid="{00000000-0005-0000-0000-000052680000}"/>
    <cellStyle name="Normal 14 3 6 2 2 2" xfId="29919" xr:uid="{00000000-0005-0000-0000-000053680000}"/>
    <cellStyle name="Normal 14 3 6 2 3" xfId="31265" xr:uid="{00000000-0005-0000-0000-000054680000}"/>
    <cellStyle name="Normal 14 3 6 3" xfId="13464" xr:uid="{00000000-0005-0000-0000-000055680000}"/>
    <cellStyle name="Normal 14 3 6 3 2" xfId="27013" xr:uid="{00000000-0005-0000-0000-000056680000}"/>
    <cellStyle name="Normal 14 3 6 4" xfId="31264" xr:uid="{00000000-0005-0000-0000-000057680000}"/>
    <cellStyle name="Normal 14 3 7" xfId="6943" xr:uid="{00000000-0005-0000-0000-000058680000}"/>
    <cellStyle name="Normal 14 3 7 2" xfId="14045" xr:uid="{00000000-0005-0000-0000-000059680000}"/>
    <cellStyle name="Normal 14 3 7 2 2" xfId="27594" xr:uid="{00000000-0005-0000-0000-00005A680000}"/>
    <cellStyle name="Normal 14 3 7 3" xfId="31266" xr:uid="{00000000-0005-0000-0000-00005B680000}"/>
    <cellStyle name="Normal 14 3 8" xfId="6944" xr:uid="{00000000-0005-0000-0000-00005C680000}"/>
    <cellStyle name="Normal 14 3 8 2" xfId="15931" xr:uid="{00000000-0005-0000-0000-00005D680000}"/>
    <cellStyle name="Normal 14 3 8 2 2" xfId="29338" xr:uid="{00000000-0005-0000-0000-00005E680000}"/>
    <cellStyle name="Normal 14 3 8 3" xfId="31267" xr:uid="{00000000-0005-0000-0000-00005F680000}"/>
    <cellStyle name="Normal 14 3 9" xfId="10114" xr:uid="{00000000-0005-0000-0000-000060680000}"/>
    <cellStyle name="Normal 14 3 9 2" xfId="24342" xr:uid="{00000000-0005-0000-0000-000061680000}"/>
    <cellStyle name="Normal 14 4" xfId="6945" xr:uid="{00000000-0005-0000-0000-000062680000}"/>
    <cellStyle name="Normal 14 4 10" xfId="31268" xr:uid="{00000000-0005-0000-0000-000063680000}"/>
    <cellStyle name="Normal 14 4 2" xfId="6946" xr:uid="{00000000-0005-0000-0000-000064680000}"/>
    <cellStyle name="Normal 14 4 2 2" xfId="6947" xr:uid="{00000000-0005-0000-0000-000065680000}"/>
    <cellStyle name="Normal 14 4 2 2 2" xfId="6948" xr:uid="{00000000-0005-0000-0000-000066680000}"/>
    <cellStyle name="Normal 14 4 2 2 2 2" xfId="6949" xr:uid="{00000000-0005-0000-0000-000067680000}"/>
    <cellStyle name="Normal 14 4 2 2 2 2 2" xfId="16987" xr:uid="{00000000-0005-0000-0000-000068680000}"/>
    <cellStyle name="Normal 14 4 2 2 2 2 2 2" xfId="30394" xr:uid="{00000000-0005-0000-0000-000069680000}"/>
    <cellStyle name="Normal 14 4 2 2 2 2 3" xfId="31272" xr:uid="{00000000-0005-0000-0000-00006A680000}"/>
    <cellStyle name="Normal 14 4 2 2 2 3" xfId="11499" xr:uid="{00000000-0005-0000-0000-00006B680000}"/>
    <cellStyle name="Normal 14 4 2 2 2 3 2" xfId="25331" xr:uid="{00000000-0005-0000-0000-00006C680000}"/>
    <cellStyle name="Normal 14 4 2 2 2 4" xfId="31271" xr:uid="{00000000-0005-0000-0000-00006D680000}"/>
    <cellStyle name="Normal 14 4 2 2 3" xfId="6950" xr:uid="{00000000-0005-0000-0000-00006E680000}"/>
    <cellStyle name="Normal 14 4 2 2 3 2" xfId="12375" xr:uid="{00000000-0005-0000-0000-00006F680000}"/>
    <cellStyle name="Normal 14 4 2 2 3 2 2" xfId="26087" xr:uid="{00000000-0005-0000-0000-000070680000}"/>
    <cellStyle name="Normal 14 4 2 2 3 3" xfId="31273" xr:uid="{00000000-0005-0000-0000-000071680000}"/>
    <cellStyle name="Normal 14 4 2 2 4" xfId="6951" xr:uid="{00000000-0005-0000-0000-000072680000}"/>
    <cellStyle name="Normal 14 4 2 2 4 2" xfId="13939" xr:uid="{00000000-0005-0000-0000-000073680000}"/>
    <cellStyle name="Normal 14 4 2 2 4 2 2" xfId="27488" xr:uid="{00000000-0005-0000-0000-000074680000}"/>
    <cellStyle name="Normal 14 4 2 2 4 3" xfId="31274" xr:uid="{00000000-0005-0000-0000-000075680000}"/>
    <cellStyle name="Normal 14 4 2 2 5" xfId="6952" xr:uid="{00000000-0005-0000-0000-000076680000}"/>
    <cellStyle name="Normal 14 4 2 2 5 2" xfId="14520" xr:uid="{00000000-0005-0000-0000-000077680000}"/>
    <cellStyle name="Normal 14 4 2 2 5 2 2" xfId="28069" xr:uid="{00000000-0005-0000-0000-000078680000}"/>
    <cellStyle name="Normal 14 4 2 2 5 3" xfId="31275" xr:uid="{00000000-0005-0000-0000-000079680000}"/>
    <cellStyle name="Normal 14 4 2 2 6" xfId="6953" xr:uid="{00000000-0005-0000-0000-00007A680000}"/>
    <cellStyle name="Normal 14 4 2 2 6 2" xfId="16406" xr:uid="{00000000-0005-0000-0000-00007B680000}"/>
    <cellStyle name="Normal 14 4 2 2 6 2 2" xfId="29813" xr:uid="{00000000-0005-0000-0000-00007C680000}"/>
    <cellStyle name="Normal 14 4 2 2 6 3" xfId="31276" xr:uid="{00000000-0005-0000-0000-00007D680000}"/>
    <cellStyle name="Normal 14 4 2 2 7" xfId="10120" xr:uid="{00000000-0005-0000-0000-00007E680000}"/>
    <cellStyle name="Normal 14 4 2 2 7 2" xfId="24348" xr:uid="{00000000-0005-0000-0000-00007F680000}"/>
    <cellStyle name="Normal 14 4 2 2 8" xfId="31270" xr:uid="{00000000-0005-0000-0000-000080680000}"/>
    <cellStyle name="Normal 14 4 2 3" xfId="6954" xr:uid="{00000000-0005-0000-0000-000081680000}"/>
    <cellStyle name="Normal 14 4 2 3 2" xfId="6955" xr:uid="{00000000-0005-0000-0000-000082680000}"/>
    <cellStyle name="Normal 14 4 2 3 2 2" xfId="16698" xr:uid="{00000000-0005-0000-0000-000083680000}"/>
    <cellStyle name="Normal 14 4 2 3 2 2 2" xfId="30105" xr:uid="{00000000-0005-0000-0000-000084680000}"/>
    <cellStyle name="Normal 14 4 2 3 2 3" xfId="31278" xr:uid="{00000000-0005-0000-0000-000085680000}"/>
    <cellStyle name="Normal 14 4 2 3 3" xfId="11498" xr:uid="{00000000-0005-0000-0000-000086680000}"/>
    <cellStyle name="Normal 14 4 2 3 3 2" xfId="25330" xr:uid="{00000000-0005-0000-0000-000087680000}"/>
    <cellStyle name="Normal 14 4 2 3 4" xfId="31277" xr:uid="{00000000-0005-0000-0000-000088680000}"/>
    <cellStyle name="Normal 14 4 2 4" xfId="6956" xr:uid="{00000000-0005-0000-0000-000089680000}"/>
    <cellStyle name="Normal 14 4 2 4 2" xfId="12075" xr:uid="{00000000-0005-0000-0000-00008A680000}"/>
    <cellStyle name="Normal 14 4 2 4 2 2" xfId="25790" xr:uid="{00000000-0005-0000-0000-00008B680000}"/>
    <cellStyle name="Normal 14 4 2 4 3" xfId="31279" xr:uid="{00000000-0005-0000-0000-00008C680000}"/>
    <cellStyle name="Normal 14 4 2 5" xfId="6957" xr:uid="{00000000-0005-0000-0000-00008D680000}"/>
    <cellStyle name="Normal 14 4 2 5 2" xfId="13650" xr:uid="{00000000-0005-0000-0000-00008E680000}"/>
    <cellStyle name="Normal 14 4 2 5 2 2" xfId="27199" xr:uid="{00000000-0005-0000-0000-00008F680000}"/>
    <cellStyle name="Normal 14 4 2 5 3" xfId="31280" xr:uid="{00000000-0005-0000-0000-000090680000}"/>
    <cellStyle name="Normal 14 4 2 6" xfId="6958" xr:uid="{00000000-0005-0000-0000-000091680000}"/>
    <cellStyle name="Normal 14 4 2 6 2" xfId="14231" xr:uid="{00000000-0005-0000-0000-000092680000}"/>
    <cellStyle name="Normal 14 4 2 6 2 2" xfId="27780" xr:uid="{00000000-0005-0000-0000-000093680000}"/>
    <cellStyle name="Normal 14 4 2 6 3" xfId="31281" xr:uid="{00000000-0005-0000-0000-000094680000}"/>
    <cellStyle name="Normal 14 4 2 7" xfId="6959" xr:uid="{00000000-0005-0000-0000-000095680000}"/>
    <cellStyle name="Normal 14 4 2 7 2" xfId="16117" xr:uid="{00000000-0005-0000-0000-000096680000}"/>
    <cellStyle name="Normal 14 4 2 7 2 2" xfId="29524" xr:uid="{00000000-0005-0000-0000-000097680000}"/>
    <cellStyle name="Normal 14 4 2 7 3" xfId="31282" xr:uid="{00000000-0005-0000-0000-000098680000}"/>
    <cellStyle name="Normal 14 4 2 8" xfId="10119" xr:uid="{00000000-0005-0000-0000-000099680000}"/>
    <cellStyle name="Normal 14 4 2 8 2" xfId="24347" xr:uid="{00000000-0005-0000-0000-00009A680000}"/>
    <cellStyle name="Normal 14 4 2 9" xfId="31269" xr:uid="{00000000-0005-0000-0000-00009B680000}"/>
    <cellStyle name="Normal 14 4 3" xfId="6960" xr:uid="{00000000-0005-0000-0000-00009C680000}"/>
    <cellStyle name="Normal 14 4 3 2" xfId="6961" xr:uid="{00000000-0005-0000-0000-00009D680000}"/>
    <cellStyle name="Normal 14 4 3 2 2" xfId="6962" xr:uid="{00000000-0005-0000-0000-00009E680000}"/>
    <cellStyle name="Normal 14 4 3 2 2 2" xfId="16844" xr:uid="{00000000-0005-0000-0000-00009F680000}"/>
    <cellStyle name="Normal 14 4 3 2 2 2 2" xfId="30251" xr:uid="{00000000-0005-0000-0000-0000A0680000}"/>
    <cellStyle name="Normal 14 4 3 2 2 3" xfId="31285" xr:uid="{00000000-0005-0000-0000-0000A1680000}"/>
    <cellStyle name="Normal 14 4 3 2 3" xfId="11500" xr:uid="{00000000-0005-0000-0000-0000A2680000}"/>
    <cellStyle name="Normal 14 4 3 2 3 2" xfId="25332" xr:uid="{00000000-0005-0000-0000-0000A3680000}"/>
    <cellStyle name="Normal 14 4 3 2 4" xfId="31284" xr:uid="{00000000-0005-0000-0000-0000A4680000}"/>
    <cellStyle name="Normal 14 4 3 3" xfId="6963" xr:uid="{00000000-0005-0000-0000-0000A5680000}"/>
    <cellStyle name="Normal 14 4 3 3 2" xfId="12232" xr:uid="{00000000-0005-0000-0000-0000A6680000}"/>
    <cellStyle name="Normal 14 4 3 3 2 2" xfId="25944" xr:uid="{00000000-0005-0000-0000-0000A7680000}"/>
    <cellStyle name="Normal 14 4 3 3 3" xfId="31286" xr:uid="{00000000-0005-0000-0000-0000A8680000}"/>
    <cellStyle name="Normal 14 4 3 4" xfId="6964" xr:uid="{00000000-0005-0000-0000-0000A9680000}"/>
    <cellStyle name="Normal 14 4 3 4 2" xfId="13796" xr:uid="{00000000-0005-0000-0000-0000AA680000}"/>
    <cellStyle name="Normal 14 4 3 4 2 2" xfId="27345" xr:uid="{00000000-0005-0000-0000-0000AB680000}"/>
    <cellStyle name="Normal 14 4 3 4 3" xfId="31287" xr:uid="{00000000-0005-0000-0000-0000AC680000}"/>
    <cellStyle name="Normal 14 4 3 5" xfId="6965" xr:uid="{00000000-0005-0000-0000-0000AD680000}"/>
    <cellStyle name="Normal 14 4 3 5 2" xfId="14377" xr:uid="{00000000-0005-0000-0000-0000AE680000}"/>
    <cellStyle name="Normal 14 4 3 5 2 2" xfId="27926" xr:uid="{00000000-0005-0000-0000-0000AF680000}"/>
    <cellStyle name="Normal 14 4 3 5 3" xfId="31288" xr:uid="{00000000-0005-0000-0000-0000B0680000}"/>
    <cellStyle name="Normal 14 4 3 6" xfId="6966" xr:uid="{00000000-0005-0000-0000-0000B1680000}"/>
    <cellStyle name="Normal 14 4 3 6 2" xfId="16263" xr:uid="{00000000-0005-0000-0000-0000B2680000}"/>
    <cellStyle name="Normal 14 4 3 6 2 2" xfId="29670" xr:uid="{00000000-0005-0000-0000-0000B3680000}"/>
    <cellStyle name="Normal 14 4 3 6 3" xfId="31289" xr:uid="{00000000-0005-0000-0000-0000B4680000}"/>
    <cellStyle name="Normal 14 4 3 7" xfId="10121" xr:uid="{00000000-0005-0000-0000-0000B5680000}"/>
    <cellStyle name="Normal 14 4 3 7 2" xfId="24349" xr:uid="{00000000-0005-0000-0000-0000B6680000}"/>
    <cellStyle name="Normal 14 4 3 8" xfId="31283" xr:uid="{00000000-0005-0000-0000-0000B7680000}"/>
    <cellStyle name="Normal 14 4 4" xfId="6967" xr:uid="{00000000-0005-0000-0000-0000B8680000}"/>
    <cellStyle name="Normal 14 4 4 2" xfId="6968" xr:uid="{00000000-0005-0000-0000-0000B9680000}"/>
    <cellStyle name="Normal 14 4 4 2 2" xfId="16555" xr:uid="{00000000-0005-0000-0000-0000BA680000}"/>
    <cellStyle name="Normal 14 4 4 2 2 2" xfId="29962" xr:uid="{00000000-0005-0000-0000-0000BB680000}"/>
    <cellStyle name="Normal 14 4 4 2 3" xfId="31291" xr:uid="{00000000-0005-0000-0000-0000BC680000}"/>
    <cellStyle name="Normal 14 4 4 3" xfId="11497" xr:uid="{00000000-0005-0000-0000-0000BD680000}"/>
    <cellStyle name="Normal 14 4 4 3 2" xfId="25329" xr:uid="{00000000-0005-0000-0000-0000BE680000}"/>
    <cellStyle name="Normal 14 4 4 4" xfId="31290" xr:uid="{00000000-0005-0000-0000-0000BF680000}"/>
    <cellStyle name="Normal 14 4 5" xfId="6969" xr:uid="{00000000-0005-0000-0000-0000C0680000}"/>
    <cellStyle name="Normal 14 4 5 2" xfId="11930" xr:uid="{00000000-0005-0000-0000-0000C1680000}"/>
    <cellStyle name="Normal 14 4 5 2 2" xfId="25645" xr:uid="{00000000-0005-0000-0000-0000C2680000}"/>
    <cellStyle name="Normal 14 4 5 3" xfId="31292" xr:uid="{00000000-0005-0000-0000-0000C3680000}"/>
    <cellStyle name="Normal 14 4 6" xfId="6970" xr:uid="{00000000-0005-0000-0000-0000C4680000}"/>
    <cellStyle name="Normal 14 4 6 2" xfId="13507" xr:uid="{00000000-0005-0000-0000-0000C5680000}"/>
    <cellStyle name="Normal 14 4 6 2 2" xfId="27056" xr:uid="{00000000-0005-0000-0000-0000C6680000}"/>
    <cellStyle name="Normal 14 4 6 3" xfId="31293" xr:uid="{00000000-0005-0000-0000-0000C7680000}"/>
    <cellStyle name="Normal 14 4 7" xfId="6971" xr:uid="{00000000-0005-0000-0000-0000C8680000}"/>
    <cellStyle name="Normal 14 4 7 2" xfId="14088" xr:uid="{00000000-0005-0000-0000-0000C9680000}"/>
    <cellStyle name="Normal 14 4 7 2 2" xfId="27637" xr:uid="{00000000-0005-0000-0000-0000CA680000}"/>
    <cellStyle name="Normal 14 4 7 3" xfId="31294" xr:uid="{00000000-0005-0000-0000-0000CB680000}"/>
    <cellStyle name="Normal 14 4 8" xfId="6972" xr:uid="{00000000-0005-0000-0000-0000CC680000}"/>
    <cellStyle name="Normal 14 4 8 2" xfId="15974" xr:uid="{00000000-0005-0000-0000-0000CD680000}"/>
    <cellStyle name="Normal 14 4 8 2 2" xfId="29381" xr:uid="{00000000-0005-0000-0000-0000CE680000}"/>
    <cellStyle name="Normal 14 4 8 3" xfId="31295" xr:uid="{00000000-0005-0000-0000-0000CF680000}"/>
    <cellStyle name="Normal 14 4 9" xfId="10118" xr:uid="{00000000-0005-0000-0000-0000D0680000}"/>
    <cellStyle name="Normal 14 4 9 2" xfId="24346" xr:uid="{00000000-0005-0000-0000-0000D1680000}"/>
    <cellStyle name="Normal 14 5" xfId="6973" xr:uid="{00000000-0005-0000-0000-0000D2680000}"/>
    <cellStyle name="Normal 14 5 2" xfId="6974" xr:uid="{00000000-0005-0000-0000-0000D3680000}"/>
    <cellStyle name="Normal 14 5 2 2" xfId="6975" xr:uid="{00000000-0005-0000-0000-0000D4680000}"/>
    <cellStyle name="Normal 14 5 2 2 2" xfId="6976" xr:uid="{00000000-0005-0000-0000-0000D5680000}"/>
    <cellStyle name="Normal 14 5 2 2 2 2" xfId="16898" xr:uid="{00000000-0005-0000-0000-0000D6680000}"/>
    <cellStyle name="Normal 14 5 2 2 2 2 2" xfId="30305" xr:uid="{00000000-0005-0000-0000-0000D7680000}"/>
    <cellStyle name="Normal 14 5 2 2 2 3" xfId="31299" xr:uid="{00000000-0005-0000-0000-0000D8680000}"/>
    <cellStyle name="Normal 14 5 2 2 3" xfId="11502" xr:uid="{00000000-0005-0000-0000-0000D9680000}"/>
    <cellStyle name="Normal 14 5 2 2 3 2" xfId="25334" xr:uid="{00000000-0005-0000-0000-0000DA680000}"/>
    <cellStyle name="Normal 14 5 2 2 4" xfId="31298" xr:uid="{00000000-0005-0000-0000-0000DB680000}"/>
    <cellStyle name="Normal 14 5 2 3" xfId="6977" xr:uid="{00000000-0005-0000-0000-0000DC680000}"/>
    <cellStyle name="Normal 14 5 2 3 2" xfId="12286" xr:uid="{00000000-0005-0000-0000-0000DD680000}"/>
    <cellStyle name="Normal 14 5 2 3 2 2" xfId="25998" xr:uid="{00000000-0005-0000-0000-0000DE680000}"/>
    <cellStyle name="Normal 14 5 2 3 3" xfId="31300" xr:uid="{00000000-0005-0000-0000-0000DF680000}"/>
    <cellStyle name="Normal 14 5 2 4" xfId="6978" xr:uid="{00000000-0005-0000-0000-0000E0680000}"/>
    <cellStyle name="Normal 14 5 2 4 2" xfId="13850" xr:uid="{00000000-0005-0000-0000-0000E1680000}"/>
    <cellStyle name="Normal 14 5 2 4 2 2" xfId="27399" xr:uid="{00000000-0005-0000-0000-0000E2680000}"/>
    <cellStyle name="Normal 14 5 2 4 3" xfId="31301" xr:uid="{00000000-0005-0000-0000-0000E3680000}"/>
    <cellStyle name="Normal 14 5 2 5" xfId="6979" xr:uid="{00000000-0005-0000-0000-0000E4680000}"/>
    <cellStyle name="Normal 14 5 2 5 2" xfId="14431" xr:uid="{00000000-0005-0000-0000-0000E5680000}"/>
    <cellStyle name="Normal 14 5 2 5 2 2" xfId="27980" xr:uid="{00000000-0005-0000-0000-0000E6680000}"/>
    <cellStyle name="Normal 14 5 2 5 3" xfId="31302" xr:uid="{00000000-0005-0000-0000-0000E7680000}"/>
    <cellStyle name="Normal 14 5 2 6" xfId="6980" xr:uid="{00000000-0005-0000-0000-0000E8680000}"/>
    <cellStyle name="Normal 14 5 2 6 2" xfId="16317" xr:uid="{00000000-0005-0000-0000-0000E9680000}"/>
    <cellStyle name="Normal 14 5 2 6 2 2" xfId="29724" xr:uid="{00000000-0005-0000-0000-0000EA680000}"/>
    <cellStyle name="Normal 14 5 2 6 3" xfId="31303" xr:uid="{00000000-0005-0000-0000-0000EB680000}"/>
    <cellStyle name="Normal 14 5 2 7" xfId="10123" xr:uid="{00000000-0005-0000-0000-0000EC680000}"/>
    <cellStyle name="Normal 14 5 2 7 2" xfId="24351" xr:uid="{00000000-0005-0000-0000-0000ED680000}"/>
    <cellStyle name="Normal 14 5 2 8" xfId="31297" xr:uid="{00000000-0005-0000-0000-0000EE680000}"/>
    <cellStyle name="Normal 14 5 3" xfId="6981" xr:uid="{00000000-0005-0000-0000-0000EF680000}"/>
    <cellStyle name="Normal 14 5 3 2" xfId="6982" xr:uid="{00000000-0005-0000-0000-0000F0680000}"/>
    <cellStyle name="Normal 14 5 3 2 2" xfId="16609" xr:uid="{00000000-0005-0000-0000-0000F1680000}"/>
    <cellStyle name="Normal 14 5 3 2 2 2" xfId="30016" xr:uid="{00000000-0005-0000-0000-0000F2680000}"/>
    <cellStyle name="Normal 14 5 3 2 3" xfId="31305" xr:uid="{00000000-0005-0000-0000-0000F3680000}"/>
    <cellStyle name="Normal 14 5 3 3" xfId="11501" xr:uid="{00000000-0005-0000-0000-0000F4680000}"/>
    <cellStyle name="Normal 14 5 3 3 2" xfId="25333" xr:uid="{00000000-0005-0000-0000-0000F5680000}"/>
    <cellStyle name="Normal 14 5 3 4" xfId="31304" xr:uid="{00000000-0005-0000-0000-0000F6680000}"/>
    <cellStyle name="Normal 14 5 4" xfId="6983" xr:uid="{00000000-0005-0000-0000-0000F7680000}"/>
    <cellStyle name="Normal 14 5 4 2" xfId="11986" xr:uid="{00000000-0005-0000-0000-0000F8680000}"/>
    <cellStyle name="Normal 14 5 4 2 2" xfId="25701" xr:uid="{00000000-0005-0000-0000-0000F9680000}"/>
    <cellStyle name="Normal 14 5 4 3" xfId="31306" xr:uid="{00000000-0005-0000-0000-0000FA680000}"/>
    <cellStyle name="Normal 14 5 5" xfId="6984" xr:uid="{00000000-0005-0000-0000-0000FB680000}"/>
    <cellStyle name="Normal 14 5 5 2" xfId="13561" xr:uid="{00000000-0005-0000-0000-0000FC680000}"/>
    <cellStyle name="Normal 14 5 5 2 2" xfId="27110" xr:uid="{00000000-0005-0000-0000-0000FD680000}"/>
    <cellStyle name="Normal 14 5 5 3" xfId="31307" xr:uid="{00000000-0005-0000-0000-0000FE680000}"/>
    <cellStyle name="Normal 14 5 6" xfId="6985" xr:uid="{00000000-0005-0000-0000-0000FF680000}"/>
    <cellStyle name="Normal 14 5 6 2" xfId="14142" xr:uid="{00000000-0005-0000-0000-000000690000}"/>
    <cellStyle name="Normal 14 5 6 2 2" xfId="27691" xr:uid="{00000000-0005-0000-0000-000001690000}"/>
    <cellStyle name="Normal 14 5 6 3" xfId="31308" xr:uid="{00000000-0005-0000-0000-000002690000}"/>
    <cellStyle name="Normal 14 5 7" xfId="6986" xr:uid="{00000000-0005-0000-0000-000003690000}"/>
    <cellStyle name="Normal 14 5 7 2" xfId="16028" xr:uid="{00000000-0005-0000-0000-000004690000}"/>
    <cellStyle name="Normal 14 5 7 2 2" xfId="29435" xr:uid="{00000000-0005-0000-0000-000005690000}"/>
    <cellStyle name="Normal 14 5 7 3" xfId="31309" xr:uid="{00000000-0005-0000-0000-000006690000}"/>
    <cellStyle name="Normal 14 5 8" xfId="10122" xr:uid="{00000000-0005-0000-0000-000007690000}"/>
    <cellStyle name="Normal 14 5 8 2" xfId="24350" xr:uid="{00000000-0005-0000-0000-000008690000}"/>
    <cellStyle name="Normal 14 5 9" xfId="31296" xr:uid="{00000000-0005-0000-0000-000009690000}"/>
    <cellStyle name="Normal 14 6" xfId="6987" xr:uid="{00000000-0005-0000-0000-00000A690000}"/>
    <cellStyle name="Normal 14 6 2" xfId="6988" xr:uid="{00000000-0005-0000-0000-00000B690000}"/>
    <cellStyle name="Normal 14 6 2 2" xfId="6989" xr:uid="{00000000-0005-0000-0000-00000C690000}"/>
    <cellStyle name="Normal 14 6 2 2 2" xfId="16721" xr:uid="{00000000-0005-0000-0000-00000D690000}"/>
    <cellStyle name="Normal 14 6 2 2 2 2" xfId="30128" xr:uid="{00000000-0005-0000-0000-00000E690000}"/>
    <cellStyle name="Normal 14 6 2 2 3" xfId="31312" xr:uid="{00000000-0005-0000-0000-00000F690000}"/>
    <cellStyle name="Normal 14 6 2 3" xfId="11503" xr:uid="{00000000-0005-0000-0000-000010690000}"/>
    <cellStyle name="Normal 14 6 2 3 2" xfId="25335" xr:uid="{00000000-0005-0000-0000-000011690000}"/>
    <cellStyle name="Normal 14 6 2 4" xfId="31311" xr:uid="{00000000-0005-0000-0000-000012690000}"/>
    <cellStyle name="Normal 14 6 3" xfId="6990" xr:uid="{00000000-0005-0000-0000-000013690000}"/>
    <cellStyle name="Normal 14 6 3 2" xfId="12109" xr:uid="{00000000-0005-0000-0000-000014690000}"/>
    <cellStyle name="Normal 14 6 3 2 2" xfId="25821" xr:uid="{00000000-0005-0000-0000-000015690000}"/>
    <cellStyle name="Normal 14 6 3 3" xfId="31313" xr:uid="{00000000-0005-0000-0000-000016690000}"/>
    <cellStyle name="Normal 14 6 4" xfId="6991" xr:uid="{00000000-0005-0000-0000-000017690000}"/>
    <cellStyle name="Normal 14 6 4 2" xfId="13673" xr:uid="{00000000-0005-0000-0000-000018690000}"/>
    <cellStyle name="Normal 14 6 4 2 2" xfId="27222" xr:uid="{00000000-0005-0000-0000-000019690000}"/>
    <cellStyle name="Normal 14 6 4 3" xfId="31314" xr:uid="{00000000-0005-0000-0000-00001A690000}"/>
    <cellStyle name="Normal 14 6 5" xfId="6992" xr:uid="{00000000-0005-0000-0000-00001B690000}"/>
    <cellStyle name="Normal 14 6 5 2" xfId="14254" xr:uid="{00000000-0005-0000-0000-00001C690000}"/>
    <cellStyle name="Normal 14 6 5 2 2" xfId="27803" xr:uid="{00000000-0005-0000-0000-00001D690000}"/>
    <cellStyle name="Normal 14 6 5 3" xfId="31315" xr:uid="{00000000-0005-0000-0000-00001E690000}"/>
    <cellStyle name="Normal 14 6 6" xfId="6993" xr:uid="{00000000-0005-0000-0000-00001F690000}"/>
    <cellStyle name="Normal 14 6 6 2" xfId="16140" xr:uid="{00000000-0005-0000-0000-000020690000}"/>
    <cellStyle name="Normal 14 6 6 2 2" xfId="29547" xr:uid="{00000000-0005-0000-0000-000021690000}"/>
    <cellStyle name="Normal 14 6 6 3" xfId="31316" xr:uid="{00000000-0005-0000-0000-000022690000}"/>
    <cellStyle name="Normal 14 6 7" xfId="10124" xr:uid="{00000000-0005-0000-0000-000023690000}"/>
    <cellStyle name="Normal 14 6 7 2" xfId="24352" xr:uid="{00000000-0005-0000-0000-000024690000}"/>
    <cellStyle name="Normal 14 6 8" xfId="31310" xr:uid="{00000000-0005-0000-0000-000025690000}"/>
    <cellStyle name="Normal 14 7" xfId="6994" xr:uid="{00000000-0005-0000-0000-000026690000}"/>
    <cellStyle name="Normal 14 7 2" xfId="6995" xr:uid="{00000000-0005-0000-0000-000027690000}"/>
    <cellStyle name="Normal 14 7 2 2" xfId="17027" xr:uid="{00000000-0005-0000-0000-000028690000}"/>
    <cellStyle name="Normal 14 7 2 2 2" xfId="30430" xr:uid="{00000000-0005-0000-0000-000029690000}"/>
    <cellStyle name="Normal 14 7 2 3" xfId="31318" xr:uid="{00000000-0005-0000-0000-00002A690000}"/>
    <cellStyle name="Normal 14 7 3" xfId="10125" xr:uid="{00000000-0005-0000-0000-00002B690000}"/>
    <cellStyle name="Normal 14 7 4" xfId="31317" xr:uid="{00000000-0005-0000-0000-00002C690000}"/>
    <cellStyle name="Normal 14 8" xfId="6996" xr:uid="{00000000-0005-0000-0000-00002D690000}"/>
    <cellStyle name="Normal 14 8 2" xfId="6997" xr:uid="{00000000-0005-0000-0000-00002E690000}"/>
    <cellStyle name="Normal 14 8 2 2" xfId="13232" xr:uid="{00000000-0005-0000-0000-00002F690000}"/>
    <cellStyle name="Normal 14 8 2 3" xfId="31320" xr:uid="{00000000-0005-0000-0000-000030690000}"/>
    <cellStyle name="Normal 14 8 3" xfId="6998" xr:uid="{00000000-0005-0000-0000-000031690000}"/>
    <cellStyle name="Normal 14 8 3 2" xfId="17102" xr:uid="{00000000-0005-0000-0000-000032690000}"/>
    <cellStyle name="Normal 14 8 3 2 2" xfId="30461" xr:uid="{00000000-0005-0000-0000-000033690000}"/>
    <cellStyle name="Normal 14 8 3 3" xfId="31321" xr:uid="{00000000-0005-0000-0000-000034690000}"/>
    <cellStyle name="Normal 14 8 4" xfId="11817" xr:uid="{00000000-0005-0000-0000-000035690000}"/>
    <cellStyle name="Normal 14 8 4 2" xfId="25532" xr:uid="{00000000-0005-0000-0000-000036690000}"/>
    <cellStyle name="Normal 14 8 5" xfId="31319" xr:uid="{00000000-0005-0000-0000-000037690000}"/>
    <cellStyle name="Normal 14 9" xfId="6999" xr:uid="{00000000-0005-0000-0000-000038690000}"/>
    <cellStyle name="Normal 14 9 2" xfId="7000" xr:uid="{00000000-0005-0000-0000-000039690000}"/>
    <cellStyle name="Normal 14 9 2 2" xfId="17191" xr:uid="{00000000-0005-0000-0000-00003A690000}"/>
    <cellStyle name="Normal 14 9 2 2 2" xfId="30550" xr:uid="{00000000-0005-0000-0000-00003B690000}"/>
    <cellStyle name="Normal 14 9 2 3" xfId="31323" xr:uid="{00000000-0005-0000-0000-00003C690000}"/>
    <cellStyle name="Normal 14 9 3" xfId="13418" xr:uid="{00000000-0005-0000-0000-00003D690000}"/>
    <cellStyle name="Normal 14 9 3 2" xfId="26967" xr:uid="{00000000-0005-0000-0000-00003E690000}"/>
    <cellStyle name="Normal 14 9 4" xfId="31322" xr:uid="{00000000-0005-0000-0000-00003F690000}"/>
    <cellStyle name="Normal 15" xfId="7001" xr:uid="{00000000-0005-0000-0000-000040690000}"/>
    <cellStyle name="Normal 15 10" xfId="7002" xr:uid="{00000000-0005-0000-0000-000041690000}"/>
    <cellStyle name="Normal 15 10 2" xfId="7003" xr:uid="{00000000-0005-0000-0000-000042690000}"/>
    <cellStyle name="Normal 15 10 2 2" xfId="17282" xr:uid="{00000000-0005-0000-0000-000043690000}"/>
    <cellStyle name="Normal 15 10 2 2 2" xfId="30641" xr:uid="{00000000-0005-0000-0000-000044690000}"/>
    <cellStyle name="Normal 15 10 2 3" xfId="31325" xr:uid="{00000000-0005-0000-0000-000045690000}"/>
    <cellStyle name="Normal 15 10 3" xfId="13420" xr:uid="{00000000-0005-0000-0000-000046690000}"/>
    <cellStyle name="Normal 15 10 3 2" xfId="26969" xr:uid="{00000000-0005-0000-0000-000047690000}"/>
    <cellStyle name="Normal 15 10 4" xfId="31324" xr:uid="{00000000-0005-0000-0000-000048690000}"/>
    <cellStyle name="Normal 15 11" xfId="7004" xr:uid="{00000000-0005-0000-0000-000049690000}"/>
    <cellStyle name="Normal 15 11 2" xfId="7005" xr:uid="{00000000-0005-0000-0000-00004A690000}"/>
    <cellStyle name="Normal 15 11 2 2" xfId="16468" xr:uid="{00000000-0005-0000-0000-00004B690000}"/>
    <cellStyle name="Normal 15 11 2 2 2" xfId="29875" xr:uid="{00000000-0005-0000-0000-00004C690000}"/>
    <cellStyle name="Normal 15 11 2 3" xfId="31327" xr:uid="{00000000-0005-0000-0000-00004D690000}"/>
    <cellStyle name="Normal 15 11 3" xfId="14001" xr:uid="{00000000-0005-0000-0000-00004E690000}"/>
    <cellStyle name="Normal 15 11 3 2" xfId="27550" xr:uid="{00000000-0005-0000-0000-00004F690000}"/>
    <cellStyle name="Normal 15 11 4" xfId="31326" xr:uid="{00000000-0005-0000-0000-000050690000}"/>
    <cellStyle name="Normal 15 12" xfId="7006" xr:uid="{00000000-0005-0000-0000-000051690000}"/>
    <cellStyle name="Normal 15 12 2" xfId="15887" xr:uid="{00000000-0005-0000-0000-000052690000}"/>
    <cellStyle name="Normal 15 12 2 2" xfId="29294" xr:uid="{00000000-0005-0000-0000-000053690000}"/>
    <cellStyle name="Normal 15 12 3" xfId="31328" xr:uid="{00000000-0005-0000-0000-000054690000}"/>
    <cellStyle name="Normal 15 13" xfId="10126" xr:uid="{00000000-0005-0000-0000-000055690000}"/>
    <cellStyle name="Normal 15 2" xfId="7007" xr:uid="{00000000-0005-0000-0000-000056690000}"/>
    <cellStyle name="Normal 15 2 10" xfId="10127" xr:uid="{00000000-0005-0000-0000-000057690000}"/>
    <cellStyle name="Normal 15 2 10 2" xfId="24353" xr:uid="{00000000-0005-0000-0000-000058690000}"/>
    <cellStyle name="Normal 15 2 2" xfId="7008" xr:uid="{00000000-0005-0000-0000-000059690000}"/>
    <cellStyle name="Normal 15 2 2 10" xfId="31329" xr:uid="{00000000-0005-0000-0000-00005A690000}"/>
    <cellStyle name="Normal 15 2 2 2" xfId="7009" xr:uid="{00000000-0005-0000-0000-00005B690000}"/>
    <cellStyle name="Normal 15 2 2 2 2" xfId="7010" xr:uid="{00000000-0005-0000-0000-00005C690000}"/>
    <cellStyle name="Normal 15 2 2 2 2 2" xfId="7011" xr:uid="{00000000-0005-0000-0000-00005D690000}"/>
    <cellStyle name="Normal 15 2 2 2 2 2 2" xfId="7012" xr:uid="{00000000-0005-0000-0000-00005E690000}"/>
    <cellStyle name="Normal 15 2 2 2 2 2 2 2" xfId="16969" xr:uid="{00000000-0005-0000-0000-00005F690000}"/>
    <cellStyle name="Normal 15 2 2 2 2 2 2 2 2" xfId="30376" xr:uid="{00000000-0005-0000-0000-000060690000}"/>
    <cellStyle name="Normal 15 2 2 2 2 2 2 3" xfId="31333" xr:uid="{00000000-0005-0000-0000-000061690000}"/>
    <cellStyle name="Normal 15 2 2 2 2 2 3" xfId="11507" xr:uid="{00000000-0005-0000-0000-000062690000}"/>
    <cellStyle name="Normal 15 2 2 2 2 2 3 2" xfId="25339" xr:uid="{00000000-0005-0000-0000-000063690000}"/>
    <cellStyle name="Normal 15 2 2 2 2 2 4" xfId="31332" xr:uid="{00000000-0005-0000-0000-000064690000}"/>
    <cellStyle name="Normal 15 2 2 2 2 3" xfId="7013" xr:uid="{00000000-0005-0000-0000-000065690000}"/>
    <cellStyle name="Normal 15 2 2 2 2 3 2" xfId="12357" xr:uid="{00000000-0005-0000-0000-000066690000}"/>
    <cellStyle name="Normal 15 2 2 2 2 3 2 2" xfId="26069" xr:uid="{00000000-0005-0000-0000-000067690000}"/>
    <cellStyle name="Normal 15 2 2 2 2 3 3" xfId="31334" xr:uid="{00000000-0005-0000-0000-000068690000}"/>
    <cellStyle name="Normal 15 2 2 2 2 4" xfId="7014" xr:uid="{00000000-0005-0000-0000-000069690000}"/>
    <cellStyle name="Normal 15 2 2 2 2 4 2" xfId="13921" xr:uid="{00000000-0005-0000-0000-00006A690000}"/>
    <cellStyle name="Normal 15 2 2 2 2 4 2 2" xfId="27470" xr:uid="{00000000-0005-0000-0000-00006B690000}"/>
    <cellStyle name="Normal 15 2 2 2 2 4 3" xfId="31335" xr:uid="{00000000-0005-0000-0000-00006C690000}"/>
    <cellStyle name="Normal 15 2 2 2 2 5" xfId="7015" xr:uid="{00000000-0005-0000-0000-00006D690000}"/>
    <cellStyle name="Normal 15 2 2 2 2 5 2" xfId="14502" xr:uid="{00000000-0005-0000-0000-00006E690000}"/>
    <cellStyle name="Normal 15 2 2 2 2 5 2 2" xfId="28051" xr:uid="{00000000-0005-0000-0000-00006F690000}"/>
    <cellStyle name="Normal 15 2 2 2 2 5 3" xfId="31336" xr:uid="{00000000-0005-0000-0000-000070690000}"/>
    <cellStyle name="Normal 15 2 2 2 2 6" xfId="7016" xr:uid="{00000000-0005-0000-0000-000071690000}"/>
    <cellStyle name="Normal 15 2 2 2 2 6 2" xfId="16388" xr:uid="{00000000-0005-0000-0000-000072690000}"/>
    <cellStyle name="Normal 15 2 2 2 2 6 2 2" xfId="29795" xr:uid="{00000000-0005-0000-0000-000073690000}"/>
    <cellStyle name="Normal 15 2 2 2 2 6 3" xfId="31337" xr:uid="{00000000-0005-0000-0000-000074690000}"/>
    <cellStyle name="Normal 15 2 2 2 2 7" xfId="10130" xr:uid="{00000000-0005-0000-0000-000075690000}"/>
    <cellStyle name="Normal 15 2 2 2 2 7 2" xfId="24356" xr:uid="{00000000-0005-0000-0000-000076690000}"/>
    <cellStyle name="Normal 15 2 2 2 2 8" xfId="31331" xr:uid="{00000000-0005-0000-0000-000077690000}"/>
    <cellStyle name="Normal 15 2 2 2 3" xfId="7017" xr:uid="{00000000-0005-0000-0000-000078690000}"/>
    <cellStyle name="Normal 15 2 2 2 3 2" xfId="7018" xr:uid="{00000000-0005-0000-0000-000079690000}"/>
    <cellStyle name="Normal 15 2 2 2 3 2 2" xfId="16680" xr:uid="{00000000-0005-0000-0000-00007A690000}"/>
    <cellStyle name="Normal 15 2 2 2 3 2 2 2" xfId="30087" xr:uid="{00000000-0005-0000-0000-00007B690000}"/>
    <cellStyle name="Normal 15 2 2 2 3 2 3" xfId="31339" xr:uid="{00000000-0005-0000-0000-00007C690000}"/>
    <cellStyle name="Normal 15 2 2 2 3 3" xfId="11506" xr:uid="{00000000-0005-0000-0000-00007D690000}"/>
    <cellStyle name="Normal 15 2 2 2 3 3 2" xfId="25338" xr:uid="{00000000-0005-0000-0000-00007E690000}"/>
    <cellStyle name="Normal 15 2 2 2 3 4" xfId="31338" xr:uid="{00000000-0005-0000-0000-00007F690000}"/>
    <cellStyle name="Normal 15 2 2 2 4" xfId="7019" xr:uid="{00000000-0005-0000-0000-000080690000}"/>
    <cellStyle name="Normal 15 2 2 2 4 2" xfId="12057" xr:uid="{00000000-0005-0000-0000-000081690000}"/>
    <cellStyle name="Normal 15 2 2 2 4 2 2" xfId="25772" xr:uid="{00000000-0005-0000-0000-000082690000}"/>
    <cellStyle name="Normal 15 2 2 2 4 3" xfId="31340" xr:uid="{00000000-0005-0000-0000-000083690000}"/>
    <cellStyle name="Normal 15 2 2 2 5" xfId="7020" xr:uid="{00000000-0005-0000-0000-000084690000}"/>
    <cellStyle name="Normal 15 2 2 2 5 2" xfId="13632" xr:uid="{00000000-0005-0000-0000-000085690000}"/>
    <cellStyle name="Normal 15 2 2 2 5 2 2" xfId="27181" xr:uid="{00000000-0005-0000-0000-000086690000}"/>
    <cellStyle name="Normal 15 2 2 2 5 3" xfId="31341" xr:uid="{00000000-0005-0000-0000-000087690000}"/>
    <cellStyle name="Normal 15 2 2 2 6" xfId="7021" xr:uid="{00000000-0005-0000-0000-000088690000}"/>
    <cellStyle name="Normal 15 2 2 2 6 2" xfId="14213" xr:uid="{00000000-0005-0000-0000-000089690000}"/>
    <cellStyle name="Normal 15 2 2 2 6 2 2" xfId="27762" xr:uid="{00000000-0005-0000-0000-00008A690000}"/>
    <cellStyle name="Normal 15 2 2 2 6 3" xfId="31342" xr:uid="{00000000-0005-0000-0000-00008B690000}"/>
    <cellStyle name="Normal 15 2 2 2 7" xfId="7022" xr:uid="{00000000-0005-0000-0000-00008C690000}"/>
    <cellStyle name="Normal 15 2 2 2 7 2" xfId="16099" xr:uid="{00000000-0005-0000-0000-00008D690000}"/>
    <cellStyle name="Normal 15 2 2 2 7 2 2" xfId="29506" xr:uid="{00000000-0005-0000-0000-00008E690000}"/>
    <cellStyle name="Normal 15 2 2 2 7 3" xfId="31343" xr:uid="{00000000-0005-0000-0000-00008F690000}"/>
    <cellStyle name="Normal 15 2 2 2 8" xfId="10129" xr:uid="{00000000-0005-0000-0000-000090690000}"/>
    <cellStyle name="Normal 15 2 2 2 8 2" xfId="24355" xr:uid="{00000000-0005-0000-0000-000091690000}"/>
    <cellStyle name="Normal 15 2 2 2 9" xfId="31330" xr:uid="{00000000-0005-0000-0000-000092690000}"/>
    <cellStyle name="Normal 15 2 2 3" xfId="7023" xr:uid="{00000000-0005-0000-0000-000093690000}"/>
    <cellStyle name="Normal 15 2 2 3 2" xfId="7024" xr:uid="{00000000-0005-0000-0000-000094690000}"/>
    <cellStyle name="Normal 15 2 2 3 2 2" xfId="7025" xr:uid="{00000000-0005-0000-0000-000095690000}"/>
    <cellStyle name="Normal 15 2 2 3 2 2 2" xfId="16826" xr:uid="{00000000-0005-0000-0000-000096690000}"/>
    <cellStyle name="Normal 15 2 2 3 2 2 2 2" xfId="30233" xr:uid="{00000000-0005-0000-0000-000097690000}"/>
    <cellStyle name="Normal 15 2 2 3 2 2 3" xfId="31346" xr:uid="{00000000-0005-0000-0000-000098690000}"/>
    <cellStyle name="Normal 15 2 2 3 2 3" xfId="11508" xr:uid="{00000000-0005-0000-0000-000099690000}"/>
    <cellStyle name="Normal 15 2 2 3 2 3 2" xfId="25340" xr:uid="{00000000-0005-0000-0000-00009A690000}"/>
    <cellStyle name="Normal 15 2 2 3 2 4" xfId="31345" xr:uid="{00000000-0005-0000-0000-00009B690000}"/>
    <cellStyle name="Normal 15 2 2 3 3" xfId="7026" xr:uid="{00000000-0005-0000-0000-00009C690000}"/>
    <cellStyle name="Normal 15 2 2 3 3 2" xfId="12214" xr:uid="{00000000-0005-0000-0000-00009D690000}"/>
    <cellStyle name="Normal 15 2 2 3 3 2 2" xfId="25926" xr:uid="{00000000-0005-0000-0000-00009E690000}"/>
    <cellStyle name="Normal 15 2 2 3 3 3" xfId="31347" xr:uid="{00000000-0005-0000-0000-00009F690000}"/>
    <cellStyle name="Normal 15 2 2 3 4" xfId="7027" xr:uid="{00000000-0005-0000-0000-0000A0690000}"/>
    <cellStyle name="Normal 15 2 2 3 4 2" xfId="13778" xr:uid="{00000000-0005-0000-0000-0000A1690000}"/>
    <cellStyle name="Normal 15 2 2 3 4 2 2" xfId="27327" xr:uid="{00000000-0005-0000-0000-0000A2690000}"/>
    <cellStyle name="Normal 15 2 2 3 4 3" xfId="31348" xr:uid="{00000000-0005-0000-0000-0000A3690000}"/>
    <cellStyle name="Normal 15 2 2 3 5" xfId="7028" xr:uid="{00000000-0005-0000-0000-0000A4690000}"/>
    <cellStyle name="Normal 15 2 2 3 5 2" xfId="14359" xr:uid="{00000000-0005-0000-0000-0000A5690000}"/>
    <cellStyle name="Normal 15 2 2 3 5 2 2" xfId="27908" xr:uid="{00000000-0005-0000-0000-0000A6690000}"/>
    <cellStyle name="Normal 15 2 2 3 5 3" xfId="31349" xr:uid="{00000000-0005-0000-0000-0000A7690000}"/>
    <cellStyle name="Normal 15 2 2 3 6" xfId="7029" xr:uid="{00000000-0005-0000-0000-0000A8690000}"/>
    <cellStyle name="Normal 15 2 2 3 6 2" xfId="16245" xr:uid="{00000000-0005-0000-0000-0000A9690000}"/>
    <cellStyle name="Normal 15 2 2 3 6 2 2" xfId="29652" xr:uid="{00000000-0005-0000-0000-0000AA690000}"/>
    <cellStyle name="Normal 15 2 2 3 6 3" xfId="31350" xr:uid="{00000000-0005-0000-0000-0000AB690000}"/>
    <cellStyle name="Normal 15 2 2 3 7" xfId="10131" xr:uid="{00000000-0005-0000-0000-0000AC690000}"/>
    <cellStyle name="Normal 15 2 2 3 7 2" xfId="24357" xr:uid="{00000000-0005-0000-0000-0000AD690000}"/>
    <cellStyle name="Normal 15 2 2 3 8" xfId="31344" xr:uid="{00000000-0005-0000-0000-0000AE690000}"/>
    <cellStyle name="Normal 15 2 2 4" xfId="7030" xr:uid="{00000000-0005-0000-0000-0000AF690000}"/>
    <cellStyle name="Normal 15 2 2 4 2" xfId="7031" xr:uid="{00000000-0005-0000-0000-0000B0690000}"/>
    <cellStyle name="Normal 15 2 2 4 2 2" xfId="17173" xr:uid="{00000000-0005-0000-0000-0000B1690000}"/>
    <cellStyle name="Normal 15 2 2 4 2 2 2" xfId="30532" xr:uid="{00000000-0005-0000-0000-0000B2690000}"/>
    <cellStyle name="Normal 15 2 2 4 2 3" xfId="31352" xr:uid="{00000000-0005-0000-0000-0000B3690000}"/>
    <cellStyle name="Normal 15 2 2 4 3" xfId="11505" xr:uid="{00000000-0005-0000-0000-0000B4690000}"/>
    <cellStyle name="Normal 15 2 2 4 3 2" xfId="25337" xr:uid="{00000000-0005-0000-0000-0000B5690000}"/>
    <cellStyle name="Normal 15 2 2 4 4" xfId="31351" xr:uid="{00000000-0005-0000-0000-0000B6690000}"/>
    <cellStyle name="Normal 15 2 2 5" xfId="7032" xr:uid="{00000000-0005-0000-0000-0000B7690000}"/>
    <cellStyle name="Normal 15 2 2 5 2" xfId="7033" xr:uid="{00000000-0005-0000-0000-0000B8690000}"/>
    <cellStyle name="Normal 15 2 2 5 2 2" xfId="17262" xr:uid="{00000000-0005-0000-0000-0000B9690000}"/>
    <cellStyle name="Normal 15 2 2 5 2 2 2" xfId="30621" xr:uid="{00000000-0005-0000-0000-0000BA690000}"/>
    <cellStyle name="Normal 15 2 2 5 2 3" xfId="31354" xr:uid="{00000000-0005-0000-0000-0000BB690000}"/>
    <cellStyle name="Normal 15 2 2 5 3" xfId="11912" xr:uid="{00000000-0005-0000-0000-0000BC690000}"/>
    <cellStyle name="Normal 15 2 2 5 3 2" xfId="25627" xr:uid="{00000000-0005-0000-0000-0000BD690000}"/>
    <cellStyle name="Normal 15 2 2 5 4" xfId="31353" xr:uid="{00000000-0005-0000-0000-0000BE690000}"/>
    <cellStyle name="Normal 15 2 2 6" xfId="7034" xr:uid="{00000000-0005-0000-0000-0000BF690000}"/>
    <cellStyle name="Normal 15 2 2 6 2" xfId="7035" xr:uid="{00000000-0005-0000-0000-0000C0690000}"/>
    <cellStyle name="Normal 15 2 2 6 2 2" xfId="16537" xr:uid="{00000000-0005-0000-0000-0000C1690000}"/>
    <cellStyle name="Normal 15 2 2 6 2 2 2" xfId="29944" xr:uid="{00000000-0005-0000-0000-0000C2690000}"/>
    <cellStyle name="Normal 15 2 2 6 2 3" xfId="31356" xr:uid="{00000000-0005-0000-0000-0000C3690000}"/>
    <cellStyle name="Normal 15 2 2 6 3" xfId="13489" xr:uid="{00000000-0005-0000-0000-0000C4690000}"/>
    <cellStyle name="Normal 15 2 2 6 3 2" xfId="27038" xr:uid="{00000000-0005-0000-0000-0000C5690000}"/>
    <cellStyle name="Normal 15 2 2 6 4" xfId="31355" xr:uid="{00000000-0005-0000-0000-0000C6690000}"/>
    <cellStyle name="Normal 15 2 2 7" xfId="7036" xr:uid="{00000000-0005-0000-0000-0000C7690000}"/>
    <cellStyle name="Normal 15 2 2 7 2" xfId="14070" xr:uid="{00000000-0005-0000-0000-0000C8690000}"/>
    <cellStyle name="Normal 15 2 2 7 2 2" xfId="27619" xr:uid="{00000000-0005-0000-0000-0000C9690000}"/>
    <cellStyle name="Normal 15 2 2 7 3" xfId="31357" xr:uid="{00000000-0005-0000-0000-0000CA690000}"/>
    <cellStyle name="Normal 15 2 2 8" xfId="7037" xr:uid="{00000000-0005-0000-0000-0000CB690000}"/>
    <cellStyle name="Normal 15 2 2 8 2" xfId="15956" xr:uid="{00000000-0005-0000-0000-0000CC690000}"/>
    <cellStyle name="Normal 15 2 2 8 2 2" xfId="29363" xr:uid="{00000000-0005-0000-0000-0000CD690000}"/>
    <cellStyle name="Normal 15 2 2 8 3" xfId="31358" xr:uid="{00000000-0005-0000-0000-0000CE690000}"/>
    <cellStyle name="Normal 15 2 2 9" xfId="10128" xr:uid="{00000000-0005-0000-0000-0000CF690000}"/>
    <cellStyle name="Normal 15 2 2 9 2" xfId="24354" xr:uid="{00000000-0005-0000-0000-0000D0690000}"/>
    <cellStyle name="Normal 15 2 3" xfId="7038" xr:uid="{00000000-0005-0000-0000-0000D1690000}"/>
    <cellStyle name="Normal 15 2 3 2" xfId="7039" xr:uid="{00000000-0005-0000-0000-0000D2690000}"/>
    <cellStyle name="Normal 15 2 3 2 2" xfId="7040" xr:uid="{00000000-0005-0000-0000-0000D3690000}"/>
    <cellStyle name="Normal 15 2 3 2 2 2" xfId="7041" xr:uid="{00000000-0005-0000-0000-0000D4690000}"/>
    <cellStyle name="Normal 15 2 3 2 2 2 2" xfId="16923" xr:uid="{00000000-0005-0000-0000-0000D5690000}"/>
    <cellStyle name="Normal 15 2 3 2 2 2 2 2" xfId="30330" xr:uid="{00000000-0005-0000-0000-0000D6690000}"/>
    <cellStyle name="Normal 15 2 3 2 2 2 3" xfId="31362" xr:uid="{00000000-0005-0000-0000-0000D7690000}"/>
    <cellStyle name="Normal 15 2 3 2 2 3" xfId="11510" xr:uid="{00000000-0005-0000-0000-0000D8690000}"/>
    <cellStyle name="Normal 15 2 3 2 2 3 2" xfId="25342" xr:uid="{00000000-0005-0000-0000-0000D9690000}"/>
    <cellStyle name="Normal 15 2 3 2 2 4" xfId="31361" xr:uid="{00000000-0005-0000-0000-0000DA690000}"/>
    <cellStyle name="Normal 15 2 3 2 3" xfId="7042" xr:uid="{00000000-0005-0000-0000-0000DB690000}"/>
    <cellStyle name="Normal 15 2 3 2 3 2" xfId="12311" xr:uid="{00000000-0005-0000-0000-0000DC690000}"/>
    <cellStyle name="Normal 15 2 3 2 3 2 2" xfId="26023" xr:uid="{00000000-0005-0000-0000-0000DD690000}"/>
    <cellStyle name="Normal 15 2 3 2 3 3" xfId="31363" xr:uid="{00000000-0005-0000-0000-0000DE690000}"/>
    <cellStyle name="Normal 15 2 3 2 4" xfId="7043" xr:uid="{00000000-0005-0000-0000-0000DF690000}"/>
    <cellStyle name="Normal 15 2 3 2 4 2" xfId="13875" xr:uid="{00000000-0005-0000-0000-0000E0690000}"/>
    <cellStyle name="Normal 15 2 3 2 4 2 2" xfId="27424" xr:uid="{00000000-0005-0000-0000-0000E1690000}"/>
    <cellStyle name="Normal 15 2 3 2 4 3" xfId="31364" xr:uid="{00000000-0005-0000-0000-0000E2690000}"/>
    <cellStyle name="Normal 15 2 3 2 5" xfId="7044" xr:uid="{00000000-0005-0000-0000-0000E3690000}"/>
    <cellStyle name="Normal 15 2 3 2 5 2" xfId="14456" xr:uid="{00000000-0005-0000-0000-0000E4690000}"/>
    <cellStyle name="Normal 15 2 3 2 5 2 2" xfId="28005" xr:uid="{00000000-0005-0000-0000-0000E5690000}"/>
    <cellStyle name="Normal 15 2 3 2 5 3" xfId="31365" xr:uid="{00000000-0005-0000-0000-0000E6690000}"/>
    <cellStyle name="Normal 15 2 3 2 6" xfId="7045" xr:uid="{00000000-0005-0000-0000-0000E7690000}"/>
    <cellStyle name="Normal 15 2 3 2 6 2" xfId="16342" xr:uid="{00000000-0005-0000-0000-0000E8690000}"/>
    <cellStyle name="Normal 15 2 3 2 6 2 2" xfId="29749" xr:uid="{00000000-0005-0000-0000-0000E9690000}"/>
    <cellStyle name="Normal 15 2 3 2 6 3" xfId="31366" xr:uid="{00000000-0005-0000-0000-0000EA690000}"/>
    <cellStyle name="Normal 15 2 3 2 7" xfId="10133" xr:uid="{00000000-0005-0000-0000-0000EB690000}"/>
    <cellStyle name="Normal 15 2 3 2 7 2" xfId="24359" xr:uid="{00000000-0005-0000-0000-0000EC690000}"/>
    <cellStyle name="Normal 15 2 3 2 8" xfId="31360" xr:uid="{00000000-0005-0000-0000-0000ED690000}"/>
    <cellStyle name="Normal 15 2 3 3" xfId="7046" xr:uid="{00000000-0005-0000-0000-0000EE690000}"/>
    <cellStyle name="Normal 15 2 3 3 2" xfId="7047" xr:uid="{00000000-0005-0000-0000-0000EF690000}"/>
    <cellStyle name="Normal 15 2 3 3 2 2" xfId="16634" xr:uid="{00000000-0005-0000-0000-0000F0690000}"/>
    <cellStyle name="Normal 15 2 3 3 2 2 2" xfId="30041" xr:uid="{00000000-0005-0000-0000-0000F1690000}"/>
    <cellStyle name="Normal 15 2 3 3 2 3" xfId="31368" xr:uid="{00000000-0005-0000-0000-0000F2690000}"/>
    <cellStyle name="Normal 15 2 3 3 3" xfId="11509" xr:uid="{00000000-0005-0000-0000-0000F3690000}"/>
    <cellStyle name="Normal 15 2 3 3 3 2" xfId="25341" xr:uid="{00000000-0005-0000-0000-0000F4690000}"/>
    <cellStyle name="Normal 15 2 3 3 4" xfId="31367" xr:uid="{00000000-0005-0000-0000-0000F5690000}"/>
    <cellStyle name="Normal 15 2 3 4" xfId="7048" xr:uid="{00000000-0005-0000-0000-0000F6690000}"/>
    <cellStyle name="Normal 15 2 3 4 2" xfId="12011" xr:uid="{00000000-0005-0000-0000-0000F7690000}"/>
    <cellStyle name="Normal 15 2 3 4 2 2" xfId="25726" xr:uid="{00000000-0005-0000-0000-0000F8690000}"/>
    <cellStyle name="Normal 15 2 3 4 3" xfId="31369" xr:uid="{00000000-0005-0000-0000-0000F9690000}"/>
    <cellStyle name="Normal 15 2 3 5" xfId="7049" xr:uid="{00000000-0005-0000-0000-0000FA690000}"/>
    <cellStyle name="Normal 15 2 3 5 2" xfId="13586" xr:uid="{00000000-0005-0000-0000-0000FB690000}"/>
    <cellStyle name="Normal 15 2 3 5 2 2" xfId="27135" xr:uid="{00000000-0005-0000-0000-0000FC690000}"/>
    <cellStyle name="Normal 15 2 3 5 3" xfId="31370" xr:uid="{00000000-0005-0000-0000-0000FD690000}"/>
    <cellStyle name="Normal 15 2 3 6" xfId="7050" xr:uid="{00000000-0005-0000-0000-0000FE690000}"/>
    <cellStyle name="Normal 15 2 3 6 2" xfId="14167" xr:uid="{00000000-0005-0000-0000-0000FF690000}"/>
    <cellStyle name="Normal 15 2 3 6 2 2" xfId="27716" xr:uid="{00000000-0005-0000-0000-0000006A0000}"/>
    <cellStyle name="Normal 15 2 3 6 3" xfId="31371" xr:uid="{00000000-0005-0000-0000-0000016A0000}"/>
    <cellStyle name="Normal 15 2 3 7" xfId="7051" xr:uid="{00000000-0005-0000-0000-0000026A0000}"/>
    <cellStyle name="Normal 15 2 3 7 2" xfId="16053" xr:uid="{00000000-0005-0000-0000-0000036A0000}"/>
    <cellStyle name="Normal 15 2 3 7 2 2" xfId="29460" xr:uid="{00000000-0005-0000-0000-0000046A0000}"/>
    <cellStyle name="Normal 15 2 3 7 3" xfId="31372" xr:uid="{00000000-0005-0000-0000-0000056A0000}"/>
    <cellStyle name="Normal 15 2 3 8" xfId="10132" xr:uid="{00000000-0005-0000-0000-0000066A0000}"/>
    <cellStyle name="Normal 15 2 3 8 2" xfId="24358" xr:uid="{00000000-0005-0000-0000-0000076A0000}"/>
    <cellStyle name="Normal 15 2 3 9" xfId="31359" xr:uid="{00000000-0005-0000-0000-0000086A0000}"/>
    <cellStyle name="Normal 15 2 4" xfId="7052" xr:uid="{00000000-0005-0000-0000-0000096A0000}"/>
    <cellStyle name="Normal 15 2 4 2" xfId="7053" xr:uid="{00000000-0005-0000-0000-00000A6A0000}"/>
    <cellStyle name="Normal 15 2 4 2 2" xfId="7054" xr:uid="{00000000-0005-0000-0000-00000B6A0000}"/>
    <cellStyle name="Normal 15 2 4 2 2 2" xfId="16780" xr:uid="{00000000-0005-0000-0000-00000C6A0000}"/>
    <cellStyle name="Normal 15 2 4 2 2 2 2" xfId="30187" xr:uid="{00000000-0005-0000-0000-00000D6A0000}"/>
    <cellStyle name="Normal 15 2 4 2 2 3" xfId="31375" xr:uid="{00000000-0005-0000-0000-00000E6A0000}"/>
    <cellStyle name="Normal 15 2 4 2 3" xfId="11511" xr:uid="{00000000-0005-0000-0000-00000F6A0000}"/>
    <cellStyle name="Normal 15 2 4 2 3 2" xfId="25343" xr:uid="{00000000-0005-0000-0000-0000106A0000}"/>
    <cellStyle name="Normal 15 2 4 2 4" xfId="31374" xr:uid="{00000000-0005-0000-0000-0000116A0000}"/>
    <cellStyle name="Normal 15 2 4 3" xfId="7055" xr:uid="{00000000-0005-0000-0000-0000126A0000}"/>
    <cellStyle name="Normal 15 2 4 3 2" xfId="12168" xr:uid="{00000000-0005-0000-0000-0000136A0000}"/>
    <cellStyle name="Normal 15 2 4 3 2 2" xfId="25880" xr:uid="{00000000-0005-0000-0000-0000146A0000}"/>
    <cellStyle name="Normal 15 2 4 3 3" xfId="31376" xr:uid="{00000000-0005-0000-0000-0000156A0000}"/>
    <cellStyle name="Normal 15 2 4 4" xfId="7056" xr:uid="{00000000-0005-0000-0000-0000166A0000}"/>
    <cellStyle name="Normal 15 2 4 4 2" xfId="13732" xr:uid="{00000000-0005-0000-0000-0000176A0000}"/>
    <cellStyle name="Normal 15 2 4 4 2 2" xfId="27281" xr:uid="{00000000-0005-0000-0000-0000186A0000}"/>
    <cellStyle name="Normal 15 2 4 4 3" xfId="31377" xr:uid="{00000000-0005-0000-0000-0000196A0000}"/>
    <cellStyle name="Normal 15 2 4 5" xfId="7057" xr:uid="{00000000-0005-0000-0000-00001A6A0000}"/>
    <cellStyle name="Normal 15 2 4 5 2" xfId="14313" xr:uid="{00000000-0005-0000-0000-00001B6A0000}"/>
    <cellStyle name="Normal 15 2 4 5 2 2" xfId="27862" xr:uid="{00000000-0005-0000-0000-00001C6A0000}"/>
    <cellStyle name="Normal 15 2 4 5 3" xfId="31378" xr:uid="{00000000-0005-0000-0000-00001D6A0000}"/>
    <cellStyle name="Normal 15 2 4 6" xfId="7058" xr:uid="{00000000-0005-0000-0000-00001E6A0000}"/>
    <cellStyle name="Normal 15 2 4 6 2" xfId="16199" xr:uid="{00000000-0005-0000-0000-00001F6A0000}"/>
    <cellStyle name="Normal 15 2 4 6 2 2" xfId="29606" xr:uid="{00000000-0005-0000-0000-0000206A0000}"/>
    <cellStyle name="Normal 15 2 4 6 3" xfId="31379" xr:uid="{00000000-0005-0000-0000-0000216A0000}"/>
    <cellStyle name="Normal 15 2 4 7" xfId="10134" xr:uid="{00000000-0005-0000-0000-0000226A0000}"/>
    <cellStyle name="Normal 15 2 4 7 2" xfId="24360" xr:uid="{00000000-0005-0000-0000-0000236A0000}"/>
    <cellStyle name="Normal 15 2 4 8" xfId="31373" xr:uid="{00000000-0005-0000-0000-0000246A0000}"/>
    <cellStyle name="Normal 15 2 5" xfId="7059" xr:uid="{00000000-0005-0000-0000-0000256A0000}"/>
    <cellStyle name="Normal 15 2 5 2" xfId="7060" xr:uid="{00000000-0005-0000-0000-0000266A0000}"/>
    <cellStyle name="Normal 15 2 5 2 2" xfId="17028" xr:uid="{00000000-0005-0000-0000-0000276A0000}"/>
    <cellStyle name="Normal 15 2 5 3" xfId="11504" xr:uid="{00000000-0005-0000-0000-0000286A0000}"/>
    <cellStyle name="Normal 15 2 5 3 2" xfId="25336" xr:uid="{00000000-0005-0000-0000-0000296A0000}"/>
    <cellStyle name="Normal 15 2 6" xfId="7061" xr:uid="{00000000-0005-0000-0000-00002A6A0000}"/>
    <cellStyle name="Normal 15 2 6 2" xfId="7062" xr:uid="{00000000-0005-0000-0000-00002B6A0000}"/>
    <cellStyle name="Normal 15 2 6 2 2" xfId="17127" xr:uid="{00000000-0005-0000-0000-00002C6A0000}"/>
    <cellStyle name="Normal 15 2 6 2 2 2" xfId="30486" xr:uid="{00000000-0005-0000-0000-00002D6A0000}"/>
    <cellStyle name="Normal 15 2 6 2 3" xfId="31381" xr:uid="{00000000-0005-0000-0000-00002E6A0000}"/>
    <cellStyle name="Normal 15 2 6 3" xfId="11856" xr:uid="{00000000-0005-0000-0000-00002F6A0000}"/>
    <cellStyle name="Normal 15 2 6 3 2" xfId="25571" xr:uid="{00000000-0005-0000-0000-0000306A0000}"/>
    <cellStyle name="Normal 15 2 6 4" xfId="31380" xr:uid="{00000000-0005-0000-0000-0000316A0000}"/>
    <cellStyle name="Normal 15 2 7" xfId="7063" xr:uid="{00000000-0005-0000-0000-0000326A0000}"/>
    <cellStyle name="Normal 15 2 7 2" xfId="7064" xr:uid="{00000000-0005-0000-0000-0000336A0000}"/>
    <cellStyle name="Normal 15 2 7 2 2" xfId="17216" xr:uid="{00000000-0005-0000-0000-0000346A0000}"/>
    <cellStyle name="Normal 15 2 7 2 2 2" xfId="30575" xr:uid="{00000000-0005-0000-0000-0000356A0000}"/>
    <cellStyle name="Normal 15 2 7 2 3" xfId="31383" xr:uid="{00000000-0005-0000-0000-0000366A0000}"/>
    <cellStyle name="Normal 15 2 7 3" xfId="13443" xr:uid="{00000000-0005-0000-0000-0000376A0000}"/>
    <cellStyle name="Normal 15 2 7 3 2" xfId="26992" xr:uid="{00000000-0005-0000-0000-0000386A0000}"/>
    <cellStyle name="Normal 15 2 7 4" xfId="31382" xr:uid="{00000000-0005-0000-0000-0000396A0000}"/>
    <cellStyle name="Normal 15 2 8" xfId="7065" xr:uid="{00000000-0005-0000-0000-00003A6A0000}"/>
    <cellStyle name="Normal 15 2 8 2" xfId="7066" xr:uid="{00000000-0005-0000-0000-00003B6A0000}"/>
    <cellStyle name="Normal 15 2 8 2 2" xfId="16491" xr:uid="{00000000-0005-0000-0000-00003C6A0000}"/>
    <cellStyle name="Normal 15 2 8 2 2 2" xfId="29898" xr:uid="{00000000-0005-0000-0000-00003D6A0000}"/>
    <cellStyle name="Normal 15 2 8 2 3" xfId="31385" xr:uid="{00000000-0005-0000-0000-00003E6A0000}"/>
    <cellStyle name="Normal 15 2 8 3" xfId="14024" xr:uid="{00000000-0005-0000-0000-00003F6A0000}"/>
    <cellStyle name="Normal 15 2 8 3 2" xfId="27573" xr:uid="{00000000-0005-0000-0000-0000406A0000}"/>
    <cellStyle name="Normal 15 2 8 4" xfId="31384" xr:uid="{00000000-0005-0000-0000-0000416A0000}"/>
    <cellStyle name="Normal 15 2 9" xfId="7067" xr:uid="{00000000-0005-0000-0000-0000426A0000}"/>
    <cellStyle name="Normal 15 2 9 2" xfId="15910" xr:uid="{00000000-0005-0000-0000-0000436A0000}"/>
    <cellStyle name="Normal 15 2 9 2 2" xfId="29317" xr:uid="{00000000-0005-0000-0000-0000446A0000}"/>
    <cellStyle name="Normal 15 2 9 3" xfId="31386" xr:uid="{00000000-0005-0000-0000-0000456A0000}"/>
    <cellStyle name="Normal 15 3" xfId="7068" xr:uid="{00000000-0005-0000-0000-0000466A0000}"/>
    <cellStyle name="Normal 15 3 2" xfId="7069" xr:uid="{00000000-0005-0000-0000-0000476A0000}"/>
    <cellStyle name="Normal 15 3 2 2" xfId="10136" xr:uid="{00000000-0005-0000-0000-0000486A0000}"/>
    <cellStyle name="Normal 15 3 3" xfId="10135" xr:uid="{00000000-0005-0000-0000-0000496A0000}"/>
    <cellStyle name="Normal 15 4" xfId="7070" xr:uid="{00000000-0005-0000-0000-00004A6A0000}"/>
    <cellStyle name="Normal 15 4 10" xfId="31387" xr:uid="{00000000-0005-0000-0000-00004B6A0000}"/>
    <cellStyle name="Normal 15 4 2" xfId="7071" xr:uid="{00000000-0005-0000-0000-00004C6A0000}"/>
    <cellStyle name="Normal 15 4 2 2" xfId="7072" xr:uid="{00000000-0005-0000-0000-00004D6A0000}"/>
    <cellStyle name="Normal 15 4 2 2 2" xfId="7073" xr:uid="{00000000-0005-0000-0000-00004E6A0000}"/>
    <cellStyle name="Normal 15 4 2 2 2 2" xfId="7074" xr:uid="{00000000-0005-0000-0000-00004F6A0000}"/>
    <cellStyle name="Normal 15 4 2 2 2 2 2" xfId="16946" xr:uid="{00000000-0005-0000-0000-0000506A0000}"/>
    <cellStyle name="Normal 15 4 2 2 2 2 2 2" xfId="30353" xr:uid="{00000000-0005-0000-0000-0000516A0000}"/>
    <cellStyle name="Normal 15 4 2 2 2 2 3" xfId="31391" xr:uid="{00000000-0005-0000-0000-0000526A0000}"/>
    <cellStyle name="Normal 15 4 2 2 2 3" xfId="11514" xr:uid="{00000000-0005-0000-0000-0000536A0000}"/>
    <cellStyle name="Normal 15 4 2 2 2 3 2" xfId="25346" xr:uid="{00000000-0005-0000-0000-0000546A0000}"/>
    <cellStyle name="Normal 15 4 2 2 2 4" xfId="31390" xr:uid="{00000000-0005-0000-0000-0000556A0000}"/>
    <cellStyle name="Normal 15 4 2 2 3" xfId="7075" xr:uid="{00000000-0005-0000-0000-0000566A0000}"/>
    <cellStyle name="Normal 15 4 2 2 3 2" xfId="12334" xr:uid="{00000000-0005-0000-0000-0000576A0000}"/>
    <cellStyle name="Normal 15 4 2 2 3 2 2" xfId="26046" xr:uid="{00000000-0005-0000-0000-0000586A0000}"/>
    <cellStyle name="Normal 15 4 2 2 3 3" xfId="31392" xr:uid="{00000000-0005-0000-0000-0000596A0000}"/>
    <cellStyle name="Normal 15 4 2 2 4" xfId="7076" xr:uid="{00000000-0005-0000-0000-00005A6A0000}"/>
    <cellStyle name="Normal 15 4 2 2 4 2" xfId="13898" xr:uid="{00000000-0005-0000-0000-00005B6A0000}"/>
    <cellStyle name="Normal 15 4 2 2 4 2 2" xfId="27447" xr:uid="{00000000-0005-0000-0000-00005C6A0000}"/>
    <cellStyle name="Normal 15 4 2 2 4 3" xfId="31393" xr:uid="{00000000-0005-0000-0000-00005D6A0000}"/>
    <cellStyle name="Normal 15 4 2 2 5" xfId="7077" xr:uid="{00000000-0005-0000-0000-00005E6A0000}"/>
    <cellStyle name="Normal 15 4 2 2 5 2" xfId="14479" xr:uid="{00000000-0005-0000-0000-00005F6A0000}"/>
    <cellStyle name="Normal 15 4 2 2 5 2 2" xfId="28028" xr:uid="{00000000-0005-0000-0000-0000606A0000}"/>
    <cellStyle name="Normal 15 4 2 2 5 3" xfId="31394" xr:uid="{00000000-0005-0000-0000-0000616A0000}"/>
    <cellStyle name="Normal 15 4 2 2 6" xfId="7078" xr:uid="{00000000-0005-0000-0000-0000626A0000}"/>
    <cellStyle name="Normal 15 4 2 2 6 2" xfId="16365" xr:uid="{00000000-0005-0000-0000-0000636A0000}"/>
    <cellStyle name="Normal 15 4 2 2 6 2 2" xfId="29772" xr:uid="{00000000-0005-0000-0000-0000646A0000}"/>
    <cellStyle name="Normal 15 4 2 2 6 3" xfId="31395" xr:uid="{00000000-0005-0000-0000-0000656A0000}"/>
    <cellStyle name="Normal 15 4 2 2 7" xfId="10139" xr:uid="{00000000-0005-0000-0000-0000666A0000}"/>
    <cellStyle name="Normal 15 4 2 2 7 2" xfId="24363" xr:uid="{00000000-0005-0000-0000-0000676A0000}"/>
    <cellStyle name="Normal 15 4 2 2 8" xfId="31389" xr:uid="{00000000-0005-0000-0000-0000686A0000}"/>
    <cellStyle name="Normal 15 4 2 3" xfId="7079" xr:uid="{00000000-0005-0000-0000-0000696A0000}"/>
    <cellStyle name="Normal 15 4 2 3 2" xfId="7080" xr:uid="{00000000-0005-0000-0000-00006A6A0000}"/>
    <cellStyle name="Normal 15 4 2 3 2 2" xfId="16657" xr:uid="{00000000-0005-0000-0000-00006B6A0000}"/>
    <cellStyle name="Normal 15 4 2 3 2 2 2" xfId="30064" xr:uid="{00000000-0005-0000-0000-00006C6A0000}"/>
    <cellStyle name="Normal 15 4 2 3 2 3" xfId="31397" xr:uid="{00000000-0005-0000-0000-00006D6A0000}"/>
    <cellStyle name="Normal 15 4 2 3 3" xfId="11513" xr:uid="{00000000-0005-0000-0000-00006E6A0000}"/>
    <cellStyle name="Normal 15 4 2 3 3 2" xfId="25345" xr:uid="{00000000-0005-0000-0000-00006F6A0000}"/>
    <cellStyle name="Normal 15 4 2 3 4" xfId="31396" xr:uid="{00000000-0005-0000-0000-0000706A0000}"/>
    <cellStyle name="Normal 15 4 2 4" xfId="7081" xr:uid="{00000000-0005-0000-0000-0000716A0000}"/>
    <cellStyle name="Normal 15 4 2 4 2" xfId="12034" xr:uid="{00000000-0005-0000-0000-0000726A0000}"/>
    <cellStyle name="Normal 15 4 2 4 2 2" xfId="25749" xr:uid="{00000000-0005-0000-0000-0000736A0000}"/>
    <cellStyle name="Normal 15 4 2 4 3" xfId="31398" xr:uid="{00000000-0005-0000-0000-0000746A0000}"/>
    <cellStyle name="Normal 15 4 2 5" xfId="7082" xr:uid="{00000000-0005-0000-0000-0000756A0000}"/>
    <cellStyle name="Normal 15 4 2 5 2" xfId="13609" xr:uid="{00000000-0005-0000-0000-0000766A0000}"/>
    <cellStyle name="Normal 15 4 2 5 2 2" xfId="27158" xr:uid="{00000000-0005-0000-0000-0000776A0000}"/>
    <cellStyle name="Normal 15 4 2 5 3" xfId="31399" xr:uid="{00000000-0005-0000-0000-0000786A0000}"/>
    <cellStyle name="Normal 15 4 2 6" xfId="7083" xr:uid="{00000000-0005-0000-0000-0000796A0000}"/>
    <cellStyle name="Normal 15 4 2 6 2" xfId="14190" xr:uid="{00000000-0005-0000-0000-00007A6A0000}"/>
    <cellStyle name="Normal 15 4 2 6 2 2" xfId="27739" xr:uid="{00000000-0005-0000-0000-00007B6A0000}"/>
    <cellStyle name="Normal 15 4 2 6 3" xfId="31400" xr:uid="{00000000-0005-0000-0000-00007C6A0000}"/>
    <cellStyle name="Normal 15 4 2 7" xfId="7084" xr:uid="{00000000-0005-0000-0000-00007D6A0000}"/>
    <cellStyle name="Normal 15 4 2 7 2" xfId="16076" xr:uid="{00000000-0005-0000-0000-00007E6A0000}"/>
    <cellStyle name="Normal 15 4 2 7 2 2" xfId="29483" xr:uid="{00000000-0005-0000-0000-00007F6A0000}"/>
    <cellStyle name="Normal 15 4 2 7 3" xfId="31401" xr:uid="{00000000-0005-0000-0000-0000806A0000}"/>
    <cellStyle name="Normal 15 4 2 8" xfId="10138" xr:uid="{00000000-0005-0000-0000-0000816A0000}"/>
    <cellStyle name="Normal 15 4 2 8 2" xfId="24362" xr:uid="{00000000-0005-0000-0000-0000826A0000}"/>
    <cellStyle name="Normal 15 4 2 9" xfId="31388" xr:uid="{00000000-0005-0000-0000-0000836A0000}"/>
    <cellStyle name="Normal 15 4 3" xfId="7085" xr:uid="{00000000-0005-0000-0000-0000846A0000}"/>
    <cellStyle name="Normal 15 4 3 2" xfId="7086" xr:uid="{00000000-0005-0000-0000-0000856A0000}"/>
    <cellStyle name="Normal 15 4 3 2 2" xfId="7087" xr:uid="{00000000-0005-0000-0000-0000866A0000}"/>
    <cellStyle name="Normal 15 4 3 2 2 2" xfId="16803" xr:uid="{00000000-0005-0000-0000-0000876A0000}"/>
    <cellStyle name="Normal 15 4 3 2 2 2 2" xfId="30210" xr:uid="{00000000-0005-0000-0000-0000886A0000}"/>
    <cellStyle name="Normal 15 4 3 2 2 3" xfId="31404" xr:uid="{00000000-0005-0000-0000-0000896A0000}"/>
    <cellStyle name="Normal 15 4 3 2 3" xfId="11515" xr:uid="{00000000-0005-0000-0000-00008A6A0000}"/>
    <cellStyle name="Normal 15 4 3 2 3 2" xfId="25347" xr:uid="{00000000-0005-0000-0000-00008B6A0000}"/>
    <cellStyle name="Normal 15 4 3 2 4" xfId="31403" xr:uid="{00000000-0005-0000-0000-00008C6A0000}"/>
    <cellStyle name="Normal 15 4 3 3" xfId="7088" xr:uid="{00000000-0005-0000-0000-00008D6A0000}"/>
    <cellStyle name="Normal 15 4 3 3 2" xfId="12191" xr:uid="{00000000-0005-0000-0000-00008E6A0000}"/>
    <cellStyle name="Normal 15 4 3 3 2 2" xfId="25903" xr:uid="{00000000-0005-0000-0000-00008F6A0000}"/>
    <cellStyle name="Normal 15 4 3 3 3" xfId="31405" xr:uid="{00000000-0005-0000-0000-0000906A0000}"/>
    <cellStyle name="Normal 15 4 3 4" xfId="7089" xr:uid="{00000000-0005-0000-0000-0000916A0000}"/>
    <cellStyle name="Normal 15 4 3 4 2" xfId="13755" xr:uid="{00000000-0005-0000-0000-0000926A0000}"/>
    <cellStyle name="Normal 15 4 3 4 2 2" xfId="27304" xr:uid="{00000000-0005-0000-0000-0000936A0000}"/>
    <cellStyle name="Normal 15 4 3 4 3" xfId="31406" xr:uid="{00000000-0005-0000-0000-0000946A0000}"/>
    <cellStyle name="Normal 15 4 3 5" xfId="7090" xr:uid="{00000000-0005-0000-0000-0000956A0000}"/>
    <cellStyle name="Normal 15 4 3 5 2" xfId="14336" xr:uid="{00000000-0005-0000-0000-0000966A0000}"/>
    <cellStyle name="Normal 15 4 3 5 2 2" xfId="27885" xr:uid="{00000000-0005-0000-0000-0000976A0000}"/>
    <cellStyle name="Normal 15 4 3 5 3" xfId="31407" xr:uid="{00000000-0005-0000-0000-0000986A0000}"/>
    <cellStyle name="Normal 15 4 3 6" xfId="7091" xr:uid="{00000000-0005-0000-0000-0000996A0000}"/>
    <cellStyle name="Normal 15 4 3 6 2" xfId="16222" xr:uid="{00000000-0005-0000-0000-00009A6A0000}"/>
    <cellStyle name="Normal 15 4 3 6 2 2" xfId="29629" xr:uid="{00000000-0005-0000-0000-00009B6A0000}"/>
    <cellStyle name="Normal 15 4 3 6 3" xfId="31408" xr:uid="{00000000-0005-0000-0000-00009C6A0000}"/>
    <cellStyle name="Normal 15 4 3 7" xfId="10140" xr:uid="{00000000-0005-0000-0000-00009D6A0000}"/>
    <cellStyle name="Normal 15 4 3 7 2" xfId="24364" xr:uid="{00000000-0005-0000-0000-00009E6A0000}"/>
    <cellStyle name="Normal 15 4 3 8" xfId="31402" xr:uid="{00000000-0005-0000-0000-00009F6A0000}"/>
    <cellStyle name="Normal 15 4 4" xfId="7092" xr:uid="{00000000-0005-0000-0000-0000A06A0000}"/>
    <cellStyle name="Normal 15 4 4 2" xfId="7093" xr:uid="{00000000-0005-0000-0000-0000A16A0000}"/>
    <cellStyle name="Normal 15 4 4 2 2" xfId="17150" xr:uid="{00000000-0005-0000-0000-0000A26A0000}"/>
    <cellStyle name="Normal 15 4 4 2 2 2" xfId="30509" xr:uid="{00000000-0005-0000-0000-0000A36A0000}"/>
    <cellStyle name="Normal 15 4 4 2 3" xfId="31410" xr:uid="{00000000-0005-0000-0000-0000A46A0000}"/>
    <cellStyle name="Normal 15 4 4 3" xfId="11512" xr:uid="{00000000-0005-0000-0000-0000A56A0000}"/>
    <cellStyle name="Normal 15 4 4 3 2" xfId="25344" xr:uid="{00000000-0005-0000-0000-0000A66A0000}"/>
    <cellStyle name="Normal 15 4 4 4" xfId="31409" xr:uid="{00000000-0005-0000-0000-0000A76A0000}"/>
    <cellStyle name="Normal 15 4 5" xfId="7094" xr:uid="{00000000-0005-0000-0000-0000A86A0000}"/>
    <cellStyle name="Normal 15 4 5 2" xfId="7095" xr:uid="{00000000-0005-0000-0000-0000A96A0000}"/>
    <cellStyle name="Normal 15 4 5 2 2" xfId="17239" xr:uid="{00000000-0005-0000-0000-0000AA6A0000}"/>
    <cellStyle name="Normal 15 4 5 2 2 2" xfId="30598" xr:uid="{00000000-0005-0000-0000-0000AB6A0000}"/>
    <cellStyle name="Normal 15 4 5 2 3" xfId="31412" xr:uid="{00000000-0005-0000-0000-0000AC6A0000}"/>
    <cellStyle name="Normal 15 4 5 3" xfId="11889" xr:uid="{00000000-0005-0000-0000-0000AD6A0000}"/>
    <cellStyle name="Normal 15 4 5 3 2" xfId="25604" xr:uid="{00000000-0005-0000-0000-0000AE6A0000}"/>
    <cellStyle name="Normal 15 4 5 4" xfId="31411" xr:uid="{00000000-0005-0000-0000-0000AF6A0000}"/>
    <cellStyle name="Normal 15 4 6" xfId="7096" xr:uid="{00000000-0005-0000-0000-0000B06A0000}"/>
    <cellStyle name="Normal 15 4 6 2" xfId="7097" xr:uid="{00000000-0005-0000-0000-0000B16A0000}"/>
    <cellStyle name="Normal 15 4 6 2 2" xfId="16514" xr:uid="{00000000-0005-0000-0000-0000B26A0000}"/>
    <cellStyle name="Normal 15 4 6 2 2 2" xfId="29921" xr:uid="{00000000-0005-0000-0000-0000B36A0000}"/>
    <cellStyle name="Normal 15 4 6 2 3" xfId="31414" xr:uid="{00000000-0005-0000-0000-0000B46A0000}"/>
    <cellStyle name="Normal 15 4 6 3" xfId="13466" xr:uid="{00000000-0005-0000-0000-0000B56A0000}"/>
    <cellStyle name="Normal 15 4 6 3 2" xfId="27015" xr:uid="{00000000-0005-0000-0000-0000B66A0000}"/>
    <cellStyle name="Normal 15 4 6 4" xfId="31413" xr:uid="{00000000-0005-0000-0000-0000B76A0000}"/>
    <cellStyle name="Normal 15 4 7" xfId="7098" xr:uid="{00000000-0005-0000-0000-0000B86A0000}"/>
    <cellStyle name="Normal 15 4 7 2" xfId="14047" xr:uid="{00000000-0005-0000-0000-0000B96A0000}"/>
    <cellStyle name="Normal 15 4 7 2 2" xfId="27596" xr:uid="{00000000-0005-0000-0000-0000BA6A0000}"/>
    <cellStyle name="Normal 15 4 7 3" xfId="31415" xr:uid="{00000000-0005-0000-0000-0000BB6A0000}"/>
    <cellStyle name="Normal 15 4 8" xfId="7099" xr:uid="{00000000-0005-0000-0000-0000BC6A0000}"/>
    <cellStyle name="Normal 15 4 8 2" xfId="15933" xr:uid="{00000000-0005-0000-0000-0000BD6A0000}"/>
    <cellStyle name="Normal 15 4 8 2 2" xfId="29340" xr:uid="{00000000-0005-0000-0000-0000BE6A0000}"/>
    <cellStyle name="Normal 15 4 8 3" xfId="31416" xr:uid="{00000000-0005-0000-0000-0000BF6A0000}"/>
    <cellStyle name="Normal 15 4 9" xfId="10137" xr:uid="{00000000-0005-0000-0000-0000C06A0000}"/>
    <cellStyle name="Normal 15 4 9 2" xfId="24361" xr:uid="{00000000-0005-0000-0000-0000C16A0000}"/>
    <cellStyle name="Normal 15 5" xfId="7100" xr:uid="{00000000-0005-0000-0000-0000C26A0000}"/>
    <cellStyle name="Normal 15 5 10" xfId="31417" xr:uid="{00000000-0005-0000-0000-0000C36A0000}"/>
    <cellStyle name="Normal 15 5 2" xfId="7101" xr:uid="{00000000-0005-0000-0000-0000C46A0000}"/>
    <cellStyle name="Normal 15 5 2 2" xfId="7102" xr:uid="{00000000-0005-0000-0000-0000C56A0000}"/>
    <cellStyle name="Normal 15 5 2 2 2" xfId="7103" xr:uid="{00000000-0005-0000-0000-0000C66A0000}"/>
    <cellStyle name="Normal 15 5 2 2 2 2" xfId="7104" xr:uid="{00000000-0005-0000-0000-0000C76A0000}"/>
    <cellStyle name="Normal 15 5 2 2 2 2 2" xfId="16989" xr:uid="{00000000-0005-0000-0000-0000C86A0000}"/>
    <cellStyle name="Normal 15 5 2 2 2 2 2 2" xfId="30396" xr:uid="{00000000-0005-0000-0000-0000C96A0000}"/>
    <cellStyle name="Normal 15 5 2 2 2 2 3" xfId="31421" xr:uid="{00000000-0005-0000-0000-0000CA6A0000}"/>
    <cellStyle name="Normal 15 5 2 2 2 3" xfId="11518" xr:uid="{00000000-0005-0000-0000-0000CB6A0000}"/>
    <cellStyle name="Normal 15 5 2 2 2 3 2" xfId="25350" xr:uid="{00000000-0005-0000-0000-0000CC6A0000}"/>
    <cellStyle name="Normal 15 5 2 2 2 4" xfId="31420" xr:uid="{00000000-0005-0000-0000-0000CD6A0000}"/>
    <cellStyle name="Normal 15 5 2 2 3" xfId="7105" xr:uid="{00000000-0005-0000-0000-0000CE6A0000}"/>
    <cellStyle name="Normal 15 5 2 2 3 2" xfId="12377" xr:uid="{00000000-0005-0000-0000-0000CF6A0000}"/>
    <cellStyle name="Normal 15 5 2 2 3 2 2" xfId="26089" xr:uid="{00000000-0005-0000-0000-0000D06A0000}"/>
    <cellStyle name="Normal 15 5 2 2 3 3" xfId="31422" xr:uid="{00000000-0005-0000-0000-0000D16A0000}"/>
    <cellStyle name="Normal 15 5 2 2 4" xfId="7106" xr:uid="{00000000-0005-0000-0000-0000D26A0000}"/>
    <cellStyle name="Normal 15 5 2 2 4 2" xfId="13941" xr:uid="{00000000-0005-0000-0000-0000D36A0000}"/>
    <cellStyle name="Normal 15 5 2 2 4 2 2" xfId="27490" xr:uid="{00000000-0005-0000-0000-0000D46A0000}"/>
    <cellStyle name="Normal 15 5 2 2 4 3" xfId="31423" xr:uid="{00000000-0005-0000-0000-0000D56A0000}"/>
    <cellStyle name="Normal 15 5 2 2 5" xfId="7107" xr:uid="{00000000-0005-0000-0000-0000D66A0000}"/>
    <cellStyle name="Normal 15 5 2 2 5 2" xfId="14522" xr:uid="{00000000-0005-0000-0000-0000D76A0000}"/>
    <cellStyle name="Normal 15 5 2 2 5 2 2" xfId="28071" xr:uid="{00000000-0005-0000-0000-0000D86A0000}"/>
    <cellStyle name="Normal 15 5 2 2 5 3" xfId="31424" xr:uid="{00000000-0005-0000-0000-0000D96A0000}"/>
    <cellStyle name="Normal 15 5 2 2 6" xfId="7108" xr:uid="{00000000-0005-0000-0000-0000DA6A0000}"/>
    <cellStyle name="Normal 15 5 2 2 6 2" xfId="16408" xr:uid="{00000000-0005-0000-0000-0000DB6A0000}"/>
    <cellStyle name="Normal 15 5 2 2 6 2 2" xfId="29815" xr:uid="{00000000-0005-0000-0000-0000DC6A0000}"/>
    <cellStyle name="Normal 15 5 2 2 6 3" xfId="31425" xr:uid="{00000000-0005-0000-0000-0000DD6A0000}"/>
    <cellStyle name="Normal 15 5 2 2 7" xfId="10143" xr:uid="{00000000-0005-0000-0000-0000DE6A0000}"/>
    <cellStyle name="Normal 15 5 2 2 7 2" xfId="24367" xr:uid="{00000000-0005-0000-0000-0000DF6A0000}"/>
    <cellStyle name="Normal 15 5 2 2 8" xfId="31419" xr:uid="{00000000-0005-0000-0000-0000E06A0000}"/>
    <cellStyle name="Normal 15 5 2 3" xfId="7109" xr:uid="{00000000-0005-0000-0000-0000E16A0000}"/>
    <cellStyle name="Normal 15 5 2 3 2" xfId="7110" xr:uid="{00000000-0005-0000-0000-0000E26A0000}"/>
    <cellStyle name="Normal 15 5 2 3 2 2" xfId="16700" xr:uid="{00000000-0005-0000-0000-0000E36A0000}"/>
    <cellStyle name="Normal 15 5 2 3 2 2 2" xfId="30107" xr:uid="{00000000-0005-0000-0000-0000E46A0000}"/>
    <cellStyle name="Normal 15 5 2 3 2 3" xfId="31427" xr:uid="{00000000-0005-0000-0000-0000E56A0000}"/>
    <cellStyle name="Normal 15 5 2 3 3" xfId="11517" xr:uid="{00000000-0005-0000-0000-0000E66A0000}"/>
    <cellStyle name="Normal 15 5 2 3 3 2" xfId="25349" xr:uid="{00000000-0005-0000-0000-0000E76A0000}"/>
    <cellStyle name="Normal 15 5 2 3 4" xfId="31426" xr:uid="{00000000-0005-0000-0000-0000E86A0000}"/>
    <cellStyle name="Normal 15 5 2 4" xfId="7111" xr:uid="{00000000-0005-0000-0000-0000E96A0000}"/>
    <cellStyle name="Normal 15 5 2 4 2" xfId="12077" xr:uid="{00000000-0005-0000-0000-0000EA6A0000}"/>
    <cellStyle name="Normal 15 5 2 4 2 2" xfId="25792" xr:uid="{00000000-0005-0000-0000-0000EB6A0000}"/>
    <cellStyle name="Normal 15 5 2 4 3" xfId="31428" xr:uid="{00000000-0005-0000-0000-0000EC6A0000}"/>
    <cellStyle name="Normal 15 5 2 5" xfId="7112" xr:uid="{00000000-0005-0000-0000-0000ED6A0000}"/>
    <cellStyle name="Normal 15 5 2 5 2" xfId="13652" xr:uid="{00000000-0005-0000-0000-0000EE6A0000}"/>
    <cellStyle name="Normal 15 5 2 5 2 2" xfId="27201" xr:uid="{00000000-0005-0000-0000-0000EF6A0000}"/>
    <cellStyle name="Normal 15 5 2 5 3" xfId="31429" xr:uid="{00000000-0005-0000-0000-0000F06A0000}"/>
    <cellStyle name="Normal 15 5 2 6" xfId="7113" xr:uid="{00000000-0005-0000-0000-0000F16A0000}"/>
    <cellStyle name="Normal 15 5 2 6 2" xfId="14233" xr:uid="{00000000-0005-0000-0000-0000F26A0000}"/>
    <cellStyle name="Normal 15 5 2 6 2 2" xfId="27782" xr:uid="{00000000-0005-0000-0000-0000F36A0000}"/>
    <cellStyle name="Normal 15 5 2 6 3" xfId="31430" xr:uid="{00000000-0005-0000-0000-0000F46A0000}"/>
    <cellStyle name="Normal 15 5 2 7" xfId="7114" xr:uid="{00000000-0005-0000-0000-0000F56A0000}"/>
    <cellStyle name="Normal 15 5 2 7 2" xfId="16119" xr:uid="{00000000-0005-0000-0000-0000F66A0000}"/>
    <cellStyle name="Normal 15 5 2 7 2 2" xfId="29526" xr:uid="{00000000-0005-0000-0000-0000F76A0000}"/>
    <cellStyle name="Normal 15 5 2 7 3" xfId="31431" xr:uid="{00000000-0005-0000-0000-0000F86A0000}"/>
    <cellStyle name="Normal 15 5 2 8" xfId="10142" xr:uid="{00000000-0005-0000-0000-0000F96A0000}"/>
    <cellStyle name="Normal 15 5 2 8 2" xfId="24366" xr:uid="{00000000-0005-0000-0000-0000FA6A0000}"/>
    <cellStyle name="Normal 15 5 2 9" xfId="31418" xr:uid="{00000000-0005-0000-0000-0000FB6A0000}"/>
    <cellStyle name="Normal 15 5 3" xfId="7115" xr:uid="{00000000-0005-0000-0000-0000FC6A0000}"/>
    <cellStyle name="Normal 15 5 3 2" xfId="7116" xr:uid="{00000000-0005-0000-0000-0000FD6A0000}"/>
    <cellStyle name="Normal 15 5 3 2 2" xfId="7117" xr:uid="{00000000-0005-0000-0000-0000FE6A0000}"/>
    <cellStyle name="Normal 15 5 3 2 2 2" xfId="16846" xr:uid="{00000000-0005-0000-0000-0000FF6A0000}"/>
    <cellStyle name="Normal 15 5 3 2 2 2 2" xfId="30253" xr:uid="{00000000-0005-0000-0000-0000006B0000}"/>
    <cellStyle name="Normal 15 5 3 2 2 3" xfId="31434" xr:uid="{00000000-0005-0000-0000-0000016B0000}"/>
    <cellStyle name="Normal 15 5 3 2 3" xfId="11519" xr:uid="{00000000-0005-0000-0000-0000026B0000}"/>
    <cellStyle name="Normal 15 5 3 2 3 2" xfId="25351" xr:uid="{00000000-0005-0000-0000-0000036B0000}"/>
    <cellStyle name="Normal 15 5 3 2 4" xfId="31433" xr:uid="{00000000-0005-0000-0000-0000046B0000}"/>
    <cellStyle name="Normal 15 5 3 3" xfId="7118" xr:uid="{00000000-0005-0000-0000-0000056B0000}"/>
    <cellStyle name="Normal 15 5 3 3 2" xfId="12234" xr:uid="{00000000-0005-0000-0000-0000066B0000}"/>
    <cellStyle name="Normal 15 5 3 3 2 2" xfId="25946" xr:uid="{00000000-0005-0000-0000-0000076B0000}"/>
    <cellStyle name="Normal 15 5 3 3 3" xfId="31435" xr:uid="{00000000-0005-0000-0000-0000086B0000}"/>
    <cellStyle name="Normal 15 5 3 4" xfId="7119" xr:uid="{00000000-0005-0000-0000-0000096B0000}"/>
    <cellStyle name="Normal 15 5 3 4 2" xfId="13798" xr:uid="{00000000-0005-0000-0000-00000A6B0000}"/>
    <cellStyle name="Normal 15 5 3 4 2 2" xfId="27347" xr:uid="{00000000-0005-0000-0000-00000B6B0000}"/>
    <cellStyle name="Normal 15 5 3 4 3" xfId="31436" xr:uid="{00000000-0005-0000-0000-00000C6B0000}"/>
    <cellStyle name="Normal 15 5 3 5" xfId="7120" xr:uid="{00000000-0005-0000-0000-00000D6B0000}"/>
    <cellStyle name="Normal 15 5 3 5 2" xfId="14379" xr:uid="{00000000-0005-0000-0000-00000E6B0000}"/>
    <cellStyle name="Normal 15 5 3 5 2 2" xfId="27928" xr:uid="{00000000-0005-0000-0000-00000F6B0000}"/>
    <cellStyle name="Normal 15 5 3 5 3" xfId="31437" xr:uid="{00000000-0005-0000-0000-0000106B0000}"/>
    <cellStyle name="Normal 15 5 3 6" xfId="7121" xr:uid="{00000000-0005-0000-0000-0000116B0000}"/>
    <cellStyle name="Normal 15 5 3 6 2" xfId="16265" xr:uid="{00000000-0005-0000-0000-0000126B0000}"/>
    <cellStyle name="Normal 15 5 3 6 2 2" xfId="29672" xr:uid="{00000000-0005-0000-0000-0000136B0000}"/>
    <cellStyle name="Normal 15 5 3 6 3" xfId="31438" xr:uid="{00000000-0005-0000-0000-0000146B0000}"/>
    <cellStyle name="Normal 15 5 3 7" xfId="10144" xr:uid="{00000000-0005-0000-0000-0000156B0000}"/>
    <cellStyle name="Normal 15 5 3 7 2" xfId="24368" xr:uid="{00000000-0005-0000-0000-0000166B0000}"/>
    <cellStyle name="Normal 15 5 3 8" xfId="31432" xr:uid="{00000000-0005-0000-0000-0000176B0000}"/>
    <cellStyle name="Normal 15 5 4" xfId="7122" xr:uid="{00000000-0005-0000-0000-0000186B0000}"/>
    <cellStyle name="Normal 15 5 4 2" xfId="7123" xr:uid="{00000000-0005-0000-0000-0000196B0000}"/>
    <cellStyle name="Normal 15 5 4 2 2" xfId="16557" xr:uid="{00000000-0005-0000-0000-00001A6B0000}"/>
    <cellStyle name="Normal 15 5 4 2 2 2" xfId="29964" xr:uid="{00000000-0005-0000-0000-00001B6B0000}"/>
    <cellStyle name="Normal 15 5 4 2 3" xfId="31440" xr:uid="{00000000-0005-0000-0000-00001C6B0000}"/>
    <cellStyle name="Normal 15 5 4 3" xfId="11516" xr:uid="{00000000-0005-0000-0000-00001D6B0000}"/>
    <cellStyle name="Normal 15 5 4 3 2" xfId="25348" xr:uid="{00000000-0005-0000-0000-00001E6B0000}"/>
    <cellStyle name="Normal 15 5 4 4" xfId="31439" xr:uid="{00000000-0005-0000-0000-00001F6B0000}"/>
    <cellStyle name="Normal 15 5 5" xfId="7124" xr:uid="{00000000-0005-0000-0000-0000206B0000}"/>
    <cellStyle name="Normal 15 5 5 2" xfId="11932" xr:uid="{00000000-0005-0000-0000-0000216B0000}"/>
    <cellStyle name="Normal 15 5 5 2 2" xfId="25647" xr:uid="{00000000-0005-0000-0000-0000226B0000}"/>
    <cellStyle name="Normal 15 5 5 3" xfId="31441" xr:uid="{00000000-0005-0000-0000-0000236B0000}"/>
    <cellStyle name="Normal 15 5 6" xfId="7125" xr:uid="{00000000-0005-0000-0000-0000246B0000}"/>
    <cellStyle name="Normal 15 5 6 2" xfId="13509" xr:uid="{00000000-0005-0000-0000-0000256B0000}"/>
    <cellStyle name="Normal 15 5 6 2 2" xfId="27058" xr:uid="{00000000-0005-0000-0000-0000266B0000}"/>
    <cellStyle name="Normal 15 5 6 3" xfId="31442" xr:uid="{00000000-0005-0000-0000-0000276B0000}"/>
    <cellStyle name="Normal 15 5 7" xfId="7126" xr:uid="{00000000-0005-0000-0000-0000286B0000}"/>
    <cellStyle name="Normal 15 5 7 2" xfId="14090" xr:uid="{00000000-0005-0000-0000-0000296B0000}"/>
    <cellStyle name="Normal 15 5 7 2 2" xfId="27639" xr:uid="{00000000-0005-0000-0000-00002A6B0000}"/>
    <cellStyle name="Normal 15 5 7 3" xfId="31443" xr:uid="{00000000-0005-0000-0000-00002B6B0000}"/>
    <cellStyle name="Normal 15 5 8" xfId="7127" xr:uid="{00000000-0005-0000-0000-00002C6B0000}"/>
    <cellStyle name="Normal 15 5 8 2" xfId="15976" xr:uid="{00000000-0005-0000-0000-00002D6B0000}"/>
    <cellStyle name="Normal 15 5 8 2 2" xfId="29383" xr:uid="{00000000-0005-0000-0000-00002E6B0000}"/>
    <cellStyle name="Normal 15 5 8 3" xfId="31444" xr:uid="{00000000-0005-0000-0000-00002F6B0000}"/>
    <cellStyle name="Normal 15 5 9" xfId="10141" xr:uid="{00000000-0005-0000-0000-0000306B0000}"/>
    <cellStyle name="Normal 15 5 9 2" xfId="24365" xr:uid="{00000000-0005-0000-0000-0000316B0000}"/>
    <cellStyle name="Normal 15 6" xfId="7128" xr:uid="{00000000-0005-0000-0000-0000326B0000}"/>
    <cellStyle name="Normal 15 6 2" xfId="7129" xr:uid="{00000000-0005-0000-0000-0000336B0000}"/>
    <cellStyle name="Normal 15 6 2 2" xfId="7130" xr:uid="{00000000-0005-0000-0000-0000346B0000}"/>
    <cellStyle name="Normal 15 6 2 2 2" xfId="7131" xr:uid="{00000000-0005-0000-0000-0000356B0000}"/>
    <cellStyle name="Normal 15 6 2 2 2 2" xfId="16900" xr:uid="{00000000-0005-0000-0000-0000366B0000}"/>
    <cellStyle name="Normal 15 6 2 2 2 2 2" xfId="30307" xr:uid="{00000000-0005-0000-0000-0000376B0000}"/>
    <cellStyle name="Normal 15 6 2 2 2 3" xfId="31448" xr:uid="{00000000-0005-0000-0000-0000386B0000}"/>
    <cellStyle name="Normal 15 6 2 2 3" xfId="11521" xr:uid="{00000000-0005-0000-0000-0000396B0000}"/>
    <cellStyle name="Normal 15 6 2 2 3 2" xfId="25353" xr:uid="{00000000-0005-0000-0000-00003A6B0000}"/>
    <cellStyle name="Normal 15 6 2 2 4" xfId="31447" xr:uid="{00000000-0005-0000-0000-00003B6B0000}"/>
    <cellStyle name="Normal 15 6 2 3" xfId="7132" xr:uid="{00000000-0005-0000-0000-00003C6B0000}"/>
    <cellStyle name="Normal 15 6 2 3 2" xfId="12288" xr:uid="{00000000-0005-0000-0000-00003D6B0000}"/>
    <cellStyle name="Normal 15 6 2 3 2 2" xfId="26000" xr:uid="{00000000-0005-0000-0000-00003E6B0000}"/>
    <cellStyle name="Normal 15 6 2 3 3" xfId="31449" xr:uid="{00000000-0005-0000-0000-00003F6B0000}"/>
    <cellStyle name="Normal 15 6 2 4" xfId="7133" xr:uid="{00000000-0005-0000-0000-0000406B0000}"/>
    <cellStyle name="Normal 15 6 2 4 2" xfId="13852" xr:uid="{00000000-0005-0000-0000-0000416B0000}"/>
    <cellStyle name="Normal 15 6 2 4 2 2" xfId="27401" xr:uid="{00000000-0005-0000-0000-0000426B0000}"/>
    <cellStyle name="Normal 15 6 2 4 3" xfId="31450" xr:uid="{00000000-0005-0000-0000-0000436B0000}"/>
    <cellStyle name="Normal 15 6 2 5" xfId="7134" xr:uid="{00000000-0005-0000-0000-0000446B0000}"/>
    <cellStyle name="Normal 15 6 2 5 2" xfId="14433" xr:uid="{00000000-0005-0000-0000-0000456B0000}"/>
    <cellStyle name="Normal 15 6 2 5 2 2" xfId="27982" xr:uid="{00000000-0005-0000-0000-0000466B0000}"/>
    <cellStyle name="Normal 15 6 2 5 3" xfId="31451" xr:uid="{00000000-0005-0000-0000-0000476B0000}"/>
    <cellStyle name="Normal 15 6 2 6" xfId="7135" xr:uid="{00000000-0005-0000-0000-0000486B0000}"/>
    <cellStyle name="Normal 15 6 2 6 2" xfId="16319" xr:uid="{00000000-0005-0000-0000-0000496B0000}"/>
    <cellStyle name="Normal 15 6 2 6 2 2" xfId="29726" xr:uid="{00000000-0005-0000-0000-00004A6B0000}"/>
    <cellStyle name="Normal 15 6 2 6 3" xfId="31452" xr:uid="{00000000-0005-0000-0000-00004B6B0000}"/>
    <cellStyle name="Normal 15 6 2 7" xfId="10146" xr:uid="{00000000-0005-0000-0000-00004C6B0000}"/>
    <cellStyle name="Normal 15 6 2 7 2" xfId="24370" xr:uid="{00000000-0005-0000-0000-00004D6B0000}"/>
    <cellStyle name="Normal 15 6 2 8" xfId="31446" xr:uid="{00000000-0005-0000-0000-00004E6B0000}"/>
    <cellStyle name="Normal 15 6 3" xfId="7136" xr:uid="{00000000-0005-0000-0000-00004F6B0000}"/>
    <cellStyle name="Normal 15 6 3 2" xfId="7137" xr:uid="{00000000-0005-0000-0000-0000506B0000}"/>
    <cellStyle name="Normal 15 6 3 2 2" xfId="16611" xr:uid="{00000000-0005-0000-0000-0000516B0000}"/>
    <cellStyle name="Normal 15 6 3 2 2 2" xfId="30018" xr:uid="{00000000-0005-0000-0000-0000526B0000}"/>
    <cellStyle name="Normal 15 6 3 2 3" xfId="31454" xr:uid="{00000000-0005-0000-0000-0000536B0000}"/>
    <cellStyle name="Normal 15 6 3 3" xfId="11520" xr:uid="{00000000-0005-0000-0000-0000546B0000}"/>
    <cellStyle name="Normal 15 6 3 3 2" xfId="25352" xr:uid="{00000000-0005-0000-0000-0000556B0000}"/>
    <cellStyle name="Normal 15 6 3 4" xfId="31453" xr:uid="{00000000-0005-0000-0000-0000566B0000}"/>
    <cellStyle name="Normal 15 6 4" xfId="7138" xr:uid="{00000000-0005-0000-0000-0000576B0000}"/>
    <cellStyle name="Normal 15 6 4 2" xfId="11988" xr:uid="{00000000-0005-0000-0000-0000586B0000}"/>
    <cellStyle name="Normal 15 6 4 2 2" xfId="25703" xr:uid="{00000000-0005-0000-0000-0000596B0000}"/>
    <cellStyle name="Normal 15 6 4 3" xfId="31455" xr:uid="{00000000-0005-0000-0000-00005A6B0000}"/>
    <cellStyle name="Normal 15 6 5" xfId="7139" xr:uid="{00000000-0005-0000-0000-00005B6B0000}"/>
    <cellStyle name="Normal 15 6 5 2" xfId="13563" xr:uid="{00000000-0005-0000-0000-00005C6B0000}"/>
    <cellStyle name="Normal 15 6 5 2 2" xfId="27112" xr:uid="{00000000-0005-0000-0000-00005D6B0000}"/>
    <cellStyle name="Normal 15 6 5 3" xfId="31456" xr:uid="{00000000-0005-0000-0000-00005E6B0000}"/>
    <cellStyle name="Normal 15 6 6" xfId="7140" xr:uid="{00000000-0005-0000-0000-00005F6B0000}"/>
    <cellStyle name="Normal 15 6 6 2" xfId="14144" xr:uid="{00000000-0005-0000-0000-0000606B0000}"/>
    <cellStyle name="Normal 15 6 6 2 2" xfId="27693" xr:uid="{00000000-0005-0000-0000-0000616B0000}"/>
    <cellStyle name="Normal 15 6 6 3" xfId="31457" xr:uid="{00000000-0005-0000-0000-0000626B0000}"/>
    <cellStyle name="Normal 15 6 7" xfId="7141" xr:uid="{00000000-0005-0000-0000-0000636B0000}"/>
    <cellStyle name="Normal 15 6 7 2" xfId="16030" xr:uid="{00000000-0005-0000-0000-0000646B0000}"/>
    <cellStyle name="Normal 15 6 7 2 2" xfId="29437" xr:uid="{00000000-0005-0000-0000-0000656B0000}"/>
    <cellStyle name="Normal 15 6 7 3" xfId="31458" xr:uid="{00000000-0005-0000-0000-0000666B0000}"/>
    <cellStyle name="Normal 15 6 8" xfId="10145" xr:uid="{00000000-0005-0000-0000-0000676B0000}"/>
    <cellStyle name="Normal 15 6 8 2" xfId="24369" xr:uid="{00000000-0005-0000-0000-0000686B0000}"/>
    <cellStyle name="Normal 15 6 9" xfId="31445" xr:uid="{00000000-0005-0000-0000-0000696B0000}"/>
    <cellStyle name="Normal 15 7" xfId="7142" xr:uid="{00000000-0005-0000-0000-00006A6B0000}"/>
    <cellStyle name="Normal 15 7 2" xfId="7143" xr:uid="{00000000-0005-0000-0000-00006B6B0000}"/>
    <cellStyle name="Normal 15 7 2 2" xfId="7144" xr:uid="{00000000-0005-0000-0000-00006C6B0000}"/>
    <cellStyle name="Normal 15 7 2 2 2" xfId="16723" xr:uid="{00000000-0005-0000-0000-00006D6B0000}"/>
    <cellStyle name="Normal 15 7 2 2 2 2" xfId="30130" xr:uid="{00000000-0005-0000-0000-00006E6B0000}"/>
    <cellStyle name="Normal 15 7 2 2 3" xfId="31461" xr:uid="{00000000-0005-0000-0000-00006F6B0000}"/>
    <cellStyle name="Normal 15 7 2 3" xfId="11522" xr:uid="{00000000-0005-0000-0000-0000706B0000}"/>
    <cellStyle name="Normal 15 7 2 3 2" xfId="25354" xr:uid="{00000000-0005-0000-0000-0000716B0000}"/>
    <cellStyle name="Normal 15 7 2 4" xfId="31460" xr:uid="{00000000-0005-0000-0000-0000726B0000}"/>
    <cellStyle name="Normal 15 7 3" xfId="7145" xr:uid="{00000000-0005-0000-0000-0000736B0000}"/>
    <cellStyle name="Normal 15 7 3 2" xfId="12111" xr:uid="{00000000-0005-0000-0000-0000746B0000}"/>
    <cellStyle name="Normal 15 7 3 2 2" xfId="25823" xr:uid="{00000000-0005-0000-0000-0000756B0000}"/>
    <cellStyle name="Normal 15 7 3 3" xfId="31462" xr:uid="{00000000-0005-0000-0000-0000766B0000}"/>
    <cellStyle name="Normal 15 7 4" xfId="7146" xr:uid="{00000000-0005-0000-0000-0000776B0000}"/>
    <cellStyle name="Normal 15 7 4 2" xfId="13675" xr:uid="{00000000-0005-0000-0000-0000786B0000}"/>
    <cellStyle name="Normal 15 7 4 2 2" xfId="27224" xr:uid="{00000000-0005-0000-0000-0000796B0000}"/>
    <cellStyle name="Normal 15 7 4 3" xfId="31463" xr:uid="{00000000-0005-0000-0000-00007A6B0000}"/>
    <cellStyle name="Normal 15 7 5" xfId="7147" xr:uid="{00000000-0005-0000-0000-00007B6B0000}"/>
    <cellStyle name="Normal 15 7 5 2" xfId="14256" xr:uid="{00000000-0005-0000-0000-00007C6B0000}"/>
    <cellStyle name="Normal 15 7 5 2 2" xfId="27805" xr:uid="{00000000-0005-0000-0000-00007D6B0000}"/>
    <cellStyle name="Normal 15 7 5 3" xfId="31464" xr:uid="{00000000-0005-0000-0000-00007E6B0000}"/>
    <cellStyle name="Normal 15 7 6" xfId="7148" xr:uid="{00000000-0005-0000-0000-00007F6B0000}"/>
    <cellStyle name="Normal 15 7 6 2" xfId="16142" xr:uid="{00000000-0005-0000-0000-0000806B0000}"/>
    <cellStyle name="Normal 15 7 6 2 2" xfId="29549" xr:uid="{00000000-0005-0000-0000-0000816B0000}"/>
    <cellStyle name="Normal 15 7 6 3" xfId="31465" xr:uid="{00000000-0005-0000-0000-0000826B0000}"/>
    <cellStyle name="Normal 15 7 7" xfId="10147" xr:uid="{00000000-0005-0000-0000-0000836B0000}"/>
    <cellStyle name="Normal 15 7 7 2" xfId="24371" xr:uid="{00000000-0005-0000-0000-0000846B0000}"/>
    <cellStyle name="Normal 15 7 8" xfId="31459" xr:uid="{00000000-0005-0000-0000-0000856B0000}"/>
    <cellStyle name="Normal 15 8" xfId="7149" xr:uid="{00000000-0005-0000-0000-0000866B0000}"/>
    <cellStyle name="Normal 15 8 2" xfId="7150" xr:uid="{00000000-0005-0000-0000-0000876B0000}"/>
    <cellStyle name="Normal 15 8 2 2" xfId="11523" xr:uid="{00000000-0005-0000-0000-0000886B0000}"/>
    <cellStyle name="Normal 15 8 2 2 2" xfId="25355" xr:uid="{00000000-0005-0000-0000-0000896B0000}"/>
    <cellStyle name="Normal 15 8 2 3" xfId="31467" xr:uid="{00000000-0005-0000-0000-00008A6B0000}"/>
    <cellStyle name="Normal 15 8 3" xfId="7151" xr:uid="{00000000-0005-0000-0000-00008B6B0000}"/>
    <cellStyle name="Normal 15 8 3 2" xfId="13233" xr:uid="{00000000-0005-0000-0000-00008C6B0000}"/>
    <cellStyle name="Normal 15 8 3 2 2" xfId="26877" xr:uid="{00000000-0005-0000-0000-00008D6B0000}"/>
    <cellStyle name="Normal 15 8 3 3" xfId="31468" xr:uid="{00000000-0005-0000-0000-00008E6B0000}"/>
    <cellStyle name="Normal 15 8 4" xfId="7152" xr:uid="{00000000-0005-0000-0000-00008F6B0000}"/>
    <cellStyle name="Normal 15 8 4 2" xfId="15683" xr:uid="{00000000-0005-0000-0000-0000906B0000}"/>
    <cellStyle name="Normal 15 8 4 2 2" xfId="29169" xr:uid="{00000000-0005-0000-0000-0000916B0000}"/>
    <cellStyle name="Normal 15 8 4 3" xfId="31469" xr:uid="{00000000-0005-0000-0000-0000926B0000}"/>
    <cellStyle name="Normal 15 8 5" xfId="7153" xr:uid="{00000000-0005-0000-0000-0000936B0000}"/>
    <cellStyle name="Normal 15 8 5 2" xfId="17104" xr:uid="{00000000-0005-0000-0000-0000946B0000}"/>
    <cellStyle name="Normal 15 8 5 2 2" xfId="30463" xr:uid="{00000000-0005-0000-0000-0000956B0000}"/>
    <cellStyle name="Normal 15 8 5 3" xfId="31470" xr:uid="{00000000-0005-0000-0000-0000966B0000}"/>
    <cellStyle name="Normal 15 8 6" xfId="10148" xr:uid="{00000000-0005-0000-0000-0000976B0000}"/>
    <cellStyle name="Normal 15 8 6 2" xfId="24372" xr:uid="{00000000-0005-0000-0000-0000986B0000}"/>
    <cellStyle name="Normal 15 8 7" xfId="31466" xr:uid="{00000000-0005-0000-0000-0000996B0000}"/>
    <cellStyle name="Normal 15 9" xfId="7154" xr:uid="{00000000-0005-0000-0000-00009A6B0000}"/>
    <cellStyle name="Normal 15 9 2" xfId="7155" xr:uid="{00000000-0005-0000-0000-00009B6B0000}"/>
    <cellStyle name="Normal 15 9 2 2" xfId="13234" xr:uid="{00000000-0005-0000-0000-00009C6B0000}"/>
    <cellStyle name="Normal 15 9 2 3" xfId="31472" xr:uid="{00000000-0005-0000-0000-00009D6B0000}"/>
    <cellStyle name="Normal 15 9 3" xfId="7156" xr:uid="{00000000-0005-0000-0000-00009E6B0000}"/>
    <cellStyle name="Normal 15 9 3 2" xfId="17193" xr:uid="{00000000-0005-0000-0000-00009F6B0000}"/>
    <cellStyle name="Normal 15 9 3 2 2" xfId="30552" xr:uid="{00000000-0005-0000-0000-0000A06B0000}"/>
    <cellStyle name="Normal 15 9 3 3" xfId="31473" xr:uid="{00000000-0005-0000-0000-0000A16B0000}"/>
    <cellStyle name="Normal 15 9 4" xfId="11819" xr:uid="{00000000-0005-0000-0000-0000A26B0000}"/>
    <cellStyle name="Normal 15 9 4 2" xfId="25534" xr:uid="{00000000-0005-0000-0000-0000A36B0000}"/>
    <cellStyle name="Normal 15 9 5" xfId="31471" xr:uid="{00000000-0005-0000-0000-0000A46B0000}"/>
    <cellStyle name="Normal 16" xfId="7157" xr:uid="{00000000-0005-0000-0000-0000A56B0000}"/>
    <cellStyle name="Normal 16 10" xfId="10149" xr:uid="{00000000-0005-0000-0000-0000A66B0000}"/>
    <cellStyle name="Normal 16 10 2" xfId="24373" xr:uid="{00000000-0005-0000-0000-0000A76B0000}"/>
    <cellStyle name="Normal 16 11" xfId="31474" xr:uid="{00000000-0005-0000-0000-0000A86B0000}"/>
    <cellStyle name="Normal 16 2" xfId="7158" xr:uid="{00000000-0005-0000-0000-0000A96B0000}"/>
    <cellStyle name="Normal 16 2 10" xfId="31475" xr:uid="{00000000-0005-0000-0000-0000AA6B0000}"/>
    <cellStyle name="Normal 16 2 2" xfId="7159" xr:uid="{00000000-0005-0000-0000-0000AB6B0000}"/>
    <cellStyle name="Normal 16 2 2 2" xfId="7160" xr:uid="{00000000-0005-0000-0000-0000AC6B0000}"/>
    <cellStyle name="Normal 16 2 2 2 2" xfId="7161" xr:uid="{00000000-0005-0000-0000-0000AD6B0000}"/>
    <cellStyle name="Normal 16 2 2 2 2 2" xfId="7162" xr:uid="{00000000-0005-0000-0000-0000AE6B0000}"/>
    <cellStyle name="Normal 16 2 2 2 2 2 2" xfId="16947" xr:uid="{00000000-0005-0000-0000-0000AF6B0000}"/>
    <cellStyle name="Normal 16 2 2 2 2 2 2 2" xfId="30354" xr:uid="{00000000-0005-0000-0000-0000B06B0000}"/>
    <cellStyle name="Normal 16 2 2 2 2 2 3" xfId="31479" xr:uid="{00000000-0005-0000-0000-0000B16B0000}"/>
    <cellStyle name="Normal 16 2 2 2 2 3" xfId="11527" xr:uid="{00000000-0005-0000-0000-0000B26B0000}"/>
    <cellStyle name="Normal 16 2 2 2 2 3 2" xfId="25359" xr:uid="{00000000-0005-0000-0000-0000B36B0000}"/>
    <cellStyle name="Normal 16 2 2 2 2 4" xfId="31478" xr:uid="{00000000-0005-0000-0000-0000B46B0000}"/>
    <cellStyle name="Normal 16 2 2 2 3" xfId="7163" xr:uid="{00000000-0005-0000-0000-0000B56B0000}"/>
    <cellStyle name="Normal 16 2 2 2 3 2" xfId="12335" xr:uid="{00000000-0005-0000-0000-0000B66B0000}"/>
    <cellStyle name="Normal 16 2 2 2 3 2 2" xfId="26047" xr:uid="{00000000-0005-0000-0000-0000B76B0000}"/>
    <cellStyle name="Normal 16 2 2 2 3 3" xfId="31480" xr:uid="{00000000-0005-0000-0000-0000B86B0000}"/>
    <cellStyle name="Normal 16 2 2 2 4" xfId="7164" xr:uid="{00000000-0005-0000-0000-0000B96B0000}"/>
    <cellStyle name="Normal 16 2 2 2 4 2" xfId="13899" xr:uid="{00000000-0005-0000-0000-0000BA6B0000}"/>
    <cellStyle name="Normal 16 2 2 2 4 2 2" xfId="27448" xr:uid="{00000000-0005-0000-0000-0000BB6B0000}"/>
    <cellStyle name="Normal 16 2 2 2 4 3" xfId="31481" xr:uid="{00000000-0005-0000-0000-0000BC6B0000}"/>
    <cellStyle name="Normal 16 2 2 2 5" xfId="7165" xr:uid="{00000000-0005-0000-0000-0000BD6B0000}"/>
    <cellStyle name="Normal 16 2 2 2 5 2" xfId="14480" xr:uid="{00000000-0005-0000-0000-0000BE6B0000}"/>
    <cellStyle name="Normal 16 2 2 2 5 2 2" xfId="28029" xr:uid="{00000000-0005-0000-0000-0000BF6B0000}"/>
    <cellStyle name="Normal 16 2 2 2 5 3" xfId="31482" xr:uid="{00000000-0005-0000-0000-0000C06B0000}"/>
    <cellStyle name="Normal 16 2 2 2 6" xfId="7166" xr:uid="{00000000-0005-0000-0000-0000C16B0000}"/>
    <cellStyle name="Normal 16 2 2 2 6 2" xfId="16366" xr:uid="{00000000-0005-0000-0000-0000C26B0000}"/>
    <cellStyle name="Normal 16 2 2 2 6 2 2" xfId="29773" xr:uid="{00000000-0005-0000-0000-0000C36B0000}"/>
    <cellStyle name="Normal 16 2 2 2 6 3" xfId="31483" xr:uid="{00000000-0005-0000-0000-0000C46B0000}"/>
    <cellStyle name="Normal 16 2 2 2 7" xfId="10152" xr:uid="{00000000-0005-0000-0000-0000C56B0000}"/>
    <cellStyle name="Normal 16 2 2 2 7 2" xfId="24376" xr:uid="{00000000-0005-0000-0000-0000C66B0000}"/>
    <cellStyle name="Normal 16 2 2 2 8" xfId="31477" xr:uid="{00000000-0005-0000-0000-0000C76B0000}"/>
    <cellStyle name="Normal 16 2 2 3" xfId="7167" xr:uid="{00000000-0005-0000-0000-0000C86B0000}"/>
    <cellStyle name="Normal 16 2 2 3 2" xfId="7168" xr:uid="{00000000-0005-0000-0000-0000C96B0000}"/>
    <cellStyle name="Normal 16 2 2 3 2 2" xfId="16658" xr:uid="{00000000-0005-0000-0000-0000CA6B0000}"/>
    <cellStyle name="Normal 16 2 2 3 2 2 2" xfId="30065" xr:uid="{00000000-0005-0000-0000-0000CB6B0000}"/>
    <cellStyle name="Normal 16 2 2 3 2 3" xfId="31485" xr:uid="{00000000-0005-0000-0000-0000CC6B0000}"/>
    <cellStyle name="Normal 16 2 2 3 3" xfId="11526" xr:uid="{00000000-0005-0000-0000-0000CD6B0000}"/>
    <cellStyle name="Normal 16 2 2 3 3 2" xfId="25358" xr:uid="{00000000-0005-0000-0000-0000CE6B0000}"/>
    <cellStyle name="Normal 16 2 2 3 4" xfId="31484" xr:uid="{00000000-0005-0000-0000-0000CF6B0000}"/>
    <cellStyle name="Normal 16 2 2 4" xfId="7169" xr:uid="{00000000-0005-0000-0000-0000D06B0000}"/>
    <cellStyle name="Normal 16 2 2 4 2" xfId="12035" xr:uid="{00000000-0005-0000-0000-0000D16B0000}"/>
    <cellStyle name="Normal 16 2 2 4 2 2" xfId="25750" xr:uid="{00000000-0005-0000-0000-0000D26B0000}"/>
    <cellStyle name="Normal 16 2 2 4 3" xfId="31486" xr:uid="{00000000-0005-0000-0000-0000D36B0000}"/>
    <cellStyle name="Normal 16 2 2 5" xfId="7170" xr:uid="{00000000-0005-0000-0000-0000D46B0000}"/>
    <cellStyle name="Normal 16 2 2 5 2" xfId="13610" xr:uid="{00000000-0005-0000-0000-0000D56B0000}"/>
    <cellStyle name="Normal 16 2 2 5 2 2" xfId="27159" xr:uid="{00000000-0005-0000-0000-0000D66B0000}"/>
    <cellStyle name="Normal 16 2 2 5 3" xfId="31487" xr:uid="{00000000-0005-0000-0000-0000D76B0000}"/>
    <cellStyle name="Normal 16 2 2 6" xfId="7171" xr:uid="{00000000-0005-0000-0000-0000D86B0000}"/>
    <cellStyle name="Normal 16 2 2 6 2" xfId="14191" xr:uid="{00000000-0005-0000-0000-0000D96B0000}"/>
    <cellStyle name="Normal 16 2 2 6 2 2" xfId="27740" xr:uid="{00000000-0005-0000-0000-0000DA6B0000}"/>
    <cellStyle name="Normal 16 2 2 6 3" xfId="31488" xr:uid="{00000000-0005-0000-0000-0000DB6B0000}"/>
    <cellStyle name="Normal 16 2 2 7" xfId="7172" xr:uid="{00000000-0005-0000-0000-0000DC6B0000}"/>
    <cellStyle name="Normal 16 2 2 7 2" xfId="16077" xr:uid="{00000000-0005-0000-0000-0000DD6B0000}"/>
    <cellStyle name="Normal 16 2 2 7 2 2" xfId="29484" xr:uid="{00000000-0005-0000-0000-0000DE6B0000}"/>
    <cellStyle name="Normal 16 2 2 7 3" xfId="31489" xr:uid="{00000000-0005-0000-0000-0000DF6B0000}"/>
    <cellStyle name="Normal 16 2 2 8" xfId="10151" xr:uid="{00000000-0005-0000-0000-0000E06B0000}"/>
    <cellStyle name="Normal 16 2 2 8 2" xfId="24375" xr:uid="{00000000-0005-0000-0000-0000E16B0000}"/>
    <cellStyle name="Normal 16 2 2 9" xfId="31476" xr:uid="{00000000-0005-0000-0000-0000E26B0000}"/>
    <cellStyle name="Normal 16 2 3" xfId="7173" xr:uid="{00000000-0005-0000-0000-0000E36B0000}"/>
    <cellStyle name="Normal 16 2 3 2" xfId="7174" xr:uid="{00000000-0005-0000-0000-0000E46B0000}"/>
    <cellStyle name="Normal 16 2 3 2 2" xfId="7175" xr:uid="{00000000-0005-0000-0000-0000E56B0000}"/>
    <cellStyle name="Normal 16 2 3 2 2 2" xfId="16804" xr:uid="{00000000-0005-0000-0000-0000E66B0000}"/>
    <cellStyle name="Normal 16 2 3 2 2 2 2" xfId="30211" xr:uid="{00000000-0005-0000-0000-0000E76B0000}"/>
    <cellStyle name="Normal 16 2 3 2 2 3" xfId="31492" xr:uid="{00000000-0005-0000-0000-0000E86B0000}"/>
    <cellStyle name="Normal 16 2 3 2 3" xfId="11528" xr:uid="{00000000-0005-0000-0000-0000E96B0000}"/>
    <cellStyle name="Normal 16 2 3 2 3 2" xfId="25360" xr:uid="{00000000-0005-0000-0000-0000EA6B0000}"/>
    <cellStyle name="Normal 16 2 3 2 4" xfId="31491" xr:uid="{00000000-0005-0000-0000-0000EB6B0000}"/>
    <cellStyle name="Normal 16 2 3 3" xfId="7176" xr:uid="{00000000-0005-0000-0000-0000EC6B0000}"/>
    <cellStyle name="Normal 16 2 3 3 2" xfId="12192" xr:uid="{00000000-0005-0000-0000-0000ED6B0000}"/>
    <cellStyle name="Normal 16 2 3 3 2 2" xfId="25904" xr:uid="{00000000-0005-0000-0000-0000EE6B0000}"/>
    <cellStyle name="Normal 16 2 3 3 3" xfId="31493" xr:uid="{00000000-0005-0000-0000-0000EF6B0000}"/>
    <cellStyle name="Normal 16 2 3 4" xfId="7177" xr:uid="{00000000-0005-0000-0000-0000F06B0000}"/>
    <cellStyle name="Normal 16 2 3 4 2" xfId="13756" xr:uid="{00000000-0005-0000-0000-0000F16B0000}"/>
    <cellStyle name="Normal 16 2 3 4 2 2" xfId="27305" xr:uid="{00000000-0005-0000-0000-0000F26B0000}"/>
    <cellStyle name="Normal 16 2 3 4 3" xfId="31494" xr:uid="{00000000-0005-0000-0000-0000F36B0000}"/>
    <cellStyle name="Normal 16 2 3 5" xfId="7178" xr:uid="{00000000-0005-0000-0000-0000F46B0000}"/>
    <cellStyle name="Normal 16 2 3 5 2" xfId="14337" xr:uid="{00000000-0005-0000-0000-0000F56B0000}"/>
    <cellStyle name="Normal 16 2 3 5 2 2" xfId="27886" xr:uid="{00000000-0005-0000-0000-0000F66B0000}"/>
    <cellStyle name="Normal 16 2 3 5 3" xfId="31495" xr:uid="{00000000-0005-0000-0000-0000F76B0000}"/>
    <cellStyle name="Normal 16 2 3 6" xfId="7179" xr:uid="{00000000-0005-0000-0000-0000F86B0000}"/>
    <cellStyle name="Normal 16 2 3 6 2" xfId="16223" xr:uid="{00000000-0005-0000-0000-0000F96B0000}"/>
    <cellStyle name="Normal 16 2 3 6 2 2" xfId="29630" xr:uid="{00000000-0005-0000-0000-0000FA6B0000}"/>
    <cellStyle name="Normal 16 2 3 6 3" xfId="31496" xr:uid="{00000000-0005-0000-0000-0000FB6B0000}"/>
    <cellStyle name="Normal 16 2 3 7" xfId="10153" xr:uid="{00000000-0005-0000-0000-0000FC6B0000}"/>
    <cellStyle name="Normal 16 2 3 7 2" xfId="24377" xr:uid="{00000000-0005-0000-0000-0000FD6B0000}"/>
    <cellStyle name="Normal 16 2 3 8" xfId="31490" xr:uid="{00000000-0005-0000-0000-0000FE6B0000}"/>
    <cellStyle name="Normal 16 2 4" xfId="7180" xr:uid="{00000000-0005-0000-0000-0000FF6B0000}"/>
    <cellStyle name="Normal 16 2 4 2" xfId="7181" xr:uid="{00000000-0005-0000-0000-0000006C0000}"/>
    <cellStyle name="Normal 16 2 4 2 2" xfId="17151" xr:uid="{00000000-0005-0000-0000-0000016C0000}"/>
    <cellStyle name="Normal 16 2 4 2 2 2" xfId="30510" xr:uid="{00000000-0005-0000-0000-0000026C0000}"/>
    <cellStyle name="Normal 16 2 4 2 3" xfId="31498" xr:uid="{00000000-0005-0000-0000-0000036C0000}"/>
    <cellStyle name="Normal 16 2 4 3" xfId="11525" xr:uid="{00000000-0005-0000-0000-0000046C0000}"/>
    <cellStyle name="Normal 16 2 4 3 2" xfId="25357" xr:uid="{00000000-0005-0000-0000-0000056C0000}"/>
    <cellStyle name="Normal 16 2 4 4" xfId="31497" xr:uid="{00000000-0005-0000-0000-0000066C0000}"/>
    <cellStyle name="Normal 16 2 5" xfId="7182" xr:uid="{00000000-0005-0000-0000-0000076C0000}"/>
    <cellStyle name="Normal 16 2 5 2" xfId="7183" xr:uid="{00000000-0005-0000-0000-0000086C0000}"/>
    <cellStyle name="Normal 16 2 5 2 2" xfId="17240" xr:uid="{00000000-0005-0000-0000-0000096C0000}"/>
    <cellStyle name="Normal 16 2 5 2 2 2" xfId="30599" xr:uid="{00000000-0005-0000-0000-00000A6C0000}"/>
    <cellStyle name="Normal 16 2 5 2 3" xfId="31500" xr:uid="{00000000-0005-0000-0000-00000B6C0000}"/>
    <cellStyle name="Normal 16 2 5 3" xfId="11890" xr:uid="{00000000-0005-0000-0000-00000C6C0000}"/>
    <cellStyle name="Normal 16 2 5 3 2" xfId="25605" xr:uid="{00000000-0005-0000-0000-00000D6C0000}"/>
    <cellStyle name="Normal 16 2 5 4" xfId="31499" xr:uid="{00000000-0005-0000-0000-00000E6C0000}"/>
    <cellStyle name="Normal 16 2 6" xfId="7184" xr:uid="{00000000-0005-0000-0000-00000F6C0000}"/>
    <cellStyle name="Normal 16 2 6 2" xfId="7185" xr:uid="{00000000-0005-0000-0000-0000106C0000}"/>
    <cellStyle name="Normal 16 2 6 2 2" xfId="16515" xr:uid="{00000000-0005-0000-0000-0000116C0000}"/>
    <cellStyle name="Normal 16 2 6 2 2 2" xfId="29922" xr:uid="{00000000-0005-0000-0000-0000126C0000}"/>
    <cellStyle name="Normal 16 2 6 2 3" xfId="31502" xr:uid="{00000000-0005-0000-0000-0000136C0000}"/>
    <cellStyle name="Normal 16 2 6 3" xfId="13467" xr:uid="{00000000-0005-0000-0000-0000146C0000}"/>
    <cellStyle name="Normal 16 2 6 3 2" xfId="27016" xr:uid="{00000000-0005-0000-0000-0000156C0000}"/>
    <cellStyle name="Normal 16 2 6 4" xfId="31501" xr:uid="{00000000-0005-0000-0000-0000166C0000}"/>
    <cellStyle name="Normal 16 2 7" xfId="7186" xr:uid="{00000000-0005-0000-0000-0000176C0000}"/>
    <cellStyle name="Normal 16 2 7 2" xfId="14048" xr:uid="{00000000-0005-0000-0000-0000186C0000}"/>
    <cellStyle name="Normal 16 2 7 2 2" xfId="27597" xr:uid="{00000000-0005-0000-0000-0000196C0000}"/>
    <cellStyle name="Normal 16 2 7 3" xfId="31503" xr:uid="{00000000-0005-0000-0000-00001A6C0000}"/>
    <cellStyle name="Normal 16 2 8" xfId="7187" xr:uid="{00000000-0005-0000-0000-00001B6C0000}"/>
    <cellStyle name="Normal 16 2 8 2" xfId="15934" xr:uid="{00000000-0005-0000-0000-00001C6C0000}"/>
    <cellStyle name="Normal 16 2 8 2 2" xfId="29341" xr:uid="{00000000-0005-0000-0000-00001D6C0000}"/>
    <cellStyle name="Normal 16 2 8 3" xfId="31504" xr:uid="{00000000-0005-0000-0000-00001E6C0000}"/>
    <cellStyle name="Normal 16 2 9" xfId="10150" xr:uid="{00000000-0005-0000-0000-00001F6C0000}"/>
    <cellStyle name="Normal 16 2 9 2" xfId="24374" xr:uid="{00000000-0005-0000-0000-0000206C0000}"/>
    <cellStyle name="Normal 16 3" xfId="7188" xr:uid="{00000000-0005-0000-0000-0000216C0000}"/>
    <cellStyle name="Normal 16 3 2" xfId="7189" xr:uid="{00000000-0005-0000-0000-0000226C0000}"/>
    <cellStyle name="Normal 16 3 2 2" xfId="7190" xr:uid="{00000000-0005-0000-0000-0000236C0000}"/>
    <cellStyle name="Normal 16 3 2 2 2" xfId="7191" xr:uid="{00000000-0005-0000-0000-0000246C0000}"/>
    <cellStyle name="Normal 16 3 2 2 2 2" xfId="16901" xr:uid="{00000000-0005-0000-0000-0000256C0000}"/>
    <cellStyle name="Normal 16 3 2 2 2 2 2" xfId="30308" xr:uid="{00000000-0005-0000-0000-0000266C0000}"/>
    <cellStyle name="Normal 16 3 2 2 2 3" xfId="31508" xr:uid="{00000000-0005-0000-0000-0000276C0000}"/>
    <cellStyle name="Normal 16 3 2 2 3" xfId="11530" xr:uid="{00000000-0005-0000-0000-0000286C0000}"/>
    <cellStyle name="Normal 16 3 2 2 3 2" xfId="25362" xr:uid="{00000000-0005-0000-0000-0000296C0000}"/>
    <cellStyle name="Normal 16 3 2 2 4" xfId="31507" xr:uid="{00000000-0005-0000-0000-00002A6C0000}"/>
    <cellStyle name="Normal 16 3 2 3" xfId="7192" xr:uid="{00000000-0005-0000-0000-00002B6C0000}"/>
    <cellStyle name="Normal 16 3 2 3 2" xfId="12289" xr:uid="{00000000-0005-0000-0000-00002C6C0000}"/>
    <cellStyle name="Normal 16 3 2 3 2 2" xfId="26001" xr:uid="{00000000-0005-0000-0000-00002D6C0000}"/>
    <cellStyle name="Normal 16 3 2 3 3" xfId="31509" xr:uid="{00000000-0005-0000-0000-00002E6C0000}"/>
    <cellStyle name="Normal 16 3 2 4" xfId="7193" xr:uid="{00000000-0005-0000-0000-00002F6C0000}"/>
    <cellStyle name="Normal 16 3 2 4 2" xfId="13853" xr:uid="{00000000-0005-0000-0000-0000306C0000}"/>
    <cellStyle name="Normal 16 3 2 4 2 2" xfId="27402" xr:uid="{00000000-0005-0000-0000-0000316C0000}"/>
    <cellStyle name="Normal 16 3 2 4 3" xfId="31510" xr:uid="{00000000-0005-0000-0000-0000326C0000}"/>
    <cellStyle name="Normal 16 3 2 5" xfId="7194" xr:uid="{00000000-0005-0000-0000-0000336C0000}"/>
    <cellStyle name="Normal 16 3 2 5 2" xfId="14434" xr:uid="{00000000-0005-0000-0000-0000346C0000}"/>
    <cellStyle name="Normal 16 3 2 5 2 2" xfId="27983" xr:uid="{00000000-0005-0000-0000-0000356C0000}"/>
    <cellStyle name="Normal 16 3 2 5 3" xfId="31511" xr:uid="{00000000-0005-0000-0000-0000366C0000}"/>
    <cellStyle name="Normal 16 3 2 6" xfId="7195" xr:uid="{00000000-0005-0000-0000-0000376C0000}"/>
    <cellStyle name="Normal 16 3 2 6 2" xfId="16320" xr:uid="{00000000-0005-0000-0000-0000386C0000}"/>
    <cellStyle name="Normal 16 3 2 6 2 2" xfId="29727" xr:uid="{00000000-0005-0000-0000-0000396C0000}"/>
    <cellStyle name="Normal 16 3 2 6 3" xfId="31512" xr:uid="{00000000-0005-0000-0000-00003A6C0000}"/>
    <cellStyle name="Normal 16 3 2 7" xfId="10155" xr:uid="{00000000-0005-0000-0000-00003B6C0000}"/>
    <cellStyle name="Normal 16 3 2 7 2" xfId="24379" xr:uid="{00000000-0005-0000-0000-00003C6C0000}"/>
    <cellStyle name="Normal 16 3 2 8" xfId="31506" xr:uid="{00000000-0005-0000-0000-00003D6C0000}"/>
    <cellStyle name="Normal 16 3 3" xfId="7196" xr:uid="{00000000-0005-0000-0000-00003E6C0000}"/>
    <cellStyle name="Normal 16 3 3 2" xfId="7197" xr:uid="{00000000-0005-0000-0000-00003F6C0000}"/>
    <cellStyle name="Normal 16 3 3 2 2" xfId="16612" xr:uid="{00000000-0005-0000-0000-0000406C0000}"/>
    <cellStyle name="Normal 16 3 3 2 2 2" xfId="30019" xr:uid="{00000000-0005-0000-0000-0000416C0000}"/>
    <cellStyle name="Normal 16 3 3 2 3" xfId="31514" xr:uid="{00000000-0005-0000-0000-0000426C0000}"/>
    <cellStyle name="Normal 16 3 3 3" xfId="11529" xr:uid="{00000000-0005-0000-0000-0000436C0000}"/>
    <cellStyle name="Normal 16 3 3 3 2" xfId="25361" xr:uid="{00000000-0005-0000-0000-0000446C0000}"/>
    <cellStyle name="Normal 16 3 3 4" xfId="31513" xr:uid="{00000000-0005-0000-0000-0000456C0000}"/>
    <cellStyle name="Normal 16 3 4" xfId="7198" xr:uid="{00000000-0005-0000-0000-0000466C0000}"/>
    <cellStyle name="Normal 16 3 4 2" xfId="11989" xr:uid="{00000000-0005-0000-0000-0000476C0000}"/>
    <cellStyle name="Normal 16 3 4 2 2" xfId="25704" xr:uid="{00000000-0005-0000-0000-0000486C0000}"/>
    <cellStyle name="Normal 16 3 4 3" xfId="31515" xr:uid="{00000000-0005-0000-0000-0000496C0000}"/>
    <cellStyle name="Normal 16 3 5" xfId="7199" xr:uid="{00000000-0005-0000-0000-00004A6C0000}"/>
    <cellStyle name="Normal 16 3 5 2" xfId="13564" xr:uid="{00000000-0005-0000-0000-00004B6C0000}"/>
    <cellStyle name="Normal 16 3 5 2 2" xfId="27113" xr:uid="{00000000-0005-0000-0000-00004C6C0000}"/>
    <cellStyle name="Normal 16 3 5 3" xfId="31516" xr:uid="{00000000-0005-0000-0000-00004D6C0000}"/>
    <cellStyle name="Normal 16 3 6" xfId="7200" xr:uid="{00000000-0005-0000-0000-00004E6C0000}"/>
    <cellStyle name="Normal 16 3 6 2" xfId="14145" xr:uid="{00000000-0005-0000-0000-00004F6C0000}"/>
    <cellStyle name="Normal 16 3 6 2 2" xfId="27694" xr:uid="{00000000-0005-0000-0000-0000506C0000}"/>
    <cellStyle name="Normal 16 3 6 3" xfId="31517" xr:uid="{00000000-0005-0000-0000-0000516C0000}"/>
    <cellStyle name="Normal 16 3 7" xfId="7201" xr:uid="{00000000-0005-0000-0000-0000526C0000}"/>
    <cellStyle name="Normal 16 3 7 2" xfId="16031" xr:uid="{00000000-0005-0000-0000-0000536C0000}"/>
    <cellStyle name="Normal 16 3 7 2 2" xfId="29438" xr:uid="{00000000-0005-0000-0000-0000546C0000}"/>
    <cellStyle name="Normal 16 3 7 3" xfId="31518" xr:uid="{00000000-0005-0000-0000-0000556C0000}"/>
    <cellStyle name="Normal 16 3 8" xfId="10154" xr:uid="{00000000-0005-0000-0000-0000566C0000}"/>
    <cellStyle name="Normal 16 3 8 2" xfId="24378" xr:uid="{00000000-0005-0000-0000-0000576C0000}"/>
    <cellStyle name="Normal 16 3 9" xfId="31505" xr:uid="{00000000-0005-0000-0000-0000586C0000}"/>
    <cellStyle name="Normal 16 4" xfId="7202" xr:uid="{00000000-0005-0000-0000-0000596C0000}"/>
    <cellStyle name="Normal 16 4 2" xfId="7203" xr:uid="{00000000-0005-0000-0000-00005A6C0000}"/>
    <cellStyle name="Normal 16 4 2 2" xfId="7204" xr:uid="{00000000-0005-0000-0000-00005B6C0000}"/>
    <cellStyle name="Normal 16 4 2 2 2" xfId="16758" xr:uid="{00000000-0005-0000-0000-00005C6C0000}"/>
    <cellStyle name="Normal 16 4 2 2 2 2" xfId="30165" xr:uid="{00000000-0005-0000-0000-00005D6C0000}"/>
    <cellStyle name="Normal 16 4 2 2 3" xfId="31521" xr:uid="{00000000-0005-0000-0000-00005E6C0000}"/>
    <cellStyle name="Normal 16 4 2 3" xfId="11531" xr:uid="{00000000-0005-0000-0000-00005F6C0000}"/>
    <cellStyle name="Normal 16 4 2 3 2" xfId="25363" xr:uid="{00000000-0005-0000-0000-0000606C0000}"/>
    <cellStyle name="Normal 16 4 2 4" xfId="31520" xr:uid="{00000000-0005-0000-0000-0000616C0000}"/>
    <cellStyle name="Normal 16 4 3" xfId="7205" xr:uid="{00000000-0005-0000-0000-0000626C0000}"/>
    <cellStyle name="Normal 16 4 3 2" xfId="12146" xr:uid="{00000000-0005-0000-0000-0000636C0000}"/>
    <cellStyle name="Normal 16 4 3 2 2" xfId="25858" xr:uid="{00000000-0005-0000-0000-0000646C0000}"/>
    <cellStyle name="Normal 16 4 3 3" xfId="31522" xr:uid="{00000000-0005-0000-0000-0000656C0000}"/>
    <cellStyle name="Normal 16 4 4" xfId="7206" xr:uid="{00000000-0005-0000-0000-0000666C0000}"/>
    <cellStyle name="Normal 16 4 4 2" xfId="13710" xr:uid="{00000000-0005-0000-0000-0000676C0000}"/>
    <cellStyle name="Normal 16 4 4 2 2" xfId="27259" xr:uid="{00000000-0005-0000-0000-0000686C0000}"/>
    <cellStyle name="Normal 16 4 4 3" xfId="31523" xr:uid="{00000000-0005-0000-0000-0000696C0000}"/>
    <cellStyle name="Normal 16 4 5" xfId="7207" xr:uid="{00000000-0005-0000-0000-00006A6C0000}"/>
    <cellStyle name="Normal 16 4 5 2" xfId="14291" xr:uid="{00000000-0005-0000-0000-00006B6C0000}"/>
    <cellStyle name="Normal 16 4 5 2 2" xfId="27840" xr:uid="{00000000-0005-0000-0000-00006C6C0000}"/>
    <cellStyle name="Normal 16 4 5 3" xfId="31524" xr:uid="{00000000-0005-0000-0000-00006D6C0000}"/>
    <cellStyle name="Normal 16 4 6" xfId="7208" xr:uid="{00000000-0005-0000-0000-00006E6C0000}"/>
    <cellStyle name="Normal 16 4 6 2" xfId="16177" xr:uid="{00000000-0005-0000-0000-00006F6C0000}"/>
    <cellStyle name="Normal 16 4 6 2 2" xfId="29584" xr:uid="{00000000-0005-0000-0000-0000706C0000}"/>
    <cellStyle name="Normal 16 4 6 3" xfId="31525" xr:uid="{00000000-0005-0000-0000-0000716C0000}"/>
    <cellStyle name="Normal 16 4 7" xfId="10156" xr:uid="{00000000-0005-0000-0000-0000726C0000}"/>
    <cellStyle name="Normal 16 4 7 2" xfId="24380" xr:uid="{00000000-0005-0000-0000-0000736C0000}"/>
    <cellStyle name="Normal 16 4 8" xfId="31519" xr:uid="{00000000-0005-0000-0000-0000746C0000}"/>
    <cellStyle name="Normal 16 5" xfId="7209" xr:uid="{00000000-0005-0000-0000-0000756C0000}"/>
    <cellStyle name="Normal 16 5 2" xfId="7210" xr:uid="{00000000-0005-0000-0000-0000766C0000}"/>
    <cellStyle name="Normal 16 5 2 2" xfId="17105" xr:uid="{00000000-0005-0000-0000-0000776C0000}"/>
    <cellStyle name="Normal 16 5 2 2 2" xfId="30464" xr:uid="{00000000-0005-0000-0000-0000786C0000}"/>
    <cellStyle name="Normal 16 5 2 3" xfId="31527" xr:uid="{00000000-0005-0000-0000-0000796C0000}"/>
    <cellStyle name="Normal 16 5 3" xfId="11524" xr:uid="{00000000-0005-0000-0000-00007A6C0000}"/>
    <cellStyle name="Normal 16 5 3 2" xfId="25356" xr:uid="{00000000-0005-0000-0000-00007B6C0000}"/>
    <cellStyle name="Normal 16 5 4" xfId="31526" xr:uid="{00000000-0005-0000-0000-00007C6C0000}"/>
    <cellStyle name="Normal 16 6" xfId="7211" xr:uid="{00000000-0005-0000-0000-00007D6C0000}"/>
    <cellStyle name="Normal 16 6 2" xfId="7212" xr:uid="{00000000-0005-0000-0000-00007E6C0000}"/>
    <cellStyle name="Normal 16 6 2 2" xfId="17194" xr:uid="{00000000-0005-0000-0000-00007F6C0000}"/>
    <cellStyle name="Normal 16 6 2 2 2" xfId="30553" xr:uid="{00000000-0005-0000-0000-0000806C0000}"/>
    <cellStyle name="Normal 16 6 2 3" xfId="31529" xr:uid="{00000000-0005-0000-0000-0000816C0000}"/>
    <cellStyle name="Normal 16 6 3" xfId="11820" xr:uid="{00000000-0005-0000-0000-0000826C0000}"/>
    <cellStyle name="Normal 16 6 3 2" xfId="25535" xr:uid="{00000000-0005-0000-0000-0000836C0000}"/>
    <cellStyle name="Normal 16 6 4" xfId="31528" xr:uid="{00000000-0005-0000-0000-0000846C0000}"/>
    <cellStyle name="Normal 16 7" xfId="7213" xr:uid="{00000000-0005-0000-0000-0000856C0000}"/>
    <cellStyle name="Normal 16 7 2" xfId="7214" xr:uid="{00000000-0005-0000-0000-0000866C0000}"/>
    <cellStyle name="Normal 16 7 2 2" xfId="16469" xr:uid="{00000000-0005-0000-0000-0000876C0000}"/>
    <cellStyle name="Normal 16 7 2 2 2" xfId="29876" xr:uid="{00000000-0005-0000-0000-0000886C0000}"/>
    <cellStyle name="Normal 16 7 2 3" xfId="31531" xr:uid="{00000000-0005-0000-0000-0000896C0000}"/>
    <cellStyle name="Normal 16 7 3" xfId="13421" xr:uid="{00000000-0005-0000-0000-00008A6C0000}"/>
    <cellStyle name="Normal 16 7 3 2" xfId="26970" xr:uid="{00000000-0005-0000-0000-00008B6C0000}"/>
    <cellStyle name="Normal 16 7 4" xfId="31530" xr:uid="{00000000-0005-0000-0000-00008C6C0000}"/>
    <cellStyle name="Normal 16 8" xfId="7215" xr:uid="{00000000-0005-0000-0000-00008D6C0000}"/>
    <cellStyle name="Normal 16 8 2" xfId="14002" xr:uid="{00000000-0005-0000-0000-00008E6C0000}"/>
    <cellStyle name="Normal 16 8 2 2" xfId="27551" xr:uid="{00000000-0005-0000-0000-00008F6C0000}"/>
    <cellStyle name="Normal 16 8 3" xfId="31532" xr:uid="{00000000-0005-0000-0000-0000906C0000}"/>
    <cellStyle name="Normal 16 9" xfId="7216" xr:uid="{00000000-0005-0000-0000-0000916C0000}"/>
    <cellStyle name="Normal 16 9 2" xfId="15888" xr:uid="{00000000-0005-0000-0000-0000926C0000}"/>
    <cellStyle name="Normal 16 9 2 2" xfId="29295" xr:uid="{00000000-0005-0000-0000-0000936C0000}"/>
    <cellStyle name="Normal 16 9 3" xfId="31533" xr:uid="{00000000-0005-0000-0000-0000946C0000}"/>
    <cellStyle name="Normal 17" xfId="7217" xr:uid="{00000000-0005-0000-0000-0000956C0000}"/>
    <cellStyle name="Normal 17 2" xfId="7218" xr:uid="{00000000-0005-0000-0000-0000966C0000}"/>
    <cellStyle name="Normal 17 2 2" xfId="10158" xr:uid="{00000000-0005-0000-0000-0000976C0000}"/>
    <cellStyle name="Normal 17 3" xfId="10157" xr:uid="{00000000-0005-0000-0000-0000986C0000}"/>
    <cellStyle name="Normal 18" xfId="7219" xr:uid="{00000000-0005-0000-0000-0000996C0000}"/>
    <cellStyle name="Normal 18 2" xfId="7220" xr:uid="{00000000-0005-0000-0000-00009A6C0000}"/>
    <cellStyle name="Normal 18 2 2" xfId="10160" xr:uid="{00000000-0005-0000-0000-00009B6C0000}"/>
    <cellStyle name="Normal 18 3" xfId="10159" xr:uid="{00000000-0005-0000-0000-00009C6C0000}"/>
    <cellStyle name="Normal 19" xfId="7221" xr:uid="{00000000-0005-0000-0000-00009D6C0000}"/>
    <cellStyle name="Normal 19 10" xfId="31534" xr:uid="{00000000-0005-0000-0000-00009E6C0000}"/>
    <cellStyle name="Normal 19 2" xfId="7222" xr:uid="{00000000-0005-0000-0000-00009F6C0000}"/>
    <cellStyle name="Normal 19 2 2" xfId="7223" xr:uid="{00000000-0005-0000-0000-0000A06C0000}"/>
    <cellStyle name="Normal 19 2 2 2" xfId="7224" xr:uid="{00000000-0005-0000-0000-0000A16C0000}"/>
    <cellStyle name="Normal 19 2 2 2 2" xfId="7225" xr:uid="{00000000-0005-0000-0000-0000A26C0000}"/>
    <cellStyle name="Normal 19 2 2 2 2 2" xfId="16924" xr:uid="{00000000-0005-0000-0000-0000A36C0000}"/>
    <cellStyle name="Normal 19 2 2 2 2 2 2" xfId="30331" xr:uid="{00000000-0005-0000-0000-0000A46C0000}"/>
    <cellStyle name="Normal 19 2 2 2 2 3" xfId="31538" xr:uid="{00000000-0005-0000-0000-0000A56C0000}"/>
    <cellStyle name="Normal 19 2 2 2 3" xfId="11534" xr:uid="{00000000-0005-0000-0000-0000A66C0000}"/>
    <cellStyle name="Normal 19 2 2 2 3 2" xfId="25366" xr:uid="{00000000-0005-0000-0000-0000A76C0000}"/>
    <cellStyle name="Normal 19 2 2 2 4" xfId="31537" xr:uid="{00000000-0005-0000-0000-0000A86C0000}"/>
    <cellStyle name="Normal 19 2 2 3" xfId="7226" xr:uid="{00000000-0005-0000-0000-0000A96C0000}"/>
    <cellStyle name="Normal 19 2 2 3 2" xfId="12312" xr:uid="{00000000-0005-0000-0000-0000AA6C0000}"/>
    <cellStyle name="Normal 19 2 2 3 2 2" xfId="26024" xr:uid="{00000000-0005-0000-0000-0000AB6C0000}"/>
    <cellStyle name="Normal 19 2 2 3 3" xfId="31539" xr:uid="{00000000-0005-0000-0000-0000AC6C0000}"/>
    <cellStyle name="Normal 19 2 2 4" xfId="7227" xr:uid="{00000000-0005-0000-0000-0000AD6C0000}"/>
    <cellStyle name="Normal 19 2 2 4 2" xfId="13876" xr:uid="{00000000-0005-0000-0000-0000AE6C0000}"/>
    <cellStyle name="Normal 19 2 2 4 2 2" xfId="27425" xr:uid="{00000000-0005-0000-0000-0000AF6C0000}"/>
    <cellStyle name="Normal 19 2 2 4 3" xfId="31540" xr:uid="{00000000-0005-0000-0000-0000B06C0000}"/>
    <cellStyle name="Normal 19 2 2 5" xfId="7228" xr:uid="{00000000-0005-0000-0000-0000B16C0000}"/>
    <cellStyle name="Normal 19 2 2 5 2" xfId="14457" xr:uid="{00000000-0005-0000-0000-0000B26C0000}"/>
    <cellStyle name="Normal 19 2 2 5 2 2" xfId="28006" xr:uid="{00000000-0005-0000-0000-0000B36C0000}"/>
    <cellStyle name="Normal 19 2 2 5 3" xfId="31541" xr:uid="{00000000-0005-0000-0000-0000B46C0000}"/>
    <cellStyle name="Normal 19 2 2 6" xfId="7229" xr:uid="{00000000-0005-0000-0000-0000B56C0000}"/>
    <cellStyle name="Normal 19 2 2 6 2" xfId="16343" xr:uid="{00000000-0005-0000-0000-0000B66C0000}"/>
    <cellStyle name="Normal 19 2 2 6 2 2" xfId="29750" xr:uid="{00000000-0005-0000-0000-0000B76C0000}"/>
    <cellStyle name="Normal 19 2 2 6 3" xfId="31542" xr:uid="{00000000-0005-0000-0000-0000B86C0000}"/>
    <cellStyle name="Normal 19 2 2 7" xfId="10163" xr:uid="{00000000-0005-0000-0000-0000B96C0000}"/>
    <cellStyle name="Normal 19 2 2 7 2" xfId="24383" xr:uid="{00000000-0005-0000-0000-0000BA6C0000}"/>
    <cellStyle name="Normal 19 2 2 8" xfId="31536" xr:uid="{00000000-0005-0000-0000-0000BB6C0000}"/>
    <cellStyle name="Normal 19 2 3" xfId="7230" xr:uid="{00000000-0005-0000-0000-0000BC6C0000}"/>
    <cellStyle name="Normal 19 2 3 2" xfId="7231" xr:uid="{00000000-0005-0000-0000-0000BD6C0000}"/>
    <cellStyle name="Normal 19 2 3 2 2" xfId="16635" xr:uid="{00000000-0005-0000-0000-0000BE6C0000}"/>
    <cellStyle name="Normal 19 2 3 2 2 2" xfId="30042" xr:uid="{00000000-0005-0000-0000-0000BF6C0000}"/>
    <cellStyle name="Normal 19 2 3 2 3" xfId="31544" xr:uid="{00000000-0005-0000-0000-0000C06C0000}"/>
    <cellStyle name="Normal 19 2 3 3" xfId="11533" xr:uid="{00000000-0005-0000-0000-0000C16C0000}"/>
    <cellStyle name="Normal 19 2 3 3 2" xfId="25365" xr:uid="{00000000-0005-0000-0000-0000C26C0000}"/>
    <cellStyle name="Normal 19 2 3 4" xfId="31543" xr:uid="{00000000-0005-0000-0000-0000C36C0000}"/>
    <cellStyle name="Normal 19 2 4" xfId="7232" xr:uid="{00000000-0005-0000-0000-0000C46C0000}"/>
    <cellStyle name="Normal 19 2 4 2" xfId="12012" xr:uid="{00000000-0005-0000-0000-0000C56C0000}"/>
    <cellStyle name="Normal 19 2 4 2 2" xfId="25727" xr:uid="{00000000-0005-0000-0000-0000C66C0000}"/>
    <cellStyle name="Normal 19 2 4 3" xfId="31545" xr:uid="{00000000-0005-0000-0000-0000C76C0000}"/>
    <cellStyle name="Normal 19 2 5" xfId="7233" xr:uid="{00000000-0005-0000-0000-0000C86C0000}"/>
    <cellStyle name="Normal 19 2 5 2" xfId="13587" xr:uid="{00000000-0005-0000-0000-0000C96C0000}"/>
    <cellStyle name="Normal 19 2 5 2 2" xfId="27136" xr:uid="{00000000-0005-0000-0000-0000CA6C0000}"/>
    <cellStyle name="Normal 19 2 5 3" xfId="31546" xr:uid="{00000000-0005-0000-0000-0000CB6C0000}"/>
    <cellStyle name="Normal 19 2 6" xfId="7234" xr:uid="{00000000-0005-0000-0000-0000CC6C0000}"/>
    <cellStyle name="Normal 19 2 6 2" xfId="14168" xr:uid="{00000000-0005-0000-0000-0000CD6C0000}"/>
    <cellStyle name="Normal 19 2 6 2 2" xfId="27717" xr:uid="{00000000-0005-0000-0000-0000CE6C0000}"/>
    <cellStyle name="Normal 19 2 6 3" xfId="31547" xr:uid="{00000000-0005-0000-0000-0000CF6C0000}"/>
    <cellStyle name="Normal 19 2 7" xfId="7235" xr:uid="{00000000-0005-0000-0000-0000D06C0000}"/>
    <cellStyle name="Normal 19 2 7 2" xfId="16054" xr:uid="{00000000-0005-0000-0000-0000D16C0000}"/>
    <cellStyle name="Normal 19 2 7 2 2" xfId="29461" xr:uid="{00000000-0005-0000-0000-0000D26C0000}"/>
    <cellStyle name="Normal 19 2 7 3" xfId="31548" xr:uid="{00000000-0005-0000-0000-0000D36C0000}"/>
    <cellStyle name="Normal 19 2 8" xfId="10162" xr:uid="{00000000-0005-0000-0000-0000D46C0000}"/>
    <cellStyle name="Normal 19 2 8 2" xfId="24382" xr:uid="{00000000-0005-0000-0000-0000D56C0000}"/>
    <cellStyle name="Normal 19 2 9" xfId="31535" xr:uid="{00000000-0005-0000-0000-0000D66C0000}"/>
    <cellStyle name="Normal 19 3" xfId="7236" xr:uid="{00000000-0005-0000-0000-0000D76C0000}"/>
    <cellStyle name="Normal 19 3 2" xfId="7237" xr:uid="{00000000-0005-0000-0000-0000D86C0000}"/>
    <cellStyle name="Normal 19 3 2 2" xfId="7238" xr:uid="{00000000-0005-0000-0000-0000D96C0000}"/>
    <cellStyle name="Normal 19 3 2 2 2" xfId="16781" xr:uid="{00000000-0005-0000-0000-0000DA6C0000}"/>
    <cellStyle name="Normal 19 3 2 2 2 2" xfId="30188" xr:uid="{00000000-0005-0000-0000-0000DB6C0000}"/>
    <cellStyle name="Normal 19 3 2 2 3" xfId="31551" xr:uid="{00000000-0005-0000-0000-0000DC6C0000}"/>
    <cellStyle name="Normal 19 3 2 3" xfId="11535" xr:uid="{00000000-0005-0000-0000-0000DD6C0000}"/>
    <cellStyle name="Normal 19 3 2 3 2" xfId="25367" xr:uid="{00000000-0005-0000-0000-0000DE6C0000}"/>
    <cellStyle name="Normal 19 3 2 4" xfId="31550" xr:uid="{00000000-0005-0000-0000-0000DF6C0000}"/>
    <cellStyle name="Normal 19 3 3" xfId="7239" xr:uid="{00000000-0005-0000-0000-0000E06C0000}"/>
    <cellStyle name="Normal 19 3 3 2" xfId="12169" xr:uid="{00000000-0005-0000-0000-0000E16C0000}"/>
    <cellStyle name="Normal 19 3 3 2 2" xfId="25881" xr:uid="{00000000-0005-0000-0000-0000E26C0000}"/>
    <cellStyle name="Normal 19 3 3 3" xfId="31552" xr:uid="{00000000-0005-0000-0000-0000E36C0000}"/>
    <cellStyle name="Normal 19 3 4" xfId="7240" xr:uid="{00000000-0005-0000-0000-0000E46C0000}"/>
    <cellStyle name="Normal 19 3 4 2" xfId="13733" xr:uid="{00000000-0005-0000-0000-0000E56C0000}"/>
    <cellStyle name="Normal 19 3 4 2 2" xfId="27282" xr:uid="{00000000-0005-0000-0000-0000E66C0000}"/>
    <cellStyle name="Normal 19 3 4 3" xfId="31553" xr:uid="{00000000-0005-0000-0000-0000E76C0000}"/>
    <cellStyle name="Normal 19 3 5" xfId="7241" xr:uid="{00000000-0005-0000-0000-0000E86C0000}"/>
    <cellStyle name="Normal 19 3 5 2" xfId="14314" xr:uid="{00000000-0005-0000-0000-0000E96C0000}"/>
    <cellStyle name="Normal 19 3 5 2 2" xfId="27863" xr:uid="{00000000-0005-0000-0000-0000EA6C0000}"/>
    <cellStyle name="Normal 19 3 5 3" xfId="31554" xr:uid="{00000000-0005-0000-0000-0000EB6C0000}"/>
    <cellStyle name="Normal 19 3 6" xfId="7242" xr:uid="{00000000-0005-0000-0000-0000EC6C0000}"/>
    <cellStyle name="Normal 19 3 6 2" xfId="16200" xr:uid="{00000000-0005-0000-0000-0000ED6C0000}"/>
    <cellStyle name="Normal 19 3 6 2 2" xfId="29607" xr:uid="{00000000-0005-0000-0000-0000EE6C0000}"/>
    <cellStyle name="Normal 19 3 6 3" xfId="31555" xr:uid="{00000000-0005-0000-0000-0000EF6C0000}"/>
    <cellStyle name="Normal 19 3 7" xfId="10164" xr:uid="{00000000-0005-0000-0000-0000F06C0000}"/>
    <cellStyle name="Normal 19 3 7 2" xfId="24384" xr:uid="{00000000-0005-0000-0000-0000F16C0000}"/>
    <cellStyle name="Normal 19 3 8" xfId="31549" xr:uid="{00000000-0005-0000-0000-0000F26C0000}"/>
    <cellStyle name="Normal 19 4" xfId="7243" xr:uid="{00000000-0005-0000-0000-0000F36C0000}"/>
    <cellStyle name="Normal 19 4 2" xfId="7244" xr:uid="{00000000-0005-0000-0000-0000F46C0000}"/>
    <cellStyle name="Normal 19 4 2 2" xfId="17128" xr:uid="{00000000-0005-0000-0000-0000F56C0000}"/>
    <cellStyle name="Normal 19 4 2 2 2" xfId="30487" xr:uid="{00000000-0005-0000-0000-0000F66C0000}"/>
    <cellStyle name="Normal 19 4 2 3" xfId="31557" xr:uid="{00000000-0005-0000-0000-0000F76C0000}"/>
    <cellStyle name="Normal 19 4 3" xfId="11532" xr:uid="{00000000-0005-0000-0000-0000F86C0000}"/>
    <cellStyle name="Normal 19 4 3 2" xfId="25364" xr:uid="{00000000-0005-0000-0000-0000F96C0000}"/>
    <cellStyle name="Normal 19 4 4" xfId="31556" xr:uid="{00000000-0005-0000-0000-0000FA6C0000}"/>
    <cellStyle name="Normal 19 5" xfId="7245" xr:uid="{00000000-0005-0000-0000-0000FB6C0000}"/>
    <cellStyle name="Normal 19 5 2" xfId="7246" xr:uid="{00000000-0005-0000-0000-0000FC6C0000}"/>
    <cellStyle name="Normal 19 5 2 2" xfId="17217" xr:uid="{00000000-0005-0000-0000-0000FD6C0000}"/>
    <cellStyle name="Normal 19 5 2 2 2" xfId="30576" xr:uid="{00000000-0005-0000-0000-0000FE6C0000}"/>
    <cellStyle name="Normal 19 5 2 3" xfId="31559" xr:uid="{00000000-0005-0000-0000-0000FF6C0000}"/>
    <cellStyle name="Normal 19 5 3" xfId="11864" xr:uid="{00000000-0005-0000-0000-0000006D0000}"/>
    <cellStyle name="Normal 19 5 3 2" xfId="25579" xr:uid="{00000000-0005-0000-0000-0000016D0000}"/>
    <cellStyle name="Normal 19 5 4" xfId="31558" xr:uid="{00000000-0005-0000-0000-0000026D0000}"/>
    <cellStyle name="Normal 19 6" xfId="7247" xr:uid="{00000000-0005-0000-0000-0000036D0000}"/>
    <cellStyle name="Normal 19 6 2" xfId="7248" xr:uid="{00000000-0005-0000-0000-0000046D0000}"/>
    <cellStyle name="Normal 19 6 2 2" xfId="16492" xr:uid="{00000000-0005-0000-0000-0000056D0000}"/>
    <cellStyle name="Normal 19 6 2 2 2" xfId="29899" xr:uid="{00000000-0005-0000-0000-0000066D0000}"/>
    <cellStyle name="Normal 19 6 2 3" xfId="31561" xr:uid="{00000000-0005-0000-0000-0000076D0000}"/>
    <cellStyle name="Normal 19 6 3" xfId="13444" xr:uid="{00000000-0005-0000-0000-0000086D0000}"/>
    <cellStyle name="Normal 19 6 3 2" xfId="26993" xr:uid="{00000000-0005-0000-0000-0000096D0000}"/>
    <cellStyle name="Normal 19 6 4" xfId="31560" xr:uid="{00000000-0005-0000-0000-00000A6D0000}"/>
    <cellStyle name="Normal 19 7" xfId="7249" xr:uid="{00000000-0005-0000-0000-00000B6D0000}"/>
    <cellStyle name="Normal 19 7 2" xfId="14025" xr:uid="{00000000-0005-0000-0000-00000C6D0000}"/>
    <cellStyle name="Normal 19 7 2 2" xfId="27574" xr:uid="{00000000-0005-0000-0000-00000D6D0000}"/>
    <cellStyle name="Normal 19 7 3" xfId="31562" xr:uid="{00000000-0005-0000-0000-00000E6D0000}"/>
    <cellStyle name="Normal 19 8" xfId="7250" xr:uid="{00000000-0005-0000-0000-00000F6D0000}"/>
    <cellStyle name="Normal 19 8 2" xfId="15911" xr:uid="{00000000-0005-0000-0000-0000106D0000}"/>
    <cellStyle name="Normal 19 8 2 2" xfId="29318" xr:uid="{00000000-0005-0000-0000-0000116D0000}"/>
    <cellStyle name="Normal 19 8 3" xfId="31563" xr:uid="{00000000-0005-0000-0000-0000126D0000}"/>
    <cellStyle name="Normal 19 9" xfId="10161" xr:uid="{00000000-0005-0000-0000-0000136D0000}"/>
    <cellStyle name="Normal 19 9 2" xfId="24381" xr:uid="{00000000-0005-0000-0000-0000146D0000}"/>
    <cellStyle name="Normal 2" xfId="7251" xr:uid="{00000000-0005-0000-0000-0000156D0000}"/>
    <cellStyle name="Normal 2 2" xfId="7252" xr:uid="{00000000-0005-0000-0000-0000166D0000}"/>
    <cellStyle name="Normal 2 2 2" xfId="7253" xr:uid="{00000000-0005-0000-0000-0000176D0000}"/>
    <cellStyle name="Normal 2 2 2 10" xfId="32928" xr:uid="{00000000-0005-0000-0000-0000186D0000}"/>
    <cellStyle name="Normal 2 2 2 11" xfId="32987" xr:uid="{00000000-0005-0000-0000-0000196D0000}"/>
    <cellStyle name="Normal 2 2 2 2" xfId="7254" xr:uid="{00000000-0005-0000-0000-00001A6D0000}"/>
    <cellStyle name="Normal 2 2 2 2 2" xfId="11537" xr:uid="{00000000-0005-0000-0000-00001B6D0000}"/>
    <cellStyle name="Normal 2 2 2 2 2 2" xfId="25368" xr:uid="{00000000-0005-0000-0000-00001C6D0000}"/>
    <cellStyle name="Normal 2 2 2 2 3" xfId="31566" xr:uid="{00000000-0005-0000-0000-00001D6D0000}"/>
    <cellStyle name="Normal 2 2 2 2 4" xfId="32936" xr:uid="{00000000-0005-0000-0000-00001E6D0000}"/>
    <cellStyle name="Normal 2 2 2 2 5" xfId="32994" xr:uid="{00000000-0005-0000-0000-00001F6D0000}"/>
    <cellStyle name="Normal 2 2 2 3" xfId="7255" xr:uid="{00000000-0005-0000-0000-0000206D0000}"/>
    <cellStyle name="Normal 2 2 2 3 2" xfId="13235" xr:uid="{00000000-0005-0000-0000-0000216D0000}"/>
    <cellStyle name="Normal 2 2 2 3 2 2" xfId="26878" xr:uid="{00000000-0005-0000-0000-0000226D0000}"/>
    <cellStyle name="Normal 2 2 2 3 3" xfId="31567" xr:uid="{00000000-0005-0000-0000-0000236D0000}"/>
    <cellStyle name="Normal 2 2 2 4" xfId="7256" xr:uid="{00000000-0005-0000-0000-0000246D0000}"/>
    <cellStyle name="Normal 2 2 2 4 2" xfId="15684" xr:uid="{00000000-0005-0000-0000-0000256D0000}"/>
    <cellStyle name="Normal 2 2 2 4 2 2" xfId="29170" xr:uid="{00000000-0005-0000-0000-0000266D0000}"/>
    <cellStyle name="Normal 2 2 2 4 3" xfId="31568" xr:uid="{00000000-0005-0000-0000-0000276D0000}"/>
    <cellStyle name="Normal 2 2 2 5" xfId="7257" xr:uid="{00000000-0005-0000-0000-0000286D0000}"/>
    <cellStyle name="Normal 2 2 2 5 2" xfId="15793" xr:uid="{00000000-0005-0000-0000-0000296D0000}"/>
    <cellStyle name="Normal 2 2 2 5 2 2" xfId="29200" xr:uid="{00000000-0005-0000-0000-00002A6D0000}"/>
    <cellStyle name="Normal 2 2 2 5 3" xfId="31569" xr:uid="{00000000-0005-0000-0000-00002B6D0000}"/>
    <cellStyle name="Normal 2 2 2 6" xfId="7258" xr:uid="{00000000-0005-0000-0000-00002C6D0000}"/>
    <cellStyle name="Normal 2 2 2 6 2" xfId="17029" xr:uid="{00000000-0005-0000-0000-00002D6D0000}"/>
    <cellStyle name="Normal 2 2 2 6 3" xfId="31570" xr:uid="{00000000-0005-0000-0000-00002E6D0000}"/>
    <cellStyle name="Normal 2 2 2 7" xfId="8702" xr:uid="{00000000-0005-0000-0000-00002F6D0000}"/>
    <cellStyle name="Normal 2 2 2 7 2" xfId="17314" xr:uid="{00000000-0005-0000-0000-0000306D0000}"/>
    <cellStyle name="Normal 2 2 2 7 2 2" xfId="30667" xr:uid="{00000000-0005-0000-0000-0000316D0000}"/>
    <cellStyle name="Normal 2 2 2 7 3" xfId="23221" xr:uid="{00000000-0005-0000-0000-0000326D0000}"/>
    <cellStyle name="Normal 2 2 2 8" xfId="8798" xr:uid="{00000000-0005-0000-0000-0000336D0000}"/>
    <cellStyle name="Normal 2 2 2 8 2" xfId="23276" xr:uid="{00000000-0005-0000-0000-0000346D0000}"/>
    <cellStyle name="Normal 2 2 2 9" xfId="31565" xr:uid="{00000000-0005-0000-0000-0000356D0000}"/>
    <cellStyle name="Normal 2 2 3" xfId="7259" xr:uid="{00000000-0005-0000-0000-0000366D0000}"/>
    <cellStyle name="Normal 2 2 3 2" xfId="7260" xr:uid="{00000000-0005-0000-0000-0000376D0000}"/>
    <cellStyle name="Normal 2 2 3 2 2" xfId="11681" xr:uid="{00000000-0005-0000-0000-0000386D0000}"/>
    <cellStyle name="Normal 2 2 3 2 3" xfId="31572" xr:uid="{00000000-0005-0000-0000-0000396D0000}"/>
    <cellStyle name="Normal 2 2 3 3" xfId="10166" xr:uid="{00000000-0005-0000-0000-00003A6D0000}"/>
    <cellStyle name="Normal 2 2 3 4" xfId="31571" xr:uid="{00000000-0005-0000-0000-00003B6D0000}"/>
    <cellStyle name="Normal 2 2 4" xfId="7261" xr:uid="{00000000-0005-0000-0000-00003C6D0000}"/>
    <cellStyle name="Normal 2 2 4 2" xfId="11536" xr:uid="{00000000-0005-0000-0000-00003D6D0000}"/>
    <cellStyle name="Normal 2 2 4 3" xfId="31573" xr:uid="{00000000-0005-0000-0000-00003E6D0000}"/>
    <cellStyle name="Normal 2 2 5" xfId="8691" xr:uid="{00000000-0005-0000-0000-00003F6D0000}"/>
    <cellStyle name="Normal 2 2 6" xfId="31564" xr:uid="{00000000-0005-0000-0000-0000406D0000}"/>
    <cellStyle name="Normal 2 3" xfId="7262" xr:uid="{00000000-0005-0000-0000-0000416D0000}"/>
    <cellStyle name="Normal 2 3 2" xfId="7263" xr:uid="{00000000-0005-0000-0000-0000426D0000}"/>
    <cellStyle name="Normal 2 3 2 2" xfId="10167" xr:uid="{00000000-0005-0000-0000-0000436D0000}"/>
    <cellStyle name="Normal 2 3 3" xfId="7264" xr:uid="{00000000-0005-0000-0000-0000446D0000}"/>
    <cellStyle name="Normal 2 3 3 2" xfId="7265" xr:uid="{00000000-0005-0000-0000-0000456D0000}"/>
    <cellStyle name="Normal 2 3 3 2 2" xfId="10169" xr:uid="{00000000-0005-0000-0000-0000466D0000}"/>
    <cellStyle name="Normal 2 3 3 3" xfId="7266" xr:uid="{00000000-0005-0000-0000-0000476D0000}"/>
    <cellStyle name="Normal 2 3 3 3 2" xfId="13236" xr:uid="{00000000-0005-0000-0000-0000486D0000}"/>
    <cellStyle name="Normal 2 3 3 4" xfId="10168" xr:uid="{00000000-0005-0000-0000-0000496D0000}"/>
    <cellStyle name="Normal 2 3 4" xfId="7267" xr:uid="{00000000-0005-0000-0000-00004A6D0000}"/>
    <cellStyle name="Normal 2 3 4 2" xfId="7268" xr:uid="{00000000-0005-0000-0000-00004B6D0000}"/>
    <cellStyle name="Normal 2 3 4 2 2" xfId="13237" xr:uid="{00000000-0005-0000-0000-00004C6D0000}"/>
    <cellStyle name="Normal 2 3 4 3" xfId="10509" xr:uid="{00000000-0005-0000-0000-00004D6D0000}"/>
    <cellStyle name="Normal 2 3 5" xfId="8699" xr:uid="{00000000-0005-0000-0000-00004E6D0000}"/>
    <cellStyle name="Normal 2 4" xfId="7269" xr:uid="{00000000-0005-0000-0000-00004F6D0000}"/>
    <cellStyle name="Normal 2 4 2" xfId="7270" xr:uid="{00000000-0005-0000-0000-0000506D0000}"/>
    <cellStyle name="Normal 2 4 2 2" xfId="10170" xr:uid="{00000000-0005-0000-0000-0000516D0000}"/>
    <cellStyle name="Normal 2 4 2 3" xfId="31574" xr:uid="{00000000-0005-0000-0000-0000526D0000}"/>
    <cellStyle name="Normal 2 4 3" xfId="8665" xr:uid="{00000000-0005-0000-0000-0000536D0000}"/>
    <cellStyle name="Normal 2 5" xfId="7271" xr:uid="{00000000-0005-0000-0000-0000546D0000}"/>
    <cellStyle name="Normal 2 5 2" xfId="7272" xr:uid="{00000000-0005-0000-0000-0000556D0000}"/>
    <cellStyle name="Normal 2 5 2 2" xfId="10172" xr:uid="{00000000-0005-0000-0000-0000566D0000}"/>
    <cellStyle name="Normal 2 5 3" xfId="7273" xr:uid="{00000000-0005-0000-0000-0000576D0000}"/>
    <cellStyle name="Normal 2 5 3 2" xfId="13238" xr:uid="{00000000-0005-0000-0000-0000586D0000}"/>
    <cellStyle name="Normal 2 5 4" xfId="7274" xr:uid="{00000000-0005-0000-0000-0000596D0000}"/>
    <cellStyle name="Normal 2 5 4 2" xfId="17333" xr:uid="{00000000-0005-0000-0000-00005A6D0000}"/>
    <cellStyle name="Normal 2 5 5" xfId="8726" xr:uid="{00000000-0005-0000-0000-00005B6D0000}"/>
    <cellStyle name="Normal 2 5 6" xfId="10171" xr:uid="{00000000-0005-0000-0000-00005C6D0000}"/>
    <cellStyle name="Normal 2 6" xfId="7275" xr:uid="{00000000-0005-0000-0000-00005D6D0000}"/>
    <cellStyle name="Normal 2 6 2" xfId="7276" xr:uid="{00000000-0005-0000-0000-00005E6D0000}"/>
    <cellStyle name="Normal 2 6 2 2" xfId="17334" xr:uid="{00000000-0005-0000-0000-00005F6D0000}"/>
    <cellStyle name="Normal 2 6 2 3" xfId="31576" xr:uid="{00000000-0005-0000-0000-0000606D0000}"/>
    <cellStyle name="Normal 2 6 3" xfId="8711" xr:uid="{00000000-0005-0000-0000-0000616D0000}"/>
    <cellStyle name="Normal 2 6 4" xfId="10173" xr:uid="{00000000-0005-0000-0000-0000626D0000}"/>
    <cellStyle name="Normal 2 6 5" xfId="31575" xr:uid="{00000000-0005-0000-0000-0000636D0000}"/>
    <cellStyle name="Normal 2 7" xfId="7277" xr:uid="{00000000-0005-0000-0000-0000646D0000}"/>
    <cellStyle name="Normal 2 7 2" xfId="7278" xr:uid="{00000000-0005-0000-0000-0000656D0000}"/>
    <cellStyle name="Normal 2 7 2 2" xfId="13239" xr:uid="{00000000-0005-0000-0000-0000666D0000}"/>
    <cellStyle name="Normal 2 7 3" xfId="10508" xr:uid="{00000000-0005-0000-0000-0000676D0000}"/>
    <cellStyle name="Normal 2 8" xfId="8641" xr:uid="{00000000-0005-0000-0000-0000686D0000}"/>
    <cellStyle name="Normal 2 8 2" xfId="10165" xr:uid="{00000000-0005-0000-0000-0000696D0000}"/>
    <cellStyle name="Normal 2 9" xfId="17289" xr:uid="{00000000-0005-0000-0000-00006A6D0000}"/>
    <cellStyle name="Normal 20" xfId="7279" xr:uid="{00000000-0005-0000-0000-00006B6D0000}"/>
    <cellStyle name="Normal 20 2" xfId="10174" xr:uid="{00000000-0005-0000-0000-00006C6D0000}"/>
    <cellStyle name="Normal 21" xfId="7280" xr:uid="{00000000-0005-0000-0000-00006D6D0000}"/>
    <cellStyle name="Normal 21 2" xfId="7281" xr:uid="{00000000-0005-0000-0000-00006E6D0000}"/>
    <cellStyle name="Normal 21 2 2" xfId="13240" xr:uid="{00000000-0005-0000-0000-00006F6D0000}"/>
    <cellStyle name="Normal 21 2 3" xfId="31578" xr:uid="{00000000-0005-0000-0000-0000706D0000}"/>
    <cellStyle name="Normal 21 3" xfId="10175" xr:uid="{00000000-0005-0000-0000-0000716D0000}"/>
    <cellStyle name="Normal 21 4" xfId="31577" xr:uid="{00000000-0005-0000-0000-0000726D0000}"/>
    <cellStyle name="Normal 22" xfId="7282" xr:uid="{00000000-0005-0000-0000-0000736D0000}"/>
    <cellStyle name="Normal 22 2" xfId="7283" xr:uid="{00000000-0005-0000-0000-0000746D0000}"/>
    <cellStyle name="Normal 22 2 2" xfId="10177" xr:uid="{00000000-0005-0000-0000-0000756D0000}"/>
    <cellStyle name="Normal 22 2 3" xfId="31580" xr:uid="{00000000-0005-0000-0000-0000766D0000}"/>
    <cellStyle name="Normal 22 3" xfId="7284" xr:uid="{00000000-0005-0000-0000-0000776D0000}"/>
    <cellStyle name="Normal 22 3 2" xfId="13242" xr:uid="{00000000-0005-0000-0000-0000786D0000}"/>
    <cellStyle name="Normal 22 3 3" xfId="31581" xr:uid="{00000000-0005-0000-0000-0000796D0000}"/>
    <cellStyle name="Normal 22 4" xfId="7285" xr:uid="{00000000-0005-0000-0000-00007A6D0000}"/>
    <cellStyle name="Normal 22 4 2" xfId="13241" xr:uid="{00000000-0005-0000-0000-00007B6D0000}"/>
    <cellStyle name="Normal 22 4 3" xfId="31582" xr:uid="{00000000-0005-0000-0000-00007C6D0000}"/>
    <cellStyle name="Normal 22 5" xfId="10176" xr:uid="{00000000-0005-0000-0000-00007D6D0000}"/>
    <cellStyle name="Normal 22 6" xfId="31579" xr:uid="{00000000-0005-0000-0000-00007E6D0000}"/>
    <cellStyle name="Normal 23" xfId="7286" xr:uid="{00000000-0005-0000-0000-00007F6D0000}"/>
    <cellStyle name="Normal 23 2" xfId="10178" xr:uid="{00000000-0005-0000-0000-0000806D0000}"/>
    <cellStyle name="Normal 23 3" xfId="31583" xr:uid="{00000000-0005-0000-0000-0000816D0000}"/>
    <cellStyle name="Normal 24" xfId="8640" xr:uid="{00000000-0005-0000-0000-0000826D0000}"/>
    <cellStyle name="Normal 24 2" xfId="17319" xr:uid="{00000000-0005-0000-0000-0000836D0000}"/>
    <cellStyle name="Normal 24 3" xfId="8808" xr:uid="{00000000-0005-0000-0000-0000846D0000}"/>
    <cellStyle name="Normal 24 4" xfId="23190" xr:uid="{00000000-0005-0000-0000-0000856D0000}"/>
    <cellStyle name="Normal 25" xfId="17288" xr:uid="{00000000-0005-0000-0000-0000866D0000}"/>
    <cellStyle name="Normal 25 2" xfId="30644" xr:uid="{00000000-0005-0000-0000-0000876D0000}"/>
    <cellStyle name="Normal 26" xfId="8777" xr:uid="{00000000-0005-0000-0000-0000886D0000}"/>
    <cellStyle name="Normal 26 2" xfId="23255" xr:uid="{00000000-0005-0000-0000-0000896D0000}"/>
    <cellStyle name="Normal 27" xfId="32899" xr:uid="{00000000-0005-0000-0000-00008A6D0000}"/>
    <cellStyle name="Normal 28" xfId="40" xr:uid="{00000000-0005-0000-0000-00008B6D0000}"/>
    <cellStyle name="Normal 29" xfId="33021" xr:uid="{00000000-0005-0000-0000-00008C6D0000}"/>
    <cellStyle name="Normal 3" xfId="7287" xr:uid="{00000000-0005-0000-0000-00008D6D0000}"/>
    <cellStyle name="Normal 3 10" xfId="7288" xr:uid="{00000000-0005-0000-0000-00008E6D0000}"/>
    <cellStyle name="Normal 3 10 2" xfId="7289" xr:uid="{00000000-0005-0000-0000-00008F6D0000}"/>
    <cellStyle name="Normal 3 10 2 2" xfId="11717" xr:uid="{00000000-0005-0000-0000-0000906D0000}"/>
    <cellStyle name="Normal 3 10 2 2 2" xfId="25436" xr:uid="{00000000-0005-0000-0000-0000916D0000}"/>
    <cellStyle name="Normal 3 10 2 3" xfId="31585" xr:uid="{00000000-0005-0000-0000-0000926D0000}"/>
    <cellStyle name="Normal 3 10 2 4" xfId="32938" xr:uid="{00000000-0005-0000-0000-0000936D0000}"/>
    <cellStyle name="Normal 3 10 2 5" xfId="32996" xr:uid="{00000000-0005-0000-0000-0000946D0000}"/>
    <cellStyle name="Normal 3 10 3" xfId="7290" xr:uid="{00000000-0005-0000-0000-0000956D0000}"/>
    <cellStyle name="Normal 3 10 3 2" xfId="10179" xr:uid="{00000000-0005-0000-0000-0000966D0000}"/>
    <cellStyle name="Normal 3 10 3 3" xfId="31586" xr:uid="{00000000-0005-0000-0000-0000976D0000}"/>
    <cellStyle name="Normal 3 10 4" xfId="8669" xr:uid="{00000000-0005-0000-0000-0000986D0000}"/>
    <cellStyle name="Normal 3 10 4 2" xfId="17294" xr:uid="{00000000-0005-0000-0000-0000996D0000}"/>
    <cellStyle name="Normal 3 10 4 2 2" xfId="30647" xr:uid="{00000000-0005-0000-0000-00009A6D0000}"/>
    <cellStyle name="Normal 3 10 4 3" xfId="23199" xr:uid="{00000000-0005-0000-0000-00009B6D0000}"/>
    <cellStyle name="Normal 3 10 5" xfId="8778" xr:uid="{00000000-0005-0000-0000-00009C6D0000}"/>
    <cellStyle name="Normal 3 10 5 2" xfId="23256" xr:uid="{00000000-0005-0000-0000-00009D6D0000}"/>
    <cellStyle name="Normal 3 10 6" xfId="31584" xr:uid="{00000000-0005-0000-0000-00009E6D0000}"/>
    <cellStyle name="Normal 3 10 7" xfId="32907" xr:uid="{00000000-0005-0000-0000-00009F6D0000}"/>
    <cellStyle name="Normal 3 10 8" xfId="32967" xr:uid="{00000000-0005-0000-0000-0000A06D0000}"/>
    <cellStyle name="Normal 3 11" xfId="7291" xr:uid="{00000000-0005-0000-0000-0000A16D0000}"/>
    <cellStyle name="Normal 3 11 2" xfId="7292" xr:uid="{00000000-0005-0000-0000-0000A26D0000}"/>
    <cellStyle name="Normal 3 11 2 2" xfId="13243" xr:uid="{00000000-0005-0000-0000-0000A36D0000}"/>
    <cellStyle name="Normal 3 11 2 2 2" xfId="26879" xr:uid="{00000000-0005-0000-0000-0000A46D0000}"/>
    <cellStyle name="Normal 3 11 2 3" xfId="31588" xr:uid="{00000000-0005-0000-0000-0000A56D0000}"/>
    <cellStyle name="Normal 3 11 3" xfId="7293" xr:uid="{00000000-0005-0000-0000-0000A66D0000}"/>
    <cellStyle name="Normal 3 11 3 2" xfId="15685" xr:uid="{00000000-0005-0000-0000-0000A76D0000}"/>
    <cellStyle name="Normal 3 11 3 2 2" xfId="29171" xr:uid="{00000000-0005-0000-0000-0000A86D0000}"/>
    <cellStyle name="Normal 3 11 3 3" xfId="31589" xr:uid="{00000000-0005-0000-0000-0000A96D0000}"/>
    <cellStyle name="Normal 3 11 4" xfId="7294" xr:uid="{00000000-0005-0000-0000-0000AA6D0000}"/>
    <cellStyle name="Normal 3 11 4 2" xfId="17359" xr:uid="{00000000-0005-0000-0000-0000AB6D0000}"/>
    <cellStyle name="Normal 3 11 4 2 2" xfId="30676" xr:uid="{00000000-0005-0000-0000-0000AC6D0000}"/>
    <cellStyle name="Normal 3 11 4 3" xfId="31590" xr:uid="{00000000-0005-0000-0000-0000AD6D0000}"/>
    <cellStyle name="Normal 3 11 5" xfId="8713" xr:uid="{00000000-0005-0000-0000-0000AE6D0000}"/>
    <cellStyle name="Normal 3 11 6" xfId="11538" xr:uid="{00000000-0005-0000-0000-0000AF6D0000}"/>
    <cellStyle name="Normal 3 11 6 2" xfId="25369" xr:uid="{00000000-0005-0000-0000-0000B06D0000}"/>
    <cellStyle name="Normal 3 11 7" xfId="31587" xr:uid="{00000000-0005-0000-0000-0000B16D0000}"/>
    <cellStyle name="Normal 3 12" xfId="7295" xr:uid="{00000000-0005-0000-0000-0000B26D0000}"/>
    <cellStyle name="Normal 3 12 2" xfId="7296" xr:uid="{00000000-0005-0000-0000-0000B36D0000}"/>
    <cellStyle name="Normal 3 12 2 2" xfId="17361" xr:uid="{00000000-0005-0000-0000-0000B46D0000}"/>
    <cellStyle name="Normal 3 12 2 2 2" xfId="30677" xr:uid="{00000000-0005-0000-0000-0000B56D0000}"/>
    <cellStyle name="Normal 3 12 2 3" xfId="31592" xr:uid="{00000000-0005-0000-0000-0000B66D0000}"/>
    <cellStyle name="Normal 3 12 3" xfId="8712" xr:uid="{00000000-0005-0000-0000-0000B76D0000}"/>
    <cellStyle name="Normal 3 12 4" xfId="15794" xr:uid="{00000000-0005-0000-0000-0000B86D0000}"/>
    <cellStyle name="Normal 3 12 4 2" xfId="29201" xr:uid="{00000000-0005-0000-0000-0000B96D0000}"/>
    <cellStyle name="Normal 3 12 5" xfId="31591" xr:uid="{00000000-0005-0000-0000-0000BA6D0000}"/>
    <cellStyle name="Normal 3 13" xfId="8644" xr:uid="{00000000-0005-0000-0000-0000BB6D0000}"/>
    <cellStyle name="Normal 3 13 2" xfId="32937" xr:uid="{00000000-0005-0000-0000-0000BC6D0000}"/>
    <cellStyle name="Normal 3 13 3" xfId="32995" xr:uid="{00000000-0005-0000-0000-0000BD6D0000}"/>
    <cellStyle name="Normal 3 2" xfId="7297" xr:uid="{00000000-0005-0000-0000-0000BE6D0000}"/>
    <cellStyle name="Normal 3 2 10" xfId="7298" xr:uid="{00000000-0005-0000-0000-0000BF6D0000}"/>
    <cellStyle name="Normal 3 2 10 2" xfId="13244" xr:uid="{00000000-0005-0000-0000-0000C06D0000}"/>
    <cellStyle name="Normal 3 2 10 2 2" xfId="26880" xr:uid="{00000000-0005-0000-0000-0000C16D0000}"/>
    <cellStyle name="Normal 3 2 10 3" xfId="31593" xr:uid="{00000000-0005-0000-0000-0000C26D0000}"/>
    <cellStyle name="Normal 3 2 11" xfId="7299" xr:uid="{00000000-0005-0000-0000-0000C36D0000}"/>
    <cellStyle name="Normal 3 2 11 2" xfId="15686" xr:uid="{00000000-0005-0000-0000-0000C46D0000}"/>
    <cellStyle name="Normal 3 2 11 2 2" xfId="29172" xr:uid="{00000000-0005-0000-0000-0000C56D0000}"/>
    <cellStyle name="Normal 3 2 11 3" xfId="31594" xr:uid="{00000000-0005-0000-0000-0000C66D0000}"/>
    <cellStyle name="Normal 3 2 12" xfId="7300" xr:uid="{00000000-0005-0000-0000-0000C76D0000}"/>
    <cellStyle name="Normal 3 2 12 2" xfId="15795" xr:uid="{00000000-0005-0000-0000-0000C86D0000}"/>
    <cellStyle name="Normal 3 2 12 2 2" xfId="29202" xr:uid="{00000000-0005-0000-0000-0000C96D0000}"/>
    <cellStyle name="Normal 3 2 12 3" xfId="31595" xr:uid="{00000000-0005-0000-0000-0000CA6D0000}"/>
    <cellStyle name="Normal 3 2 13" xfId="8672" xr:uid="{00000000-0005-0000-0000-0000CB6D0000}"/>
    <cellStyle name="Normal 3 2 13 2" xfId="17297" xr:uid="{00000000-0005-0000-0000-0000CC6D0000}"/>
    <cellStyle name="Normal 3 2 13 2 2" xfId="30650" xr:uid="{00000000-0005-0000-0000-0000CD6D0000}"/>
    <cellStyle name="Normal 3 2 13 3" xfId="23202" xr:uid="{00000000-0005-0000-0000-0000CE6D0000}"/>
    <cellStyle name="Normal 3 2 14" xfId="8781" xr:uid="{00000000-0005-0000-0000-0000CF6D0000}"/>
    <cellStyle name="Normal 3 2 14 2" xfId="23259" xr:uid="{00000000-0005-0000-0000-0000D06D0000}"/>
    <cellStyle name="Normal 3 2 15" xfId="32910" xr:uid="{00000000-0005-0000-0000-0000D16D0000}"/>
    <cellStyle name="Normal 3 2 16" xfId="32970" xr:uid="{00000000-0005-0000-0000-0000D26D0000}"/>
    <cellStyle name="Normal 3 2 2" xfId="7301" xr:uid="{00000000-0005-0000-0000-0000D36D0000}"/>
    <cellStyle name="Normal 3 2 2 10" xfId="7302" xr:uid="{00000000-0005-0000-0000-0000D46D0000}"/>
    <cellStyle name="Normal 3 2 2 10 2" xfId="16412" xr:uid="{00000000-0005-0000-0000-0000D56D0000}"/>
    <cellStyle name="Normal 3 2 2 10 2 2" xfId="29819" xr:uid="{00000000-0005-0000-0000-0000D66D0000}"/>
    <cellStyle name="Normal 3 2 2 10 3" xfId="31597" xr:uid="{00000000-0005-0000-0000-0000D76D0000}"/>
    <cellStyle name="Normal 3 2 2 11" xfId="8676" xr:uid="{00000000-0005-0000-0000-0000D86D0000}"/>
    <cellStyle name="Normal 3 2 2 11 2" xfId="17301" xr:uid="{00000000-0005-0000-0000-0000D96D0000}"/>
    <cellStyle name="Normal 3 2 2 11 2 2" xfId="30654" xr:uid="{00000000-0005-0000-0000-0000DA6D0000}"/>
    <cellStyle name="Normal 3 2 2 11 3" xfId="23206" xr:uid="{00000000-0005-0000-0000-0000DB6D0000}"/>
    <cellStyle name="Normal 3 2 2 12" xfId="8785" xr:uid="{00000000-0005-0000-0000-0000DC6D0000}"/>
    <cellStyle name="Normal 3 2 2 12 2" xfId="23263" xr:uid="{00000000-0005-0000-0000-0000DD6D0000}"/>
    <cellStyle name="Normal 3 2 2 13" xfId="31596" xr:uid="{00000000-0005-0000-0000-0000DE6D0000}"/>
    <cellStyle name="Normal 3 2 2 14" xfId="32914" xr:uid="{00000000-0005-0000-0000-0000DF6D0000}"/>
    <cellStyle name="Normal 3 2 2 15" xfId="32974" xr:uid="{00000000-0005-0000-0000-0000E06D0000}"/>
    <cellStyle name="Normal 3 2 2 2" xfId="7303" xr:uid="{00000000-0005-0000-0000-0000E16D0000}"/>
    <cellStyle name="Normal 3 2 2 2 2" xfId="7304" xr:uid="{00000000-0005-0000-0000-0000E26D0000}"/>
    <cellStyle name="Normal 3 2 2 2 2 2" xfId="11541" xr:uid="{00000000-0005-0000-0000-0000E36D0000}"/>
    <cellStyle name="Normal 3 2 2 2 2 2 2" xfId="25372" xr:uid="{00000000-0005-0000-0000-0000E46D0000}"/>
    <cellStyle name="Normal 3 2 2 2 2 3" xfId="31599" xr:uid="{00000000-0005-0000-0000-0000E56D0000}"/>
    <cellStyle name="Normal 3 2 2 2 3" xfId="7305" xr:uid="{00000000-0005-0000-0000-0000E66D0000}"/>
    <cellStyle name="Normal 3 2 2 2 3 2" xfId="13246" xr:uid="{00000000-0005-0000-0000-0000E76D0000}"/>
    <cellStyle name="Normal 3 2 2 2 3 2 2" xfId="26882" xr:uid="{00000000-0005-0000-0000-0000E86D0000}"/>
    <cellStyle name="Normal 3 2 2 2 3 3" xfId="31600" xr:uid="{00000000-0005-0000-0000-0000E96D0000}"/>
    <cellStyle name="Normal 3 2 2 2 4" xfId="7306" xr:uid="{00000000-0005-0000-0000-0000EA6D0000}"/>
    <cellStyle name="Normal 3 2 2 2 4 2" xfId="15688" xr:uid="{00000000-0005-0000-0000-0000EB6D0000}"/>
    <cellStyle name="Normal 3 2 2 2 4 2 2" xfId="29174" xr:uid="{00000000-0005-0000-0000-0000EC6D0000}"/>
    <cellStyle name="Normal 3 2 2 2 4 3" xfId="31601" xr:uid="{00000000-0005-0000-0000-0000ED6D0000}"/>
    <cellStyle name="Normal 3 2 2 2 5" xfId="7307" xr:uid="{00000000-0005-0000-0000-0000EE6D0000}"/>
    <cellStyle name="Normal 3 2 2 2 5 2" xfId="17030" xr:uid="{00000000-0005-0000-0000-0000EF6D0000}"/>
    <cellStyle name="Normal 3 2 2 2 5 2 2" xfId="30431" xr:uid="{00000000-0005-0000-0000-0000F06D0000}"/>
    <cellStyle name="Normal 3 2 2 2 5 3" xfId="31602" xr:uid="{00000000-0005-0000-0000-0000F16D0000}"/>
    <cellStyle name="Normal 3 2 2 2 6" xfId="10180" xr:uid="{00000000-0005-0000-0000-0000F26D0000}"/>
    <cellStyle name="Normal 3 2 2 2 6 2" xfId="24385" xr:uid="{00000000-0005-0000-0000-0000F36D0000}"/>
    <cellStyle name="Normal 3 2 2 2 7" xfId="31598" xr:uid="{00000000-0005-0000-0000-0000F46D0000}"/>
    <cellStyle name="Normal 3 2 2 2 8" xfId="32940" xr:uid="{00000000-0005-0000-0000-0000F56D0000}"/>
    <cellStyle name="Normal 3 2 2 2 9" xfId="32998" xr:uid="{00000000-0005-0000-0000-0000F66D0000}"/>
    <cellStyle name="Normal 3 2 2 3" xfId="7308" xr:uid="{00000000-0005-0000-0000-0000F76D0000}"/>
    <cellStyle name="Normal 3 2 2 3 2" xfId="7309" xr:uid="{00000000-0005-0000-0000-0000F86D0000}"/>
    <cellStyle name="Normal 3 2 2 3 2 2" xfId="16993" xr:uid="{00000000-0005-0000-0000-0000F96D0000}"/>
    <cellStyle name="Normal 3 2 2 3 2 2 2" xfId="30400" xr:uid="{00000000-0005-0000-0000-0000FA6D0000}"/>
    <cellStyle name="Normal 3 2 2 3 2 3" xfId="31604" xr:uid="{00000000-0005-0000-0000-0000FB6D0000}"/>
    <cellStyle name="Normal 3 2 2 3 3" xfId="11540" xr:uid="{00000000-0005-0000-0000-0000FC6D0000}"/>
    <cellStyle name="Normal 3 2 2 3 3 2" xfId="25371" xr:uid="{00000000-0005-0000-0000-0000FD6D0000}"/>
    <cellStyle name="Normal 3 2 2 3 4" xfId="31603" xr:uid="{00000000-0005-0000-0000-0000FE6D0000}"/>
    <cellStyle name="Normal 3 2 2 4" xfId="7310" xr:uid="{00000000-0005-0000-0000-0000FF6D0000}"/>
    <cellStyle name="Normal 3 2 2 4 2" xfId="12382" xr:uid="{00000000-0005-0000-0000-0000006E0000}"/>
    <cellStyle name="Normal 3 2 2 4 2 2" xfId="26094" xr:uid="{00000000-0005-0000-0000-0000016E0000}"/>
    <cellStyle name="Normal 3 2 2 4 3" xfId="31605" xr:uid="{00000000-0005-0000-0000-0000026E0000}"/>
    <cellStyle name="Normal 3 2 2 5" xfId="7311" xr:uid="{00000000-0005-0000-0000-0000036E0000}"/>
    <cellStyle name="Normal 3 2 2 5 2" xfId="13245" xr:uid="{00000000-0005-0000-0000-0000046E0000}"/>
    <cellStyle name="Normal 3 2 2 5 2 2" xfId="26881" xr:uid="{00000000-0005-0000-0000-0000056E0000}"/>
    <cellStyle name="Normal 3 2 2 5 3" xfId="31606" xr:uid="{00000000-0005-0000-0000-0000066E0000}"/>
    <cellStyle name="Normal 3 2 2 6" xfId="7312" xr:uid="{00000000-0005-0000-0000-0000076E0000}"/>
    <cellStyle name="Normal 3 2 2 6 2" xfId="13945" xr:uid="{00000000-0005-0000-0000-0000086E0000}"/>
    <cellStyle name="Normal 3 2 2 6 2 2" xfId="27494" xr:uid="{00000000-0005-0000-0000-0000096E0000}"/>
    <cellStyle name="Normal 3 2 2 6 3" xfId="31607" xr:uid="{00000000-0005-0000-0000-00000A6E0000}"/>
    <cellStyle name="Normal 3 2 2 7" xfId="7313" xr:uid="{00000000-0005-0000-0000-00000B6E0000}"/>
    <cellStyle name="Normal 3 2 2 7 2" xfId="14526" xr:uid="{00000000-0005-0000-0000-00000C6E0000}"/>
    <cellStyle name="Normal 3 2 2 7 2 2" xfId="28075" xr:uid="{00000000-0005-0000-0000-00000D6E0000}"/>
    <cellStyle name="Normal 3 2 2 7 3" xfId="31608" xr:uid="{00000000-0005-0000-0000-00000E6E0000}"/>
    <cellStyle name="Normal 3 2 2 8" xfId="7314" xr:uid="{00000000-0005-0000-0000-00000F6E0000}"/>
    <cellStyle name="Normal 3 2 2 8 2" xfId="15687" xr:uid="{00000000-0005-0000-0000-0000106E0000}"/>
    <cellStyle name="Normal 3 2 2 8 2 2" xfId="29173" xr:uid="{00000000-0005-0000-0000-0000116E0000}"/>
    <cellStyle name="Normal 3 2 2 8 3" xfId="31609" xr:uid="{00000000-0005-0000-0000-0000126E0000}"/>
    <cellStyle name="Normal 3 2 2 9" xfId="7315" xr:uid="{00000000-0005-0000-0000-0000136E0000}"/>
    <cellStyle name="Normal 3 2 2 9 2" xfId="15796" xr:uid="{00000000-0005-0000-0000-0000146E0000}"/>
    <cellStyle name="Normal 3 2 2 9 2 2" xfId="29203" xr:uid="{00000000-0005-0000-0000-0000156E0000}"/>
    <cellStyle name="Normal 3 2 2 9 3" xfId="31610" xr:uid="{00000000-0005-0000-0000-0000166E0000}"/>
    <cellStyle name="Normal 3 2 3" xfId="7316" xr:uid="{00000000-0005-0000-0000-0000176E0000}"/>
    <cellStyle name="Normal 3 2 3 10" xfId="32978" xr:uid="{00000000-0005-0000-0000-0000186E0000}"/>
    <cellStyle name="Normal 3 2 3 2" xfId="7317" xr:uid="{00000000-0005-0000-0000-0000196E0000}"/>
    <cellStyle name="Normal 3 2 3 2 2" xfId="11542" xr:uid="{00000000-0005-0000-0000-00001A6E0000}"/>
    <cellStyle name="Normal 3 2 3 2 2 2" xfId="25373" xr:uid="{00000000-0005-0000-0000-00001B6E0000}"/>
    <cellStyle name="Normal 3 2 3 2 3" xfId="31612" xr:uid="{00000000-0005-0000-0000-00001C6E0000}"/>
    <cellStyle name="Normal 3 2 3 2 4" xfId="32941" xr:uid="{00000000-0005-0000-0000-00001D6E0000}"/>
    <cellStyle name="Normal 3 2 3 2 5" xfId="32999" xr:uid="{00000000-0005-0000-0000-00001E6E0000}"/>
    <cellStyle name="Normal 3 2 3 3" xfId="7318" xr:uid="{00000000-0005-0000-0000-00001F6E0000}"/>
    <cellStyle name="Normal 3 2 3 3 2" xfId="13247" xr:uid="{00000000-0005-0000-0000-0000206E0000}"/>
    <cellStyle name="Normal 3 2 3 3 2 2" xfId="26883" xr:uid="{00000000-0005-0000-0000-0000216E0000}"/>
    <cellStyle name="Normal 3 2 3 3 3" xfId="31613" xr:uid="{00000000-0005-0000-0000-0000226E0000}"/>
    <cellStyle name="Normal 3 2 3 4" xfId="7319" xr:uid="{00000000-0005-0000-0000-0000236E0000}"/>
    <cellStyle name="Normal 3 2 3 4 2" xfId="15689" xr:uid="{00000000-0005-0000-0000-0000246E0000}"/>
    <cellStyle name="Normal 3 2 3 4 2 2" xfId="29175" xr:uid="{00000000-0005-0000-0000-0000256E0000}"/>
    <cellStyle name="Normal 3 2 3 4 3" xfId="31614" xr:uid="{00000000-0005-0000-0000-0000266E0000}"/>
    <cellStyle name="Normal 3 2 3 5" xfId="7320" xr:uid="{00000000-0005-0000-0000-0000276E0000}"/>
    <cellStyle name="Normal 3 2 3 5 2" xfId="15797" xr:uid="{00000000-0005-0000-0000-0000286E0000}"/>
    <cellStyle name="Normal 3 2 3 5 2 2" xfId="29204" xr:uid="{00000000-0005-0000-0000-0000296E0000}"/>
    <cellStyle name="Normal 3 2 3 5 3" xfId="31615" xr:uid="{00000000-0005-0000-0000-00002A6E0000}"/>
    <cellStyle name="Normal 3 2 3 6" xfId="8680" xr:uid="{00000000-0005-0000-0000-00002B6E0000}"/>
    <cellStyle name="Normal 3 2 3 6 2" xfId="17305" xr:uid="{00000000-0005-0000-0000-00002C6E0000}"/>
    <cellStyle name="Normal 3 2 3 6 2 2" xfId="30658" xr:uid="{00000000-0005-0000-0000-00002D6E0000}"/>
    <cellStyle name="Normal 3 2 3 6 3" xfId="23210" xr:uid="{00000000-0005-0000-0000-00002E6E0000}"/>
    <cellStyle name="Normal 3 2 3 7" xfId="8789" xr:uid="{00000000-0005-0000-0000-00002F6E0000}"/>
    <cellStyle name="Normal 3 2 3 7 2" xfId="23267" xr:uid="{00000000-0005-0000-0000-0000306E0000}"/>
    <cellStyle name="Normal 3 2 3 8" xfId="31611" xr:uid="{00000000-0005-0000-0000-0000316E0000}"/>
    <cellStyle name="Normal 3 2 3 9" xfId="32918" xr:uid="{00000000-0005-0000-0000-0000326E0000}"/>
    <cellStyle name="Normal 3 2 4" xfId="7321" xr:uid="{00000000-0005-0000-0000-0000336E0000}"/>
    <cellStyle name="Normal 3 2 4 10" xfId="32986" xr:uid="{00000000-0005-0000-0000-0000346E0000}"/>
    <cellStyle name="Normal 3 2 4 2" xfId="7322" xr:uid="{00000000-0005-0000-0000-0000356E0000}"/>
    <cellStyle name="Normal 3 2 4 2 2" xfId="11543" xr:uid="{00000000-0005-0000-0000-0000366E0000}"/>
    <cellStyle name="Normal 3 2 4 2 2 2" xfId="25374" xr:uid="{00000000-0005-0000-0000-0000376E0000}"/>
    <cellStyle name="Normal 3 2 4 2 3" xfId="31617" xr:uid="{00000000-0005-0000-0000-0000386E0000}"/>
    <cellStyle name="Normal 3 2 4 2 4" xfId="32942" xr:uid="{00000000-0005-0000-0000-0000396E0000}"/>
    <cellStyle name="Normal 3 2 4 2 5" xfId="33000" xr:uid="{00000000-0005-0000-0000-00003A6E0000}"/>
    <cellStyle name="Normal 3 2 4 3" xfId="7323" xr:uid="{00000000-0005-0000-0000-00003B6E0000}"/>
    <cellStyle name="Normal 3 2 4 3 2" xfId="13248" xr:uid="{00000000-0005-0000-0000-00003C6E0000}"/>
    <cellStyle name="Normal 3 2 4 3 2 2" xfId="26884" xr:uid="{00000000-0005-0000-0000-00003D6E0000}"/>
    <cellStyle name="Normal 3 2 4 3 3" xfId="31618" xr:uid="{00000000-0005-0000-0000-00003E6E0000}"/>
    <cellStyle name="Normal 3 2 4 4" xfId="7324" xr:uid="{00000000-0005-0000-0000-00003F6E0000}"/>
    <cellStyle name="Normal 3 2 4 4 2" xfId="15690" xr:uid="{00000000-0005-0000-0000-0000406E0000}"/>
    <cellStyle name="Normal 3 2 4 4 2 2" xfId="29176" xr:uid="{00000000-0005-0000-0000-0000416E0000}"/>
    <cellStyle name="Normal 3 2 4 4 3" xfId="31619" xr:uid="{00000000-0005-0000-0000-0000426E0000}"/>
    <cellStyle name="Normal 3 2 4 5" xfId="7325" xr:uid="{00000000-0005-0000-0000-0000436E0000}"/>
    <cellStyle name="Normal 3 2 4 5 2" xfId="15798" xr:uid="{00000000-0005-0000-0000-0000446E0000}"/>
    <cellStyle name="Normal 3 2 4 5 2 2" xfId="29205" xr:uid="{00000000-0005-0000-0000-0000456E0000}"/>
    <cellStyle name="Normal 3 2 4 5 3" xfId="31620" xr:uid="{00000000-0005-0000-0000-0000466E0000}"/>
    <cellStyle name="Normal 3 2 4 6" xfId="8695" xr:uid="{00000000-0005-0000-0000-0000476E0000}"/>
    <cellStyle name="Normal 3 2 4 6 2" xfId="17313" xr:uid="{00000000-0005-0000-0000-0000486E0000}"/>
    <cellStyle name="Normal 3 2 4 6 2 2" xfId="30666" xr:uid="{00000000-0005-0000-0000-0000496E0000}"/>
    <cellStyle name="Normal 3 2 4 6 3" xfId="23218" xr:uid="{00000000-0005-0000-0000-00004A6E0000}"/>
    <cellStyle name="Normal 3 2 4 7" xfId="8797" xr:uid="{00000000-0005-0000-0000-00004B6E0000}"/>
    <cellStyle name="Normal 3 2 4 7 2" xfId="23275" xr:uid="{00000000-0005-0000-0000-00004C6E0000}"/>
    <cellStyle name="Normal 3 2 4 8" xfId="31616" xr:uid="{00000000-0005-0000-0000-00004D6E0000}"/>
    <cellStyle name="Normal 3 2 4 9" xfId="32926" xr:uid="{00000000-0005-0000-0000-00004E6E0000}"/>
    <cellStyle name="Normal 3 2 5" xfId="7326" xr:uid="{00000000-0005-0000-0000-00004F6E0000}"/>
    <cellStyle name="Normal 3 2 5 10" xfId="32981" xr:uid="{00000000-0005-0000-0000-0000506E0000}"/>
    <cellStyle name="Normal 3 2 5 2" xfId="7327" xr:uid="{00000000-0005-0000-0000-0000516E0000}"/>
    <cellStyle name="Normal 3 2 5 2 2" xfId="11544" xr:uid="{00000000-0005-0000-0000-0000526E0000}"/>
    <cellStyle name="Normal 3 2 5 2 2 2" xfId="25375" xr:uid="{00000000-0005-0000-0000-0000536E0000}"/>
    <cellStyle name="Normal 3 2 5 2 3" xfId="31622" xr:uid="{00000000-0005-0000-0000-0000546E0000}"/>
    <cellStyle name="Normal 3 2 5 2 4" xfId="32943" xr:uid="{00000000-0005-0000-0000-0000556E0000}"/>
    <cellStyle name="Normal 3 2 5 2 5" xfId="33001" xr:uid="{00000000-0005-0000-0000-0000566E0000}"/>
    <cellStyle name="Normal 3 2 5 3" xfId="7328" xr:uid="{00000000-0005-0000-0000-0000576E0000}"/>
    <cellStyle name="Normal 3 2 5 3 2" xfId="13249" xr:uid="{00000000-0005-0000-0000-0000586E0000}"/>
    <cellStyle name="Normal 3 2 5 3 2 2" xfId="26885" xr:uid="{00000000-0005-0000-0000-0000596E0000}"/>
    <cellStyle name="Normal 3 2 5 3 3" xfId="31623" xr:uid="{00000000-0005-0000-0000-00005A6E0000}"/>
    <cellStyle name="Normal 3 2 5 4" xfId="7329" xr:uid="{00000000-0005-0000-0000-00005B6E0000}"/>
    <cellStyle name="Normal 3 2 5 4 2" xfId="15691" xr:uid="{00000000-0005-0000-0000-00005C6E0000}"/>
    <cellStyle name="Normal 3 2 5 4 2 2" xfId="29177" xr:uid="{00000000-0005-0000-0000-00005D6E0000}"/>
    <cellStyle name="Normal 3 2 5 4 3" xfId="31624" xr:uid="{00000000-0005-0000-0000-00005E6E0000}"/>
    <cellStyle name="Normal 3 2 5 5" xfId="7330" xr:uid="{00000000-0005-0000-0000-00005F6E0000}"/>
    <cellStyle name="Normal 3 2 5 5 2" xfId="15799" xr:uid="{00000000-0005-0000-0000-0000606E0000}"/>
    <cellStyle name="Normal 3 2 5 5 2 2" xfId="29206" xr:uid="{00000000-0005-0000-0000-0000616E0000}"/>
    <cellStyle name="Normal 3 2 5 5 3" xfId="31625" xr:uid="{00000000-0005-0000-0000-0000626E0000}"/>
    <cellStyle name="Normal 3 2 5 6" xfId="8685" xr:uid="{00000000-0005-0000-0000-0000636E0000}"/>
    <cellStyle name="Normal 3 2 5 6 2" xfId="17308" xr:uid="{00000000-0005-0000-0000-0000646E0000}"/>
    <cellStyle name="Normal 3 2 5 6 2 2" xfId="30661" xr:uid="{00000000-0005-0000-0000-0000656E0000}"/>
    <cellStyle name="Normal 3 2 5 6 3" xfId="23213" xr:uid="{00000000-0005-0000-0000-0000666E0000}"/>
    <cellStyle name="Normal 3 2 5 7" xfId="8792" xr:uid="{00000000-0005-0000-0000-0000676E0000}"/>
    <cellStyle name="Normal 3 2 5 7 2" xfId="23270" xr:uid="{00000000-0005-0000-0000-0000686E0000}"/>
    <cellStyle name="Normal 3 2 5 8" xfId="31621" xr:uid="{00000000-0005-0000-0000-0000696E0000}"/>
    <cellStyle name="Normal 3 2 5 9" xfId="32921" xr:uid="{00000000-0005-0000-0000-00006A6E0000}"/>
    <cellStyle name="Normal 3 2 6" xfId="7331" xr:uid="{00000000-0005-0000-0000-00006B6E0000}"/>
    <cellStyle name="Normal 3 2 6 2" xfId="8707" xr:uid="{00000000-0005-0000-0000-00006C6E0000}"/>
    <cellStyle name="Normal 3 2 7" xfId="7332" xr:uid="{00000000-0005-0000-0000-00006D6E0000}"/>
    <cellStyle name="Normal 3 2 7 2" xfId="7333" xr:uid="{00000000-0005-0000-0000-00006E6E0000}"/>
    <cellStyle name="Normal 3 2 7 2 2" xfId="10182" xr:uid="{00000000-0005-0000-0000-00006F6E0000}"/>
    <cellStyle name="Normal 3 2 7 3" xfId="7334" xr:uid="{00000000-0005-0000-0000-0000706E0000}"/>
    <cellStyle name="Normal 3 2 7 3 2" xfId="7335" xr:uid="{00000000-0005-0000-0000-0000716E0000}"/>
    <cellStyle name="Normal 3 2 7 3 2 2" xfId="13250" xr:uid="{00000000-0005-0000-0000-0000726E0000}"/>
    <cellStyle name="Normal 3 2 7 3 3" xfId="11725" xr:uid="{00000000-0005-0000-0000-0000736E0000}"/>
    <cellStyle name="Normal 3 2 7 3 3 2" xfId="25441" xr:uid="{00000000-0005-0000-0000-0000746E0000}"/>
    <cellStyle name="Normal 3 2 7 4" xfId="10181" xr:uid="{00000000-0005-0000-0000-0000756E0000}"/>
    <cellStyle name="Normal 3 2 7 5" xfId="32939" xr:uid="{00000000-0005-0000-0000-0000766E0000}"/>
    <cellStyle name="Normal 3 2 7 6" xfId="32997" xr:uid="{00000000-0005-0000-0000-0000776E0000}"/>
    <cellStyle name="Normal 3 2 8" xfId="7336" xr:uid="{00000000-0005-0000-0000-0000786E0000}"/>
    <cellStyle name="Normal 3 2 8 2" xfId="7337" xr:uid="{00000000-0005-0000-0000-0000796E0000}"/>
    <cellStyle name="Normal 3 2 8 2 2" xfId="13251" xr:uid="{00000000-0005-0000-0000-00007A6E0000}"/>
    <cellStyle name="Normal 3 2 8 3" xfId="10511" xr:uid="{00000000-0005-0000-0000-00007B6E0000}"/>
    <cellStyle name="Normal 3 2 9" xfId="7338" xr:uid="{00000000-0005-0000-0000-00007C6E0000}"/>
    <cellStyle name="Normal 3 2 9 2" xfId="7339" xr:uid="{00000000-0005-0000-0000-00007D6E0000}"/>
    <cellStyle name="Normal 3 2 9 2 2" xfId="13252" xr:uid="{00000000-0005-0000-0000-00007E6E0000}"/>
    <cellStyle name="Normal 3 2 9 2 2 2" xfId="26886" xr:uid="{00000000-0005-0000-0000-00007F6E0000}"/>
    <cellStyle name="Normal 3 2 9 2 3" xfId="31627" xr:uid="{00000000-0005-0000-0000-0000806E0000}"/>
    <cellStyle name="Normal 3 2 9 3" xfId="7340" xr:uid="{00000000-0005-0000-0000-0000816E0000}"/>
    <cellStyle name="Normal 3 2 9 3 2" xfId="15692" xr:uid="{00000000-0005-0000-0000-0000826E0000}"/>
    <cellStyle name="Normal 3 2 9 3 2 2" xfId="29178" xr:uid="{00000000-0005-0000-0000-0000836E0000}"/>
    <cellStyle name="Normal 3 2 9 3 3" xfId="31628" xr:uid="{00000000-0005-0000-0000-0000846E0000}"/>
    <cellStyle name="Normal 3 2 9 4" xfId="11539" xr:uid="{00000000-0005-0000-0000-0000856E0000}"/>
    <cellStyle name="Normal 3 2 9 4 2" xfId="25370" xr:uid="{00000000-0005-0000-0000-0000866E0000}"/>
    <cellStyle name="Normal 3 2 9 5" xfId="31626" xr:uid="{00000000-0005-0000-0000-0000876E0000}"/>
    <cellStyle name="Normal 3 3" xfId="7341" xr:uid="{00000000-0005-0000-0000-0000886E0000}"/>
    <cellStyle name="Normal 3 3 10" xfId="7342" xr:uid="{00000000-0005-0000-0000-0000896E0000}"/>
    <cellStyle name="Normal 3 3 10 2" xfId="7343" xr:uid="{00000000-0005-0000-0000-00008A6E0000}"/>
    <cellStyle name="Normal 3 3 10 2 2" xfId="17192" xr:uid="{00000000-0005-0000-0000-00008B6E0000}"/>
    <cellStyle name="Normal 3 3 10 2 2 2" xfId="30551" xr:uid="{00000000-0005-0000-0000-00008C6E0000}"/>
    <cellStyle name="Normal 3 3 10 2 3" xfId="31631" xr:uid="{00000000-0005-0000-0000-00008D6E0000}"/>
    <cellStyle name="Normal 3 3 10 3" xfId="13419" xr:uid="{00000000-0005-0000-0000-00008E6E0000}"/>
    <cellStyle name="Normal 3 3 10 3 2" xfId="26968" xr:uid="{00000000-0005-0000-0000-00008F6E0000}"/>
    <cellStyle name="Normal 3 3 10 4" xfId="31630" xr:uid="{00000000-0005-0000-0000-0000906E0000}"/>
    <cellStyle name="Normal 3 3 11" xfId="7344" xr:uid="{00000000-0005-0000-0000-0000916E0000}"/>
    <cellStyle name="Normal 3 3 11 2" xfId="7345" xr:uid="{00000000-0005-0000-0000-0000926E0000}"/>
    <cellStyle name="Normal 3 3 11 2 2" xfId="17281" xr:uid="{00000000-0005-0000-0000-0000936E0000}"/>
    <cellStyle name="Normal 3 3 11 2 2 2" xfId="30640" xr:uid="{00000000-0005-0000-0000-0000946E0000}"/>
    <cellStyle name="Normal 3 3 11 2 3" xfId="31633" xr:uid="{00000000-0005-0000-0000-0000956E0000}"/>
    <cellStyle name="Normal 3 3 11 3" xfId="14000" xr:uid="{00000000-0005-0000-0000-0000966E0000}"/>
    <cellStyle name="Normal 3 3 11 3 2" xfId="27549" xr:uid="{00000000-0005-0000-0000-0000976E0000}"/>
    <cellStyle name="Normal 3 3 11 4" xfId="31632" xr:uid="{00000000-0005-0000-0000-0000986E0000}"/>
    <cellStyle name="Normal 3 3 12" xfId="7346" xr:uid="{00000000-0005-0000-0000-0000996E0000}"/>
    <cellStyle name="Normal 3 3 12 2" xfId="7347" xr:uid="{00000000-0005-0000-0000-00009A6E0000}"/>
    <cellStyle name="Normal 3 3 12 2 2" xfId="16467" xr:uid="{00000000-0005-0000-0000-00009B6E0000}"/>
    <cellStyle name="Normal 3 3 12 2 2 2" xfId="29874" xr:uid="{00000000-0005-0000-0000-00009C6E0000}"/>
    <cellStyle name="Normal 3 3 12 2 3" xfId="31635" xr:uid="{00000000-0005-0000-0000-00009D6E0000}"/>
    <cellStyle name="Normal 3 3 12 3" xfId="15800" xr:uid="{00000000-0005-0000-0000-00009E6E0000}"/>
    <cellStyle name="Normal 3 3 12 3 2" xfId="29207" xr:uid="{00000000-0005-0000-0000-00009F6E0000}"/>
    <cellStyle name="Normal 3 3 12 4" xfId="31634" xr:uid="{00000000-0005-0000-0000-0000A06E0000}"/>
    <cellStyle name="Normal 3 3 13" xfId="7348" xr:uid="{00000000-0005-0000-0000-0000A16E0000}"/>
    <cellStyle name="Normal 3 3 13 2" xfId="15886" xr:uid="{00000000-0005-0000-0000-0000A26E0000}"/>
    <cellStyle name="Normal 3 3 13 2 2" xfId="29293" xr:uid="{00000000-0005-0000-0000-0000A36E0000}"/>
    <cellStyle name="Normal 3 3 13 3" xfId="31636" xr:uid="{00000000-0005-0000-0000-0000A46E0000}"/>
    <cellStyle name="Normal 3 3 14" xfId="8673" xr:uid="{00000000-0005-0000-0000-0000A56E0000}"/>
    <cellStyle name="Normal 3 3 14 2" xfId="17298" xr:uid="{00000000-0005-0000-0000-0000A66E0000}"/>
    <cellStyle name="Normal 3 3 14 2 2" xfId="30651" xr:uid="{00000000-0005-0000-0000-0000A76E0000}"/>
    <cellStyle name="Normal 3 3 14 3" xfId="23203" xr:uid="{00000000-0005-0000-0000-0000A86E0000}"/>
    <cellStyle name="Normal 3 3 15" xfId="8782" xr:uid="{00000000-0005-0000-0000-0000A96E0000}"/>
    <cellStyle name="Normal 3 3 15 2" xfId="23260" xr:uid="{00000000-0005-0000-0000-0000AA6E0000}"/>
    <cellStyle name="Normal 3 3 16" xfId="31629" xr:uid="{00000000-0005-0000-0000-0000AB6E0000}"/>
    <cellStyle name="Normal 3 3 17" xfId="32911" xr:uid="{00000000-0005-0000-0000-0000AC6E0000}"/>
    <cellStyle name="Normal 3 3 18" xfId="32971" xr:uid="{00000000-0005-0000-0000-0000AD6E0000}"/>
    <cellStyle name="Normal 3 3 2" xfId="7349" xr:uid="{00000000-0005-0000-0000-0000AE6E0000}"/>
    <cellStyle name="Normal 3 3 2 10" xfId="10183" xr:uid="{00000000-0005-0000-0000-0000AF6E0000}"/>
    <cellStyle name="Normal 3 3 2 10 2" xfId="24386" xr:uid="{00000000-0005-0000-0000-0000B06E0000}"/>
    <cellStyle name="Normal 3 3 2 11" xfId="31637" xr:uid="{00000000-0005-0000-0000-0000B16E0000}"/>
    <cellStyle name="Normal 3 3 2 12" xfId="32944" xr:uid="{00000000-0005-0000-0000-0000B26E0000}"/>
    <cellStyle name="Normal 3 3 2 13" xfId="33002" xr:uid="{00000000-0005-0000-0000-0000B36E0000}"/>
    <cellStyle name="Normal 3 3 2 2" xfId="7350" xr:uid="{00000000-0005-0000-0000-0000B46E0000}"/>
    <cellStyle name="Normal 3 3 2 2 10" xfId="31638" xr:uid="{00000000-0005-0000-0000-0000B56E0000}"/>
    <cellStyle name="Normal 3 3 2 2 2" xfId="7351" xr:uid="{00000000-0005-0000-0000-0000B66E0000}"/>
    <cellStyle name="Normal 3 3 2 2 2 2" xfId="7352" xr:uid="{00000000-0005-0000-0000-0000B76E0000}"/>
    <cellStyle name="Normal 3 3 2 2 2 2 2" xfId="7353" xr:uid="{00000000-0005-0000-0000-0000B86E0000}"/>
    <cellStyle name="Normal 3 3 2 2 2 2 2 2" xfId="7354" xr:uid="{00000000-0005-0000-0000-0000B96E0000}"/>
    <cellStyle name="Normal 3 3 2 2 2 2 2 2 2" xfId="16968" xr:uid="{00000000-0005-0000-0000-0000BA6E0000}"/>
    <cellStyle name="Normal 3 3 2 2 2 2 2 2 2 2" xfId="30375" xr:uid="{00000000-0005-0000-0000-0000BB6E0000}"/>
    <cellStyle name="Normal 3 3 2 2 2 2 2 2 3" xfId="31642" xr:uid="{00000000-0005-0000-0000-0000BC6E0000}"/>
    <cellStyle name="Normal 3 3 2 2 2 2 2 3" xfId="11549" xr:uid="{00000000-0005-0000-0000-0000BD6E0000}"/>
    <cellStyle name="Normal 3 3 2 2 2 2 2 3 2" xfId="25380" xr:uid="{00000000-0005-0000-0000-0000BE6E0000}"/>
    <cellStyle name="Normal 3 3 2 2 2 2 2 4" xfId="31641" xr:uid="{00000000-0005-0000-0000-0000BF6E0000}"/>
    <cellStyle name="Normal 3 3 2 2 2 2 3" xfId="7355" xr:uid="{00000000-0005-0000-0000-0000C06E0000}"/>
    <cellStyle name="Normal 3 3 2 2 2 2 3 2" xfId="12356" xr:uid="{00000000-0005-0000-0000-0000C16E0000}"/>
    <cellStyle name="Normal 3 3 2 2 2 2 3 2 2" xfId="26068" xr:uid="{00000000-0005-0000-0000-0000C26E0000}"/>
    <cellStyle name="Normal 3 3 2 2 2 2 3 3" xfId="31643" xr:uid="{00000000-0005-0000-0000-0000C36E0000}"/>
    <cellStyle name="Normal 3 3 2 2 2 2 4" xfId="7356" xr:uid="{00000000-0005-0000-0000-0000C46E0000}"/>
    <cellStyle name="Normal 3 3 2 2 2 2 4 2" xfId="13920" xr:uid="{00000000-0005-0000-0000-0000C56E0000}"/>
    <cellStyle name="Normal 3 3 2 2 2 2 4 2 2" xfId="27469" xr:uid="{00000000-0005-0000-0000-0000C66E0000}"/>
    <cellStyle name="Normal 3 3 2 2 2 2 4 3" xfId="31644" xr:uid="{00000000-0005-0000-0000-0000C76E0000}"/>
    <cellStyle name="Normal 3 3 2 2 2 2 5" xfId="7357" xr:uid="{00000000-0005-0000-0000-0000C86E0000}"/>
    <cellStyle name="Normal 3 3 2 2 2 2 5 2" xfId="14501" xr:uid="{00000000-0005-0000-0000-0000C96E0000}"/>
    <cellStyle name="Normal 3 3 2 2 2 2 5 2 2" xfId="28050" xr:uid="{00000000-0005-0000-0000-0000CA6E0000}"/>
    <cellStyle name="Normal 3 3 2 2 2 2 5 3" xfId="31645" xr:uid="{00000000-0005-0000-0000-0000CB6E0000}"/>
    <cellStyle name="Normal 3 3 2 2 2 2 6" xfId="7358" xr:uid="{00000000-0005-0000-0000-0000CC6E0000}"/>
    <cellStyle name="Normal 3 3 2 2 2 2 6 2" xfId="16387" xr:uid="{00000000-0005-0000-0000-0000CD6E0000}"/>
    <cellStyle name="Normal 3 3 2 2 2 2 6 2 2" xfId="29794" xr:uid="{00000000-0005-0000-0000-0000CE6E0000}"/>
    <cellStyle name="Normal 3 3 2 2 2 2 6 3" xfId="31646" xr:uid="{00000000-0005-0000-0000-0000CF6E0000}"/>
    <cellStyle name="Normal 3 3 2 2 2 2 7" xfId="10186" xr:uid="{00000000-0005-0000-0000-0000D06E0000}"/>
    <cellStyle name="Normal 3 3 2 2 2 2 7 2" xfId="24389" xr:uid="{00000000-0005-0000-0000-0000D16E0000}"/>
    <cellStyle name="Normal 3 3 2 2 2 2 8" xfId="31640" xr:uid="{00000000-0005-0000-0000-0000D26E0000}"/>
    <cellStyle name="Normal 3 3 2 2 2 3" xfId="7359" xr:uid="{00000000-0005-0000-0000-0000D36E0000}"/>
    <cellStyle name="Normal 3 3 2 2 2 3 2" xfId="7360" xr:uid="{00000000-0005-0000-0000-0000D46E0000}"/>
    <cellStyle name="Normal 3 3 2 2 2 3 2 2" xfId="16679" xr:uid="{00000000-0005-0000-0000-0000D56E0000}"/>
    <cellStyle name="Normal 3 3 2 2 2 3 2 2 2" xfId="30086" xr:uid="{00000000-0005-0000-0000-0000D66E0000}"/>
    <cellStyle name="Normal 3 3 2 2 2 3 2 3" xfId="31648" xr:uid="{00000000-0005-0000-0000-0000D76E0000}"/>
    <cellStyle name="Normal 3 3 2 2 2 3 3" xfId="11548" xr:uid="{00000000-0005-0000-0000-0000D86E0000}"/>
    <cellStyle name="Normal 3 3 2 2 2 3 3 2" xfId="25379" xr:uid="{00000000-0005-0000-0000-0000D96E0000}"/>
    <cellStyle name="Normal 3 3 2 2 2 3 4" xfId="31647" xr:uid="{00000000-0005-0000-0000-0000DA6E0000}"/>
    <cellStyle name="Normal 3 3 2 2 2 4" xfId="7361" xr:uid="{00000000-0005-0000-0000-0000DB6E0000}"/>
    <cellStyle name="Normal 3 3 2 2 2 4 2" xfId="12056" xr:uid="{00000000-0005-0000-0000-0000DC6E0000}"/>
    <cellStyle name="Normal 3 3 2 2 2 4 2 2" xfId="25771" xr:uid="{00000000-0005-0000-0000-0000DD6E0000}"/>
    <cellStyle name="Normal 3 3 2 2 2 4 3" xfId="31649" xr:uid="{00000000-0005-0000-0000-0000DE6E0000}"/>
    <cellStyle name="Normal 3 3 2 2 2 5" xfId="7362" xr:uid="{00000000-0005-0000-0000-0000DF6E0000}"/>
    <cellStyle name="Normal 3 3 2 2 2 5 2" xfId="13631" xr:uid="{00000000-0005-0000-0000-0000E06E0000}"/>
    <cellStyle name="Normal 3 3 2 2 2 5 2 2" xfId="27180" xr:uid="{00000000-0005-0000-0000-0000E16E0000}"/>
    <cellStyle name="Normal 3 3 2 2 2 5 3" xfId="31650" xr:uid="{00000000-0005-0000-0000-0000E26E0000}"/>
    <cellStyle name="Normal 3 3 2 2 2 6" xfId="7363" xr:uid="{00000000-0005-0000-0000-0000E36E0000}"/>
    <cellStyle name="Normal 3 3 2 2 2 6 2" xfId="14212" xr:uid="{00000000-0005-0000-0000-0000E46E0000}"/>
    <cellStyle name="Normal 3 3 2 2 2 6 2 2" xfId="27761" xr:uid="{00000000-0005-0000-0000-0000E56E0000}"/>
    <cellStyle name="Normal 3 3 2 2 2 6 3" xfId="31651" xr:uid="{00000000-0005-0000-0000-0000E66E0000}"/>
    <cellStyle name="Normal 3 3 2 2 2 7" xfId="7364" xr:uid="{00000000-0005-0000-0000-0000E76E0000}"/>
    <cellStyle name="Normal 3 3 2 2 2 7 2" xfId="16098" xr:uid="{00000000-0005-0000-0000-0000E86E0000}"/>
    <cellStyle name="Normal 3 3 2 2 2 7 2 2" xfId="29505" xr:uid="{00000000-0005-0000-0000-0000E96E0000}"/>
    <cellStyle name="Normal 3 3 2 2 2 7 3" xfId="31652" xr:uid="{00000000-0005-0000-0000-0000EA6E0000}"/>
    <cellStyle name="Normal 3 3 2 2 2 8" xfId="10185" xr:uid="{00000000-0005-0000-0000-0000EB6E0000}"/>
    <cellStyle name="Normal 3 3 2 2 2 8 2" xfId="24388" xr:uid="{00000000-0005-0000-0000-0000EC6E0000}"/>
    <cellStyle name="Normal 3 3 2 2 2 9" xfId="31639" xr:uid="{00000000-0005-0000-0000-0000ED6E0000}"/>
    <cellStyle name="Normal 3 3 2 2 3" xfId="7365" xr:uid="{00000000-0005-0000-0000-0000EE6E0000}"/>
    <cellStyle name="Normal 3 3 2 2 3 2" xfId="7366" xr:uid="{00000000-0005-0000-0000-0000EF6E0000}"/>
    <cellStyle name="Normal 3 3 2 2 3 2 2" xfId="7367" xr:uid="{00000000-0005-0000-0000-0000F06E0000}"/>
    <cellStyle name="Normal 3 3 2 2 3 2 2 2" xfId="16825" xr:uid="{00000000-0005-0000-0000-0000F16E0000}"/>
    <cellStyle name="Normal 3 3 2 2 3 2 2 2 2" xfId="30232" xr:uid="{00000000-0005-0000-0000-0000F26E0000}"/>
    <cellStyle name="Normal 3 3 2 2 3 2 2 3" xfId="31655" xr:uid="{00000000-0005-0000-0000-0000F36E0000}"/>
    <cellStyle name="Normal 3 3 2 2 3 2 3" xfId="11550" xr:uid="{00000000-0005-0000-0000-0000F46E0000}"/>
    <cellStyle name="Normal 3 3 2 2 3 2 3 2" xfId="25381" xr:uid="{00000000-0005-0000-0000-0000F56E0000}"/>
    <cellStyle name="Normal 3 3 2 2 3 2 4" xfId="31654" xr:uid="{00000000-0005-0000-0000-0000F66E0000}"/>
    <cellStyle name="Normal 3 3 2 2 3 3" xfId="7368" xr:uid="{00000000-0005-0000-0000-0000F76E0000}"/>
    <cellStyle name="Normal 3 3 2 2 3 3 2" xfId="12213" xr:uid="{00000000-0005-0000-0000-0000F86E0000}"/>
    <cellStyle name="Normal 3 3 2 2 3 3 2 2" xfId="25925" xr:uid="{00000000-0005-0000-0000-0000F96E0000}"/>
    <cellStyle name="Normal 3 3 2 2 3 3 3" xfId="31656" xr:uid="{00000000-0005-0000-0000-0000FA6E0000}"/>
    <cellStyle name="Normal 3 3 2 2 3 4" xfId="7369" xr:uid="{00000000-0005-0000-0000-0000FB6E0000}"/>
    <cellStyle name="Normal 3 3 2 2 3 4 2" xfId="13777" xr:uid="{00000000-0005-0000-0000-0000FC6E0000}"/>
    <cellStyle name="Normal 3 3 2 2 3 4 2 2" xfId="27326" xr:uid="{00000000-0005-0000-0000-0000FD6E0000}"/>
    <cellStyle name="Normal 3 3 2 2 3 4 3" xfId="31657" xr:uid="{00000000-0005-0000-0000-0000FE6E0000}"/>
    <cellStyle name="Normal 3 3 2 2 3 5" xfId="7370" xr:uid="{00000000-0005-0000-0000-0000FF6E0000}"/>
    <cellStyle name="Normal 3 3 2 2 3 5 2" xfId="14358" xr:uid="{00000000-0005-0000-0000-0000006F0000}"/>
    <cellStyle name="Normal 3 3 2 2 3 5 2 2" xfId="27907" xr:uid="{00000000-0005-0000-0000-0000016F0000}"/>
    <cellStyle name="Normal 3 3 2 2 3 5 3" xfId="31658" xr:uid="{00000000-0005-0000-0000-0000026F0000}"/>
    <cellStyle name="Normal 3 3 2 2 3 6" xfId="7371" xr:uid="{00000000-0005-0000-0000-0000036F0000}"/>
    <cellStyle name="Normal 3 3 2 2 3 6 2" xfId="16244" xr:uid="{00000000-0005-0000-0000-0000046F0000}"/>
    <cellStyle name="Normal 3 3 2 2 3 6 2 2" xfId="29651" xr:uid="{00000000-0005-0000-0000-0000056F0000}"/>
    <cellStyle name="Normal 3 3 2 2 3 6 3" xfId="31659" xr:uid="{00000000-0005-0000-0000-0000066F0000}"/>
    <cellStyle name="Normal 3 3 2 2 3 7" xfId="10187" xr:uid="{00000000-0005-0000-0000-0000076F0000}"/>
    <cellStyle name="Normal 3 3 2 2 3 7 2" xfId="24390" xr:uid="{00000000-0005-0000-0000-0000086F0000}"/>
    <cellStyle name="Normal 3 3 2 2 3 8" xfId="31653" xr:uid="{00000000-0005-0000-0000-0000096F0000}"/>
    <cellStyle name="Normal 3 3 2 2 4" xfId="7372" xr:uid="{00000000-0005-0000-0000-00000A6F0000}"/>
    <cellStyle name="Normal 3 3 2 2 4 2" xfId="7373" xr:uid="{00000000-0005-0000-0000-00000B6F0000}"/>
    <cellStyle name="Normal 3 3 2 2 4 2 2" xfId="17172" xr:uid="{00000000-0005-0000-0000-00000C6F0000}"/>
    <cellStyle name="Normal 3 3 2 2 4 2 2 2" xfId="30531" xr:uid="{00000000-0005-0000-0000-00000D6F0000}"/>
    <cellStyle name="Normal 3 3 2 2 4 2 3" xfId="31661" xr:uid="{00000000-0005-0000-0000-00000E6F0000}"/>
    <cellStyle name="Normal 3 3 2 2 4 3" xfId="11547" xr:uid="{00000000-0005-0000-0000-00000F6F0000}"/>
    <cellStyle name="Normal 3 3 2 2 4 3 2" xfId="25378" xr:uid="{00000000-0005-0000-0000-0000106F0000}"/>
    <cellStyle name="Normal 3 3 2 2 4 4" xfId="31660" xr:uid="{00000000-0005-0000-0000-0000116F0000}"/>
    <cellStyle name="Normal 3 3 2 2 5" xfId="7374" xr:uid="{00000000-0005-0000-0000-0000126F0000}"/>
    <cellStyle name="Normal 3 3 2 2 5 2" xfId="7375" xr:uid="{00000000-0005-0000-0000-0000136F0000}"/>
    <cellStyle name="Normal 3 3 2 2 5 2 2" xfId="17261" xr:uid="{00000000-0005-0000-0000-0000146F0000}"/>
    <cellStyle name="Normal 3 3 2 2 5 2 2 2" xfId="30620" xr:uid="{00000000-0005-0000-0000-0000156F0000}"/>
    <cellStyle name="Normal 3 3 2 2 5 2 3" xfId="31663" xr:uid="{00000000-0005-0000-0000-0000166F0000}"/>
    <cellStyle name="Normal 3 3 2 2 5 3" xfId="11911" xr:uid="{00000000-0005-0000-0000-0000176F0000}"/>
    <cellStyle name="Normal 3 3 2 2 5 3 2" xfId="25626" xr:uid="{00000000-0005-0000-0000-0000186F0000}"/>
    <cellStyle name="Normal 3 3 2 2 5 4" xfId="31662" xr:uid="{00000000-0005-0000-0000-0000196F0000}"/>
    <cellStyle name="Normal 3 3 2 2 6" xfId="7376" xr:uid="{00000000-0005-0000-0000-00001A6F0000}"/>
    <cellStyle name="Normal 3 3 2 2 6 2" xfId="7377" xr:uid="{00000000-0005-0000-0000-00001B6F0000}"/>
    <cellStyle name="Normal 3 3 2 2 6 2 2" xfId="16536" xr:uid="{00000000-0005-0000-0000-00001C6F0000}"/>
    <cellStyle name="Normal 3 3 2 2 6 2 2 2" xfId="29943" xr:uid="{00000000-0005-0000-0000-00001D6F0000}"/>
    <cellStyle name="Normal 3 3 2 2 6 2 3" xfId="31665" xr:uid="{00000000-0005-0000-0000-00001E6F0000}"/>
    <cellStyle name="Normal 3 3 2 2 6 3" xfId="13488" xr:uid="{00000000-0005-0000-0000-00001F6F0000}"/>
    <cellStyle name="Normal 3 3 2 2 6 3 2" xfId="27037" xr:uid="{00000000-0005-0000-0000-0000206F0000}"/>
    <cellStyle name="Normal 3 3 2 2 6 4" xfId="31664" xr:uid="{00000000-0005-0000-0000-0000216F0000}"/>
    <cellStyle name="Normal 3 3 2 2 7" xfId="7378" xr:uid="{00000000-0005-0000-0000-0000226F0000}"/>
    <cellStyle name="Normal 3 3 2 2 7 2" xfId="14069" xr:uid="{00000000-0005-0000-0000-0000236F0000}"/>
    <cellStyle name="Normal 3 3 2 2 7 2 2" xfId="27618" xr:uid="{00000000-0005-0000-0000-0000246F0000}"/>
    <cellStyle name="Normal 3 3 2 2 7 3" xfId="31666" xr:uid="{00000000-0005-0000-0000-0000256F0000}"/>
    <cellStyle name="Normal 3 3 2 2 8" xfId="7379" xr:uid="{00000000-0005-0000-0000-0000266F0000}"/>
    <cellStyle name="Normal 3 3 2 2 8 2" xfId="15955" xr:uid="{00000000-0005-0000-0000-0000276F0000}"/>
    <cellStyle name="Normal 3 3 2 2 8 2 2" xfId="29362" xr:uid="{00000000-0005-0000-0000-0000286F0000}"/>
    <cellStyle name="Normal 3 3 2 2 8 3" xfId="31667" xr:uid="{00000000-0005-0000-0000-0000296F0000}"/>
    <cellStyle name="Normal 3 3 2 2 9" xfId="10184" xr:uid="{00000000-0005-0000-0000-00002A6F0000}"/>
    <cellStyle name="Normal 3 3 2 2 9 2" xfId="24387" xr:uid="{00000000-0005-0000-0000-00002B6F0000}"/>
    <cellStyle name="Normal 3 3 2 3" xfId="7380" xr:uid="{00000000-0005-0000-0000-00002C6F0000}"/>
    <cellStyle name="Normal 3 3 2 3 2" xfId="7381" xr:uid="{00000000-0005-0000-0000-00002D6F0000}"/>
    <cellStyle name="Normal 3 3 2 3 2 2" xfId="7382" xr:uid="{00000000-0005-0000-0000-00002E6F0000}"/>
    <cellStyle name="Normal 3 3 2 3 2 2 2" xfId="7383" xr:uid="{00000000-0005-0000-0000-00002F6F0000}"/>
    <cellStyle name="Normal 3 3 2 3 2 2 2 2" xfId="16922" xr:uid="{00000000-0005-0000-0000-0000306F0000}"/>
    <cellStyle name="Normal 3 3 2 3 2 2 2 2 2" xfId="30329" xr:uid="{00000000-0005-0000-0000-0000316F0000}"/>
    <cellStyle name="Normal 3 3 2 3 2 2 2 3" xfId="31671" xr:uid="{00000000-0005-0000-0000-0000326F0000}"/>
    <cellStyle name="Normal 3 3 2 3 2 2 3" xfId="11552" xr:uid="{00000000-0005-0000-0000-0000336F0000}"/>
    <cellStyle name="Normal 3 3 2 3 2 2 3 2" xfId="25383" xr:uid="{00000000-0005-0000-0000-0000346F0000}"/>
    <cellStyle name="Normal 3 3 2 3 2 2 4" xfId="31670" xr:uid="{00000000-0005-0000-0000-0000356F0000}"/>
    <cellStyle name="Normal 3 3 2 3 2 3" xfId="7384" xr:uid="{00000000-0005-0000-0000-0000366F0000}"/>
    <cellStyle name="Normal 3 3 2 3 2 3 2" xfId="12310" xr:uid="{00000000-0005-0000-0000-0000376F0000}"/>
    <cellStyle name="Normal 3 3 2 3 2 3 2 2" xfId="26022" xr:uid="{00000000-0005-0000-0000-0000386F0000}"/>
    <cellStyle name="Normal 3 3 2 3 2 3 3" xfId="31672" xr:uid="{00000000-0005-0000-0000-0000396F0000}"/>
    <cellStyle name="Normal 3 3 2 3 2 4" xfId="7385" xr:uid="{00000000-0005-0000-0000-00003A6F0000}"/>
    <cellStyle name="Normal 3 3 2 3 2 4 2" xfId="13874" xr:uid="{00000000-0005-0000-0000-00003B6F0000}"/>
    <cellStyle name="Normal 3 3 2 3 2 4 2 2" xfId="27423" xr:uid="{00000000-0005-0000-0000-00003C6F0000}"/>
    <cellStyle name="Normal 3 3 2 3 2 4 3" xfId="31673" xr:uid="{00000000-0005-0000-0000-00003D6F0000}"/>
    <cellStyle name="Normal 3 3 2 3 2 5" xfId="7386" xr:uid="{00000000-0005-0000-0000-00003E6F0000}"/>
    <cellStyle name="Normal 3 3 2 3 2 5 2" xfId="14455" xr:uid="{00000000-0005-0000-0000-00003F6F0000}"/>
    <cellStyle name="Normal 3 3 2 3 2 5 2 2" xfId="28004" xr:uid="{00000000-0005-0000-0000-0000406F0000}"/>
    <cellStyle name="Normal 3 3 2 3 2 5 3" xfId="31674" xr:uid="{00000000-0005-0000-0000-0000416F0000}"/>
    <cellStyle name="Normal 3 3 2 3 2 6" xfId="7387" xr:uid="{00000000-0005-0000-0000-0000426F0000}"/>
    <cellStyle name="Normal 3 3 2 3 2 6 2" xfId="16341" xr:uid="{00000000-0005-0000-0000-0000436F0000}"/>
    <cellStyle name="Normal 3 3 2 3 2 6 2 2" xfId="29748" xr:uid="{00000000-0005-0000-0000-0000446F0000}"/>
    <cellStyle name="Normal 3 3 2 3 2 6 3" xfId="31675" xr:uid="{00000000-0005-0000-0000-0000456F0000}"/>
    <cellStyle name="Normal 3 3 2 3 2 7" xfId="10189" xr:uid="{00000000-0005-0000-0000-0000466F0000}"/>
    <cellStyle name="Normal 3 3 2 3 2 7 2" xfId="24392" xr:uid="{00000000-0005-0000-0000-0000476F0000}"/>
    <cellStyle name="Normal 3 3 2 3 2 8" xfId="31669" xr:uid="{00000000-0005-0000-0000-0000486F0000}"/>
    <cellStyle name="Normal 3 3 2 3 3" xfId="7388" xr:uid="{00000000-0005-0000-0000-0000496F0000}"/>
    <cellStyle name="Normal 3 3 2 3 3 2" xfId="7389" xr:uid="{00000000-0005-0000-0000-00004A6F0000}"/>
    <cellStyle name="Normal 3 3 2 3 3 2 2" xfId="16633" xr:uid="{00000000-0005-0000-0000-00004B6F0000}"/>
    <cellStyle name="Normal 3 3 2 3 3 2 2 2" xfId="30040" xr:uid="{00000000-0005-0000-0000-00004C6F0000}"/>
    <cellStyle name="Normal 3 3 2 3 3 2 3" xfId="31677" xr:uid="{00000000-0005-0000-0000-00004D6F0000}"/>
    <cellStyle name="Normal 3 3 2 3 3 3" xfId="11551" xr:uid="{00000000-0005-0000-0000-00004E6F0000}"/>
    <cellStyle name="Normal 3 3 2 3 3 3 2" xfId="25382" xr:uid="{00000000-0005-0000-0000-00004F6F0000}"/>
    <cellStyle name="Normal 3 3 2 3 3 4" xfId="31676" xr:uid="{00000000-0005-0000-0000-0000506F0000}"/>
    <cellStyle name="Normal 3 3 2 3 4" xfId="7390" xr:uid="{00000000-0005-0000-0000-0000516F0000}"/>
    <cellStyle name="Normal 3 3 2 3 4 2" xfId="12010" xr:uid="{00000000-0005-0000-0000-0000526F0000}"/>
    <cellStyle name="Normal 3 3 2 3 4 2 2" xfId="25725" xr:uid="{00000000-0005-0000-0000-0000536F0000}"/>
    <cellStyle name="Normal 3 3 2 3 4 3" xfId="31678" xr:uid="{00000000-0005-0000-0000-0000546F0000}"/>
    <cellStyle name="Normal 3 3 2 3 5" xfId="7391" xr:uid="{00000000-0005-0000-0000-0000556F0000}"/>
    <cellStyle name="Normal 3 3 2 3 5 2" xfId="13585" xr:uid="{00000000-0005-0000-0000-0000566F0000}"/>
    <cellStyle name="Normal 3 3 2 3 5 2 2" xfId="27134" xr:uid="{00000000-0005-0000-0000-0000576F0000}"/>
    <cellStyle name="Normal 3 3 2 3 5 3" xfId="31679" xr:uid="{00000000-0005-0000-0000-0000586F0000}"/>
    <cellStyle name="Normal 3 3 2 3 6" xfId="7392" xr:uid="{00000000-0005-0000-0000-0000596F0000}"/>
    <cellStyle name="Normal 3 3 2 3 6 2" xfId="14166" xr:uid="{00000000-0005-0000-0000-00005A6F0000}"/>
    <cellStyle name="Normal 3 3 2 3 6 2 2" xfId="27715" xr:uid="{00000000-0005-0000-0000-00005B6F0000}"/>
    <cellStyle name="Normal 3 3 2 3 6 3" xfId="31680" xr:uid="{00000000-0005-0000-0000-00005C6F0000}"/>
    <cellStyle name="Normal 3 3 2 3 7" xfId="7393" xr:uid="{00000000-0005-0000-0000-00005D6F0000}"/>
    <cellStyle name="Normal 3 3 2 3 7 2" xfId="16052" xr:uid="{00000000-0005-0000-0000-00005E6F0000}"/>
    <cellStyle name="Normal 3 3 2 3 7 2 2" xfId="29459" xr:uid="{00000000-0005-0000-0000-00005F6F0000}"/>
    <cellStyle name="Normal 3 3 2 3 7 3" xfId="31681" xr:uid="{00000000-0005-0000-0000-0000606F0000}"/>
    <cellStyle name="Normal 3 3 2 3 8" xfId="10188" xr:uid="{00000000-0005-0000-0000-0000616F0000}"/>
    <cellStyle name="Normal 3 3 2 3 8 2" xfId="24391" xr:uid="{00000000-0005-0000-0000-0000626F0000}"/>
    <cellStyle name="Normal 3 3 2 3 9" xfId="31668" xr:uid="{00000000-0005-0000-0000-0000636F0000}"/>
    <cellStyle name="Normal 3 3 2 4" xfId="7394" xr:uid="{00000000-0005-0000-0000-0000646F0000}"/>
    <cellStyle name="Normal 3 3 2 4 2" xfId="7395" xr:uid="{00000000-0005-0000-0000-0000656F0000}"/>
    <cellStyle name="Normal 3 3 2 4 2 2" xfId="7396" xr:uid="{00000000-0005-0000-0000-0000666F0000}"/>
    <cellStyle name="Normal 3 3 2 4 2 2 2" xfId="16779" xr:uid="{00000000-0005-0000-0000-0000676F0000}"/>
    <cellStyle name="Normal 3 3 2 4 2 2 2 2" xfId="30186" xr:uid="{00000000-0005-0000-0000-0000686F0000}"/>
    <cellStyle name="Normal 3 3 2 4 2 2 3" xfId="31684" xr:uid="{00000000-0005-0000-0000-0000696F0000}"/>
    <cellStyle name="Normal 3 3 2 4 2 3" xfId="11553" xr:uid="{00000000-0005-0000-0000-00006A6F0000}"/>
    <cellStyle name="Normal 3 3 2 4 2 3 2" xfId="25384" xr:uid="{00000000-0005-0000-0000-00006B6F0000}"/>
    <cellStyle name="Normal 3 3 2 4 2 4" xfId="31683" xr:uid="{00000000-0005-0000-0000-00006C6F0000}"/>
    <cellStyle name="Normal 3 3 2 4 3" xfId="7397" xr:uid="{00000000-0005-0000-0000-00006D6F0000}"/>
    <cellStyle name="Normal 3 3 2 4 3 2" xfId="12167" xr:uid="{00000000-0005-0000-0000-00006E6F0000}"/>
    <cellStyle name="Normal 3 3 2 4 3 2 2" xfId="25879" xr:uid="{00000000-0005-0000-0000-00006F6F0000}"/>
    <cellStyle name="Normal 3 3 2 4 3 3" xfId="31685" xr:uid="{00000000-0005-0000-0000-0000706F0000}"/>
    <cellStyle name="Normal 3 3 2 4 4" xfId="7398" xr:uid="{00000000-0005-0000-0000-0000716F0000}"/>
    <cellStyle name="Normal 3 3 2 4 4 2" xfId="13731" xr:uid="{00000000-0005-0000-0000-0000726F0000}"/>
    <cellStyle name="Normal 3 3 2 4 4 2 2" xfId="27280" xr:uid="{00000000-0005-0000-0000-0000736F0000}"/>
    <cellStyle name="Normal 3 3 2 4 4 3" xfId="31686" xr:uid="{00000000-0005-0000-0000-0000746F0000}"/>
    <cellStyle name="Normal 3 3 2 4 5" xfId="7399" xr:uid="{00000000-0005-0000-0000-0000756F0000}"/>
    <cellStyle name="Normal 3 3 2 4 5 2" xfId="14312" xr:uid="{00000000-0005-0000-0000-0000766F0000}"/>
    <cellStyle name="Normal 3 3 2 4 5 2 2" xfId="27861" xr:uid="{00000000-0005-0000-0000-0000776F0000}"/>
    <cellStyle name="Normal 3 3 2 4 5 3" xfId="31687" xr:uid="{00000000-0005-0000-0000-0000786F0000}"/>
    <cellStyle name="Normal 3 3 2 4 6" xfId="7400" xr:uid="{00000000-0005-0000-0000-0000796F0000}"/>
    <cellStyle name="Normal 3 3 2 4 6 2" xfId="16198" xr:uid="{00000000-0005-0000-0000-00007A6F0000}"/>
    <cellStyle name="Normal 3 3 2 4 6 2 2" xfId="29605" xr:uid="{00000000-0005-0000-0000-00007B6F0000}"/>
    <cellStyle name="Normal 3 3 2 4 6 3" xfId="31688" xr:uid="{00000000-0005-0000-0000-00007C6F0000}"/>
    <cellStyle name="Normal 3 3 2 4 7" xfId="10190" xr:uid="{00000000-0005-0000-0000-00007D6F0000}"/>
    <cellStyle name="Normal 3 3 2 4 7 2" xfId="24393" xr:uid="{00000000-0005-0000-0000-00007E6F0000}"/>
    <cellStyle name="Normal 3 3 2 4 8" xfId="31682" xr:uid="{00000000-0005-0000-0000-00007F6F0000}"/>
    <cellStyle name="Normal 3 3 2 5" xfId="7401" xr:uid="{00000000-0005-0000-0000-0000806F0000}"/>
    <cellStyle name="Normal 3 3 2 5 2" xfId="7402" xr:uid="{00000000-0005-0000-0000-0000816F0000}"/>
    <cellStyle name="Normal 3 3 2 5 2 2" xfId="17032" xr:uid="{00000000-0005-0000-0000-0000826F0000}"/>
    <cellStyle name="Normal 3 3 2 5 2 2 2" xfId="30433" xr:uid="{00000000-0005-0000-0000-0000836F0000}"/>
    <cellStyle name="Normal 3 3 2 5 2 3" xfId="31690" xr:uid="{00000000-0005-0000-0000-0000846F0000}"/>
    <cellStyle name="Normal 3 3 2 5 3" xfId="11546" xr:uid="{00000000-0005-0000-0000-0000856F0000}"/>
    <cellStyle name="Normal 3 3 2 5 3 2" xfId="25377" xr:uid="{00000000-0005-0000-0000-0000866F0000}"/>
    <cellStyle name="Normal 3 3 2 5 4" xfId="31689" xr:uid="{00000000-0005-0000-0000-0000876F0000}"/>
    <cellStyle name="Normal 3 3 2 6" xfId="7403" xr:uid="{00000000-0005-0000-0000-0000886F0000}"/>
    <cellStyle name="Normal 3 3 2 6 2" xfId="7404" xr:uid="{00000000-0005-0000-0000-0000896F0000}"/>
    <cellStyle name="Normal 3 3 2 6 2 2" xfId="17126" xr:uid="{00000000-0005-0000-0000-00008A6F0000}"/>
    <cellStyle name="Normal 3 3 2 6 2 2 2" xfId="30485" xr:uid="{00000000-0005-0000-0000-00008B6F0000}"/>
    <cellStyle name="Normal 3 3 2 6 2 3" xfId="31692" xr:uid="{00000000-0005-0000-0000-00008C6F0000}"/>
    <cellStyle name="Normal 3 3 2 6 3" xfId="11854" xr:uid="{00000000-0005-0000-0000-00008D6F0000}"/>
    <cellStyle name="Normal 3 3 2 6 3 2" xfId="25569" xr:uid="{00000000-0005-0000-0000-00008E6F0000}"/>
    <cellStyle name="Normal 3 3 2 6 4" xfId="31691" xr:uid="{00000000-0005-0000-0000-00008F6F0000}"/>
    <cellStyle name="Normal 3 3 2 7" xfId="7405" xr:uid="{00000000-0005-0000-0000-0000906F0000}"/>
    <cellStyle name="Normal 3 3 2 7 2" xfId="7406" xr:uid="{00000000-0005-0000-0000-0000916F0000}"/>
    <cellStyle name="Normal 3 3 2 7 2 2" xfId="17215" xr:uid="{00000000-0005-0000-0000-0000926F0000}"/>
    <cellStyle name="Normal 3 3 2 7 2 2 2" xfId="30574" xr:uid="{00000000-0005-0000-0000-0000936F0000}"/>
    <cellStyle name="Normal 3 3 2 7 2 3" xfId="31694" xr:uid="{00000000-0005-0000-0000-0000946F0000}"/>
    <cellStyle name="Normal 3 3 2 7 3" xfId="13442" xr:uid="{00000000-0005-0000-0000-0000956F0000}"/>
    <cellStyle name="Normal 3 3 2 7 3 2" xfId="26991" xr:uid="{00000000-0005-0000-0000-0000966F0000}"/>
    <cellStyle name="Normal 3 3 2 7 4" xfId="31693" xr:uid="{00000000-0005-0000-0000-0000976F0000}"/>
    <cellStyle name="Normal 3 3 2 8" xfId="7407" xr:uid="{00000000-0005-0000-0000-0000986F0000}"/>
    <cellStyle name="Normal 3 3 2 8 2" xfId="7408" xr:uid="{00000000-0005-0000-0000-0000996F0000}"/>
    <cellStyle name="Normal 3 3 2 8 2 2" xfId="16490" xr:uid="{00000000-0005-0000-0000-00009A6F0000}"/>
    <cellStyle name="Normal 3 3 2 8 2 2 2" xfId="29897" xr:uid="{00000000-0005-0000-0000-00009B6F0000}"/>
    <cellStyle name="Normal 3 3 2 8 2 3" xfId="31696" xr:uid="{00000000-0005-0000-0000-00009C6F0000}"/>
    <cellStyle name="Normal 3 3 2 8 3" xfId="14023" xr:uid="{00000000-0005-0000-0000-00009D6F0000}"/>
    <cellStyle name="Normal 3 3 2 8 3 2" xfId="27572" xr:uid="{00000000-0005-0000-0000-00009E6F0000}"/>
    <cellStyle name="Normal 3 3 2 8 4" xfId="31695" xr:uid="{00000000-0005-0000-0000-00009F6F0000}"/>
    <cellStyle name="Normal 3 3 2 9" xfId="7409" xr:uid="{00000000-0005-0000-0000-0000A06F0000}"/>
    <cellStyle name="Normal 3 3 2 9 2" xfId="15909" xr:uid="{00000000-0005-0000-0000-0000A16F0000}"/>
    <cellStyle name="Normal 3 3 2 9 2 2" xfId="29316" xr:uid="{00000000-0005-0000-0000-0000A26F0000}"/>
    <cellStyle name="Normal 3 3 2 9 3" xfId="31697" xr:uid="{00000000-0005-0000-0000-0000A36F0000}"/>
    <cellStyle name="Normal 3 3 3" xfId="7410" xr:uid="{00000000-0005-0000-0000-0000A46F0000}"/>
    <cellStyle name="Normal 3 3 3 10" xfId="31698" xr:uid="{00000000-0005-0000-0000-0000A56F0000}"/>
    <cellStyle name="Normal 3 3 3 2" xfId="7411" xr:uid="{00000000-0005-0000-0000-0000A66F0000}"/>
    <cellStyle name="Normal 3 3 3 2 2" xfId="7412" xr:uid="{00000000-0005-0000-0000-0000A76F0000}"/>
    <cellStyle name="Normal 3 3 3 2 2 2" xfId="7413" xr:uid="{00000000-0005-0000-0000-0000A86F0000}"/>
    <cellStyle name="Normal 3 3 3 2 2 2 2" xfId="7414" xr:uid="{00000000-0005-0000-0000-0000A96F0000}"/>
    <cellStyle name="Normal 3 3 3 2 2 2 2 2" xfId="16945" xr:uid="{00000000-0005-0000-0000-0000AA6F0000}"/>
    <cellStyle name="Normal 3 3 3 2 2 2 2 2 2" xfId="30352" xr:uid="{00000000-0005-0000-0000-0000AB6F0000}"/>
    <cellStyle name="Normal 3 3 3 2 2 2 2 3" xfId="31702" xr:uid="{00000000-0005-0000-0000-0000AC6F0000}"/>
    <cellStyle name="Normal 3 3 3 2 2 2 3" xfId="11556" xr:uid="{00000000-0005-0000-0000-0000AD6F0000}"/>
    <cellStyle name="Normal 3 3 3 2 2 2 3 2" xfId="25387" xr:uid="{00000000-0005-0000-0000-0000AE6F0000}"/>
    <cellStyle name="Normal 3 3 3 2 2 2 4" xfId="31701" xr:uid="{00000000-0005-0000-0000-0000AF6F0000}"/>
    <cellStyle name="Normal 3 3 3 2 2 3" xfId="7415" xr:uid="{00000000-0005-0000-0000-0000B06F0000}"/>
    <cellStyle name="Normal 3 3 3 2 2 3 2" xfId="12333" xr:uid="{00000000-0005-0000-0000-0000B16F0000}"/>
    <cellStyle name="Normal 3 3 3 2 2 3 2 2" xfId="26045" xr:uid="{00000000-0005-0000-0000-0000B26F0000}"/>
    <cellStyle name="Normal 3 3 3 2 2 3 3" xfId="31703" xr:uid="{00000000-0005-0000-0000-0000B36F0000}"/>
    <cellStyle name="Normal 3 3 3 2 2 4" xfId="7416" xr:uid="{00000000-0005-0000-0000-0000B46F0000}"/>
    <cellStyle name="Normal 3 3 3 2 2 4 2" xfId="13897" xr:uid="{00000000-0005-0000-0000-0000B56F0000}"/>
    <cellStyle name="Normal 3 3 3 2 2 4 2 2" xfId="27446" xr:uid="{00000000-0005-0000-0000-0000B66F0000}"/>
    <cellStyle name="Normal 3 3 3 2 2 4 3" xfId="31704" xr:uid="{00000000-0005-0000-0000-0000B76F0000}"/>
    <cellStyle name="Normal 3 3 3 2 2 5" xfId="7417" xr:uid="{00000000-0005-0000-0000-0000B86F0000}"/>
    <cellStyle name="Normal 3 3 3 2 2 5 2" xfId="14478" xr:uid="{00000000-0005-0000-0000-0000B96F0000}"/>
    <cellStyle name="Normal 3 3 3 2 2 5 2 2" xfId="28027" xr:uid="{00000000-0005-0000-0000-0000BA6F0000}"/>
    <cellStyle name="Normal 3 3 3 2 2 5 3" xfId="31705" xr:uid="{00000000-0005-0000-0000-0000BB6F0000}"/>
    <cellStyle name="Normal 3 3 3 2 2 6" xfId="7418" xr:uid="{00000000-0005-0000-0000-0000BC6F0000}"/>
    <cellStyle name="Normal 3 3 3 2 2 6 2" xfId="16364" xr:uid="{00000000-0005-0000-0000-0000BD6F0000}"/>
    <cellStyle name="Normal 3 3 3 2 2 6 2 2" xfId="29771" xr:uid="{00000000-0005-0000-0000-0000BE6F0000}"/>
    <cellStyle name="Normal 3 3 3 2 2 6 3" xfId="31706" xr:uid="{00000000-0005-0000-0000-0000BF6F0000}"/>
    <cellStyle name="Normal 3 3 3 2 2 7" xfId="10193" xr:uid="{00000000-0005-0000-0000-0000C06F0000}"/>
    <cellStyle name="Normal 3 3 3 2 2 7 2" xfId="24396" xr:uid="{00000000-0005-0000-0000-0000C16F0000}"/>
    <cellStyle name="Normal 3 3 3 2 2 8" xfId="31700" xr:uid="{00000000-0005-0000-0000-0000C26F0000}"/>
    <cellStyle name="Normal 3 3 3 2 3" xfId="7419" xr:uid="{00000000-0005-0000-0000-0000C36F0000}"/>
    <cellStyle name="Normal 3 3 3 2 3 2" xfId="7420" xr:uid="{00000000-0005-0000-0000-0000C46F0000}"/>
    <cellStyle name="Normal 3 3 3 2 3 2 2" xfId="16656" xr:uid="{00000000-0005-0000-0000-0000C56F0000}"/>
    <cellStyle name="Normal 3 3 3 2 3 2 2 2" xfId="30063" xr:uid="{00000000-0005-0000-0000-0000C66F0000}"/>
    <cellStyle name="Normal 3 3 3 2 3 2 3" xfId="31708" xr:uid="{00000000-0005-0000-0000-0000C76F0000}"/>
    <cellStyle name="Normal 3 3 3 2 3 3" xfId="11555" xr:uid="{00000000-0005-0000-0000-0000C86F0000}"/>
    <cellStyle name="Normal 3 3 3 2 3 3 2" xfId="25386" xr:uid="{00000000-0005-0000-0000-0000C96F0000}"/>
    <cellStyle name="Normal 3 3 3 2 3 4" xfId="31707" xr:uid="{00000000-0005-0000-0000-0000CA6F0000}"/>
    <cellStyle name="Normal 3 3 3 2 4" xfId="7421" xr:uid="{00000000-0005-0000-0000-0000CB6F0000}"/>
    <cellStyle name="Normal 3 3 3 2 4 2" xfId="12033" xr:uid="{00000000-0005-0000-0000-0000CC6F0000}"/>
    <cellStyle name="Normal 3 3 3 2 4 2 2" xfId="25748" xr:uid="{00000000-0005-0000-0000-0000CD6F0000}"/>
    <cellStyle name="Normal 3 3 3 2 4 3" xfId="31709" xr:uid="{00000000-0005-0000-0000-0000CE6F0000}"/>
    <cellStyle name="Normal 3 3 3 2 5" xfId="7422" xr:uid="{00000000-0005-0000-0000-0000CF6F0000}"/>
    <cellStyle name="Normal 3 3 3 2 5 2" xfId="13608" xr:uid="{00000000-0005-0000-0000-0000D06F0000}"/>
    <cellStyle name="Normal 3 3 3 2 5 2 2" xfId="27157" xr:uid="{00000000-0005-0000-0000-0000D16F0000}"/>
    <cellStyle name="Normal 3 3 3 2 5 3" xfId="31710" xr:uid="{00000000-0005-0000-0000-0000D26F0000}"/>
    <cellStyle name="Normal 3 3 3 2 6" xfId="7423" xr:uid="{00000000-0005-0000-0000-0000D36F0000}"/>
    <cellStyle name="Normal 3 3 3 2 6 2" xfId="14189" xr:uid="{00000000-0005-0000-0000-0000D46F0000}"/>
    <cellStyle name="Normal 3 3 3 2 6 2 2" xfId="27738" xr:uid="{00000000-0005-0000-0000-0000D56F0000}"/>
    <cellStyle name="Normal 3 3 3 2 6 3" xfId="31711" xr:uid="{00000000-0005-0000-0000-0000D66F0000}"/>
    <cellStyle name="Normal 3 3 3 2 7" xfId="7424" xr:uid="{00000000-0005-0000-0000-0000D76F0000}"/>
    <cellStyle name="Normal 3 3 3 2 7 2" xfId="16075" xr:uid="{00000000-0005-0000-0000-0000D86F0000}"/>
    <cellStyle name="Normal 3 3 3 2 7 2 2" xfId="29482" xr:uid="{00000000-0005-0000-0000-0000D96F0000}"/>
    <cellStyle name="Normal 3 3 3 2 7 3" xfId="31712" xr:uid="{00000000-0005-0000-0000-0000DA6F0000}"/>
    <cellStyle name="Normal 3 3 3 2 8" xfId="10192" xr:uid="{00000000-0005-0000-0000-0000DB6F0000}"/>
    <cellStyle name="Normal 3 3 3 2 8 2" xfId="24395" xr:uid="{00000000-0005-0000-0000-0000DC6F0000}"/>
    <cellStyle name="Normal 3 3 3 2 9" xfId="31699" xr:uid="{00000000-0005-0000-0000-0000DD6F0000}"/>
    <cellStyle name="Normal 3 3 3 3" xfId="7425" xr:uid="{00000000-0005-0000-0000-0000DE6F0000}"/>
    <cellStyle name="Normal 3 3 3 3 2" xfId="7426" xr:uid="{00000000-0005-0000-0000-0000DF6F0000}"/>
    <cellStyle name="Normal 3 3 3 3 2 2" xfId="7427" xr:uid="{00000000-0005-0000-0000-0000E06F0000}"/>
    <cellStyle name="Normal 3 3 3 3 2 2 2" xfId="16802" xr:uid="{00000000-0005-0000-0000-0000E16F0000}"/>
    <cellStyle name="Normal 3 3 3 3 2 2 2 2" xfId="30209" xr:uid="{00000000-0005-0000-0000-0000E26F0000}"/>
    <cellStyle name="Normal 3 3 3 3 2 2 3" xfId="31715" xr:uid="{00000000-0005-0000-0000-0000E36F0000}"/>
    <cellStyle name="Normal 3 3 3 3 2 3" xfId="11557" xr:uid="{00000000-0005-0000-0000-0000E46F0000}"/>
    <cellStyle name="Normal 3 3 3 3 2 3 2" xfId="25388" xr:uid="{00000000-0005-0000-0000-0000E56F0000}"/>
    <cellStyle name="Normal 3 3 3 3 2 4" xfId="31714" xr:uid="{00000000-0005-0000-0000-0000E66F0000}"/>
    <cellStyle name="Normal 3 3 3 3 3" xfId="7428" xr:uid="{00000000-0005-0000-0000-0000E76F0000}"/>
    <cellStyle name="Normal 3 3 3 3 3 2" xfId="12190" xr:uid="{00000000-0005-0000-0000-0000E86F0000}"/>
    <cellStyle name="Normal 3 3 3 3 3 2 2" xfId="25902" xr:uid="{00000000-0005-0000-0000-0000E96F0000}"/>
    <cellStyle name="Normal 3 3 3 3 3 3" xfId="31716" xr:uid="{00000000-0005-0000-0000-0000EA6F0000}"/>
    <cellStyle name="Normal 3 3 3 3 4" xfId="7429" xr:uid="{00000000-0005-0000-0000-0000EB6F0000}"/>
    <cellStyle name="Normal 3 3 3 3 4 2" xfId="13754" xr:uid="{00000000-0005-0000-0000-0000EC6F0000}"/>
    <cellStyle name="Normal 3 3 3 3 4 2 2" xfId="27303" xr:uid="{00000000-0005-0000-0000-0000ED6F0000}"/>
    <cellStyle name="Normal 3 3 3 3 4 3" xfId="31717" xr:uid="{00000000-0005-0000-0000-0000EE6F0000}"/>
    <cellStyle name="Normal 3 3 3 3 5" xfId="7430" xr:uid="{00000000-0005-0000-0000-0000EF6F0000}"/>
    <cellStyle name="Normal 3 3 3 3 5 2" xfId="14335" xr:uid="{00000000-0005-0000-0000-0000F06F0000}"/>
    <cellStyle name="Normal 3 3 3 3 5 2 2" xfId="27884" xr:uid="{00000000-0005-0000-0000-0000F16F0000}"/>
    <cellStyle name="Normal 3 3 3 3 5 3" xfId="31718" xr:uid="{00000000-0005-0000-0000-0000F26F0000}"/>
    <cellStyle name="Normal 3 3 3 3 6" xfId="7431" xr:uid="{00000000-0005-0000-0000-0000F36F0000}"/>
    <cellStyle name="Normal 3 3 3 3 6 2" xfId="16221" xr:uid="{00000000-0005-0000-0000-0000F46F0000}"/>
    <cellStyle name="Normal 3 3 3 3 6 2 2" xfId="29628" xr:uid="{00000000-0005-0000-0000-0000F56F0000}"/>
    <cellStyle name="Normal 3 3 3 3 6 3" xfId="31719" xr:uid="{00000000-0005-0000-0000-0000F66F0000}"/>
    <cellStyle name="Normal 3 3 3 3 7" xfId="10194" xr:uid="{00000000-0005-0000-0000-0000F76F0000}"/>
    <cellStyle name="Normal 3 3 3 3 7 2" xfId="24397" xr:uid="{00000000-0005-0000-0000-0000F86F0000}"/>
    <cellStyle name="Normal 3 3 3 3 8" xfId="31713" xr:uid="{00000000-0005-0000-0000-0000F96F0000}"/>
    <cellStyle name="Normal 3 3 3 4" xfId="7432" xr:uid="{00000000-0005-0000-0000-0000FA6F0000}"/>
    <cellStyle name="Normal 3 3 3 4 2" xfId="7433" xr:uid="{00000000-0005-0000-0000-0000FB6F0000}"/>
    <cellStyle name="Normal 3 3 3 4 2 2" xfId="17149" xr:uid="{00000000-0005-0000-0000-0000FC6F0000}"/>
    <cellStyle name="Normal 3 3 3 4 2 2 2" xfId="30508" xr:uid="{00000000-0005-0000-0000-0000FD6F0000}"/>
    <cellStyle name="Normal 3 3 3 4 2 3" xfId="31721" xr:uid="{00000000-0005-0000-0000-0000FE6F0000}"/>
    <cellStyle name="Normal 3 3 3 4 3" xfId="11554" xr:uid="{00000000-0005-0000-0000-0000FF6F0000}"/>
    <cellStyle name="Normal 3 3 3 4 3 2" xfId="25385" xr:uid="{00000000-0005-0000-0000-000000700000}"/>
    <cellStyle name="Normal 3 3 3 4 4" xfId="31720" xr:uid="{00000000-0005-0000-0000-000001700000}"/>
    <cellStyle name="Normal 3 3 3 5" xfId="7434" xr:uid="{00000000-0005-0000-0000-000002700000}"/>
    <cellStyle name="Normal 3 3 3 5 2" xfId="7435" xr:uid="{00000000-0005-0000-0000-000003700000}"/>
    <cellStyle name="Normal 3 3 3 5 2 2" xfId="17238" xr:uid="{00000000-0005-0000-0000-000004700000}"/>
    <cellStyle name="Normal 3 3 3 5 2 2 2" xfId="30597" xr:uid="{00000000-0005-0000-0000-000005700000}"/>
    <cellStyle name="Normal 3 3 3 5 2 3" xfId="31723" xr:uid="{00000000-0005-0000-0000-000006700000}"/>
    <cellStyle name="Normal 3 3 3 5 3" xfId="11888" xr:uid="{00000000-0005-0000-0000-000007700000}"/>
    <cellStyle name="Normal 3 3 3 5 3 2" xfId="25603" xr:uid="{00000000-0005-0000-0000-000008700000}"/>
    <cellStyle name="Normal 3 3 3 5 4" xfId="31722" xr:uid="{00000000-0005-0000-0000-000009700000}"/>
    <cellStyle name="Normal 3 3 3 6" xfId="7436" xr:uid="{00000000-0005-0000-0000-00000A700000}"/>
    <cellStyle name="Normal 3 3 3 6 2" xfId="7437" xr:uid="{00000000-0005-0000-0000-00000B700000}"/>
    <cellStyle name="Normal 3 3 3 6 2 2" xfId="16513" xr:uid="{00000000-0005-0000-0000-00000C700000}"/>
    <cellStyle name="Normal 3 3 3 6 2 2 2" xfId="29920" xr:uid="{00000000-0005-0000-0000-00000D700000}"/>
    <cellStyle name="Normal 3 3 3 6 2 3" xfId="31725" xr:uid="{00000000-0005-0000-0000-00000E700000}"/>
    <cellStyle name="Normal 3 3 3 6 3" xfId="13465" xr:uid="{00000000-0005-0000-0000-00000F700000}"/>
    <cellStyle name="Normal 3 3 3 6 3 2" xfId="27014" xr:uid="{00000000-0005-0000-0000-000010700000}"/>
    <cellStyle name="Normal 3 3 3 6 4" xfId="31724" xr:uid="{00000000-0005-0000-0000-000011700000}"/>
    <cellStyle name="Normal 3 3 3 7" xfId="7438" xr:uid="{00000000-0005-0000-0000-000012700000}"/>
    <cellStyle name="Normal 3 3 3 7 2" xfId="14046" xr:uid="{00000000-0005-0000-0000-000013700000}"/>
    <cellStyle name="Normal 3 3 3 7 2 2" xfId="27595" xr:uid="{00000000-0005-0000-0000-000014700000}"/>
    <cellStyle name="Normal 3 3 3 7 3" xfId="31726" xr:uid="{00000000-0005-0000-0000-000015700000}"/>
    <cellStyle name="Normal 3 3 3 8" xfId="7439" xr:uid="{00000000-0005-0000-0000-000016700000}"/>
    <cellStyle name="Normal 3 3 3 8 2" xfId="15932" xr:uid="{00000000-0005-0000-0000-000017700000}"/>
    <cellStyle name="Normal 3 3 3 8 2 2" xfId="29339" xr:uid="{00000000-0005-0000-0000-000018700000}"/>
    <cellStyle name="Normal 3 3 3 8 3" xfId="31727" xr:uid="{00000000-0005-0000-0000-000019700000}"/>
    <cellStyle name="Normal 3 3 3 9" xfId="10191" xr:uid="{00000000-0005-0000-0000-00001A700000}"/>
    <cellStyle name="Normal 3 3 3 9 2" xfId="24394" xr:uid="{00000000-0005-0000-0000-00001B700000}"/>
    <cellStyle name="Normal 3 3 4" xfId="7440" xr:uid="{00000000-0005-0000-0000-00001C700000}"/>
    <cellStyle name="Normal 3 3 4 10" xfId="31728" xr:uid="{00000000-0005-0000-0000-00001D700000}"/>
    <cellStyle name="Normal 3 3 4 2" xfId="7441" xr:uid="{00000000-0005-0000-0000-00001E700000}"/>
    <cellStyle name="Normal 3 3 4 2 2" xfId="7442" xr:uid="{00000000-0005-0000-0000-00001F700000}"/>
    <cellStyle name="Normal 3 3 4 2 2 2" xfId="7443" xr:uid="{00000000-0005-0000-0000-000020700000}"/>
    <cellStyle name="Normal 3 3 4 2 2 2 2" xfId="7444" xr:uid="{00000000-0005-0000-0000-000021700000}"/>
    <cellStyle name="Normal 3 3 4 2 2 2 2 2" xfId="16988" xr:uid="{00000000-0005-0000-0000-000022700000}"/>
    <cellStyle name="Normal 3 3 4 2 2 2 2 2 2" xfId="30395" xr:uid="{00000000-0005-0000-0000-000023700000}"/>
    <cellStyle name="Normal 3 3 4 2 2 2 2 3" xfId="31732" xr:uid="{00000000-0005-0000-0000-000024700000}"/>
    <cellStyle name="Normal 3 3 4 2 2 2 3" xfId="11560" xr:uid="{00000000-0005-0000-0000-000025700000}"/>
    <cellStyle name="Normal 3 3 4 2 2 2 3 2" xfId="25391" xr:uid="{00000000-0005-0000-0000-000026700000}"/>
    <cellStyle name="Normal 3 3 4 2 2 2 4" xfId="31731" xr:uid="{00000000-0005-0000-0000-000027700000}"/>
    <cellStyle name="Normal 3 3 4 2 2 3" xfId="7445" xr:uid="{00000000-0005-0000-0000-000028700000}"/>
    <cellStyle name="Normal 3 3 4 2 2 3 2" xfId="12376" xr:uid="{00000000-0005-0000-0000-000029700000}"/>
    <cellStyle name="Normal 3 3 4 2 2 3 2 2" xfId="26088" xr:uid="{00000000-0005-0000-0000-00002A700000}"/>
    <cellStyle name="Normal 3 3 4 2 2 3 3" xfId="31733" xr:uid="{00000000-0005-0000-0000-00002B700000}"/>
    <cellStyle name="Normal 3 3 4 2 2 4" xfId="7446" xr:uid="{00000000-0005-0000-0000-00002C700000}"/>
    <cellStyle name="Normal 3 3 4 2 2 4 2" xfId="13940" xr:uid="{00000000-0005-0000-0000-00002D700000}"/>
    <cellStyle name="Normal 3 3 4 2 2 4 2 2" xfId="27489" xr:uid="{00000000-0005-0000-0000-00002E700000}"/>
    <cellStyle name="Normal 3 3 4 2 2 4 3" xfId="31734" xr:uid="{00000000-0005-0000-0000-00002F700000}"/>
    <cellStyle name="Normal 3 3 4 2 2 5" xfId="7447" xr:uid="{00000000-0005-0000-0000-000030700000}"/>
    <cellStyle name="Normal 3 3 4 2 2 5 2" xfId="14521" xr:uid="{00000000-0005-0000-0000-000031700000}"/>
    <cellStyle name="Normal 3 3 4 2 2 5 2 2" xfId="28070" xr:uid="{00000000-0005-0000-0000-000032700000}"/>
    <cellStyle name="Normal 3 3 4 2 2 5 3" xfId="31735" xr:uid="{00000000-0005-0000-0000-000033700000}"/>
    <cellStyle name="Normal 3 3 4 2 2 6" xfId="7448" xr:uid="{00000000-0005-0000-0000-000034700000}"/>
    <cellStyle name="Normal 3 3 4 2 2 6 2" xfId="16407" xr:uid="{00000000-0005-0000-0000-000035700000}"/>
    <cellStyle name="Normal 3 3 4 2 2 6 2 2" xfId="29814" xr:uid="{00000000-0005-0000-0000-000036700000}"/>
    <cellStyle name="Normal 3 3 4 2 2 6 3" xfId="31736" xr:uid="{00000000-0005-0000-0000-000037700000}"/>
    <cellStyle name="Normal 3 3 4 2 2 7" xfId="10197" xr:uid="{00000000-0005-0000-0000-000038700000}"/>
    <cellStyle name="Normal 3 3 4 2 2 7 2" xfId="24400" xr:uid="{00000000-0005-0000-0000-000039700000}"/>
    <cellStyle name="Normal 3 3 4 2 2 8" xfId="31730" xr:uid="{00000000-0005-0000-0000-00003A700000}"/>
    <cellStyle name="Normal 3 3 4 2 3" xfId="7449" xr:uid="{00000000-0005-0000-0000-00003B700000}"/>
    <cellStyle name="Normal 3 3 4 2 3 2" xfId="7450" xr:uid="{00000000-0005-0000-0000-00003C700000}"/>
    <cellStyle name="Normal 3 3 4 2 3 2 2" xfId="16699" xr:uid="{00000000-0005-0000-0000-00003D700000}"/>
    <cellStyle name="Normal 3 3 4 2 3 2 2 2" xfId="30106" xr:uid="{00000000-0005-0000-0000-00003E700000}"/>
    <cellStyle name="Normal 3 3 4 2 3 2 3" xfId="31738" xr:uid="{00000000-0005-0000-0000-00003F700000}"/>
    <cellStyle name="Normal 3 3 4 2 3 3" xfId="11559" xr:uid="{00000000-0005-0000-0000-000040700000}"/>
    <cellStyle name="Normal 3 3 4 2 3 3 2" xfId="25390" xr:uid="{00000000-0005-0000-0000-000041700000}"/>
    <cellStyle name="Normal 3 3 4 2 3 4" xfId="31737" xr:uid="{00000000-0005-0000-0000-000042700000}"/>
    <cellStyle name="Normal 3 3 4 2 4" xfId="7451" xr:uid="{00000000-0005-0000-0000-000043700000}"/>
    <cellStyle name="Normal 3 3 4 2 4 2" xfId="12076" xr:uid="{00000000-0005-0000-0000-000044700000}"/>
    <cellStyle name="Normal 3 3 4 2 4 2 2" xfId="25791" xr:uid="{00000000-0005-0000-0000-000045700000}"/>
    <cellStyle name="Normal 3 3 4 2 4 3" xfId="31739" xr:uid="{00000000-0005-0000-0000-000046700000}"/>
    <cellStyle name="Normal 3 3 4 2 5" xfId="7452" xr:uid="{00000000-0005-0000-0000-000047700000}"/>
    <cellStyle name="Normal 3 3 4 2 5 2" xfId="13651" xr:uid="{00000000-0005-0000-0000-000048700000}"/>
    <cellStyle name="Normal 3 3 4 2 5 2 2" xfId="27200" xr:uid="{00000000-0005-0000-0000-000049700000}"/>
    <cellStyle name="Normal 3 3 4 2 5 3" xfId="31740" xr:uid="{00000000-0005-0000-0000-00004A700000}"/>
    <cellStyle name="Normal 3 3 4 2 6" xfId="7453" xr:uid="{00000000-0005-0000-0000-00004B700000}"/>
    <cellStyle name="Normal 3 3 4 2 6 2" xfId="14232" xr:uid="{00000000-0005-0000-0000-00004C700000}"/>
    <cellStyle name="Normal 3 3 4 2 6 2 2" xfId="27781" xr:uid="{00000000-0005-0000-0000-00004D700000}"/>
    <cellStyle name="Normal 3 3 4 2 6 3" xfId="31741" xr:uid="{00000000-0005-0000-0000-00004E700000}"/>
    <cellStyle name="Normal 3 3 4 2 7" xfId="7454" xr:uid="{00000000-0005-0000-0000-00004F700000}"/>
    <cellStyle name="Normal 3 3 4 2 7 2" xfId="16118" xr:uid="{00000000-0005-0000-0000-000050700000}"/>
    <cellStyle name="Normal 3 3 4 2 7 2 2" xfId="29525" xr:uid="{00000000-0005-0000-0000-000051700000}"/>
    <cellStyle name="Normal 3 3 4 2 7 3" xfId="31742" xr:uid="{00000000-0005-0000-0000-000052700000}"/>
    <cellStyle name="Normal 3 3 4 2 8" xfId="10196" xr:uid="{00000000-0005-0000-0000-000053700000}"/>
    <cellStyle name="Normal 3 3 4 2 8 2" xfId="24399" xr:uid="{00000000-0005-0000-0000-000054700000}"/>
    <cellStyle name="Normal 3 3 4 2 9" xfId="31729" xr:uid="{00000000-0005-0000-0000-000055700000}"/>
    <cellStyle name="Normal 3 3 4 3" xfId="7455" xr:uid="{00000000-0005-0000-0000-000056700000}"/>
    <cellStyle name="Normal 3 3 4 3 2" xfId="7456" xr:uid="{00000000-0005-0000-0000-000057700000}"/>
    <cellStyle name="Normal 3 3 4 3 2 2" xfId="7457" xr:uid="{00000000-0005-0000-0000-000058700000}"/>
    <cellStyle name="Normal 3 3 4 3 2 2 2" xfId="16845" xr:uid="{00000000-0005-0000-0000-000059700000}"/>
    <cellStyle name="Normal 3 3 4 3 2 2 2 2" xfId="30252" xr:uid="{00000000-0005-0000-0000-00005A700000}"/>
    <cellStyle name="Normal 3 3 4 3 2 2 3" xfId="31745" xr:uid="{00000000-0005-0000-0000-00005B700000}"/>
    <cellStyle name="Normal 3 3 4 3 2 3" xfId="11561" xr:uid="{00000000-0005-0000-0000-00005C700000}"/>
    <cellStyle name="Normal 3 3 4 3 2 3 2" xfId="25392" xr:uid="{00000000-0005-0000-0000-00005D700000}"/>
    <cellStyle name="Normal 3 3 4 3 2 4" xfId="31744" xr:uid="{00000000-0005-0000-0000-00005E700000}"/>
    <cellStyle name="Normal 3 3 4 3 3" xfId="7458" xr:uid="{00000000-0005-0000-0000-00005F700000}"/>
    <cellStyle name="Normal 3 3 4 3 3 2" xfId="12233" xr:uid="{00000000-0005-0000-0000-000060700000}"/>
    <cellStyle name="Normal 3 3 4 3 3 2 2" xfId="25945" xr:uid="{00000000-0005-0000-0000-000061700000}"/>
    <cellStyle name="Normal 3 3 4 3 3 3" xfId="31746" xr:uid="{00000000-0005-0000-0000-000062700000}"/>
    <cellStyle name="Normal 3 3 4 3 4" xfId="7459" xr:uid="{00000000-0005-0000-0000-000063700000}"/>
    <cellStyle name="Normal 3 3 4 3 4 2" xfId="13797" xr:uid="{00000000-0005-0000-0000-000064700000}"/>
    <cellStyle name="Normal 3 3 4 3 4 2 2" xfId="27346" xr:uid="{00000000-0005-0000-0000-000065700000}"/>
    <cellStyle name="Normal 3 3 4 3 4 3" xfId="31747" xr:uid="{00000000-0005-0000-0000-000066700000}"/>
    <cellStyle name="Normal 3 3 4 3 5" xfId="7460" xr:uid="{00000000-0005-0000-0000-000067700000}"/>
    <cellStyle name="Normal 3 3 4 3 5 2" xfId="14378" xr:uid="{00000000-0005-0000-0000-000068700000}"/>
    <cellStyle name="Normal 3 3 4 3 5 2 2" xfId="27927" xr:uid="{00000000-0005-0000-0000-000069700000}"/>
    <cellStyle name="Normal 3 3 4 3 5 3" xfId="31748" xr:uid="{00000000-0005-0000-0000-00006A700000}"/>
    <cellStyle name="Normal 3 3 4 3 6" xfId="7461" xr:uid="{00000000-0005-0000-0000-00006B700000}"/>
    <cellStyle name="Normal 3 3 4 3 6 2" xfId="16264" xr:uid="{00000000-0005-0000-0000-00006C700000}"/>
    <cellStyle name="Normal 3 3 4 3 6 2 2" xfId="29671" xr:uid="{00000000-0005-0000-0000-00006D700000}"/>
    <cellStyle name="Normal 3 3 4 3 6 3" xfId="31749" xr:uid="{00000000-0005-0000-0000-00006E700000}"/>
    <cellStyle name="Normal 3 3 4 3 7" xfId="10198" xr:uid="{00000000-0005-0000-0000-00006F700000}"/>
    <cellStyle name="Normal 3 3 4 3 7 2" xfId="24401" xr:uid="{00000000-0005-0000-0000-000070700000}"/>
    <cellStyle name="Normal 3 3 4 3 8" xfId="31743" xr:uid="{00000000-0005-0000-0000-000071700000}"/>
    <cellStyle name="Normal 3 3 4 4" xfId="7462" xr:uid="{00000000-0005-0000-0000-000072700000}"/>
    <cellStyle name="Normal 3 3 4 4 2" xfId="7463" xr:uid="{00000000-0005-0000-0000-000073700000}"/>
    <cellStyle name="Normal 3 3 4 4 2 2" xfId="16556" xr:uid="{00000000-0005-0000-0000-000074700000}"/>
    <cellStyle name="Normal 3 3 4 4 2 2 2" xfId="29963" xr:uid="{00000000-0005-0000-0000-000075700000}"/>
    <cellStyle name="Normal 3 3 4 4 2 3" xfId="31751" xr:uid="{00000000-0005-0000-0000-000076700000}"/>
    <cellStyle name="Normal 3 3 4 4 3" xfId="11558" xr:uid="{00000000-0005-0000-0000-000077700000}"/>
    <cellStyle name="Normal 3 3 4 4 3 2" xfId="25389" xr:uid="{00000000-0005-0000-0000-000078700000}"/>
    <cellStyle name="Normal 3 3 4 4 4" xfId="31750" xr:uid="{00000000-0005-0000-0000-000079700000}"/>
    <cellStyle name="Normal 3 3 4 5" xfId="7464" xr:uid="{00000000-0005-0000-0000-00007A700000}"/>
    <cellStyle name="Normal 3 3 4 5 2" xfId="11931" xr:uid="{00000000-0005-0000-0000-00007B700000}"/>
    <cellStyle name="Normal 3 3 4 5 2 2" xfId="25646" xr:uid="{00000000-0005-0000-0000-00007C700000}"/>
    <cellStyle name="Normal 3 3 4 5 3" xfId="31752" xr:uid="{00000000-0005-0000-0000-00007D700000}"/>
    <cellStyle name="Normal 3 3 4 6" xfId="7465" xr:uid="{00000000-0005-0000-0000-00007E700000}"/>
    <cellStyle name="Normal 3 3 4 6 2" xfId="13508" xr:uid="{00000000-0005-0000-0000-00007F700000}"/>
    <cellStyle name="Normal 3 3 4 6 2 2" xfId="27057" xr:uid="{00000000-0005-0000-0000-000080700000}"/>
    <cellStyle name="Normal 3 3 4 6 3" xfId="31753" xr:uid="{00000000-0005-0000-0000-000081700000}"/>
    <cellStyle name="Normal 3 3 4 7" xfId="7466" xr:uid="{00000000-0005-0000-0000-000082700000}"/>
    <cellStyle name="Normal 3 3 4 7 2" xfId="14089" xr:uid="{00000000-0005-0000-0000-000083700000}"/>
    <cellStyle name="Normal 3 3 4 7 2 2" xfId="27638" xr:uid="{00000000-0005-0000-0000-000084700000}"/>
    <cellStyle name="Normal 3 3 4 7 3" xfId="31754" xr:uid="{00000000-0005-0000-0000-000085700000}"/>
    <cellStyle name="Normal 3 3 4 8" xfId="7467" xr:uid="{00000000-0005-0000-0000-000086700000}"/>
    <cellStyle name="Normal 3 3 4 8 2" xfId="15975" xr:uid="{00000000-0005-0000-0000-000087700000}"/>
    <cellStyle name="Normal 3 3 4 8 2 2" xfId="29382" xr:uid="{00000000-0005-0000-0000-000088700000}"/>
    <cellStyle name="Normal 3 3 4 8 3" xfId="31755" xr:uid="{00000000-0005-0000-0000-000089700000}"/>
    <cellStyle name="Normal 3 3 4 9" xfId="10195" xr:uid="{00000000-0005-0000-0000-00008A700000}"/>
    <cellStyle name="Normal 3 3 4 9 2" xfId="24398" xr:uid="{00000000-0005-0000-0000-00008B700000}"/>
    <cellStyle name="Normal 3 3 5" xfId="7468" xr:uid="{00000000-0005-0000-0000-00008C700000}"/>
    <cellStyle name="Normal 3 3 5 2" xfId="7469" xr:uid="{00000000-0005-0000-0000-00008D700000}"/>
    <cellStyle name="Normal 3 3 5 2 2" xfId="7470" xr:uid="{00000000-0005-0000-0000-00008E700000}"/>
    <cellStyle name="Normal 3 3 5 2 2 2" xfId="7471" xr:uid="{00000000-0005-0000-0000-00008F700000}"/>
    <cellStyle name="Normal 3 3 5 2 2 2 2" xfId="16899" xr:uid="{00000000-0005-0000-0000-000090700000}"/>
    <cellStyle name="Normal 3 3 5 2 2 2 2 2" xfId="30306" xr:uid="{00000000-0005-0000-0000-000091700000}"/>
    <cellStyle name="Normal 3 3 5 2 2 2 3" xfId="31759" xr:uid="{00000000-0005-0000-0000-000092700000}"/>
    <cellStyle name="Normal 3 3 5 2 2 3" xfId="11563" xr:uid="{00000000-0005-0000-0000-000093700000}"/>
    <cellStyle name="Normal 3 3 5 2 2 3 2" xfId="25394" xr:uid="{00000000-0005-0000-0000-000094700000}"/>
    <cellStyle name="Normal 3 3 5 2 2 4" xfId="31758" xr:uid="{00000000-0005-0000-0000-000095700000}"/>
    <cellStyle name="Normal 3 3 5 2 3" xfId="7472" xr:uid="{00000000-0005-0000-0000-000096700000}"/>
    <cellStyle name="Normal 3 3 5 2 3 2" xfId="12287" xr:uid="{00000000-0005-0000-0000-000097700000}"/>
    <cellStyle name="Normal 3 3 5 2 3 2 2" xfId="25999" xr:uid="{00000000-0005-0000-0000-000098700000}"/>
    <cellStyle name="Normal 3 3 5 2 3 3" xfId="31760" xr:uid="{00000000-0005-0000-0000-000099700000}"/>
    <cellStyle name="Normal 3 3 5 2 4" xfId="7473" xr:uid="{00000000-0005-0000-0000-00009A700000}"/>
    <cellStyle name="Normal 3 3 5 2 4 2" xfId="13851" xr:uid="{00000000-0005-0000-0000-00009B700000}"/>
    <cellStyle name="Normal 3 3 5 2 4 2 2" xfId="27400" xr:uid="{00000000-0005-0000-0000-00009C700000}"/>
    <cellStyle name="Normal 3 3 5 2 4 3" xfId="31761" xr:uid="{00000000-0005-0000-0000-00009D700000}"/>
    <cellStyle name="Normal 3 3 5 2 5" xfId="7474" xr:uid="{00000000-0005-0000-0000-00009E700000}"/>
    <cellStyle name="Normal 3 3 5 2 5 2" xfId="14432" xr:uid="{00000000-0005-0000-0000-00009F700000}"/>
    <cellStyle name="Normal 3 3 5 2 5 2 2" xfId="27981" xr:uid="{00000000-0005-0000-0000-0000A0700000}"/>
    <cellStyle name="Normal 3 3 5 2 5 3" xfId="31762" xr:uid="{00000000-0005-0000-0000-0000A1700000}"/>
    <cellStyle name="Normal 3 3 5 2 6" xfId="7475" xr:uid="{00000000-0005-0000-0000-0000A2700000}"/>
    <cellStyle name="Normal 3 3 5 2 6 2" xfId="16318" xr:uid="{00000000-0005-0000-0000-0000A3700000}"/>
    <cellStyle name="Normal 3 3 5 2 6 2 2" xfId="29725" xr:uid="{00000000-0005-0000-0000-0000A4700000}"/>
    <cellStyle name="Normal 3 3 5 2 6 3" xfId="31763" xr:uid="{00000000-0005-0000-0000-0000A5700000}"/>
    <cellStyle name="Normal 3 3 5 2 7" xfId="10200" xr:uid="{00000000-0005-0000-0000-0000A6700000}"/>
    <cellStyle name="Normal 3 3 5 2 7 2" xfId="24403" xr:uid="{00000000-0005-0000-0000-0000A7700000}"/>
    <cellStyle name="Normal 3 3 5 2 8" xfId="31757" xr:uid="{00000000-0005-0000-0000-0000A8700000}"/>
    <cellStyle name="Normal 3 3 5 3" xfId="7476" xr:uid="{00000000-0005-0000-0000-0000A9700000}"/>
    <cellStyle name="Normal 3 3 5 3 2" xfId="7477" xr:uid="{00000000-0005-0000-0000-0000AA700000}"/>
    <cellStyle name="Normal 3 3 5 3 2 2" xfId="16610" xr:uid="{00000000-0005-0000-0000-0000AB700000}"/>
    <cellStyle name="Normal 3 3 5 3 2 2 2" xfId="30017" xr:uid="{00000000-0005-0000-0000-0000AC700000}"/>
    <cellStyle name="Normal 3 3 5 3 2 3" xfId="31765" xr:uid="{00000000-0005-0000-0000-0000AD700000}"/>
    <cellStyle name="Normal 3 3 5 3 3" xfId="11562" xr:uid="{00000000-0005-0000-0000-0000AE700000}"/>
    <cellStyle name="Normal 3 3 5 3 3 2" xfId="25393" xr:uid="{00000000-0005-0000-0000-0000AF700000}"/>
    <cellStyle name="Normal 3 3 5 3 4" xfId="31764" xr:uid="{00000000-0005-0000-0000-0000B0700000}"/>
    <cellStyle name="Normal 3 3 5 4" xfId="7478" xr:uid="{00000000-0005-0000-0000-0000B1700000}"/>
    <cellStyle name="Normal 3 3 5 4 2" xfId="11987" xr:uid="{00000000-0005-0000-0000-0000B2700000}"/>
    <cellStyle name="Normal 3 3 5 4 2 2" xfId="25702" xr:uid="{00000000-0005-0000-0000-0000B3700000}"/>
    <cellStyle name="Normal 3 3 5 4 3" xfId="31766" xr:uid="{00000000-0005-0000-0000-0000B4700000}"/>
    <cellStyle name="Normal 3 3 5 5" xfId="7479" xr:uid="{00000000-0005-0000-0000-0000B5700000}"/>
    <cellStyle name="Normal 3 3 5 5 2" xfId="13562" xr:uid="{00000000-0005-0000-0000-0000B6700000}"/>
    <cellStyle name="Normal 3 3 5 5 2 2" xfId="27111" xr:uid="{00000000-0005-0000-0000-0000B7700000}"/>
    <cellStyle name="Normal 3 3 5 5 3" xfId="31767" xr:uid="{00000000-0005-0000-0000-0000B8700000}"/>
    <cellStyle name="Normal 3 3 5 6" xfId="7480" xr:uid="{00000000-0005-0000-0000-0000B9700000}"/>
    <cellStyle name="Normal 3 3 5 6 2" xfId="14143" xr:uid="{00000000-0005-0000-0000-0000BA700000}"/>
    <cellStyle name="Normal 3 3 5 6 2 2" xfId="27692" xr:uid="{00000000-0005-0000-0000-0000BB700000}"/>
    <cellStyle name="Normal 3 3 5 6 3" xfId="31768" xr:uid="{00000000-0005-0000-0000-0000BC700000}"/>
    <cellStyle name="Normal 3 3 5 7" xfId="7481" xr:uid="{00000000-0005-0000-0000-0000BD700000}"/>
    <cellStyle name="Normal 3 3 5 7 2" xfId="16029" xr:uid="{00000000-0005-0000-0000-0000BE700000}"/>
    <cellStyle name="Normal 3 3 5 7 2 2" xfId="29436" xr:uid="{00000000-0005-0000-0000-0000BF700000}"/>
    <cellStyle name="Normal 3 3 5 7 3" xfId="31769" xr:uid="{00000000-0005-0000-0000-0000C0700000}"/>
    <cellStyle name="Normal 3 3 5 8" xfId="10199" xr:uid="{00000000-0005-0000-0000-0000C1700000}"/>
    <cellStyle name="Normal 3 3 5 8 2" xfId="24402" xr:uid="{00000000-0005-0000-0000-0000C2700000}"/>
    <cellStyle name="Normal 3 3 5 9" xfId="31756" xr:uid="{00000000-0005-0000-0000-0000C3700000}"/>
    <cellStyle name="Normal 3 3 6" xfId="7482" xr:uid="{00000000-0005-0000-0000-0000C4700000}"/>
    <cellStyle name="Normal 3 3 6 2" xfId="7483" xr:uid="{00000000-0005-0000-0000-0000C5700000}"/>
    <cellStyle name="Normal 3 3 6 2 2" xfId="7484" xr:uid="{00000000-0005-0000-0000-0000C6700000}"/>
    <cellStyle name="Normal 3 3 6 2 2 2" xfId="16722" xr:uid="{00000000-0005-0000-0000-0000C7700000}"/>
    <cellStyle name="Normal 3 3 6 2 2 2 2" xfId="30129" xr:uid="{00000000-0005-0000-0000-0000C8700000}"/>
    <cellStyle name="Normal 3 3 6 2 2 3" xfId="31772" xr:uid="{00000000-0005-0000-0000-0000C9700000}"/>
    <cellStyle name="Normal 3 3 6 2 3" xfId="11564" xr:uid="{00000000-0005-0000-0000-0000CA700000}"/>
    <cellStyle name="Normal 3 3 6 2 3 2" xfId="25395" xr:uid="{00000000-0005-0000-0000-0000CB700000}"/>
    <cellStyle name="Normal 3 3 6 2 4" xfId="31771" xr:uid="{00000000-0005-0000-0000-0000CC700000}"/>
    <cellStyle name="Normal 3 3 6 3" xfId="7485" xr:uid="{00000000-0005-0000-0000-0000CD700000}"/>
    <cellStyle name="Normal 3 3 6 3 2" xfId="12110" xr:uid="{00000000-0005-0000-0000-0000CE700000}"/>
    <cellStyle name="Normal 3 3 6 3 2 2" xfId="25822" xr:uid="{00000000-0005-0000-0000-0000CF700000}"/>
    <cellStyle name="Normal 3 3 6 3 3" xfId="31773" xr:uid="{00000000-0005-0000-0000-0000D0700000}"/>
    <cellStyle name="Normal 3 3 6 4" xfId="7486" xr:uid="{00000000-0005-0000-0000-0000D1700000}"/>
    <cellStyle name="Normal 3 3 6 4 2" xfId="13674" xr:uid="{00000000-0005-0000-0000-0000D2700000}"/>
    <cellStyle name="Normal 3 3 6 4 2 2" xfId="27223" xr:uid="{00000000-0005-0000-0000-0000D3700000}"/>
    <cellStyle name="Normal 3 3 6 4 3" xfId="31774" xr:uid="{00000000-0005-0000-0000-0000D4700000}"/>
    <cellStyle name="Normal 3 3 6 5" xfId="7487" xr:uid="{00000000-0005-0000-0000-0000D5700000}"/>
    <cellStyle name="Normal 3 3 6 5 2" xfId="14255" xr:uid="{00000000-0005-0000-0000-0000D6700000}"/>
    <cellStyle name="Normal 3 3 6 5 2 2" xfId="27804" xr:uid="{00000000-0005-0000-0000-0000D7700000}"/>
    <cellStyle name="Normal 3 3 6 5 3" xfId="31775" xr:uid="{00000000-0005-0000-0000-0000D8700000}"/>
    <cellStyle name="Normal 3 3 6 6" xfId="7488" xr:uid="{00000000-0005-0000-0000-0000D9700000}"/>
    <cellStyle name="Normal 3 3 6 6 2" xfId="16141" xr:uid="{00000000-0005-0000-0000-0000DA700000}"/>
    <cellStyle name="Normal 3 3 6 6 2 2" xfId="29548" xr:uid="{00000000-0005-0000-0000-0000DB700000}"/>
    <cellStyle name="Normal 3 3 6 6 3" xfId="31776" xr:uid="{00000000-0005-0000-0000-0000DC700000}"/>
    <cellStyle name="Normal 3 3 6 7" xfId="10201" xr:uid="{00000000-0005-0000-0000-0000DD700000}"/>
    <cellStyle name="Normal 3 3 6 7 2" xfId="24404" xr:uid="{00000000-0005-0000-0000-0000DE700000}"/>
    <cellStyle name="Normal 3 3 6 8" xfId="31770" xr:uid="{00000000-0005-0000-0000-0000DF700000}"/>
    <cellStyle name="Normal 3 3 7" xfId="7489" xr:uid="{00000000-0005-0000-0000-0000E0700000}"/>
    <cellStyle name="Normal 3 3 7 2" xfId="7490" xr:uid="{00000000-0005-0000-0000-0000E1700000}"/>
    <cellStyle name="Normal 3 3 7 2 2" xfId="7491" xr:uid="{00000000-0005-0000-0000-0000E2700000}"/>
    <cellStyle name="Normal 3 3 7 2 2 2" xfId="16995" xr:uid="{00000000-0005-0000-0000-0000E3700000}"/>
    <cellStyle name="Normal 3 3 7 2 2 2 2" xfId="30402" xr:uid="{00000000-0005-0000-0000-0000E4700000}"/>
    <cellStyle name="Normal 3 3 7 2 2 3" xfId="31779" xr:uid="{00000000-0005-0000-0000-0000E5700000}"/>
    <cellStyle name="Normal 3 3 7 2 3" xfId="11565" xr:uid="{00000000-0005-0000-0000-0000E6700000}"/>
    <cellStyle name="Normal 3 3 7 2 3 2" xfId="25396" xr:uid="{00000000-0005-0000-0000-0000E7700000}"/>
    <cellStyle name="Normal 3 3 7 2 4" xfId="31778" xr:uid="{00000000-0005-0000-0000-0000E8700000}"/>
    <cellStyle name="Normal 3 3 7 3" xfId="7492" xr:uid="{00000000-0005-0000-0000-0000E9700000}"/>
    <cellStyle name="Normal 3 3 7 3 2" xfId="12384" xr:uid="{00000000-0005-0000-0000-0000EA700000}"/>
    <cellStyle name="Normal 3 3 7 3 2 2" xfId="26096" xr:uid="{00000000-0005-0000-0000-0000EB700000}"/>
    <cellStyle name="Normal 3 3 7 3 3" xfId="31780" xr:uid="{00000000-0005-0000-0000-0000EC700000}"/>
    <cellStyle name="Normal 3 3 7 4" xfId="7493" xr:uid="{00000000-0005-0000-0000-0000ED700000}"/>
    <cellStyle name="Normal 3 3 7 4 2" xfId="13947" xr:uid="{00000000-0005-0000-0000-0000EE700000}"/>
    <cellStyle name="Normal 3 3 7 4 2 2" xfId="27496" xr:uid="{00000000-0005-0000-0000-0000EF700000}"/>
    <cellStyle name="Normal 3 3 7 4 3" xfId="31781" xr:uid="{00000000-0005-0000-0000-0000F0700000}"/>
    <cellStyle name="Normal 3 3 7 5" xfId="7494" xr:uid="{00000000-0005-0000-0000-0000F1700000}"/>
    <cellStyle name="Normal 3 3 7 5 2" xfId="14528" xr:uid="{00000000-0005-0000-0000-0000F2700000}"/>
    <cellStyle name="Normal 3 3 7 5 2 2" xfId="28077" xr:uid="{00000000-0005-0000-0000-0000F3700000}"/>
    <cellStyle name="Normal 3 3 7 5 3" xfId="31782" xr:uid="{00000000-0005-0000-0000-0000F4700000}"/>
    <cellStyle name="Normal 3 3 7 6" xfId="7495" xr:uid="{00000000-0005-0000-0000-0000F5700000}"/>
    <cellStyle name="Normal 3 3 7 6 2" xfId="16414" xr:uid="{00000000-0005-0000-0000-0000F6700000}"/>
    <cellStyle name="Normal 3 3 7 6 2 2" xfId="29821" xr:uid="{00000000-0005-0000-0000-0000F7700000}"/>
    <cellStyle name="Normal 3 3 7 6 3" xfId="31783" xr:uid="{00000000-0005-0000-0000-0000F8700000}"/>
    <cellStyle name="Normal 3 3 7 7" xfId="10202" xr:uid="{00000000-0005-0000-0000-0000F9700000}"/>
    <cellStyle name="Normal 3 3 7 7 2" xfId="24405" xr:uid="{00000000-0005-0000-0000-0000FA700000}"/>
    <cellStyle name="Normal 3 3 7 8" xfId="31777" xr:uid="{00000000-0005-0000-0000-0000FB700000}"/>
    <cellStyle name="Normal 3 3 8" xfId="7496" xr:uid="{00000000-0005-0000-0000-0000FC700000}"/>
    <cellStyle name="Normal 3 3 8 2" xfId="7497" xr:uid="{00000000-0005-0000-0000-0000FD700000}"/>
    <cellStyle name="Normal 3 3 8 2 2" xfId="17031" xr:uid="{00000000-0005-0000-0000-0000FE700000}"/>
    <cellStyle name="Normal 3 3 8 2 2 2" xfId="30432" xr:uid="{00000000-0005-0000-0000-0000FF700000}"/>
    <cellStyle name="Normal 3 3 8 2 3" xfId="31785" xr:uid="{00000000-0005-0000-0000-000000710000}"/>
    <cellStyle name="Normal 3 3 8 3" xfId="11545" xr:uid="{00000000-0005-0000-0000-000001710000}"/>
    <cellStyle name="Normal 3 3 8 3 2" xfId="25376" xr:uid="{00000000-0005-0000-0000-000002710000}"/>
    <cellStyle name="Normal 3 3 8 4" xfId="31784" xr:uid="{00000000-0005-0000-0000-000003710000}"/>
    <cellStyle name="Normal 3 3 9" xfId="7498" xr:uid="{00000000-0005-0000-0000-000004710000}"/>
    <cellStyle name="Normal 3 3 9 2" xfId="7499" xr:uid="{00000000-0005-0000-0000-000005710000}"/>
    <cellStyle name="Normal 3 3 9 2 2" xfId="17103" xr:uid="{00000000-0005-0000-0000-000006710000}"/>
    <cellStyle name="Normal 3 3 9 2 2 2" xfId="30462" xr:uid="{00000000-0005-0000-0000-000007710000}"/>
    <cellStyle name="Normal 3 3 9 2 3" xfId="31787" xr:uid="{00000000-0005-0000-0000-000008710000}"/>
    <cellStyle name="Normal 3 3 9 3" xfId="11818" xr:uid="{00000000-0005-0000-0000-000009710000}"/>
    <cellStyle name="Normal 3 3 9 3 2" xfId="25533" xr:uid="{00000000-0005-0000-0000-00000A710000}"/>
    <cellStyle name="Normal 3 3 9 4" xfId="31786" xr:uid="{00000000-0005-0000-0000-00000B710000}"/>
    <cellStyle name="Normal 3 4" xfId="7500" xr:uid="{00000000-0005-0000-0000-00000C710000}"/>
    <cellStyle name="Normal 3 4 10" xfId="31788" xr:uid="{00000000-0005-0000-0000-00000D710000}"/>
    <cellStyle name="Normal 3 4 11" xfId="32915" xr:uid="{00000000-0005-0000-0000-00000E710000}"/>
    <cellStyle name="Normal 3 4 12" xfId="32975" xr:uid="{00000000-0005-0000-0000-00000F710000}"/>
    <cellStyle name="Normal 3 4 2" xfId="7501" xr:uid="{00000000-0005-0000-0000-000010710000}"/>
    <cellStyle name="Normal 3 4 2 10" xfId="33003" xr:uid="{00000000-0005-0000-0000-000011710000}"/>
    <cellStyle name="Normal 3 4 2 2" xfId="7502" xr:uid="{00000000-0005-0000-0000-000012710000}"/>
    <cellStyle name="Normal 3 4 2 2 2" xfId="7503" xr:uid="{00000000-0005-0000-0000-000013710000}"/>
    <cellStyle name="Normal 3 4 2 2 2 2" xfId="16990" xr:uid="{00000000-0005-0000-0000-000014710000}"/>
    <cellStyle name="Normal 3 4 2 2 2 2 2" xfId="30397" xr:uid="{00000000-0005-0000-0000-000015710000}"/>
    <cellStyle name="Normal 3 4 2 2 2 3" xfId="31791" xr:uid="{00000000-0005-0000-0000-000016710000}"/>
    <cellStyle name="Normal 3 4 2 2 3" xfId="11567" xr:uid="{00000000-0005-0000-0000-000017710000}"/>
    <cellStyle name="Normal 3 4 2 2 3 2" xfId="25398" xr:uid="{00000000-0005-0000-0000-000018710000}"/>
    <cellStyle name="Normal 3 4 2 2 4" xfId="31790" xr:uid="{00000000-0005-0000-0000-000019710000}"/>
    <cellStyle name="Normal 3 4 2 3" xfId="7504" xr:uid="{00000000-0005-0000-0000-00001A710000}"/>
    <cellStyle name="Normal 3 4 2 3 2" xfId="12378" xr:uid="{00000000-0005-0000-0000-00001B710000}"/>
    <cellStyle name="Normal 3 4 2 3 2 2" xfId="26090" xr:uid="{00000000-0005-0000-0000-00001C710000}"/>
    <cellStyle name="Normal 3 4 2 3 3" xfId="31792" xr:uid="{00000000-0005-0000-0000-00001D710000}"/>
    <cellStyle name="Normal 3 4 2 4" xfId="7505" xr:uid="{00000000-0005-0000-0000-00001E710000}"/>
    <cellStyle name="Normal 3 4 2 4 2" xfId="13942" xr:uid="{00000000-0005-0000-0000-00001F710000}"/>
    <cellStyle name="Normal 3 4 2 4 2 2" xfId="27491" xr:uid="{00000000-0005-0000-0000-000020710000}"/>
    <cellStyle name="Normal 3 4 2 4 3" xfId="31793" xr:uid="{00000000-0005-0000-0000-000021710000}"/>
    <cellStyle name="Normal 3 4 2 5" xfId="7506" xr:uid="{00000000-0005-0000-0000-000022710000}"/>
    <cellStyle name="Normal 3 4 2 5 2" xfId="14523" xr:uid="{00000000-0005-0000-0000-000023710000}"/>
    <cellStyle name="Normal 3 4 2 5 2 2" xfId="28072" xr:uid="{00000000-0005-0000-0000-000024710000}"/>
    <cellStyle name="Normal 3 4 2 5 3" xfId="31794" xr:uid="{00000000-0005-0000-0000-000025710000}"/>
    <cellStyle name="Normal 3 4 2 6" xfId="7507" xr:uid="{00000000-0005-0000-0000-000026710000}"/>
    <cellStyle name="Normal 3 4 2 6 2" xfId="16409" xr:uid="{00000000-0005-0000-0000-000027710000}"/>
    <cellStyle name="Normal 3 4 2 6 2 2" xfId="29816" xr:uid="{00000000-0005-0000-0000-000028710000}"/>
    <cellStyle name="Normal 3 4 2 6 3" xfId="31795" xr:uid="{00000000-0005-0000-0000-000029710000}"/>
    <cellStyle name="Normal 3 4 2 7" xfId="10203" xr:uid="{00000000-0005-0000-0000-00002A710000}"/>
    <cellStyle name="Normal 3 4 2 7 2" xfId="24406" xr:uid="{00000000-0005-0000-0000-00002B710000}"/>
    <cellStyle name="Normal 3 4 2 8" xfId="31789" xr:uid="{00000000-0005-0000-0000-00002C710000}"/>
    <cellStyle name="Normal 3 4 2 9" xfId="32945" xr:uid="{00000000-0005-0000-0000-00002D710000}"/>
    <cellStyle name="Normal 3 4 3" xfId="7508" xr:uid="{00000000-0005-0000-0000-00002E710000}"/>
    <cellStyle name="Normal 3 4 3 2" xfId="7509" xr:uid="{00000000-0005-0000-0000-00002F710000}"/>
    <cellStyle name="Normal 3 4 3 2 2" xfId="17033" xr:uid="{00000000-0005-0000-0000-000030710000}"/>
    <cellStyle name="Normal 3 4 3 2 2 2" xfId="30434" xr:uid="{00000000-0005-0000-0000-000031710000}"/>
    <cellStyle name="Normal 3 4 3 2 3" xfId="31797" xr:uid="{00000000-0005-0000-0000-000032710000}"/>
    <cellStyle name="Normal 3 4 3 3" xfId="10204" xr:uid="{00000000-0005-0000-0000-000033710000}"/>
    <cellStyle name="Normal 3 4 3 4" xfId="31796" xr:uid="{00000000-0005-0000-0000-000034710000}"/>
    <cellStyle name="Normal 3 4 4" xfId="7510" xr:uid="{00000000-0005-0000-0000-000035710000}"/>
    <cellStyle name="Normal 3 4 4 2" xfId="11566" xr:uid="{00000000-0005-0000-0000-000036710000}"/>
    <cellStyle name="Normal 3 4 4 2 2" xfId="25397" xr:uid="{00000000-0005-0000-0000-000037710000}"/>
    <cellStyle name="Normal 3 4 4 3" xfId="31798" xr:uid="{00000000-0005-0000-0000-000038710000}"/>
    <cellStyle name="Normal 3 4 5" xfId="7511" xr:uid="{00000000-0005-0000-0000-000039710000}"/>
    <cellStyle name="Normal 3 4 5 2" xfId="13253" xr:uid="{00000000-0005-0000-0000-00003A710000}"/>
    <cellStyle name="Normal 3 4 5 2 2" xfId="26887" xr:uid="{00000000-0005-0000-0000-00003B710000}"/>
    <cellStyle name="Normal 3 4 5 3" xfId="31799" xr:uid="{00000000-0005-0000-0000-00003C710000}"/>
    <cellStyle name="Normal 3 4 6" xfId="7512" xr:uid="{00000000-0005-0000-0000-00003D710000}"/>
    <cellStyle name="Normal 3 4 6 2" xfId="15693" xr:uid="{00000000-0005-0000-0000-00003E710000}"/>
    <cellStyle name="Normal 3 4 6 2 2" xfId="29179" xr:uid="{00000000-0005-0000-0000-00003F710000}"/>
    <cellStyle name="Normal 3 4 6 3" xfId="31800" xr:uid="{00000000-0005-0000-0000-000040710000}"/>
    <cellStyle name="Normal 3 4 7" xfId="7513" xr:uid="{00000000-0005-0000-0000-000041710000}"/>
    <cellStyle name="Normal 3 4 7 2" xfId="15801" xr:uid="{00000000-0005-0000-0000-000042710000}"/>
    <cellStyle name="Normal 3 4 7 2 2" xfId="29208" xr:uid="{00000000-0005-0000-0000-000043710000}"/>
    <cellStyle name="Normal 3 4 7 3" xfId="31801" xr:uid="{00000000-0005-0000-0000-000044710000}"/>
    <cellStyle name="Normal 3 4 8" xfId="8677" xr:uid="{00000000-0005-0000-0000-000045710000}"/>
    <cellStyle name="Normal 3 4 8 2" xfId="17302" xr:uid="{00000000-0005-0000-0000-000046710000}"/>
    <cellStyle name="Normal 3 4 8 2 2" xfId="30655" xr:uid="{00000000-0005-0000-0000-000047710000}"/>
    <cellStyle name="Normal 3 4 8 3" xfId="23207" xr:uid="{00000000-0005-0000-0000-000048710000}"/>
    <cellStyle name="Normal 3 4 9" xfId="8786" xr:uid="{00000000-0005-0000-0000-000049710000}"/>
    <cellStyle name="Normal 3 4 9 2" xfId="23264" xr:uid="{00000000-0005-0000-0000-00004A710000}"/>
    <cellStyle name="Normal 3 5" xfId="7514" xr:uid="{00000000-0005-0000-0000-00004B710000}"/>
    <cellStyle name="Normal 3 5 10" xfId="32983" xr:uid="{00000000-0005-0000-0000-00004C710000}"/>
    <cellStyle name="Normal 3 5 2" xfId="7515" xr:uid="{00000000-0005-0000-0000-00004D710000}"/>
    <cellStyle name="Normal 3 5 2 2" xfId="11568" xr:uid="{00000000-0005-0000-0000-00004E710000}"/>
    <cellStyle name="Normal 3 5 2 2 2" xfId="25399" xr:uid="{00000000-0005-0000-0000-00004F710000}"/>
    <cellStyle name="Normal 3 5 2 3" xfId="31803" xr:uid="{00000000-0005-0000-0000-000050710000}"/>
    <cellStyle name="Normal 3 5 2 4" xfId="32946" xr:uid="{00000000-0005-0000-0000-000051710000}"/>
    <cellStyle name="Normal 3 5 2 5" xfId="33004" xr:uid="{00000000-0005-0000-0000-000052710000}"/>
    <cellStyle name="Normal 3 5 3" xfId="7516" xr:uid="{00000000-0005-0000-0000-000053710000}"/>
    <cellStyle name="Normal 3 5 3 2" xfId="13254" xr:uid="{00000000-0005-0000-0000-000054710000}"/>
    <cellStyle name="Normal 3 5 3 2 2" xfId="26888" xr:uid="{00000000-0005-0000-0000-000055710000}"/>
    <cellStyle name="Normal 3 5 3 3" xfId="31804" xr:uid="{00000000-0005-0000-0000-000056710000}"/>
    <cellStyle name="Normal 3 5 4" xfId="7517" xr:uid="{00000000-0005-0000-0000-000057710000}"/>
    <cellStyle name="Normal 3 5 4 2" xfId="15694" xr:uid="{00000000-0005-0000-0000-000058710000}"/>
    <cellStyle name="Normal 3 5 4 2 2" xfId="29180" xr:uid="{00000000-0005-0000-0000-000059710000}"/>
    <cellStyle name="Normal 3 5 4 3" xfId="31805" xr:uid="{00000000-0005-0000-0000-00005A710000}"/>
    <cellStyle name="Normal 3 5 5" xfId="7518" xr:uid="{00000000-0005-0000-0000-00005B710000}"/>
    <cellStyle name="Normal 3 5 5 2" xfId="15802" xr:uid="{00000000-0005-0000-0000-00005C710000}"/>
    <cellStyle name="Normal 3 5 5 2 2" xfId="29209" xr:uid="{00000000-0005-0000-0000-00005D710000}"/>
    <cellStyle name="Normal 3 5 5 3" xfId="31806" xr:uid="{00000000-0005-0000-0000-00005E710000}"/>
    <cellStyle name="Normal 3 5 6" xfId="8692" xr:uid="{00000000-0005-0000-0000-00005F710000}"/>
    <cellStyle name="Normal 3 5 6 2" xfId="17310" xr:uid="{00000000-0005-0000-0000-000060710000}"/>
    <cellStyle name="Normal 3 5 6 2 2" xfId="30663" xr:uid="{00000000-0005-0000-0000-000061710000}"/>
    <cellStyle name="Normal 3 5 6 3" xfId="23215" xr:uid="{00000000-0005-0000-0000-000062710000}"/>
    <cellStyle name="Normal 3 5 7" xfId="8794" xr:uid="{00000000-0005-0000-0000-000063710000}"/>
    <cellStyle name="Normal 3 5 7 2" xfId="23272" xr:uid="{00000000-0005-0000-0000-000064710000}"/>
    <cellStyle name="Normal 3 5 8" xfId="31802" xr:uid="{00000000-0005-0000-0000-000065710000}"/>
    <cellStyle name="Normal 3 5 9" xfId="32923" xr:uid="{00000000-0005-0000-0000-000066710000}"/>
    <cellStyle name="Normal 3 6" xfId="7519" xr:uid="{00000000-0005-0000-0000-000067710000}"/>
    <cellStyle name="Normal 3 6 10" xfId="32982" xr:uid="{00000000-0005-0000-0000-000068710000}"/>
    <cellStyle name="Normal 3 6 2" xfId="7520" xr:uid="{00000000-0005-0000-0000-000069710000}"/>
    <cellStyle name="Normal 3 6 2 2" xfId="11569" xr:uid="{00000000-0005-0000-0000-00006A710000}"/>
    <cellStyle name="Normal 3 6 2 2 2" xfId="25400" xr:uid="{00000000-0005-0000-0000-00006B710000}"/>
    <cellStyle name="Normal 3 6 2 3" xfId="31808" xr:uid="{00000000-0005-0000-0000-00006C710000}"/>
    <cellStyle name="Normal 3 6 2 4" xfId="32947" xr:uid="{00000000-0005-0000-0000-00006D710000}"/>
    <cellStyle name="Normal 3 6 2 5" xfId="33005" xr:uid="{00000000-0005-0000-0000-00006E710000}"/>
    <cellStyle name="Normal 3 6 3" xfId="7521" xr:uid="{00000000-0005-0000-0000-00006F710000}"/>
    <cellStyle name="Normal 3 6 3 2" xfId="13255" xr:uid="{00000000-0005-0000-0000-000070710000}"/>
    <cellStyle name="Normal 3 6 3 2 2" xfId="26889" xr:uid="{00000000-0005-0000-0000-000071710000}"/>
    <cellStyle name="Normal 3 6 3 3" xfId="31809" xr:uid="{00000000-0005-0000-0000-000072710000}"/>
    <cellStyle name="Normal 3 6 4" xfId="7522" xr:uid="{00000000-0005-0000-0000-000073710000}"/>
    <cellStyle name="Normal 3 6 4 2" xfId="15695" xr:uid="{00000000-0005-0000-0000-000074710000}"/>
    <cellStyle name="Normal 3 6 4 2 2" xfId="29181" xr:uid="{00000000-0005-0000-0000-000075710000}"/>
    <cellStyle name="Normal 3 6 4 3" xfId="31810" xr:uid="{00000000-0005-0000-0000-000076710000}"/>
    <cellStyle name="Normal 3 6 5" xfId="7523" xr:uid="{00000000-0005-0000-0000-000077710000}"/>
    <cellStyle name="Normal 3 6 5 2" xfId="15803" xr:uid="{00000000-0005-0000-0000-000078710000}"/>
    <cellStyle name="Normal 3 6 5 2 2" xfId="29210" xr:uid="{00000000-0005-0000-0000-000079710000}"/>
    <cellStyle name="Normal 3 6 5 3" xfId="31811" xr:uid="{00000000-0005-0000-0000-00007A710000}"/>
    <cellStyle name="Normal 3 6 6" xfId="8690" xr:uid="{00000000-0005-0000-0000-00007B710000}"/>
    <cellStyle name="Normal 3 6 6 2" xfId="17309" xr:uid="{00000000-0005-0000-0000-00007C710000}"/>
    <cellStyle name="Normal 3 6 6 2 2" xfId="30662" xr:uid="{00000000-0005-0000-0000-00007D710000}"/>
    <cellStyle name="Normal 3 6 6 3" xfId="23214" xr:uid="{00000000-0005-0000-0000-00007E710000}"/>
    <cellStyle name="Normal 3 6 7" xfId="8793" xr:uid="{00000000-0005-0000-0000-00007F710000}"/>
    <cellStyle name="Normal 3 6 7 2" xfId="23271" xr:uid="{00000000-0005-0000-0000-000080710000}"/>
    <cellStyle name="Normal 3 6 8" xfId="31807" xr:uid="{00000000-0005-0000-0000-000081710000}"/>
    <cellStyle name="Normal 3 6 9" xfId="32922" xr:uid="{00000000-0005-0000-0000-000082710000}"/>
    <cellStyle name="Normal 3 7" xfId="7524" xr:uid="{00000000-0005-0000-0000-000083710000}"/>
    <cellStyle name="Normal 3 7 10" xfId="32988" xr:uid="{00000000-0005-0000-0000-000084710000}"/>
    <cellStyle name="Normal 3 7 2" xfId="7525" xr:uid="{00000000-0005-0000-0000-000085710000}"/>
    <cellStyle name="Normal 3 7 2 2" xfId="11570" xr:uid="{00000000-0005-0000-0000-000086710000}"/>
    <cellStyle name="Normal 3 7 2 2 2" xfId="25401" xr:uid="{00000000-0005-0000-0000-000087710000}"/>
    <cellStyle name="Normal 3 7 2 3" xfId="31813" xr:uid="{00000000-0005-0000-0000-000088710000}"/>
    <cellStyle name="Normal 3 7 2 4" xfId="32948" xr:uid="{00000000-0005-0000-0000-000089710000}"/>
    <cellStyle name="Normal 3 7 2 5" xfId="33006" xr:uid="{00000000-0005-0000-0000-00008A710000}"/>
    <cellStyle name="Normal 3 7 3" xfId="7526" xr:uid="{00000000-0005-0000-0000-00008B710000}"/>
    <cellStyle name="Normal 3 7 3 2" xfId="13256" xr:uid="{00000000-0005-0000-0000-00008C710000}"/>
    <cellStyle name="Normal 3 7 3 2 2" xfId="26890" xr:uid="{00000000-0005-0000-0000-00008D710000}"/>
    <cellStyle name="Normal 3 7 3 3" xfId="31814" xr:uid="{00000000-0005-0000-0000-00008E710000}"/>
    <cellStyle name="Normal 3 7 4" xfId="7527" xr:uid="{00000000-0005-0000-0000-00008F710000}"/>
    <cellStyle name="Normal 3 7 4 2" xfId="15696" xr:uid="{00000000-0005-0000-0000-000090710000}"/>
    <cellStyle name="Normal 3 7 4 2 2" xfId="29182" xr:uid="{00000000-0005-0000-0000-000091710000}"/>
    <cellStyle name="Normal 3 7 4 3" xfId="31815" xr:uid="{00000000-0005-0000-0000-000092710000}"/>
    <cellStyle name="Normal 3 7 5" xfId="7528" xr:uid="{00000000-0005-0000-0000-000093710000}"/>
    <cellStyle name="Normal 3 7 5 2" xfId="15804" xr:uid="{00000000-0005-0000-0000-000094710000}"/>
    <cellStyle name="Normal 3 7 5 2 2" xfId="29211" xr:uid="{00000000-0005-0000-0000-000095710000}"/>
    <cellStyle name="Normal 3 7 5 3" xfId="31816" xr:uid="{00000000-0005-0000-0000-000096710000}"/>
    <cellStyle name="Normal 3 7 6" xfId="8703" xr:uid="{00000000-0005-0000-0000-000097710000}"/>
    <cellStyle name="Normal 3 7 6 2" xfId="17315" xr:uid="{00000000-0005-0000-0000-000098710000}"/>
    <cellStyle name="Normal 3 7 6 2 2" xfId="30668" xr:uid="{00000000-0005-0000-0000-000099710000}"/>
    <cellStyle name="Normal 3 7 6 3" xfId="23222" xr:uid="{00000000-0005-0000-0000-00009A710000}"/>
    <cellStyle name="Normal 3 7 7" xfId="8799" xr:uid="{00000000-0005-0000-0000-00009B710000}"/>
    <cellStyle name="Normal 3 7 7 2" xfId="23277" xr:uid="{00000000-0005-0000-0000-00009C710000}"/>
    <cellStyle name="Normal 3 7 8" xfId="31812" xr:uid="{00000000-0005-0000-0000-00009D710000}"/>
    <cellStyle name="Normal 3 7 9" xfId="32929" xr:uid="{00000000-0005-0000-0000-00009E710000}"/>
    <cellStyle name="Normal 3 8" xfId="7529" xr:uid="{00000000-0005-0000-0000-00009F710000}"/>
    <cellStyle name="Normal 3 8 10" xfId="32989" xr:uid="{00000000-0005-0000-0000-0000A0710000}"/>
    <cellStyle name="Normal 3 8 2" xfId="7530" xr:uid="{00000000-0005-0000-0000-0000A1710000}"/>
    <cellStyle name="Normal 3 8 2 2" xfId="11571" xr:uid="{00000000-0005-0000-0000-0000A2710000}"/>
    <cellStyle name="Normal 3 8 2 2 2" xfId="25402" xr:uid="{00000000-0005-0000-0000-0000A3710000}"/>
    <cellStyle name="Normal 3 8 2 3" xfId="31818" xr:uid="{00000000-0005-0000-0000-0000A4710000}"/>
    <cellStyle name="Normal 3 8 2 4" xfId="32949" xr:uid="{00000000-0005-0000-0000-0000A5710000}"/>
    <cellStyle name="Normal 3 8 2 5" xfId="33007" xr:uid="{00000000-0005-0000-0000-0000A6710000}"/>
    <cellStyle name="Normal 3 8 3" xfId="7531" xr:uid="{00000000-0005-0000-0000-0000A7710000}"/>
    <cellStyle name="Normal 3 8 3 2" xfId="13257" xr:uid="{00000000-0005-0000-0000-0000A8710000}"/>
    <cellStyle name="Normal 3 8 3 2 2" xfId="26891" xr:uid="{00000000-0005-0000-0000-0000A9710000}"/>
    <cellStyle name="Normal 3 8 3 3" xfId="31819" xr:uid="{00000000-0005-0000-0000-0000AA710000}"/>
    <cellStyle name="Normal 3 8 4" xfId="7532" xr:uid="{00000000-0005-0000-0000-0000AB710000}"/>
    <cellStyle name="Normal 3 8 4 2" xfId="15697" xr:uid="{00000000-0005-0000-0000-0000AC710000}"/>
    <cellStyle name="Normal 3 8 4 2 2" xfId="29183" xr:uid="{00000000-0005-0000-0000-0000AD710000}"/>
    <cellStyle name="Normal 3 8 4 3" xfId="31820" xr:uid="{00000000-0005-0000-0000-0000AE710000}"/>
    <cellStyle name="Normal 3 8 5" xfId="7533" xr:uid="{00000000-0005-0000-0000-0000AF710000}"/>
    <cellStyle name="Normal 3 8 5 2" xfId="15805" xr:uid="{00000000-0005-0000-0000-0000B0710000}"/>
    <cellStyle name="Normal 3 8 5 2 2" xfId="29212" xr:uid="{00000000-0005-0000-0000-0000B1710000}"/>
    <cellStyle name="Normal 3 8 5 3" xfId="31821" xr:uid="{00000000-0005-0000-0000-0000B2710000}"/>
    <cellStyle name="Normal 3 8 6" xfId="8705" xr:uid="{00000000-0005-0000-0000-0000B3710000}"/>
    <cellStyle name="Normal 3 8 6 2" xfId="17316" xr:uid="{00000000-0005-0000-0000-0000B4710000}"/>
    <cellStyle name="Normal 3 8 6 2 2" xfId="30669" xr:uid="{00000000-0005-0000-0000-0000B5710000}"/>
    <cellStyle name="Normal 3 8 6 3" xfId="23223" xr:uid="{00000000-0005-0000-0000-0000B6710000}"/>
    <cellStyle name="Normal 3 8 7" xfId="8800" xr:uid="{00000000-0005-0000-0000-0000B7710000}"/>
    <cellStyle name="Normal 3 8 7 2" xfId="23278" xr:uid="{00000000-0005-0000-0000-0000B8710000}"/>
    <cellStyle name="Normal 3 8 8" xfId="31817" xr:uid="{00000000-0005-0000-0000-0000B9710000}"/>
    <cellStyle name="Normal 3 8 9" xfId="32930" xr:uid="{00000000-0005-0000-0000-0000BA710000}"/>
    <cellStyle name="Normal 3 9" xfId="7534" xr:uid="{00000000-0005-0000-0000-0000BB710000}"/>
    <cellStyle name="Normal 3 9 10" xfId="32990" xr:uid="{00000000-0005-0000-0000-0000BC710000}"/>
    <cellStyle name="Normal 3 9 2" xfId="7535" xr:uid="{00000000-0005-0000-0000-0000BD710000}"/>
    <cellStyle name="Normal 3 9 2 2" xfId="11572" xr:uid="{00000000-0005-0000-0000-0000BE710000}"/>
    <cellStyle name="Normal 3 9 2 2 2" xfId="25403" xr:uid="{00000000-0005-0000-0000-0000BF710000}"/>
    <cellStyle name="Normal 3 9 2 3" xfId="31823" xr:uid="{00000000-0005-0000-0000-0000C0710000}"/>
    <cellStyle name="Normal 3 9 2 4" xfId="32950" xr:uid="{00000000-0005-0000-0000-0000C1710000}"/>
    <cellStyle name="Normal 3 9 2 5" xfId="33008" xr:uid="{00000000-0005-0000-0000-0000C2710000}"/>
    <cellStyle name="Normal 3 9 3" xfId="7536" xr:uid="{00000000-0005-0000-0000-0000C3710000}"/>
    <cellStyle name="Normal 3 9 3 2" xfId="13258" xr:uid="{00000000-0005-0000-0000-0000C4710000}"/>
    <cellStyle name="Normal 3 9 3 2 2" xfId="26892" xr:uid="{00000000-0005-0000-0000-0000C5710000}"/>
    <cellStyle name="Normal 3 9 3 3" xfId="31824" xr:uid="{00000000-0005-0000-0000-0000C6710000}"/>
    <cellStyle name="Normal 3 9 4" xfId="7537" xr:uid="{00000000-0005-0000-0000-0000C7710000}"/>
    <cellStyle name="Normal 3 9 4 2" xfId="15698" xr:uid="{00000000-0005-0000-0000-0000C8710000}"/>
    <cellStyle name="Normal 3 9 4 2 2" xfId="29184" xr:uid="{00000000-0005-0000-0000-0000C9710000}"/>
    <cellStyle name="Normal 3 9 4 3" xfId="31825" xr:uid="{00000000-0005-0000-0000-0000CA710000}"/>
    <cellStyle name="Normal 3 9 5" xfId="7538" xr:uid="{00000000-0005-0000-0000-0000CB710000}"/>
    <cellStyle name="Normal 3 9 5 2" xfId="15806" xr:uid="{00000000-0005-0000-0000-0000CC710000}"/>
    <cellStyle name="Normal 3 9 5 2 2" xfId="29213" xr:uid="{00000000-0005-0000-0000-0000CD710000}"/>
    <cellStyle name="Normal 3 9 5 3" xfId="31826" xr:uid="{00000000-0005-0000-0000-0000CE710000}"/>
    <cellStyle name="Normal 3 9 6" xfId="8706" xr:uid="{00000000-0005-0000-0000-0000CF710000}"/>
    <cellStyle name="Normal 3 9 6 2" xfId="17317" xr:uid="{00000000-0005-0000-0000-0000D0710000}"/>
    <cellStyle name="Normal 3 9 6 2 2" xfId="30670" xr:uid="{00000000-0005-0000-0000-0000D1710000}"/>
    <cellStyle name="Normal 3 9 6 3" xfId="23224" xr:uid="{00000000-0005-0000-0000-0000D2710000}"/>
    <cellStyle name="Normal 3 9 7" xfId="8801" xr:uid="{00000000-0005-0000-0000-0000D3710000}"/>
    <cellStyle name="Normal 3 9 7 2" xfId="23279" xr:uid="{00000000-0005-0000-0000-0000D4710000}"/>
    <cellStyle name="Normal 3 9 8" xfId="31822" xr:uid="{00000000-0005-0000-0000-0000D5710000}"/>
    <cellStyle name="Normal 3 9 9" xfId="32931" xr:uid="{00000000-0005-0000-0000-0000D6710000}"/>
    <cellStyle name="Normal 30" xfId="33030" xr:uid="{61C0D4E4-2E6F-413E-8FF5-ACF044725A00}"/>
    <cellStyle name="Normal 34" xfId="7539" xr:uid="{00000000-0005-0000-0000-0000D7710000}"/>
    <cellStyle name="Normal 34 2" xfId="17034" xr:uid="{00000000-0005-0000-0000-0000D8710000}"/>
    <cellStyle name="Normal 34 3" xfId="31827" xr:uid="{00000000-0005-0000-0000-0000D9710000}"/>
    <cellStyle name="Normal 4" xfId="7540" xr:uid="{00000000-0005-0000-0000-0000DA710000}"/>
    <cellStyle name="Normal 4 10" xfId="8779" xr:uid="{00000000-0005-0000-0000-0000DB710000}"/>
    <cellStyle name="Normal 4 10 2" xfId="23257" xr:uid="{00000000-0005-0000-0000-0000DC710000}"/>
    <cellStyle name="Normal 4 11" xfId="32901" xr:uid="{00000000-0005-0000-0000-0000DD710000}"/>
    <cellStyle name="Normal 4 12" xfId="32964" xr:uid="{00000000-0005-0000-0000-0000DE710000}"/>
    <cellStyle name="Normal 4 2" xfId="7541" xr:uid="{00000000-0005-0000-0000-0000DF710000}"/>
    <cellStyle name="Normal 4 2 10" xfId="8783" xr:uid="{00000000-0005-0000-0000-0000E0710000}"/>
    <cellStyle name="Normal 4 2 10 2" xfId="23261" xr:uid="{00000000-0005-0000-0000-0000E1710000}"/>
    <cellStyle name="Normal 4 2 11" xfId="32912" xr:uid="{00000000-0005-0000-0000-0000E2710000}"/>
    <cellStyle name="Normal 4 2 12" xfId="32972" xr:uid="{00000000-0005-0000-0000-0000E3710000}"/>
    <cellStyle name="Normal 4 2 2" xfId="7542" xr:uid="{00000000-0005-0000-0000-0000E4710000}"/>
    <cellStyle name="Normal 4 2 2 2" xfId="7543" xr:uid="{00000000-0005-0000-0000-0000E5710000}"/>
    <cellStyle name="Normal 4 2 2 2 2" xfId="11719" xr:uid="{00000000-0005-0000-0000-0000E6710000}"/>
    <cellStyle name="Normal 4 2 2 2 2 2" xfId="25438" xr:uid="{00000000-0005-0000-0000-0000E7710000}"/>
    <cellStyle name="Normal 4 2 2 2 3" xfId="31828" xr:uid="{00000000-0005-0000-0000-0000E8710000}"/>
    <cellStyle name="Normal 4 2 2 3" xfId="7544" xr:uid="{00000000-0005-0000-0000-0000E9710000}"/>
    <cellStyle name="Normal 4 2 2 3 2" xfId="17035" xr:uid="{00000000-0005-0000-0000-0000EA710000}"/>
    <cellStyle name="Normal 4 2 2 3 2 2" xfId="30435" xr:uid="{00000000-0005-0000-0000-0000EB710000}"/>
    <cellStyle name="Normal 4 2 2 3 3" xfId="31829" xr:uid="{00000000-0005-0000-0000-0000EC710000}"/>
    <cellStyle name="Normal 4 2 2 4" xfId="10205" xr:uid="{00000000-0005-0000-0000-0000ED710000}"/>
    <cellStyle name="Normal 4 2 2 5" xfId="32952" xr:uid="{00000000-0005-0000-0000-0000EE710000}"/>
    <cellStyle name="Normal 4 2 2 6" xfId="33010" xr:uid="{00000000-0005-0000-0000-0000EF710000}"/>
    <cellStyle name="Normal 4 2 3" xfId="7545" xr:uid="{00000000-0005-0000-0000-0000F0710000}"/>
    <cellStyle name="Normal 4 2 3 2" xfId="7546" xr:uid="{00000000-0005-0000-0000-0000F1710000}"/>
    <cellStyle name="Normal 4 2 3 2 2" xfId="10207" xr:uid="{00000000-0005-0000-0000-0000F2710000}"/>
    <cellStyle name="Normal 4 2 3 3" xfId="7547" xr:uid="{00000000-0005-0000-0000-0000F3710000}"/>
    <cellStyle name="Normal 4 2 3 3 2" xfId="13260" xr:uid="{00000000-0005-0000-0000-0000F4710000}"/>
    <cellStyle name="Normal 4 2 3 4" xfId="10206" xr:uid="{00000000-0005-0000-0000-0000F5710000}"/>
    <cellStyle name="Normal 4 2 4" xfId="7548" xr:uid="{00000000-0005-0000-0000-0000F6710000}"/>
    <cellStyle name="Normal 4 2 4 2" xfId="7549" xr:uid="{00000000-0005-0000-0000-0000F7710000}"/>
    <cellStyle name="Normal 4 2 4 2 2" xfId="13261" xr:uid="{00000000-0005-0000-0000-0000F8710000}"/>
    <cellStyle name="Normal 4 2 4 3" xfId="10512" xr:uid="{00000000-0005-0000-0000-0000F9710000}"/>
    <cellStyle name="Normal 4 2 5" xfId="7550" xr:uid="{00000000-0005-0000-0000-0000FA710000}"/>
    <cellStyle name="Normal 4 2 5 2" xfId="7551" xr:uid="{00000000-0005-0000-0000-0000FB710000}"/>
    <cellStyle name="Normal 4 2 5 2 2" xfId="13262" xr:uid="{00000000-0005-0000-0000-0000FC710000}"/>
    <cellStyle name="Normal 4 2 5 2 2 2" xfId="26894" xr:uid="{00000000-0005-0000-0000-0000FD710000}"/>
    <cellStyle name="Normal 4 2 5 2 3" xfId="31831" xr:uid="{00000000-0005-0000-0000-0000FE710000}"/>
    <cellStyle name="Normal 4 2 5 3" xfId="7552" xr:uid="{00000000-0005-0000-0000-0000FF710000}"/>
    <cellStyle name="Normal 4 2 5 3 2" xfId="15700" xr:uid="{00000000-0005-0000-0000-000000720000}"/>
    <cellStyle name="Normal 4 2 5 3 2 2" xfId="29186" xr:uid="{00000000-0005-0000-0000-000001720000}"/>
    <cellStyle name="Normal 4 2 5 3 3" xfId="31832" xr:uid="{00000000-0005-0000-0000-000002720000}"/>
    <cellStyle name="Normal 4 2 5 4" xfId="11574" xr:uid="{00000000-0005-0000-0000-000003720000}"/>
    <cellStyle name="Normal 4 2 5 4 2" xfId="25405" xr:uid="{00000000-0005-0000-0000-000004720000}"/>
    <cellStyle name="Normal 4 2 5 5" xfId="31830" xr:uid="{00000000-0005-0000-0000-000005720000}"/>
    <cellStyle name="Normal 4 2 6" xfId="7553" xr:uid="{00000000-0005-0000-0000-000006720000}"/>
    <cellStyle name="Normal 4 2 6 2" xfId="13259" xr:uid="{00000000-0005-0000-0000-000007720000}"/>
    <cellStyle name="Normal 4 2 6 2 2" xfId="26893" xr:uid="{00000000-0005-0000-0000-000008720000}"/>
    <cellStyle name="Normal 4 2 6 3" xfId="31833" xr:uid="{00000000-0005-0000-0000-000009720000}"/>
    <cellStyle name="Normal 4 2 7" xfId="7554" xr:uid="{00000000-0005-0000-0000-00000A720000}"/>
    <cellStyle name="Normal 4 2 7 2" xfId="15699" xr:uid="{00000000-0005-0000-0000-00000B720000}"/>
    <cellStyle name="Normal 4 2 7 2 2" xfId="29185" xr:uid="{00000000-0005-0000-0000-00000C720000}"/>
    <cellStyle name="Normal 4 2 7 3" xfId="31834" xr:uid="{00000000-0005-0000-0000-00000D720000}"/>
    <cellStyle name="Normal 4 2 8" xfId="7555" xr:uid="{00000000-0005-0000-0000-00000E720000}"/>
    <cellStyle name="Normal 4 2 8 2" xfId="15808" xr:uid="{00000000-0005-0000-0000-00000F720000}"/>
    <cellStyle name="Normal 4 2 8 2 2" xfId="29215" xr:uid="{00000000-0005-0000-0000-000010720000}"/>
    <cellStyle name="Normal 4 2 8 3" xfId="31835" xr:uid="{00000000-0005-0000-0000-000011720000}"/>
    <cellStyle name="Normal 4 2 9" xfId="8674" xr:uid="{00000000-0005-0000-0000-000012720000}"/>
    <cellStyle name="Normal 4 2 9 2" xfId="17299" xr:uid="{00000000-0005-0000-0000-000013720000}"/>
    <cellStyle name="Normal 4 2 9 2 2" xfId="30652" xr:uid="{00000000-0005-0000-0000-000014720000}"/>
    <cellStyle name="Normal 4 2 9 3" xfId="23204" xr:uid="{00000000-0005-0000-0000-000015720000}"/>
    <cellStyle name="Normal 4 3" xfId="7556" xr:uid="{00000000-0005-0000-0000-000016720000}"/>
    <cellStyle name="Normal 4 3 10" xfId="8787" xr:uid="{00000000-0005-0000-0000-000017720000}"/>
    <cellStyle name="Normal 4 3 10 2" xfId="23265" xr:uid="{00000000-0005-0000-0000-000018720000}"/>
    <cellStyle name="Normal 4 3 11" xfId="32916" xr:uid="{00000000-0005-0000-0000-000019720000}"/>
    <cellStyle name="Normal 4 3 12" xfId="32976" xr:uid="{00000000-0005-0000-0000-00001A720000}"/>
    <cellStyle name="Normal 4 3 2" xfId="7557" xr:uid="{00000000-0005-0000-0000-00001B720000}"/>
    <cellStyle name="Normal 4 3 2 2" xfId="7558" xr:uid="{00000000-0005-0000-0000-00001C720000}"/>
    <cellStyle name="Normal 4 3 2 2 2" xfId="11720" xr:uid="{00000000-0005-0000-0000-00001D720000}"/>
    <cellStyle name="Normal 4 3 2 2 2 2" xfId="25439" xr:uid="{00000000-0005-0000-0000-00001E720000}"/>
    <cellStyle name="Normal 4 3 2 2 3" xfId="31836" xr:uid="{00000000-0005-0000-0000-00001F720000}"/>
    <cellStyle name="Normal 4 3 2 3" xfId="7559" xr:uid="{00000000-0005-0000-0000-000020720000}"/>
    <cellStyle name="Normal 4 3 2 3 2" xfId="17036" xr:uid="{00000000-0005-0000-0000-000021720000}"/>
    <cellStyle name="Normal 4 3 2 3 2 2" xfId="30436" xr:uid="{00000000-0005-0000-0000-000022720000}"/>
    <cellStyle name="Normal 4 3 2 3 3" xfId="31837" xr:uid="{00000000-0005-0000-0000-000023720000}"/>
    <cellStyle name="Normal 4 3 2 4" xfId="10208" xr:uid="{00000000-0005-0000-0000-000024720000}"/>
    <cellStyle name="Normal 4 3 2 5" xfId="32953" xr:uid="{00000000-0005-0000-0000-000025720000}"/>
    <cellStyle name="Normal 4 3 2 6" xfId="33011" xr:uid="{00000000-0005-0000-0000-000026720000}"/>
    <cellStyle name="Normal 4 3 3" xfId="7560" xr:uid="{00000000-0005-0000-0000-000027720000}"/>
    <cellStyle name="Normal 4 3 3 2" xfId="7561" xr:uid="{00000000-0005-0000-0000-000028720000}"/>
    <cellStyle name="Normal 4 3 3 2 2" xfId="10210" xr:uid="{00000000-0005-0000-0000-000029720000}"/>
    <cellStyle name="Normal 4 3 3 3" xfId="7562" xr:uid="{00000000-0005-0000-0000-00002A720000}"/>
    <cellStyle name="Normal 4 3 3 3 2" xfId="13264" xr:uid="{00000000-0005-0000-0000-00002B720000}"/>
    <cellStyle name="Normal 4 3 3 4" xfId="10209" xr:uid="{00000000-0005-0000-0000-00002C720000}"/>
    <cellStyle name="Normal 4 3 4" xfId="7563" xr:uid="{00000000-0005-0000-0000-00002D720000}"/>
    <cellStyle name="Normal 4 3 4 2" xfId="7564" xr:uid="{00000000-0005-0000-0000-00002E720000}"/>
    <cellStyle name="Normal 4 3 4 2 2" xfId="13265" xr:uid="{00000000-0005-0000-0000-00002F720000}"/>
    <cellStyle name="Normal 4 3 4 3" xfId="10513" xr:uid="{00000000-0005-0000-0000-000030720000}"/>
    <cellStyle name="Normal 4 3 5" xfId="7565" xr:uid="{00000000-0005-0000-0000-000031720000}"/>
    <cellStyle name="Normal 4 3 5 2" xfId="7566" xr:uid="{00000000-0005-0000-0000-000032720000}"/>
    <cellStyle name="Normal 4 3 5 2 2" xfId="13266" xr:uid="{00000000-0005-0000-0000-000033720000}"/>
    <cellStyle name="Normal 4 3 5 2 2 2" xfId="26896" xr:uid="{00000000-0005-0000-0000-000034720000}"/>
    <cellStyle name="Normal 4 3 5 2 3" xfId="31839" xr:uid="{00000000-0005-0000-0000-000035720000}"/>
    <cellStyle name="Normal 4 3 5 3" xfId="7567" xr:uid="{00000000-0005-0000-0000-000036720000}"/>
    <cellStyle name="Normal 4 3 5 3 2" xfId="15702" xr:uid="{00000000-0005-0000-0000-000037720000}"/>
    <cellStyle name="Normal 4 3 5 3 2 2" xfId="29188" xr:uid="{00000000-0005-0000-0000-000038720000}"/>
    <cellStyle name="Normal 4 3 5 3 3" xfId="31840" xr:uid="{00000000-0005-0000-0000-000039720000}"/>
    <cellStyle name="Normal 4 3 5 4" xfId="11575" xr:uid="{00000000-0005-0000-0000-00003A720000}"/>
    <cellStyle name="Normal 4 3 5 4 2" xfId="25406" xr:uid="{00000000-0005-0000-0000-00003B720000}"/>
    <cellStyle name="Normal 4 3 5 5" xfId="31838" xr:uid="{00000000-0005-0000-0000-00003C720000}"/>
    <cellStyle name="Normal 4 3 6" xfId="7568" xr:uid="{00000000-0005-0000-0000-00003D720000}"/>
    <cellStyle name="Normal 4 3 6 2" xfId="13263" xr:uid="{00000000-0005-0000-0000-00003E720000}"/>
    <cellStyle name="Normal 4 3 6 2 2" xfId="26895" xr:uid="{00000000-0005-0000-0000-00003F720000}"/>
    <cellStyle name="Normal 4 3 6 3" xfId="31841" xr:uid="{00000000-0005-0000-0000-000040720000}"/>
    <cellStyle name="Normal 4 3 7" xfId="7569" xr:uid="{00000000-0005-0000-0000-000041720000}"/>
    <cellStyle name="Normal 4 3 7 2" xfId="15701" xr:uid="{00000000-0005-0000-0000-000042720000}"/>
    <cellStyle name="Normal 4 3 7 2 2" xfId="29187" xr:uid="{00000000-0005-0000-0000-000043720000}"/>
    <cellStyle name="Normal 4 3 7 3" xfId="31842" xr:uid="{00000000-0005-0000-0000-000044720000}"/>
    <cellStyle name="Normal 4 3 8" xfId="7570" xr:uid="{00000000-0005-0000-0000-000045720000}"/>
    <cellStyle name="Normal 4 3 8 2" xfId="15809" xr:uid="{00000000-0005-0000-0000-000046720000}"/>
    <cellStyle name="Normal 4 3 8 2 2" xfId="29216" xr:uid="{00000000-0005-0000-0000-000047720000}"/>
    <cellStyle name="Normal 4 3 8 3" xfId="31843" xr:uid="{00000000-0005-0000-0000-000048720000}"/>
    <cellStyle name="Normal 4 3 9" xfId="8678" xr:uid="{00000000-0005-0000-0000-000049720000}"/>
    <cellStyle name="Normal 4 3 9 2" xfId="17303" xr:uid="{00000000-0005-0000-0000-00004A720000}"/>
    <cellStyle name="Normal 4 3 9 2 2" xfId="30656" xr:uid="{00000000-0005-0000-0000-00004B720000}"/>
    <cellStyle name="Normal 4 3 9 3" xfId="23208" xr:uid="{00000000-0005-0000-0000-00004C720000}"/>
    <cellStyle name="Normal 4 4" xfId="7571" xr:uid="{00000000-0005-0000-0000-00004D720000}"/>
    <cellStyle name="Normal 4 4 10" xfId="32924" xr:uid="{00000000-0005-0000-0000-00004E720000}"/>
    <cellStyle name="Normal 4 4 11" xfId="32984" xr:uid="{00000000-0005-0000-0000-00004F720000}"/>
    <cellStyle name="Normal 4 4 2" xfId="7572" xr:uid="{00000000-0005-0000-0000-000050720000}"/>
    <cellStyle name="Normal 4 4 2 2" xfId="7573" xr:uid="{00000000-0005-0000-0000-000051720000}"/>
    <cellStyle name="Normal 4 4 2 2 2" xfId="17037" xr:uid="{00000000-0005-0000-0000-000052720000}"/>
    <cellStyle name="Normal 4 4 2 2 2 2" xfId="30437" xr:uid="{00000000-0005-0000-0000-000053720000}"/>
    <cellStyle name="Normal 4 4 2 2 3" xfId="31846" xr:uid="{00000000-0005-0000-0000-000054720000}"/>
    <cellStyle name="Normal 4 4 2 3" xfId="10211" xr:uid="{00000000-0005-0000-0000-000055720000}"/>
    <cellStyle name="Normal 4 4 2 4" xfId="31845" xr:uid="{00000000-0005-0000-0000-000056720000}"/>
    <cellStyle name="Normal 4 4 2 5" xfId="32954" xr:uid="{00000000-0005-0000-0000-000057720000}"/>
    <cellStyle name="Normal 4 4 2 6" xfId="33012" xr:uid="{00000000-0005-0000-0000-000058720000}"/>
    <cellStyle name="Normal 4 4 3" xfId="7574" xr:uid="{00000000-0005-0000-0000-000059720000}"/>
    <cellStyle name="Normal 4 4 3 2" xfId="11576" xr:uid="{00000000-0005-0000-0000-00005A720000}"/>
    <cellStyle name="Normal 4 4 3 2 2" xfId="25407" xr:uid="{00000000-0005-0000-0000-00005B720000}"/>
    <cellStyle name="Normal 4 4 3 3" xfId="31847" xr:uid="{00000000-0005-0000-0000-00005C720000}"/>
    <cellStyle name="Normal 4 4 4" xfId="7575" xr:uid="{00000000-0005-0000-0000-00005D720000}"/>
    <cellStyle name="Normal 4 4 4 2" xfId="13267" xr:uid="{00000000-0005-0000-0000-00005E720000}"/>
    <cellStyle name="Normal 4 4 4 2 2" xfId="26897" xr:uid="{00000000-0005-0000-0000-00005F720000}"/>
    <cellStyle name="Normal 4 4 4 3" xfId="31848" xr:uid="{00000000-0005-0000-0000-000060720000}"/>
    <cellStyle name="Normal 4 4 5" xfId="7576" xr:uid="{00000000-0005-0000-0000-000061720000}"/>
    <cellStyle name="Normal 4 4 5 2" xfId="15703" xr:uid="{00000000-0005-0000-0000-000062720000}"/>
    <cellStyle name="Normal 4 4 5 2 2" xfId="29189" xr:uid="{00000000-0005-0000-0000-000063720000}"/>
    <cellStyle name="Normal 4 4 5 3" xfId="31849" xr:uid="{00000000-0005-0000-0000-000064720000}"/>
    <cellStyle name="Normal 4 4 6" xfId="7577" xr:uid="{00000000-0005-0000-0000-000065720000}"/>
    <cellStyle name="Normal 4 4 6 2" xfId="15810" xr:uid="{00000000-0005-0000-0000-000066720000}"/>
    <cellStyle name="Normal 4 4 6 2 2" xfId="29217" xr:uid="{00000000-0005-0000-0000-000067720000}"/>
    <cellStyle name="Normal 4 4 6 3" xfId="31850" xr:uid="{00000000-0005-0000-0000-000068720000}"/>
    <cellStyle name="Normal 4 4 7" xfId="8693" xr:uid="{00000000-0005-0000-0000-000069720000}"/>
    <cellStyle name="Normal 4 4 7 2" xfId="17311" xr:uid="{00000000-0005-0000-0000-00006A720000}"/>
    <cellStyle name="Normal 4 4 7 2 2" xfId="30664" xr:uid="{00000000-0005-0000-0000-00006B720000}"/>
    <cellStyle name="Normal 4 4 7 3" xfId="23216" xr:uid="{00000000-0005-0000-0000-00006C720000}"/>
    <cellStyle name="Normal 4 4 8" xfId="8795" xr:uid="{00000000-0005-0000-0000-00006D720000}"/>
    <cellStyle name="Normal 4 4 8 2" xfId="23273" xr:uid="{00000000-0005-0000-0000-00006E720000}"/>
    <cellStyle name="Normal 4 4 9" xfId="31844" xr:uid="{00000000-0005-0000-0000-00006F720000}"/>
    <cellStyle name="Normal 4 5" xfId="7578" xr:uid="{00000000-0005-0000-0000-000070720000}"/>
    <cellStyle name="Normal 4 5 10" xfId="7579" xr:uid="{00000000-0005-0000-0000-000071720000}"/>
    <cellStyle name="Normal 4 5 10 2" xfId="16410" xr:uid="{00000000-0005-0000-0000-000072720000}"/>
    <cellStyle name="Normal 4 5 10 2 2" xfId="29817" xr:uid="{00000000-0005-0000-0000-000073720000}"/>
    <cellStyle name="Normal 4 5 10 3" xfId="31852" xr:uid="{00000000-0005-0000-0000-000074720000}"/>
    <cellStyle name="Normal 4 5 11" xfId="8681" xr:uid="{00000000-0005-0000-0000-000075720000}"/>
    <cellStyle name="Normal 4 5 11 2" xfId="17306" xr:uid="{00000000-0005-0000-0000-000076720000}"/>
    <cellStyle name="Normal 4 5 11 2 2" xfId="30659" xr:uid="{00000000-0005-0000-0000-000077720000}"/>
    <cellStyle name="Normal 4 5 11 3" xfId="23211" xr:uid="{00000000-0005-0000-0000-000078720000}"/>
    <cellStyle name="Normal 4 5 12" xfId="8790" xr:uid="{00000000-0005-0000-0000-000079720000}"/>
    <cellStyle name="Normal 4 5 12 2" xfId="23268" xr:uid="{00000000-0005-0000-0000-00007A720000}"/>
    <cellStyle name="Normal 4 5 13" xfId="31851" xr:uid="{00000000-0005-0000-0000-00007B720000}"/>
    <cellStyle name="Normal 4 5 14" xfId="32919" xr:uid="{00000000-0005-0000-0000-00007C720000}"/>
    <cellStyle name="Normal 4 5 15" xfId="32979" xr:uid="{00000000-0005-0000-0000-00007D720000}"/>
    <cellStyle name="Normal 4 5 2" xfId="7580" xr:uid="{00000000-0005-0000-0000-00007E720000}"/>
    <cellStyle name="Normal 4 5 2 2" xfId="7581" xr:uid="{00000000-0005-0000-0000-00007F720000}"/>
    <cellStyle name="Normal 4 5 2 2 2" xfId="11578" xr:uid="{00000000-0005-0000-0000-000080720000}"/>
    <cellStyle name="Normal 4 5 2 2 2 2" xfId="25409" xr:uid="{00000000-0005-0000-0000-000081720000}"/>
    <cellStyle name="Normal 4 5 2 2 3" xfId="31854" xr:uid="{00000000-0005-0000-0000-000082720000}"/>
    <cellStyle name="Normal 4 5 2 3" xfId="7582" xr:uid="{00000000-0005-0000-0000-000083720000}"/>
    <cellStyle name="Normal 4 5 2 3 2" xfId="13269" xr:uid="{00000000-0005-0000-0000-000084720000}"/>
    <cellStyle name="Normal 4 5 2 3 2 2" xfId="26899" xr:uid="{00000000-0005-0000-0000-000085720000}"/>
    <cellStyle name="Normal 4 5 2 3 3" xfId="31855" xr:uid="{00000000-0005-0000-0000-000086720000}"/>
    <cellStyle name="Normal 4 5 2 4" xfId="7583" xr:uid="{00000000-0005-0000-0000-000087720000}"/>
    <cellStyle name="Normal 4 5 2 4 2" xfId="15705" xr:uid="{00000000-0005-0000-0000-000088720000}"/>
    <cellStyle name="Normal 4 5 2 4 2 2" xfId="29191" xr:uid="{00000000-0005-0000-0000-000089720000}"/>
    <cellStyle name="Normal 4 5 2 4 3" xfId="31856" xr:uid="{00000000-0005-0000-0000-00008A720000}"/>
    <cellStyle name="Normal 4 5 2 5" xfId="7584" xr:uid="{00000000-0005-0000-0000-00008B720000}"/>
    <cellStyle name="Normal 4 5 2 5 2" xfId="16991" xr:uid="{00000000-0005-0000-0000-00008C720000}"/>
    <cellStyle name="Normal 4 5 2 5 2 2" xfId="30398" xr:uid="{00000000-0005-0000-0000-00008D720000}"/>
    <cellStyle name="Normal 4 5 2 5 3" xfId="31857" xr:uid="{00000000-0005-0000-0000-00008E720000}"/>
    <cellStyle name="Normal 4 5 2 6" xfId="10212" xr:uid="{00000000-0005-0000-0000-00008F720000}"/>
    <cellStyle name="Normal 4 5 2 6 2" xfId="24407" xr:uid="{00000000-0005-0000-0000-000090720000}"/>
    <cellStyle name="Normal 4 5 2 7" xfId="31853" xr:uid="{00000000-0005-0000-0000-000091720000}"/>
    <cellStyle name="Normal 4 5 2 8" xfId="32955" xr:uid="{00000000-0005-0000-0000-000092720000}"/>
    <cellStyle name="Normal 4 5 2 9" xfId="33013" xr:uid="{00000000-0005-0000-0000-000093720000}"/>
    <cellStyle name="Normal 4 5 3" xfId="7585" xr:uid="{00000000-0005-0000-0000-000094720000}"/>
    <cellStyle name="Normal 4 5 3 2" xfId="11577" xr:uid="{00000000-0005-0000-0000-000095720000}"/>
    <cellStyle name="Normal 4 5 3 2 2" xfId="25408" xr:uid="{00000000-0005-0000-0000-000096720000}"/>
    <cellStyle name="Normal 4 5 3 3" xfId="31858" xr:uid="{00000000-0005-0000-0000-000097720000}"/>
    <cellStyle name="Normal 4 5 4" xfId="7586" xr:uid="{00000000-0005-0000-0000-000098720000}"/>
    <cellStyle name="Normal 4 5 4 2" xfId="12379" xr:uid="{00000000-0005-0000-0000-000099720000}"/>
    <cellStyle name="Normal 4 5 4 2 2" xfId="26091" xr:uid="{00000000-0005-0000-0000-00009A720000}"/>
    <cellStyle name="Normal 4 5 4 3" xfId="31859" xr:uid="{00000000-0005-0000-0000-00009B720000}"/>
    <cellStyle name="Normal 4 5 5" xfId="7587" xr:uid="{00000000-0005-0000-0000-00009C720000}"/>
    <cellStyle name="Normal 4 5 5 2" xfId="13268" xr:uid="{00000000-0005-0000-0000-00009D720000}"/>
    <cellStyle name="Normal 4 5 5 2 2" xfId="26898" xr:uid="{00000000-0005-0000-0000-00009E720000}"/>
    <cellStyle name="Normal 4 5 5 3" xfId="31860" xr:uid="{00000000-0005-0000-0000-00009F720000}"/>
    <cellStyle name="Normal 4 5 6" xfId="7588" xr:uid="{00000000-0005-0000-0000-0000A0720000}"/>
    <cellStyle name="Normal 4 5 6 2" xfId="13943" xr:uid="{00000000-0005-0000-0000-0000A1720000}"/>
    <cellStyle name="Normal 4 5 6 2 2" xfId="27492" xr:uid="{00000000-0005-0000-0000-0000A2720000}"/>
    <cellStyle name="Normal 4 5 6 3" xfId="31861" xr:uid="{00000000-0005-0000-0000-0000A3720000}"/>
    <cellStyle name="Normal 4 5 7" xfId="7589" xr:uid="{00000000-0005-0000-0000-0000A4720000}"/>
    <cellStyle name="Normal 4 5 7 2" xfId="14524" xr:uid="{00000000-0005-0000-0000-0000A5720000}"/>
    <cellStyle name="Normal 4 5 7 2 2" xfId="28073" xr:uid="{00000000-0005-0000-0000-0000A6720000}"/>
    <cellStyle name="Normal 4 5 7 3" xfId="31862" xr:uid="{00000000-0005-0000-0000-0000A7720000}"/>
    <cellStyle name="Normal 4 5 8" xfId="7590" xr:uid="{00000000-0005-0000-0000-0000A8720000}"/>
    <cellStyle name="Normal 4 5 8 2" xfId="15704" xr:uid="{00000000-0005-0000-0000-0000A9720000}"/>
    <cellStyle name="Normal 4 5 8 2 2" xfId="29190" xr:uid="{00000000-0005-0000-0000-0000AA720000}"/>
    <cellStyle name="Normal 4 5 8 3" xfId="31863" xr:uid="{00000000-0005-0000-0000-0000AB720000}"/>
    <cellStyle name="Normal 4 5 9" xfId="7591" xr:uid="{00000000-0005-0000-0000-0000AC720000}"/>
    <cellStyle name="Normal 4 5 9 2" xfId="15811" xr:uid="{00000000-0005-0000-0000-0000AD720000}"/>
    <cellStyle name="Normal 4 5 9 2 2" xfId="29218" xr:uid="{00000000-0005-0000-0000-0000AE720000}"/>
    <cellStyle name="Normal 4 5 9 3" xfId="31864" xr:uid="{00000000-0005-0000-0000-0000AF720000}"/>
    <cellStyle name="Normal 4 6" xfId="7592" xr:uid="{00000000-0005-0000-0000-0000B0720000}"/>
    <cellStyle name="Normal 4 6 2" xfId="7593" xr:uid="{00000000-0005-0000-0000-0000B1720000}"/>
    <cellStyle name="Normal 4 6 2 2" xfId="10214" xr:uid="{00000000-0005-0000-0000-0000B2720000}"/>
    <cellStyle name="Normal 4 6 2 3" xfId="32956" xr:uid="{00000000-0005-0000-0000-0000B3720000}"/>
    <cellStyle name="Normal 4 6 3" xfId="7594" xr:uid="{00000000-0005-0000-0000-0000B4720000}"/>
    <cellStyle name="Normal 4 6 3 2" xfId="11718" xr:uid="{00000000-0005-0000-0000-0000B5720000}"/>
    <cellStyle name="Normal 4 6 3 2 2" xfId="25437" xr:uid="{00000000-0005-0000-0000-0000B6720000}"/>
    <cellStyle name="Normal 4 6 3 3" xfId="31865" xr:uid="{00000000-0005-0000-0000-0000B7720000}"/>
    <cellStyle name="Normal 4 6 4" xfId="7595" xr:uid="{00000000-0005-0000-0000-0000B8720000}"/>
    <cellStyle name="Normal 4 6 4 2" xfId="17335" xr:uid="{00000000-0005-0000-0000-0000B9720000}"/>
    <cellStyle name="Normal 4 6 4 3" xfId="31866" xr:uid="{00000000-0005-0000-0000-0000BA720000}"/>
    <cellStyle name="Normal 4 6 5" xfId="8731" xr:uid="{00000000-0005-0000-0000-0000BB720000}"/>
    <cellStyle name="Normal 4 6 6" xfId="10213" xr:uid="{00000000-0005-0000-0000-0000BC720000}"/>
    <cellStyle name="Normal 4 6 7" xfId="32908" xr:uid="{00000000-0005-0000-0000-0000BD720000}"/>
    <cellStyle name="Normal 4 6 8" xfId="32968" xr:uid="{00000000-0005-0000-0000-0000BE720000}"/>
    <cellStyle name="Normal 4 7" xfId="7596" xr:uid="{00000000-0005-0000-0000-0000BF720000}"/>
    <cellStyle name="Normal 4 7 2" xfId="7597" xr:uid="{00000000-0005-0000-0000-0000C0720000}"/>
    <cellStyle name="Normal 4 7 2 2" xfId="13270" xr:uid="{00000000-0005-0000-0000-0000C1720000}"/>
    <cellStyle name="Normal 4 7 2 2 2" xfId="26900" xr:uid="{00000000-0005-0000-0000-0000C2720000}"/>
    <cellStyle name="Normal 4 7 2 3" xfId="31868" xr:uid="{00000000-0005-0000-0000-0000C3720000}"/>
    <cellStyle name="Normal 4 7 3" xfId="7598" xr:uid="{00000000-0005-0000-0000-0000C4720000}"/>
    <cellStyle name="Normal 4 7 3 2" xfId="15706" xr:uid="{00000000-0005-0000-0000-0000C5720000}"/>
    <cellStyle name="Normal 4 7 3 2 2" xfId="29192" xr:uid="{00000000-0005-0000-0000-0000C6720000}"/>
    <cellStyle name="Normal 4 7 3 3" xfId="31869" xr:uid="{00000000-0005-0000-0000-0000C7720000}"/>
    <cellStyle name="Normal 4 7 4" xfId="11573" xr:uid="{00000000-0005-0000-0000-0000C8720000}"/>
    <cellStyle name="Normal 4 7 4 2" xfId="25404" xr:uid="{00000000-0005-0000-0000-0000C9720000}"/>
    <cellStyle name="Normal 4 7 5" xfId="31867" xr:uid="{00000000-0005-0000-0000-0000CA720000}"/>
    <cellStyle name="Normal 4 7 6" xfId="32933" xr:uid="{00000000-0005-0000-0000-0000CB720000}"/>
    <cellStyle name="Normal 4 7 7" xfId="32991" xr:uid="{00000000-0005-0000-0000-0000CC720000}"/>
    <cellStyle name="Normal 4 8" xfId="7599" xr:uid="{00000000-0005-0000-0000-0000CD720000}"/>
    <cellStyle name="Normal 4 8 2" xfId="15807" xr:uid="{00000000-0005-0000-0000-0000CE720000}"/>
    <cellStyle name="Normal 4 8 2 2" xfId="29214" xr:uid="{00000000-0005-0000-0000-0000CF720000}"/>
    <cellStyle name="Normal 4 8 3" xfId="31870" xr:uid="{00000000-0005-0000-0000-0000D0720000}"/>
    <cellStyle name="Normal 4 8 4" xfId="32951" xr:uid="{00000000-0005-0000-0000-0000D1720000}"/>
    <cellStyle name="Normal 4 8 5" xfId="33009" xr:uid="{00000000-0005-0000-0000-0000D2720000}"/>
    <cellStyle name="Normal 4 9" xfId="8670" xr:uid="{00000000-0005-0000-0000-0000D3720000}"/>
    <cellStyle name="Normal 4 9 2" xfId="17295" xr:uid="{00000000-0005-0000-0000-0000D4720000}"/>
    <cellStyle name="Normal 4 9 2 2" xfId="30648" xr:uid="{00000000-0005-0000-0000-0000D5720000}"/>
    <cellStyle name="Normal 4 9 3" xfId="23200" xr:uid="{00000000-0005-0000-0000-0000D6720000}"/>
    <cellStyle name="Normal 5" xfId="7600" xr:uid="{00000000-0005-0000-0000-0000D7720000}"/>
    <cellStyle name="Normal 5 10" xfId="7601" xr:uid="{00000000-0005-0000-0000-0000D8720000}"/>
    <cellStyle name="Normal 5 10 2" xfId="15812" xr:uid="{00000000-0005-0000-0000-0000D9720000}"/>
    <cellStyle name="Normal 5 10 2 2" xfId="29219" xr:uid="{00000000-0005-0000-0000-0000DA720000}"/>
    <cellStyle name="Normal 5 10 3" xfId="31871" xr:uid="{00000000-0005-0000-0000-0000DB720000}"/>
    <cellStyle name="Normal 5 11" xfId="8671" xr:uid="{00000000-0005-0000-0000-0000DC720000}"/>
    <cellStyle name="Normal 5 11 2" xfId="17296" xr:uid="{00000000-0005-0000-0000-0000DD720000}"/>
    <cellStyle name="Normal 5 11 2 2" xfId="30649" xr:uid="{00000000-0005-0000-0000-0000DE720000}"/>
    <cellStyle name="Normal 5 11 3" xfId="23201" xr:uid="{00000000-0005-0000-0000-0000DF720000}"/>
    <cellStyle name="Normal 5 12" xfId="8780" xr:uid="{00000000-0005-0000-0000-0000E0720000}"/>
    <cellStyle name="Normal 5 12 2" xfId="23258" xr:uid="{00000000-0005-0000-0000-0000E1720000}"/>
    <cellStyle name="Normal 5 2" xfId="7602" xr:uid="{00000000-0005-0000-0000-0000E2720000}"/>
    <cellStyle name="Normal 5 2 10" xfId="32973" xr:uid="{00000000-0005-0000-0000-0000E3720000}"/>
    <cellStyle name="Normal 5 2 2" xfId="7603" xr:uid="{00000000-0005-0000-0000-0000E4720000}"/>
    <cellStyle name="Normal 5 2 2 2" xfId="11580" xr:uid="{00000000-0005-0000-0000-0000E5720000}"/>
    <cellStyle name="Normal 5 2 2 2 2" xfId="25411" xr:uid="{00000000-0005-0000-0000-0000E6720000}"/>
    <cellStyle name="Normal 5 2 2 3" xfId="31872" xr:uid="{00000000-0005-0000-0000-0000E7720000}"/>
    <cellStyle name="Normal 5 2 2 4" xfId="32958" xr:uid="{00000000-0005-0000-0000-0000E8720000}"/>
    <cellStyle name="Normal 5 2 2 5" xfId="33015" xr:uid="{00000000-0005-0000-0000-0000E9720000}"/>
    <cellStyle name="Normal 5 2 3" xfId="7604" xr:uid="{00000000-0005-0000-0000-0000EA720000}"/>
    <cellStyle name="Normal 5 2 3 2" xfId="13272" xr:uid="{00000000-0005-0000-0000-0000EB720000}"/>
    <cellStyle name="Normal 5 2 3 2 2" xfId="26902" xr:uid="{00000000-0005-0000-0000-0000EC720000}"/>
    <cellStyle name="Normal 5 2 3 3" xfId="31873" xr:uid="{00000000-0005-0000-0000-0000ED720000}"/>
    <cellStyle name="Normal 5 2 4" xfId="7605" xr:uid="{00000000-0005-0000-0000-0000EE720000}"/>
    <cellStyle name="Normal 5 2 4 2" xfId="15708" xr:uid="{00000000-0005-0000-0000-0000EF720000}"/>
    <cellStyle name="Normal 5 2 4 2 2" xfId="29194" xr:uid="{00000000-0005-0000-0000-0000F0720000}"/>
    <cellStyle name="Normal 5 2 4 3" xfId="31874" xr:uid="{00000000-0005-0000-0000-0000F1720000}"/>
    <cellStyle name="Normal 5 2 5" xfId="7606" xr:uid="{00000000-0005-0000-0000-0000F2720000}"/>
    <cellStyle name="Normal 5 2 5 2" xfId="15813" xr:uid="{00000000-0005-0000-0000-0000F3720000}"/>
    <cellStyle name="Normal 5 2 5 2 2" xfId="29220" xr:uid="{00000000-0005-0000-0000-0000F4720000}"/>
    <cellStyle name="Normal 5 2 5 3" xfId="31875" xr:uid="{00000000-0005-0000-0000-0000F5720000}"/>
    <cellStyle name="Normal 5 2 6" xfId="7607" xr:uid="{00000000-0005-0000-0000-0000F6720000}"/>
    <cellStyle name="Normal 5 2 6 2" xfId="17038" xr:uid="{00000000-0005-0000-0000-0000F7720000}"/>
    <cellStyle name="Normal 5 2 7" xfId="8675" xr:uid="{00000000-0005-0000-0000-0000F8720000}"/>
    <cellStyle name="Normal 5 2 7 2" xfId="17300" xr:uid="{00000000-0005-0000-0000-0000F9720000}"/>
    <cellStyle name="Normal 5 2 7 2 2" xfId="30653" xr:uid="{00000000-0005-0000-0000-0000FA720000}"/>
    <cellStyle name="Normal 5 2 7 3" xfId="23205" xr:uid="{00000000-0005-0000-0000-0000FB720000}"/>
    <cellStyle name="Normal 5 2 8" xfId="8784" xr:uid="{00000000-0005-0000-0000-0000FC720000}"/>
    <cellStyle name="Normal 5 2 8 2" xfId="23262" xr:uid="{00000000-0005-0000-0000-0000FD720000}"/>
    <cellStyle name="Normal 5 2 9" xfId="32913" xr:uid="{00000000-0005-0000-0000-0000FE720000}"/>
    <cellStyle name="Normal 5 3" xfId="7608" xr:uid="{00000000-0005-0000-0000-0000FF720000}"/>
    <cellStyle name="Normal 5 3 10" xfId="32977" xr:uid="{00000000-0005-0000-0000-000000730000}"/>
    <cellStyle name="Normal 5 3 2" xfId="7609" xr:uid="{00000000-0005-0000-0000-000001730000}"/>
    <cellStyle name="Normal 5 3 2 2" xfId="11581" xr:uid="{00000000-0005-0000-0000-000002730000}"/>
    <cellStyle name="Normal 5 3 2 2 2" xfId="25412" xr:uid="{00000000-0005-0000-0000-000003730000}"/>
    <cellStyle name="Normal 5 3 2 3" xfId="31877" xr:uid="{00000000-0005-0000-0000-000004730000}"/>
    <cellStyle name="Normal 5 3 2 4" xfId="32959" xr:uid="{00000000-0005-0000-0000-000005730000}"/>
    <cellStyle name="Normal 5 3 2 5" xfId="33016" xr:uid="{00000000-0005-0000-0000-000006730000}"/>
    <cellStyle name="Normal 5 3 3" xfId="7610" xr:uid="{00000000-0005-0000-0000-000007730000}"/>
    <cellStyle name="Normal 5 3 3 2" xfId="13273" xr:uid="{00000000-0005-0000-0000-000008730000}"/>
    <cellStyle name="Normal 5 3 3 2 2" xfId="26903" xr:uid="{00000000-0005-0000-0000-000009730000}"/>
    <cellStyle name="Normal 5 3 3 3" xfId="31878" xr:uid="{00000000-0005-0000-0000-00000A730000}"/>
    <cellStyle name="Normal 5 3 4" xfId="7611" xr:uid="{00000000-0005-0000-0000-00000B730000}"/>
    <cellStyle name="Normal 5 3 4 2" xfId="15709" xr:uid="{00000000-0005-0000-0000-00000C730000}"/>
    <cellStyle name="Normal 5 3 4 2 2" xfId="29195" xr:uid="{00000000-0005-0000-0000-00000D730000}"/>
    <cellStyle name="Normal 5 3 4 3" xfId="31879" xr:uid="{00000000-0005-0000-0000-00000E730000}"/>
    <cellStyle name="Normal 5 3 5" xfId="7612" xr:uid="{00000000-0005-0000-0000-00000F730000}"/>
    <cellStyle name="Normal 5 3 5 2" xfId="15814" xr:uid="{00000000-0005-0000-0000-000010730000}"/>
    <cellStyle name="Normal 5 3 5 2 2" xfId="29221" xr:uid="{00000000-0005-0000-0000-000011730000}"/>
    <cellStyle name="Normal 5 3 5 3" xfId="31880" xr:uid="{00000000-0005-0000-0000-000012730000}"/>
    <cellStyle name="Normal 5 3 6" xfId="8679" xr:uid="{00000000-0005-0000-0000-000013730000}"/>
    <cellStyle name="Normal 5 3 6 2" xfId="17304" xr:uid="{00000000-0005-0000-0000-000014730000}"/>
    <cellStyle name="Normal 5 3 6 2 2" xfId="30657" xr:uid="{00000000-0005-0000-0000-000015730000}"/>
    <cellStyle name="Normal 5 3 6 3" xfId="23209" xr:uid="{00000000-0005-0000-0000-000016730000}"/>
    <cellStyle name="Normal 5 3 7" xfId="8788" xr:uid="{00000000-0005-0000-0000-000017730000}"/>
    <cellStyle name="Normal 5 3 7 2" xfId="23266" xr:uid="{00000000-0005-0000-0000-000018730000}"/>
    <cellStyle name="Normal 5 3 8" xfId="31876" xr:uid="{00000000-0005-0000-0000-000019730000}"/>
    <cellStyle name="Normal 5 3 9" xfId="32917" xr:uid="{00000000-0005-0000-0000-00001A730000}"/>
    <cellStyle name="Normal 5 4" xfId="7613" xr:uid="{00000000-0005-0000-0000-00001B730000}"/>
    <cellStyle name="Normal 5 4 10" xfId="32985" xr:uid="{00000000-0005-0000-0000-00001C730000}"/>
    <cellStyle name="Normal 5 4 2" xfId="7614" xr:uid="{00000000-0005-0000-0000-00001D730000}"/>
    <cellStyle name="Normal 5 4 2 2" xfId="11582" xr:uid="{00000000-0005-0000-0000-00001E730000}"/>
    <cellStyle name="Normal 5 4 2 2 2" xfId="25413" xr:uid="{00000000-0005-0000-0000-00001F730000}"/>
    <cellStyle name="Normal 5 4 2 3" xfId="31882" xr:uid="{00000000-0005-0000-0000-000020730000}"/>
    <cellStyle name="Normal 5 4 2 4" xfId="32960" xr:uid="{00000000-0005-0000-0000-000021730000}"/>
    <cellStyle name="Normal 5 4 2 5" xfId="33017" xr:uid="{00000000-0005-0000-0000-000022730000}"/>
    <cellStyle name="Normal 5 4 3" xfId="7615" xr:uid="{00000000-0005-0000-0000-000023730000}"/>
    <cellStyle name="Normal 5 4 3 2" xfId="13274" xr:uid="{00000000-0005-0000-0000-000024730000}"/>
    <cellStyle name="Normal 5 4 3 2 2" xfId="26904" xr:uid="{00000000-0005-0000-0000-000025730000}"/>
    <cellStyle name="Normal 5 4 3 3" xfId="31883" xr:uid="{00000000-0005-0000-0000-000026730000}"/>
    <cellStyle name="Normal 5 4 4" xfId="7616" xr:uid="{00000000-0005-0000-0000-000027730000}"/>
    <cellStyle name="Normal 5 4 4 2" xfId="15710" xr:uid="{00000000-0005-0000-0000-000028730000}"/>
    <cellStyle name="Normal 5 4 4 2 2" xfId="29196" xr:uid="{00000000-0005-0000-0000-000029730000}"/>
    <cellStyle name="Normal 5 4 4 3" xfId="31884" xr:uid="{00000000-0005-0000-0000-00002A730000}"/>
    <cellStyle name="Normal 5 4 5" xfId="7617" xr:uid="{00000000-0005-0000-0000-00002B730000}"/>
    <cellStyle name="Normal 5 4 5 2" xfId="15815" xr:uid="{00000000-0005-0000-0000-00002C730000}"/>
    <cellStyle name="Normal 5 4 5 2 2" xfId="29222" xr:uid="{00000000-0005-0000-0000-00002D730000}"/>
    <cellStyle name="Normal 5 4 5 3" xfId="31885" xr:uid="{00000000-0005-0000-0000-00002E730000}"/>
    <cellStyle name="Normal 5 4 6" xfId="8694" xr:uid="{00000000-0005-0000-0000-00002F730000}"/>
    <cellStyle name="Normal 5 4 6 2" xfId="17312" xr:uid="{00000000-0005-0000-0000-000030730000}"/>
    <cellStyle name="Normal 5 4 6 2 2" xfId="30665" xr:uid="{00000000-0005-0000-0000-000031730000}"/>
    <cellStyle name="Normal 5 4 6 3" xfId="23217" xr:uid="{00000000-0005-0000-0000-000032730000}"/>
    <cellStyle name="Normal 5 4 7" xfId="8796" xr:uid="{00000000-0005-0000-0000-000033730000}"/>
    <cellStyle name="Normal 5 4 7 2" xfId="23274" xr:uid="{00000000-0005-0000-0000-000034730000}"/>
    <cellStyle name="Normal 5 4 8" xfId="31881" xr:uid="{00000000-0005-0000-0000-000035730000}"/>
    <cellStyle name="Normal 5 4 9" xfId="32925" xr:uid="{00000000-0005-0000-0000-000036730000}"/>
    <cellStyle name="Normal 5 5" xfId="7618" xr:uid="{00000000-0005-0000-0000-000037730000}"/>
    <cellStyle name="Normal 5 5 10" xfId="32980" xr:uid="{00000000-0005-0000-0000-000038730000}"/>
    <cellStyle name="Normal 5 5 2" xfId="7619" xr:uid="{00000000-0005-0000-0000-000039730000}"/>
    <cellStyle name="Normal 5 5 2 2" xfId="11583" xr:uid="{00000000-0005-0000-0000-00003A730000}"/>
    <cellStyle name="Normal 5 5 2 2 2" xfId="25414" xr:uid="{00000000-0005-0000-0000-00003B730000}"/>
    <cellStyle name="Normal 5 5 2 3" xfId="31887" xr:uid="{00000000-0005-0000-0000-00003C730000}"/>
    <cellStyle name="Normal 5 5 2 4" xfId="32961" xr:uid="{00000000-0005-0000-0000-00003D730000}"/>
    <cellStyle name="Normal 5 5 2 5" xfId="33018" xr:uid="{00000000-0005-0000-0000-00003E730000}"/>
    <cellStyle name="Normal 5 5 3" xfId="7620" xr:uid="{00000000-0005-0000-0000-00003F730000}"/>
    <cellStyle name="Normal 5 5 3 2" xfId="13275" xr:uid="{00000000-0005-0000-0000-000040730000}"/>
    <cellStyle name="Normal 5 5 3 2 2" xfId="26905" xr:uid="{00000000-0005-0000-0000-000041730000}"/>
    <cellStyle name="Normal 5 5 3 3" xfId="31888" xr:uid="{00000000-0005-0000-0000-000042730000}"/>
    <cellStyle name="Normal 5 5 4" xfId="7621" xr:uid="{00000000-0005-0000-0000-000043730000}"/>
    <cellStyle name="Normal 5 5 4 2" xfId="15711" xr:uid="{00000000-0005-0000-0000-000044730000}"/>
    <cellStyle name="Normal 5 5 4 2 2" xfId="29197" xr:uid="{00000000-0005-0000-0000-000045730000}"/>
    <cellStyle name="Normal 5 5 4 3" xfId="31889" xr:uid="{00000000-0005-0000-0000-000046730000}"/>
    <cellStyle name="Normal 5 5 5" xfId="7622" xr:uid="{00000000-0005-0000-0000-000047730000}"/>
    <cellStyle name="Normal 5 5 5 2" xfId="15816" xr:uid="{00000000-0005-0000-0000-000048730000}"/>
    <cellStyle name="Normal 5 5 5 2 2" xfId="29223" xr:uid="{00000000-0005-0000-0000-000049730000}"/>
    <cellStyle name="Normal 5 5 5 3" xfId="31890" xr:uid="{00000000-0005-0000-0000-00004A730000}"/>
    <cellStyle name="Normal 5 5 6" xfId="8684" xr:uid="{00000000-0005-0000-0000-00004B730000}"/>
    <cellStyle name="Normal 5 5 6 2" xfId="17307" xr:uid="{00000000-0005-0000-0000-00004C730000}"/>
    <cellStyle name="Normal 5 5 6 2 2" xfId="30660" xr:uid="{00000000-0005-0000-0000-00004D730000}"/>
    <cellStyle name="Normal 5 5 6 3" xfId="23212" xr:uid="{00000000-0005-0000-0000-00004E730000}"/>
    <cellStyle name="Normal 5 5 7" xfId="8791" xr:uid="{00000000-0005-0000-0000-00004F730000}"/>
    <cellStyle name="Normal 5 5 7 2" xfId="23269" xr:uid="{00000000-0005-0000-0000-000050730000}"/>
    <cellStyle name="Normal 5 5 8" xfId="31886" xr:uid="{00000000-0005-0000-0000-000051730000}"/>
    <cellStyle name="Normal 5 5 9" xfId="32920" xr:uid="{00000000-0005-0000-0000-000052730000}"/>
    <cellStyle name="Normal 5 6" xfId="7623" xr:uid="{00000000-0005-0000-0000-000053730000}"/>
    <cellStyle name="Normal 5 6 2" xfId="7624" xr:uid="{00000000-0005-0000-0000-000054730000}"/>
    <cellStyle name="Normal 5 6 2 2" xfId="11680" xr:uid="{00000000-0005-0000-0000-000055730000}"/>
    <cellStyle name="Normal 5 6 2 2 2" xfId="25417" xr:uid="{00000000-0005-0000-0000-000056730000}"/>
    <cellStyle name="Normal 5 6 2 3" xfId="31892" xr:uid="{00000000-0005-0000-0000-000057730000}"/>
    <cellStyle name="Normal 5 6 2 4" xfId="32962" xr:uid="{00000000-0005-0000-0000-000058730000}"/>
    <cellStyle name="Normal 5 6 3" xfId="7625" xr:uid="{00000000-0005-0000-0000-000059730000}"/>
    <cellStyle name="Normal 5 6 3 2" xfId="17336" xr:uid="{00000000-0005-0000-0000-00005A730000}"/>
    <cellStyle name="Normal 5 6 3 3" xfId="31893" xr:uid="{00000000-0005-0000-0000-00005B730000}"/>
    <cellStyle name="Normal 5 6 4" xfId="8732" xr:uid="{00000000-0005-0000-0000-00005C730000}"/>
    <cellStyle name="Normal 5 6 5" xfId="10215" xr:uid="{00000000-0005-0000-0000-00005D730000}"/>
    <cellStyle name="Normal 5 6 6" xfId="31891" xr:uid="{00000000-0005-0000-0000-00005E730000}"/>
    <cellStyle name="Normal 5 6 7" xfId="32909" xr:uid="{00000000-0005-0000-0000-00005F730000}"/>
    <cellStyle name="Normal 5 6 8" xfId="32969" xr:uid="{00000000-0005-0000-0000-000060730000}"/>
    <cellStyle name="Normal 5 7" xfId="7626" xr:uid="{00000000-0005-0000-0000-000061730000}"/>
    <cellStyle name="Normal 5 7 2" xfId="7627" xr:uid="{00000000-0005-0000-0000-000062730000}"/>
    <cellStyle name="Normal 5 7 2 2" xfId="13276" xr:uid="{00000000-0005-0000-0000-000063730000}"/>
    <cellStyle name="Normal 5 7 2 2 2" xfId="26906" xr:uid="{00000000-0005-0000-0000-000064730000}"/>
    <cellStyle name="Normal 5 7 2 3" xfId="31895" xr:uid="{00000000-0005-0000-0000-000065730000}"/>
    <cellStyle name="Normal 5 7 3" xfId="7628" xr:uid="{00000000-0005-0000-0000-000066730000}"/>
    <cellStyle name="Normal 5 7 3 2" xfId="15712" xr:uid="{00000000-0005-0000-0000-000067730000}"/>
    <cellStyle name="Normal 5 7 3 2 2" xfId="29198" xr:uid="{00000000-0005-0000-0000-000068730000}"/>
    <cellStyle name="Normal 5 7 3 3" xfId="31896" xr:uid="{00000000-0005-0000-0000-000069730000}"/>
    <cellStyle name="Normal 5 7 4" xfId="11579" xr:uid="{00000000-0005-0000-0000-00006A730000}"/>
    <cellStyle name="Normal 5 7 4 2" xfId="25410" xr:uid="{00000000-0005-0000-0000-00006B730000}"/>
    <cellStyle name="Normal 5 7 5" xfId="31894" xr:uid="{00000000-0005-0000-0000-00006C730000}"/>
    <cellStyle name="Normal 5 7 6" xfId="32957" xr:uid="{00000000-0005-0000-0000-00006D730000}"/>
    <cellStyle name="Normal 5 7 7" xfId="33014" xr:uid="{00000000-0005-0000-0000-00006E730000}"/>
    <cellStyle name="Normal 5 8" xfId="7629" xr:uid="{00000000-0005-0000-0000-00006F730000}"/>
    <cellStyle name="Normal 5 8 2" xfId="13271" xr:uid="{00000000-0005-0000-0000-000070730000}"/>
    <cellStyle name="Normal 5 8 2 2" xfId="26901" xr:uid="{00000000-0005-0000-0000-000071730000}"/>
    <cellStyle name="Normal 5 8 3" xfId="31897" xr:uid="{00000000-0005-0000-0000-000072730000}"/>
    <cellStyle name="Normal 5 9" xfId="7630" xr:uid="{00000000-0005-0000-0000-000073730000}"/>
    <cellStyle name="Normal 5 9 2" xfId="15707" xr:uid="{00000000-0005-0000-0000-000074730000}"/>
    <cellStyle name="Normal 5 9 2 2" xfId="29193" xr:uid="{00000000-0005-0000-0000-000075730000}"/>
    <cellStyle name="Normal 5 9 3" xfId="31898" xr:uid="{00000000-0005-0000-0000-000076730000}"/>
    <cellStyle name="Normal 55" xfId="7631" xr:uid="{00000000-0005-0000-0000-000077730000}"/>
    <cellStyle name="Normal 55 2" xfId="7632" xr:uid="{00000000-0005-0000-0000-000078730000}"/>
    <cellStyle name="Normal 55 2 2" xfId="7633" xr:uid="{00000000-0005-0000-0000-000079730000}"/>
    <cellStyle name="Normal 55 2 2 2" xfId="17039" xr:uid="{00000000-0005-0000-0000-00007A730000}"/>
    <cellStyle name="Normal 55 2 2 2 2" xfId="30438" xr:uid="{00000000-0005-0000-0000-00007B730000}"/>
    <cellStyle name="Normal 55 2 2 3" xfId="31901" xr:uid="{00000000-0005-0000-0000-00007C730000}"/>
    <cellStyle name="Normal 55 2 3" xfId="11584" xr:uid="{00000000-0005-0000-0000-00007D730000}"/>
    <cellStyle name="Normal 55 2 3 2" xfId="25415" xr:uid="{00000000-0005-0000-0000-00007E730000}"/>
    <cellStyle name="Normal 55 2 4" xfId="31900" xr:uid="{00000000-0005-0000-0000-00007F730000}"/>
    <cellStyle name="Normal 55 3" xfId="7634" xr:uid="{00000000-0005-0000-0000-000080730000}"/>
    <cellStyle name="Normal 55 3 2" xfId="7635" xr:uid="{00000000-0005-0000-0000-000081730000}"/>
    <cellStyle name="Normal 55 3 2 2" xfId="16994" xr:uid="{00000000-0005-0000-0000-000082730000}"/>
    <cellStyle name="Normal 55 3 2 2 2" xfId="30401" xr:uid="{00000000-0005-0000-0000-000083730000}"/>
    <cellStyle name="Normal 55 3 2 3" xfId="31903" xr:uid="{00000000-0005-0000-0000-000084730000}"/>
    <cellStyle name="Normal 55 3 3" xfId="12383" xr:uid="{00000000-0005-0000-0000-000085730000}"/>
    <cellStyle name="Normal 55 3 3 2" xfId="26095" xr:uid="{00000000-0005-0000-0000-000086730000}"/>
    <cellStyle name="Normal 55 3 4" xfId="31902" xr:uid="{00000000-0005-0000-0000-000087730000}"/>
    <cellStyle name="Normal 55 4" xfId="7636" xr:uid="{00000000-0005-0000-0000-000088730000}"/>
    <cellStyle name="Normal 55 4 2" xfId="13946" xr:uid="{00000000-0005-0000-0000-000089730000}"/>
    <cellStyle name="Normal 55 4 2 2" xfId="27495" xr:uid="{00000000-0005-0000-0000-00008A730000}"/>
    <cellStyle name="Normal 55 4 3" xfId="31904" xr:uid="{00000000-0005-0000-0000-00008B730000}"/>
    <cellStyle name="Normal 55 5" xfId="7637" xr:uid="{00000000-0005-0000-0000-00008C730000}"/>
    <cellStyle name="Normal 55 5 2" xfId="14527" xr:uid="{00000000-0005-0000-0000-00008D730000}"/>
    <cellStyle name="Normal 55 5 2 2" xfId="28076" xr:uid="{00000000-0005-0000-0000-00008E730000}"/>
    <cellStyle name="Normal 55 5 3" xfId="31905" xr:uid="{00000000-0005-0000-0000-00008F730000}"/>
    <cellStyle name="Normal 55 6" xfId="7638" xr:uid="{00000000-0005-0000-0000-000090730000}"/>
    <cellStyle name="Normal 55 6 2" xfId="16413" xr:uid="{00000000-0005-0000-0000-000091730000}"/>
    <cellStyle name="Normal 55 6 2 2" xfId="29820" xr:uid="{00000000-0005-0000-0000-000092730000}"/>
    <cellStyle name="Normal 55 6 3" xfId="31906" xr:uid="{00000000-0005-0000-0000-000093730000}"/>
    <cellStyle name="Normal 55 7" xfId="10216" xr:uid="{00000000-0005-0000-0000-000094730000}"/>
    <cellStyle name="Normal 55 7 2" xfId="24408" xr:uid="{00000000-0005-0000-0000-000095730000}"/>
    <cellStyle name="Normal 55 8" xfId="31899" xr:uid="{00000000-0005-0000-0000-000096730000}"/>
    <cellStyle name="Normal 6" xfId="7639" xr:uid="{00000000-0005-0000-0000-000097730000}"/>
    <cellStyle name="Normal 6 2" xfId="7640" xr:uid="{00000000-0005-0000-0000-000098730000}"/>
    <cellStyle name="Normal 6 2 2" xfId="7641" xr:uid="{00000000-0005-0000-0000-000099730000}"/>
    <cellStyle name="Normal 6 2 2 2" xfId="10218" xr:uid="{00000000-0005-0000-0000-00009A730000}"/>
    <cellStyle name="Normal 6 2 2 3" xfId="31907" xr:uid="{00000000-0005-0000-0000-00009B730000}"/>
    <cellStyle name="Normal 6 2 3" xfId="7642" xr:uid="{00000000-0005-0000-0000-00009C730000}"/>
    <cellStyle name="Normal 6 2 3 2" xfId="17337" xr:uid="{00000000-0005-0000-0000-00009D730000}"/>
    <cellStyle name="Normal 6 2 3 3" xfId="31908" xr:uid="{00000000-0005-0000-0000-00009E730000}"/>
    <cellStyle name="Normal 6 2 4" xfId="8733" xr:uid="{00000000-0005-0000-0000-00009F730000}"/>
    <cellStyle name="Normal 6 2 5" xfId="10217" xr:uid="{00000000-0005-0000-0000-0000A0730000}"/>
    <cellStyle name="Normal 6 3" xfId="7643" xr:uid="{00000000-0005-0000-0000-0000A1730000}"/>
    <cellStyle name="Normal 6 3 2" xfId="7644" xr:uid="{00000000-0005-0000-0000-0000A2730000}"/>
    <cellStyle name="Normal 6 3 2 2" xfId="17360" xr:uid="{00000000-0005-0000-0000-0000A3730000}"/>
    <cellStyle name="Normal 6 3 2 3" xfId="31909" xr:uid="{00000000-0005-0000-0000-0000A4730000}"/>
    <cellStyle name="Normal 6 3 3" xfId="8734" xr:uid="{00000000-0005-0000-0000-0000A5730000}"/>
    <cellStyle name="Normal 6 3 4" xfId="11585" xr:uid="{00000000-0005-0000-0000-0000A6730000}"/>
    <cellStyle name="Normal 6 4" xfId="8696" xr:uid="{00000000-0005-0000-0000-0000A7730000}"/>
    <cellStyle name="Normal 7" xfId="7645" xr:uid="{00000000-0005-0000-0000-0000A8730000}"/>
    <cellStyle name="Normal 7 2" xfId="7646" xr:uid="{00000000-0005-0000-0000-0000A9730000}"/>
    <cellStyle name="Normal 7 2 2" xfId="7647" xr:uid="{00000000-0005-0000-0000-0000AA730000}"/>
    <cellStyle name="Normal 7 2 2 2" xfId="11721" xr:uid="{00000000-0005-0000-0000-0000AB730000}"/>
    <cellStyle name="Normal 7 2 2 3" xfId="31912" xr:uid="{00000000-0005-0000-0000-0000AC730000}"/>
    <cellStyle name="Normal 7 2 3" xfId="7648" xr:uid="{00000000-0005-0000-0000-0000AD730000}"/>
    <cellStyle name="Normal 7 2 3 2" xfId="17338" xr:uid="{00000000-0005-0000-0000-0000AE730000}"/>
    <cellStyle name="Normal 7 2 3 3" xfId="31913" xr:uid="{00000000-0005-0000-0000-0000AF730000}"/>
    <cellStyle name="Normal 7 2 4" xfId="8735" xr:uid="{00000000-0005-0000-0000-0000B0730000}"/>
    <cellStyle name="Normal 7 2 5" xfId="10219" xr:uid="{00000000-0005-0000-0000-0000B1730000}"/>
    <cellStyle name="Normal 7 2 6" xfId="31911" xr:uid="{00000000-0005-0000-0000-0000B2730000}"/>
    <cellStyle name="Normal 7 3" xfId="7649" xr:uid="{00000000-0005-0000-0000-0000B3730000}"/>
    <cellStyle name="Normal 7 3 2" xfId="11586" xr:uid="{00000000-0005-0000-0000-0000B4730000}"/>
    <cellStyle name="Normal 7 3 3" xfId="31914" xr:uid="{00000000-0005-0000-0000-0000B5730000}"/>
    <cellStyle name="Normal 7 4" xfId="8687" xr:uid="{00000000-0005-0000-0000-0000B6730000}"/>
    <cellStyle name="Normal 7 5" xfId="31910" xr:uid="{00000000-0005-0000-0000-0000B7730000}"/>
    <cellStyle name="Normal 8" xfId="7650" xr:uid="{00000000-0005-0000-0000-0000B8730000}"/>
    <cellStyle name="Normal 8 2" xfId="7651" xr:uid="{00000000-0005-0000-0000-0000B9730000}"/>
    <cellStyle name="Normal 8 2 2" xfId="7652" xr:uid="{00000000-0005-0000-0000-0000BA730000}"/>
    <cellStyle name="Normal 8 2 2 2" xfId="17339" xr:uid="{00000000-0005-0000-0000-0000BB730000}"/>
    <cellStyle name="Normal 8 2 3" xfId="8736" xr:uid="{00000000-0005-0000-0000-0000BC730000}"/>
    <cellStyle name="Normal 8 2 4" xfId="10220" xr:uid="{00000000-0005-0000-0000-0000BD730000}"/>
    <cellStyle name="Normal 8 3" xfId="7653" xr:uid="{00000000-0005-0000-0000-0000BE730000}"/>
    <cellStyle name="Normal 8 3 2" xfId="7654" xr:uid="{00000000-0005-0000-0000-0000BF730000}"/>
    <cellStyle name="Normal 8 3 2 2" xfId="11726" xr:uid="{00000000-0005-0000-0000-0000C0730000}"/>
    <cellStyle name="Normal 8 3 2 3" xfId="31916" xr:uid="{00000000-0005-0000-0000-0000C1730000}"/>
    <cellStyle name="Normal 8 3 3" xfId="10221" xr:uid="{00000000-0005-0000-0000-0000C2730000}"/>
    <cellStyle name="Normal 8 3 4" xfId="31915" xr:uid="{00000000-0005-0000-0000-0000C3730000}"/>
    <cellStyle name="Normal 8 4" xfId="7655" xr:uid="{00000000-0005-0000-0000-0000C4730000}"/>
    <cellStyle name="Normal 8 4 2" xfId="11587" xr:uid="{00000000-0005-0000-0000-0000C5730000}"/>
    <cellStyle name="Normal 8 4 3" xfId="31917" xr:uid="{00000000-0005-0000-0000-0000C6730000}"/>
    <cellStyle name="Normal 8 5" xfId="8697" xr:uid="{00000000-0005-0000-0000-0000C7730000}"/>
    <cellStyle name="Normal 9" xfId="7656" xr:uid="{00000000-0005-0000-0000-0000C8730000}"/>
    <cellStyle name="Normal 9 2" xfId="7657" xr:uid="{00000000-0005-0000-0000-0000C9730000}"/>
    <cellStyle name="Normal 9 2 2" xfId="7658" xr:uid="{00000000-0005-0000-0000-0000CA730000}"/>
    <cellStyle name="Normal 9 2 2 2" xfId="7659" xr:uid="{00000000-0005-0000-0000-0000CB730000}"/>
    <cellStyle name="Normal 9 2 2 2 2" xfId="17040" xr:uid="{00000000-0005-0000-0000-0000CC730000}"/>
    <cellStyle name="Normal 9 2 2 2 2 2" xfId="30439" xr:uid="{00000000-0005-0000-0000-0000CD730000}"/>
    <cellStyle name="Normal 9 2 2 2 3" xfId="31920" xr:uid="{00000000-0005-0000-0000-0000CE730000}"/>
    <cellStyle name="Normal 9 2 2 3" xfId="11588" xr:uid="{00000000-0005-0000-0000-0000CF730000}"/>
    <cellStyle name="Normal 9 2 2 3 2" xfId="25416" xr:uid="{00000000-0005-0000-0000-0000D0730000}"/>
    <cellStyle name="Normal 9 2 2 4" xfId="31919" xr:uid="{00000000-0005-0000-0000-0000D1730000}"/>
    <cellStyle name="Normal 9 2 3" xfId="7660" xr:uid="{00000000-0005-0000-0000-0000D2730000}"/>
    <cellStyle name="Normal 9 2 3 2" xfId="7661" xr:uid="{00000000-0005-0000-0000-0000D3730000}"/>
    <cellStyle name="Normal 9 2 3 2 2" xfId="16992" xr:uid="{00000000-0005-0000-0000-0000D4730000}"/>
    <cellStyle name="Normal 9 2 3 2 2 2" xfId="30399" xr:uid="{00000000-0005-0000-0000-0000D5730000}"/>
    <cellStyle name="Normal 9 2 3 2 3" xfId="31922" xr:uid="{00000000-0005-0000-0000-0000D6730000}"/>
    <cellStyle name="Normal 9 2 3 3" xfId="12381" xr:uid="{00000000-0005-0000-0000-0000D7730000}"/>
    <cellStyle name="Normal 9 2 3 3 2" xfId="26093" xr:uid="{00000000-0005-0000-0000-0000D8730000}"/>
    <cellStyle name="Normal 9 2 3 4" xfId="31921" xr:uid="{00000000-0005-0000-0000-0000D9730000}"/>
    <cellStyle name="Normal 9 2 4" xfId="7662" xr:uid="{00000000-0005-0000-0000-0000DA730000}"/>
    <cellStyle name="Normal 9 2 4 2" xfId="13944" xr:uid="{00000000-0005-0000-0000-0000DB730000}"/>
    <cellStyle name="Normal 9 2 4 2 2" xfId="27493" xr:uid="{00000000-0005-0000-0000-0000DC730000}"/>
    <cellStyle name="Normal 9 2 4 3" xfId="31923" xr:uid="{00000000-0005-0000-0000-0000DD730000}"/>
    <cellStyle name="Normal 9 2 5" xfId="7663" xr:uid="{00000000-0005-0000-0000-0000DE730000}"/>
    <cellStyle name="Normal 9 2 5 2" xfId="14525" xr:uid="{00000000-0005-0000-0000-0000DF730000}"/>
    <cellStyle name="Normal 9 2 5 2 2" xfId="28074" xr:uid="{00000000-0005-0000-0000-0000E0730000}"/>
    <cellStyle name="Normal 9 2 5 3" xfId="31924" xr:uid="{00000000-0005-0000-0000-0000E1730000}"/>
    <cellStyle name="Normal 9 2 6" xfId="7664" xr:uid="{00000000-0005-0000-0000-0000E2730000}"/>
    <cellStyle name="Normal 9 2 6 2" xfId="16411" xr:uid="{00000000-0005-0000-0000-0000E3730000}"/>
    <cellStyle name="Normal 9 2 6 2 2" xfId="29818" xr:uid="{00000000-0005-0000-0000-0000E4730000}"/>
    <cellStyle name="Normal 9 2 6 3" xfId="31925" xr:uid="{00000000-0005-0000-0000-0000E5730000}"/>
    <cellStyle name="Normal 9 2 7" xfId="10223" xr:uid="{00000000-0005-0000-0000-0000E6730000}"/>
    <cellStyle name="Normal 9 2 7 2" xfId="24409" xr:uid="{00000000-0005-0000-0000-0000E7730000}"/>
    <cellStyle name="Normal 9 2 8" xfId="31918" xr:uid="{00000000-0005-0000-0000-0000E8730000}"/>
    <cellStyle name="Normal 9 3" xfId="7665" xr:uid="{00000000-0005-0000-0000-0000E9730000}"/>
    <cellStyle name="Normal 9 3 2" xfId="10222" xr:uid="{00000000-0005-0000-0000-0000EA730000}"/>
    <cellStyle name="Normal 9 3 3" xfId="31926" xr:uid="{00000000-0005-0000-0000-0000EB730000}"/>
    <cellStyle name="Normal 9 4" xfId="8655" xr:uid="{00000000-0005-0000-0000-0000EC730000}"/>
    <cellStyle name="Note" xfId="33024" builtinId="10" customBuiltin="1"/>
    <cellStyle name="Note 2" xfId="7666" xr:uid="{00000000-0005-0000-0000-0000EE730000}"/>
    <cellStyle name="Note 2 10" xfId="7667" xr:uid="{00000000-0005-0000-0000-0000EF730000}"/>
    <cellStyle name="Note 2 10 2" xfId="7668" xr:uid="{00000000-0005-0000-0000-0000F0730000}"/>
    <cellStyle name="Note 2 10 2 2" xfId="13278" xr:uid="{00000000-0005-0000-0000-0000F1730000}"/>
    <cellStyle name="Note 2 10 2 3" xfId="31929" xr:uid="{00000000-0005-0000-0000-0000F2730000}"/>
    <cellStyle name="Note 2 10 3" xfId="7669" xr:uid="{00000000-0005-0000-0000-0000F3730000}"/>
    <cellStyle name="Note 2 10 3 2" xfId="13277" xr:uid="{00000000-0005-0000-0000-0000F4730000}"/>
    <cellStyle name="Note 2 10 3 2 2" xfId="26907" xr:uid="{00000000-0005-0000-0000-0000F5730000}"/>
    <cellStyle name="Note 2 10 3 3" xfId="31930" xr:uid="{00000000-0005-0000-0000-0000F6730000}"/>
    <cellStyle name="Note 2 10 4" xfId="7670" xr:uid="{00000000-0005-0000-0000-0000F7730000}"/>
    <cellStyle name="Note 2 10 4 2" xfId="17100" xr:uid="{00000000-0005-0000-0000-0000F8730000}"/>
    <cellStyle name="Note 2 10 4 2 2" xfId="30459" xr:uid="{00000000-0005-0000-0000-0000F9730000}"/>
    <cellStyle name="Note 2 10 4 3" xfId="31931" xr:uid="{00000000-0005-0000-0000-0000FA730000}"/>
    <cellStyle name="Note 2 10 5" xfId="10225" xr:uid="{00000000-0005-0000-0000-0000FB730000}"/>
    <cellStyle name="Note 2 10 6" xfId="31928" xr:uid="{00000000-0005-0000-0000-0000FC730000}"/>
    <cellStyle name="Note 2 11" xfId="7671" xr:uid="{00000000-0005-0000-0000-0000FD730000}"/>
    <cellStyle name="Note 2 11 2" xfId="7672" xr:uid="{00000000-0005-0000-0000-0000FE730000}"/>
    <cellStyle name="Note 2 11 2 2" xfId="17189" xr:uid="{00000000-0005-0000-0000-0000FF730000}"/>
    <cellStyle name="Note 2 11 2 2 2" xfId="30548" xr:uid="{00000000-0005-0000-0000-000000740000}"/>
    <cellStyle name="Note 2 11 2 3" xfId="31933" xr:uid="{00000000-0005-0000-0000-000001740000}"/>
    <cellStyle name="Note 2 11 3" xfId="10226" xr:uid="{00000000-0005-0000-0000-000002740000}"/>
    <cellStyle name="Note 2 11 4" xfId="31932" xr:uid="{00000000-0005-0000-0000-000003740000}"/>
    <cellStyle name="Note 2 12" xfId="7673" xr:uid="{00000000-0005-0000-0000-000004740000}"/>
    <cellStyle name="Note 2 12 2" xfId="7674" xr:uid="{00000000-0005-0000-0000-000005740000}"/>
    <cellStyle name="Note 2 12 2 2" xfId="7675" xr:uid="{00000000-0005-0000-0000-000006740000}"/>
    <cellStyle name="Note 2 12 2 2 2" xfId="11591" xr:uid="{00000000-0005-0000-0000-000007740000}"/>
    <cellStyle name="Note 2 12 2 2 3" xfId="31936" xr:uid="{00000000-0005-0000-0000-000008740000}"/>
    <cellStyle name="Note 2 12 2 3" xfId="10228" xr:uid="{00000000-0005-0000-0000-000009740000}"/>
    <cellStyle name="Note 2 12 2 4" xfId="31935" xr:uid="{00000000-0005-0000-0000-00000A740000}"/>
    <cellStyle name="Note 2 12 3" xfId="7676" xr:uid="{00000000-0005-0000-0000-00000B740000}"/>
    <cellStyle name="Note 2 12 3 2" xfId="11590" xr:uid="{00000000-0005-0000-0000-00000C740000}"/>
    <cellStyle name="Note 2 12 3 3" xfId="31937" xr:uid="{00000000-0005-0000-0000-00000D740000}"/>
    <cellStyle name="Note 2 12 4" xfId="7677" xr:uid="{00000000-0005-0000-0000-00000E740000}"/>
    <cellStyle name="Note 2 12 4 2" xfId="17278" xr:uid="{00000000-0005-0000-0000-00000F740000}"/>
    <cellStyle name="Note 2 12 4 2 2" xfId="30637" xr:uid="{00000000-0005-0000-0000-000010740000}"/>
    <cellStyle name="Note 2 12 4 3" xfId="31938" xr:uid="{00000000-0005-0000-0000-000011740000}"/>
    <cellStyle name="Note 2 12 5" xfId="10227" xr:uid="{00000000-0005-0000-0000-000012740000}"/>
    <cellStyle name="Note 2 12 6" xfId="31934" xr:uid="{00000000-0005-0000-0000-000013740000}"/>
    <cellStyle name="Note 2 13" xfId="7678" xr:uid="{00000000-0005-0000-0000-000014740000}"/>
    <cellStyle name="Note 2 13 2" xfId="7679" xr:uid="{00000000-0005-0000-0000-000015740000}"/>
    <cellStyle name="Note 2 13 2 2" xfId="16430" xr:uid="{00000000-0005-0000-0000-000016740000}"/>
    <cellStyle name="Note 2 13 2 2 2" xfId="29837" xr:uid="{00000000-0005-0000-0000-000017740000}"/>
    <cellStyle name="Note 2 13 2 3" xfId="31940" xr:uid="{00000000-0005-0000-0000-000018740000}"/>
    <cellStyle name="Note 2 13 3" xfId="10229" xr:uid="{00000000-0005-0000-0000-000019740000}"/>
    <cellStyle name="Note 2 13 4" xfId="31939" xr:uid="{00000000-0005-0000-0000-00001A740000}"/>
    <cellStyle name="Note 2 14" xfId="7680" xr:uid="{00000000-0005-0000-0000-00001B740000}"/>
    <cellStyle name="Note 2 14 2" xfId="7681" xr:uid="{00000000-0005-0000-0000-00001C740000}"/>
    <cellStyle name="Note 2 14 2 2" xfId="11592" xr:uid="{00000000-0005-0000-0000-00001D740000}"/>
    <cellStyle name="Note 2 14 2 3" xfId="31942" xr:uid="{00000000-0005-0000-0000-00001E740000}"/>
    <cellStyle name="Note 2 14 3" xfId="10230" xr:uid="{00000000-0005-0000-0000-00001F740000}"/>
    <cellStyle name="Note 2 14 4" xfId="31941" xr:uid="{00000000-0005-0000-0000-000020740000}"/>
    <cellStyle name="Note 2 15" xfId="7682" xr:uid="{00000000-0005-0000-0000-000021740000}"/>
    <cellStyle name="Note 2 15 2" xfId="7683" xr:uid="{00000000-0005-0000-0000-000022740000}"/>
    <cellStyle name="Note 2 15 2 2" xfId="11593" xr:uid="{00000000-0005-0000-0000-000023740000}"/>
    <cellStyle name="Note 2 15 2 3" xfId="31944" xr:uid="{00000000-0005-0000-0000-000024740000}"/>
    <cellStyle name="Note 2 15 3" xfId="10231" xr:uid="{00000000-0005-0000-0000-000025740000}"/>
    <cellStyle name="Note 2 15 4" xfId="31943" xr:uid="{00000000-0005-0000-0000-000026740000}"/>
    <cellStyle name="Note 2 16" xfId="7684" xr:uid="{00000000-0005-0000-0000-000027740000}"/>
    <cellStyle name="Note 2 16 2" xfId="7685" xr:uid="{00000000-0005-0000-0000-000028740000}"/>
    <cellStyle name="Note 2 16 2 2" xfId="11594" xr:uid="{00000000-0005-0000-0000-000029740000}"/>
    <cellStyle name="Note 2 16 2 3" xfId="31946" xr:uid="{00000000-0005-0000-0000-00002A740000}"/>
    <cellStyle name="Note 2 16 3" xfId="10232" xr:uid="{00000000-0005-0000-0000-00002B740000}"/>
    <cellStyle name="Note 2 16 4" xfId="31945" xr:uid="{00000000-0005-0000-0000-00002C740000}"/>
    <cellStyle name="Note 2 17" xfId="7686" xr:uid="{00000000-0005-0000-0000-00002D740000}"/>
    <cellStyle name="Note 2 17 2" xfId="7687" xr:uid="{00000000-0005-0000-0000-00002E740000}"/>
    <cellStyle name="Note 2 17 2 2" xfId="11595" xr:uid="{00000000-0005-0000-0000-00002F740000}"/>
    <cellStyle name="Note 2 17 2 3" xfId="31948" xr:uid="{00000000-0005-0000-0000-000030740000}"/>
    <cellStyle name="Note 2 17 3" xfId="10233" xr:uid="{00000000-0005-0000-0000-000031740000}"/>
    <cellStyle name="Note 2 17 4" xfId="31947" xr:uid="{00000000-0005-0000-0000-000032740000}"/>
    <cellStyle name="Note 2 18" xfId="7688" xr:uid="{00000000-0005-0000-0000-000033740000}"/>
    <cellStyle name="Note 2 18 2" xfId="7689" xr:uid="{00000000-0005-0000-0000-000034740000}"/>
    <cellStyle name="Note 2 18 2 2" xfId="11596" xr:uid="{00000000-0005-0000-0000-000035740000}"/>
    <cellStyle name="Note 2 18 2 3" xfId="31950" xr:uid="{00000000-0005-0000-0000-000036740000}"/>
    <cellStyle name="Note 2 18 3" xfId="10234" xr:uid="{00000000-0005-0000-0000-000037740000}"/>
    <cellStyle name="Note 2 18 4" xfId="31949" xr:uid="{00000000-0005-0000-0000-000038740000}"/>
    <cellStyle name="Note 2 19" xfId="7690" xr:uid="{00000000-0005-0000-0000-000039740000}"/>
    <cellStyle name="Note 2 19 2" xfId="7691" xr:uid="{00000000-0005-0000-0000-00003A740000}"/>
    <cellStyle name="Note 2 19 2 2" xfId="11597" xr:uid="{00000000-0005-0000-0000-00003B740000}"/>
    <cellStyle name="Note 2 19 2 3" xfId="31952" xr:uid="{00000000-0005-0000-0000-00003C740000}"/>
    <cellStyle name="Note 2 19 3" xfId="10235" xr:uid="{00000000-0005-0000-0000-00003D740000}"/>
    <cellStyle name="Note 2 19 4" xfId="31951" xr:uid="{00000000-0005-0000-0000-00003E740000}"/>
    <cellStyle name="Note 2 2" xfId="7692" xr:uid="{00000000-0005-0000-0000-00003F740000}"/>
    <cellStyle name="Note 2 2 10" xfId="7693" xr:uid="{00000000-0005-0000-0000-000040740000}"/>
    <cellStyle name="Note 2 2 10 2" xfId="11598" xr:uid="{00000000-0005-0000-0000-000041740000}"/>
    <cellStyle name="Note 2 2 10 3" xfId="31954" xr:uid="{00000000-0005-0000-0000-000042740000}"/>
    <cellStyle name="Note 2 2 11" xfId="7694" xr:uid="{00000000-0005-0000-0000-000043740000}"/>
    <cellStyle name="Note 2 2 11 2" xfId="7695" xr:uid="{00000000-0005-0000-0000-000044740000}"/>
    <cellStyle name="Note 2 2 11 2 2" xfId="15713" xr:uid="{00000000-0005-0000-0000-000045740000}"/>
    <cellStyle name="Note 2 2 11 2 3" xfId="31956" xr:uid="{00000000-0005-0000-0000-000046740000}"/>
    <cellStyle name="Note 2 2 11 3" xfId="11850" xr:uid="{00000000-0005-0000-0000-000047740000}"/>
    <cellStyle name="Note 2 2 11 3 2" xfId="25565" xr:uid="{00000000-0005-0000-0000-000048740000}"/>
    <cellStyle name="Note 2 2 11 4" xfId="31955" xr:uid="{00000000-0005-0000-0000-000049740000}"/>
    <cellStyle name="Note 2 2 12" xfId="7696" xr:uid="{00000000-0005-0000-0000-00004A740000}"/>
    <cellStyle name="Note 2 2 12 2" xfId="13439" xr:uid="{00000000-0005-0000-0000-00004B740000}"/>
    <cellStyle name="Note 2 2 12 2 2" xfId="26988" xr:uid="{00000000-0005-0000-0000-00004C740000}"/>
    <cellStyle name="Note 2 2 12 3" xfId="31957" xr:uid="{00000000-0005-0000-0000-00004D740000}"/>
    <cellStyle name="Note 2 2 13" xfId="7697" xr:uid="{00000000-0005-0000-0000-00004E740000}"/>
    <cellStyle name="Note 2 2 13 2" xfId="14020" xr:uid="{00000000-0005-0000-0000-00004F740000}"/>
    <cellStyle name="Note 2 2 13 2 2" xfId="27569" xr:uid="{00000000-0005-0000-0000-000050740000}"/>
    <cellStyle name="Note 2 2 13 3" xfId="31958" xr:uid="{00000000-0005-0000-0000-000051740000}"/>
    <cellStyle name="Note 2 2 14" xfId="7698" xr:uid="{00000000-0005-0000-0000-000052740000}"/>
    <cellStyle name="Note 2 2 14 2" xfId="15906" xr:uid="{00000000-0005-0000-0000-000053740000}"/>
    <cellStyle name="Note 2 2 14 2 2" xfId="29313" xr:uid="{00000000-0005-0000-0000-000054740000}"/>
    <cellStyle name="Note 2 2 14 3" xfId="31959" xr:uid="{00000000-0005-0000-0000-000055740000}"/>
    <cellStyle name="Note 2 2 15" xfId="10236" xr:uid="{00000000-0005-0000-0000-000056740000}"/>
    <cellStyle name="Note 2 2 16" xfId="31953" xr:uid="{00000000-0005-0000-0000-000057740000}"/>
    <cellStyle name="Note 2 2 2" xfId="7699" xr:uid="{00000000-0005-0000-0000-000058740000}"/>
    <cellStyle name="Note 2 2 2 10" xfId="31960" xr:uid="{00000000-0005-0000-0000-000059740000}"/>
    <cellStyle name="Note 2 2 2 2" xfId="7700" xr:uid="{00000000-0005-0000-0000-00005A740000}"/>
    <cellStyle name="Note 2 2 2 2 2" xfId="7701" xr:uid="{00000000-0005-0000-0000-00005B740000}"/>
    <cellStyle name="Note 2 2 2 2 2 2" xfId="7702" xr:uid="{00000000-0005-0000-0000-00005C740000}"/>
    <cellStyle name="Note 2 2 2 2 2 2 2" xfId="7703" xr:uid="{00000000-0005-0000-0000-00005D740000}"/>
    <cellStyle name="Note 2 2 2 2 2 2 2 2" xfId="11599" xr:uid="{00000000-0005-0000-0000-00005E740000}"/>
    <cellStyle name="Note 2 2 2 2 2 2 2 3" xfId="31964" xr:uid="{00000000-0005-0000-0000-00005F740000}"/>
    <cellStyle name="Note 2 2 2 2 2 2 3" xfId="7704" xr:uid="{00000000-0005-0000-0000-000060740000}"/>
    <cellStyle name="Note 2 2 2 2 2 2 3 2" xfId="16965" xr:uid="{00000000-0005-0000-0000-000061740000}"/>
    <cellStyle name="Note 2 2 2 2 2 2 3 2 2" xfId="30372" xr:uid="{00000000-0005-0000-0000-000062740000}"/>
    <cellStyle name="Note 2 2 2 2 2 2 3 3" xfId="31965" xr:uid="{00000000-0005-0000-0000-000063740000}"/>
    <cellStyle name="Note 2 2 2 2 2 2 4" xfId="10240" xr:uid="{00000000-0005-0000-0000-000064740000}"/>
    <cellStyle name="Note 2 2 2 2 2 2 5" xfId="31963" xr:uid="{00000000-0005-0000-0000-000065740000}"/>
    <cellStyle name="Note 2 2 2 2 2 3" xfId="7705" xr:uid="{00000000-0005-0000-0000-000066740000}"/>
    <cellStyle name="Note 2 2 2 2 2 3 2" xfId="7706" xr:uid="{00000000-0005-0000-0000-000067740000}"/>
    <cellStyle name="Note 2 2 2 2 2 3 2 2" xfId="13279" xr:uid="{00000000-0005-0000-0000-000068740000}"/>
    <cellStyle name="Note 2 2 2 2 2 3 2 3" xfId="31967" xr:uid="{00000000-0005-0000-0000-000069740000}"/>
    <cellStyle name="Note 2 2 2 2 2 3 3" xfId="12353" xr:uid="{00000000-0005-0000-0000-00006A740000}"/>
    <cellStyle name="Note 2 2 2 2 2 3 3 2" xfId="26065" xr:uid="{00000000-0005-0000-0000-00006B740000}"/>
    <cellStyle name="Note 2 2 2 2 2 3 4" xfId="31966" xr:uid="{00000000-0005-0000-0000-00006C740000}"/>
    <cellStyle name="Note 2 2 2 2 2 4" xfId="7707" xr:uid="{00000000-0005-0000-0000-00006D740000}"/>
    <cellStyle name="Note 2 2 2 2 2 4 2" xfId="7708" xr:uid="{00000000-0005-0000-0000-00006E740000}"/>
    <cellStyle name="Note 2 2 2 2 2 4 2 2" xfId="15714" xr:uid="{00000000-0005-0000-0000-00006F740000}"/>
    <cellStyle name="Note 2 2 2 2 2 4 2 3" xfId="31969" xr:uid="{00000000-0005-0000-0000-000070740000}"/>
    <cellStyle name="Note 2 2 2 2 2 4 3" xfId="13917" xr:uid="{00000000-0005-0000-0000-000071740000}"/>
    <cellStyle name="Note 2 2 2 2 2 4 3 2" xfId="27466" xr:uid="{00000000-0005-0000-0000-000072740000}"/>
    <cellStyle name="Note 2 2 2 2 2 4 4" xfId="31968" xr:uid="{00000000-0005-0000-0000-000073740000}"/>
    <cellStyle name="Note 2 2 2 2 2 5" xfId="7709" xr:uid="{00000000-0005-0000-0000-000074740000}"/>
    <cellStyle name="Note 2 2 2 2 2 5 2" xfId="14498" xr:uid="{00000000-0005-0000-0000-000075740000}"/>
    <cellStyle name="Note 2 2 2 2 2 5 2 2" xfId="28047" xr:uid="{00000000-0005-0000-0000-000076740000}"/>
    <cellStyle name="Note 2 2 2 2 2 5 3" xfId="31970" xr:uid="{00000000-0005-0000-0000-000077740000}"/>
    <cellStyle name="Note 2 2 2 2 2 6" xfId="7710" xr:uid="{00000000-0005-0000-0000-000078740000}"/>
    <cellStyle name="Note 2 2 2 2 2 6 2" xfId="16384" xr:uid="{00000000-0005-0000-0000-000079740000}"/>
    <cellStyle name="Note 2 2 2 2 2 6 2 2" xfId="29791" xr:uid="{00000000-0005-0000-0000-00007A740000}"/>
    <cellStyle name="Note 2 2 2 2 2 6 3" xfId="31971" xr:uid="{00000000-0005-0000-0000-00007B740000}"/>
    <cellStyle name="Note 2 2 2 2 2 7" xfId="10239" xr:uid="{00000000-0005-0000-0000-00007C740000}"/>
    <cellStyle name="Note 2 2 2 2 2 8" xfId="31962" xr:uid="{00000000-0005-0000-0000-00007D740000}"/>
    <cellStyle name="Note 2 2 2 2 3" xfId="7711" xr:uid="{00000000-0005-0000-0000-00007E740000}"/>
    <cellStyle name="Note 2 2 2 2 3 2" xfId="7712" xr:uid="{00000000-0005-0000-0000-00007F740000}"/>
    <cellStyle name="Note 2 2 2 2 3 2 2" xfId="11600" xr:uid="{00000000-0005-0000-0000-000080740000}"/>
    <cellStyle name="Note 2 2 2 2 3 2 3" xfId="31973" xr:uid="{00000000-0005-0000-0000-000081740000}"/>
    <cellStyle name="Note 2 2 2 2 3 3" xfId="7713" xr:uid="{00000000-0005-0000-0000-000082740000}"/>
    <cellStyle name="Note 2 2 2 2 3 3 2" xfId="16676" xr:uid="{00000000-0005-0000-0000-000083740000}"/>
    <cellStyle name="Note 2 2 2 2 3 3 2 2" xfId="30083" xr:uid="{00000000-0005-0000-0000-000084740000}"/>
    <cellStyle name="Note 2 2 2 2 3 3 3" xfId="31974" xr:uid="{00000000-0005-0000-0000-000085740000}"/>
    <cellStyle name="Note 2 2 2 2 3 4" xfId="10241" xr:uid="{00000000-0005-0000-0000-000086740000}"/>
    <cellStyle name="Note 2 2 2 2 3 5" xfId="31972" xr:uid="{00000000-0005-0000-0000-000087740000}"/>
    <cellStyle name="Note 2 2 2 2 4" xfId="7714" xr:uid="{00000000-0005-0000-0000-000088740000}"/>
    <cellStyle name="Note 2 2 2 2 4 2" xfId="7715" xr:uid="{00000000-0005-0000-0000-000089740000}"/>
    <cellStyle name="Note 2 2 2 2 4 2 2" xfId="13280" xr:uid="{00000000-0005-0000-0000-00008A740000}"/>
    <cellStyle name="Note 2 2 2 2 4 2 3" xfId="31976" xr:uid="{00000000-0005-0000-0000-00008B740000}"/>
    <cellStyle name="Note 2 2 2 2 4 3" xfId="12053" xr:uid="{00000000-0005-0000-0000-00008C740000}"/>
    <cellStyle name="Note 2 2 2 2 4 3 2" xfId="25768" xr:uid="{00000000-0005-0000-0000-00008D740000}"/>
    <cellStyle name="Note 2 2 2 2 4 4" xfId="31975" xr:uid="{00000000-0005-0000-0000-00008E740000}"/>
    <cellStyle name="Note 2 2 2 2 5" xfId="7716" xr:uid="{00000000-0005-0000-0000-00008F740000}"/>
    <cellStyle name="Note 2 2 2 2 5 2" xfId="7717" xr:uid="{00000000-0005-0000-0000-000090740000}"/>
    <cellStyle name="Note 2 2 2 2 5 2 2" xfId="15715" xr:uid="{00000000-0005-0000-0000-000091740000}"/>
    <cellStyle name="Note 2 2 2 2 5 2 3" xfId="31978" xr:uid="{00000000-0005-0000-0000-000092740000}"/>
    <cellStyle name="Note 2 2 2 2 5 3" xfId="13628" xr:uid="{00000000-0005-0000-0000-000093740000}"/>
    <cellStyle name="Note 2 2 2 2 5 3 2" xfId="27177" xr:uid="{00000000-0005-0000-0000-000094740000}"/>
    <cellStyle name="Note 2 2 2 2 5 4" xfId="31977" xr:uid="{00000000-0005-0000-0000-000095740000}"/>
    <cellStyle name="Note 2 2 2 2 6" xfId="7718" xr:uid="{00000000-0005-0000-0000-000096740000}"/>
    <cellStyle name="Note 2 2 2 2 6 2" xfId="14209" xr:uid="{00000000-0005-0000-0000-000097740000}"/>
    <cellStyle name="Note 2 2 2 2 6 2 2" xfId="27758" xr:uid="{00000000-0005-0000-0000-000098740000}"/>
    <cellStyle name="Note 2 2 2 2 6 3" xfId="31979" xr:uid="{00000000-0005-0000-0000-000099740000}"/>
    <cellStyle name="Note 2 2 2 2 7" xfId="7719" xr:uid="{00000000-0005-0000-0000-00009A740000}"/>
    <cellStyle name="Note 2 2 2 2 7 2" xfId="16095" xr:uid="{00000000-0005-0000-0000-00009B740000}"/>
    <cellStyle name="Note 2 2 2 2 7 2 2" xfId="29502" xr:uid="{00000000-0005-0000-0000-00009C740000}"/>
    <cellStyle name="Note 2 2 2 2 7 3" xfId="31980" xr:uid="{00000000-0005-0000-0000-00009D740000}"/>
    <cellStyle name="Note 2 2 2 2 8" xfId="10238" xr:uid="{00000000-0005-0000-0000-00009E740000}"/>
    <cellStyle name="Note 2 2 2 2 9" xfId="31961" xr:uid="{00000000-0005-0000-0000-00009F740000}"/>
    <cellStyle name="Note 2 2 2 3" xfId="7720" xr:uid="{00000000-0005-0000-0000-0000A0740000}"/>
    <cellStyle name="Note 2 2 2 3 2" xfId="7721" xr:uid="{00000000-0005-0000-0000-0000A1740000}"/>
    <cellStyle name="Note 2 2 2 3 2 2" xfId="7722" xr:uid="{00000000-0005-0000-0000-0000A2740000}"/>
    <cellStyle name="Note 2 2 2 3 2 2 2" xfId="11601" xr:uid="{00000000-0005-0000-0000-0000A3740000}"/>
    <cellStyle name="Note 2 2 2 3 2 2 3" xfId="31983" xr:uid="{00000000-0005-0000-0000-0000A4740000}"/>
    <cellStyle name="Note 2 2 2 3 2 3" xfId="7723" xr:uid="{00000000-0005-0000-0000-0000A5740000}"/>
    <cellStyle name="Note 2 2 2 3 2 3 2" xfId="16822" xr:uid="{00000000-0005-0000-0000-0000A6740000}"/>
    <cellStyle name="Note 2 2 2 3 2 3 2 2" xfId="30229" xr:uid="{00000000-0005-0000-0000-0000A7740000}"/>
    <cellStyle name="Note 2 2 2 3 2 3 3" xfId="31984" xr:uid="{00000000-0005-0000-0000-0000A8740000}"/>
    <cellStyle name="Note 2 2 2 3 2 4" xfId="10243" xr:uid="{00000000-0005-0000-0000-0000A9740000}"/>
    <cellStyle name="Note 2 2 2 3 2 5" xfId="31982" xr:uid="{00000000-0005-0000-0000-0000AA740000}"/>
    <cellStyle name="Note 2 2 2 3 3" xfId="7724" xr:uid="{00000000-0005-0000-0000-0000AB740000}"/>
    <cellStyle name="Note 2 2 2 3 3 2" xfId="7725" xr:uid="{00000000-0005-0000-0000-0000AC740000}"/>
    <cellStyle name="Note 2 2 2 3 3 2 2" xfId="13281" xr:uid="{00000000-0005-0000-0000-0000AD740000}"/>
    <cellStyle name="Note 2 2 2 3 3 2 3" xfId="31986" xr:uid="{00000000-0005-0000-0000-0000AE740000}"/>
    <cellStyle name="Note 2 2 2 3 3 3" xfId="12210" xr:uid="{00000000-0005-0000-0000-0000AF740000}"/>
    <cellStyle name="Note 2 2 2 3 3 3 2" xfId="25922" xr:uid="{00000000-0005-0000-0000-0000B0740000}"/>
    <cellStyle name="Note 2 2 2 3 3 4" xfId="31985" xr:uid="{00000000-0005-0000-0000-0000B1740000}"/>
    <cellStyle name="Note 2 2 2 3 4" xfId="7726" xr:uid="{00000000-0005-0000-0000-0000B2740000}"/>
    <cellStyle name="Note 2 2 2 3 4 2" xfId="7727" xr:uid="{00000000-0005-0000-0000-0000B3740000}"/>
    <cellStyle name="Note 2 2 2 3 4 2 2" xfId="15716" xr:uid="{00000000-0005-0000-0000-0000B4740000}"/>
    <cellStyle name="Note 2 2 2 3 4 2 3" xfId="31988" xr:uid="{00000000-0005-0000-0000-0000B5740000}"/>
    <cellStyle name="Note 2 2 2 3 4 3" xfId="13774" xr:uid="{00000000-0005-0000-0000-0000B6740000}"/>
    <cellStyle name="Note 2 2 2 3 4 3 2" xfId="27323" xr:uid="{00000000-0005-0000-0000-0000B7740000}"/>
    <cellStyle name="Note 2 2 2 3 4 4" xfId="31987" xr:uid="{00000000-0005-0000-0000-0000B8740000}"/>
    <cellStyle name="Note 2 2 2 3 5" xfId="7728" xr:uid="{00000000-0005-0000-0000-0000B9740000}"/>
    <cellStyle name="Note 2 2 2 3 5 2" xfId="14355" xr:uid="{00000000-0005-0000-0000-0000BA740000}"/>
    <cellStyle name="Note 2 2 2 3 5 2 2" xfId="27904" xr:uid="{00000000-0005-0000-0000-0000BB740000}"/>
    <cellStyle name="Note 2 2 2 3 5 3" xfId="31989" xr:uid="{00000000-0005-0000-0000-0000BC740000}"/>
    <cellStyle name="Note 2 2 2 3 6" xfId="7729" xr:uid="{00000000-0005-0000-0000-0000BD740000}"/>
    <cellStyle name="Note 2 2 2 3 6 2" xfId="16241" xr:uid="{00000000-0005-0000-0000-0000BE740000}"/>
    <cellStyle name="Note 2 2 2 3 6 2 2" xfId="29648" xr:uid="{00000000-0005-0000-0000-0000BF740000}"/>
    <cellStyle name="Note 2 2 2 3 6 3" xfId="31990" xr:uid="{00000000-0005-0000-0000-0000C0740000}"/>
    <cellStyle name="Note 2 2 2 3 7" xfId="10242" xr:uid="{00000000-0005-0000-0000-0000C1740000}"/>
    <cellStyle name="Note 2 2 2 3 8" xfId="31981" xr:uid="{00000000-0005-0000-0000-0000C2740000}"/>
    <cellStyle name="Note 2 2 2 4" xfId="7730" xr:uid="{00000000-0005-0000-0000-0000C3740000}"/>
    <cellStyle name="Note 2 2 2 4 2" xfId="7731" xr:uid="{00000000-0005-0000-0000-0000C4740000}"/>
    <cellStyle name="Note 2 2 2 4 2 2" xfId="11602" xr:uid="{00000000-0005-0000-0000-0000C5740000}"/>
    <cellStyle name="Note 2 2 2 4 2 3" xfId="31992" xr:uid="{00000000-0005-0000-0000-0000C6740000}"/>
    <cellStyle name="Note 2 2 2 4 3" xfId="7732" xr:uid="{00000000-0005-0000-0000-0000C7740000}"/>
    <cellStyle name="Note 2 2 2 4 3 2" xfId="17169" xr:uid="{00000000-0005-0000-0000-0000C8740000}"/>
    <cellStyle name="Note 2 2 2 4 3 2 2" xfId="30528" xr:uid="{00000000-0005-0000-0000-0000C9740000}"/>
    <cellStyle name="Note 2 2 2 4 3 3" xfId="31993" xr:uid="{00000000-0005-0000-0000-0000CA740000}"/>
    <cellStyle name="Note 2 2 2 4 4" xfId="10244" xr:uid="{00000000-0005-0000-0000-0000CB740000}"/>
    <cellStyle name="Note 2 2 2 4 5" xfId="31991" xr:uid="{00000000-0005-0000-0000-0000CC740000}"/>
    <cellStyle name="Note 2 2 2 5" xfId="7733" xr:uid="{00000000-0005-0000-0000-0000CD740000}"/>
    <cellStyle name="Note 2 2 2 5 2" xfId="7734" xr:uid="{00000000-0005-0000-0000-0000CE740000}"/>
    <cellStyle name="Note 2 2 2 5 2 2" xfId="13282" xr:uid="{00000000-0005-0000-0000-0000CF740000}"/>
    <cellStyle name="Note 2 2 2 5 2 3" xfId="31995" xr:uid="{00000000-0005-0000-0000-0000D0740000}"/>
    <cellStyle name="Note 2 2 2 5 3" xfId="7735" xr:uid="{00000000-0005-0000-0000-0000D1740000}"/>
    <cellStyle name="Note 2 2 2 5 3 2" xfId="17258" xr:uid="{00000000-0005-0000-0000-0000D2740000}"/>
    <cellStyle name="Note 2 2 2 5 3 2 2" xfId="30617" xr:uid="{00000000-0005-0000-0000-0000D3740000}"/>
    <cellStyle name="Note 2 2 2 5 3 3" xfId="31996" xr:uid="{00000000-0005-0000-0000-0000D4740000}"/>
    <cellStyle name="Note 2 2 2 5 4" xfId="11908" xr:uid="{00000000-0005-0000-0000-0000D5740000}"/>
    <cellStyle name="Note 2 2 2 5 4 2" xfId="25623" xr:uid="{00000000-0005-0000-0000-0000D6740000}"/>
    <cellStyle name="Note 2 2 2 5 5" xfId="31994" xr:uid="{00000000-0005-0000-0000-0000D7740000}"/>
    <cellStyle name="Note 2 2 2 6" xfId="7736" xr:uid="{00000000-0005-0000-0000-0000D8740000}"/>
    <cellStyle name="Note 2 2 2 6 2" xfId="7737" xr:uid="{00000000-0005-0000-0000-0000D9740000}"/>
    <cellStyle name="Note 2 2 2 6 2 2" xfId="15717" xr:uid="{00000000-0005-0000-0000-0000DA740000}"/>
    <cellStyle name="Note 2 2 2 6 2 3" xfId="31998" xr:uid="{00000000-0005-0000-0000-0000DB740000}"/>
    <cellStyle name="Note 2 2 2 6 3" xfId="7738" xr:uid="{00000000-0005-0000-0000-0000DC740000}"/>
    <cellStyle name="Note 2 2 2 6 3 2" xfId="16533" xr:uid="{00000000-0005-0000-0000-0000DD740000}"/>
    <cellStyle name="Note 2 2 2 6 3 2 2" xfId="29940" xr:uid="{00000000-0005-0000-0000-0000DE740000}"/>
    <cellStyle name="Note 2 2 2 6 3 3" xfId="31999" xr:uid="{00000000-0005-0000-0000-0000DF740000}"/>
    <cellStyle name="Note 2 2 2 6 4" xfId="13485" xr:uid="{00000000-0005-0000-0000-0000E0740000}"/>
    <cellStyle name="Note 2 2 2 6 4 2" xfId="27034" xr:uid="{00000000-0005-0000-0000-0000E1740000}"/>
    <cellStyle name="Note 2 2 2 6 5" xfId="31997" xr:uid="{00000000-0005-0000-0000-0000E2740000}"/>
    <cellStyle name="Note 2 2 2 7" xfId="7739" xr:uid="{00000000-0005-0000-0000-0000E3740000}"/>
    <cellStyle name="Note 2 2 2 7 2" xfId="14066" xr:uid="{00000000-0005-0000-0000-0000E4740000}"/>
    <cellStyle name="Note 2 2 2 7 2 2" xfId="27615" xr:uid="{00000000-0005-0000-0000-0000E5740000}"/>
    <cellStyle name="Note 2 2 2 7 3" xfId="32000" xr:uid="{00000000-0005-0000-0000-0000E6740000}"/>
    <cellStyle name="Note 2 2 2 8" xfId="7740" xr:uid="{00000000-0005-0000-0000-0000E7740000}"/>
    <cellStyle name="Note 2 2 2 8 2" xfId="15952" xr:uid="{00000000-0005-0000-0000-0000E8740000}"/>
    <cellStyle name="Note 2 2 2 8 2 2" xfId="29359" xr:uid="{00000000-0005-0000-0000-0000E9740000}"/>
    <cellStyle name="Note 2 2 2 8 3" xfId="32001" xr:uid="{00000000-0005-0000-0000-0000EA740000}"/>
    <cellStyle name="Note 2 2 2 9" xfId="10237" xr:uid="{00000000-0005-0000-0000-0000EB740000}"/>
    <cellStyle name="Note 2 2 3" xfId="7741" xr:uid="{00000000-0005-0000-0000-0000EC740000}"/>
    <cellStyle name="Note 2 2 3 2" xfId="7742" xr:uid="{00000000-0005-0000-0000-0000ED740000}"/>
    <cellStyle name="Note 2 2 3 2 2" xfId="7743" xr:uid="{00000000-0005-0000-0000-0000EE740000}"/>
    <cellStyle name="Note 2 2 3 2 2 2" xfId="7744" xr:uid="{00000000-0005-0000-0000-0000EF740000}"/>
    <cellStyle name="Note 2 2 3 2 2 2 2" xfId="11603" xr:uid="{00000000-0005-0000-0000-0000F0740000}"/>
    <cellStyle name="Note 2 2 3 2 2 2 3" xfId="32005" xr:uid="{00000000-0005-0000-0000-0000F1740000}"/>
    <cellStyle name="Note 2 2 3 2 2 3" xfId="7745" xr:uid="{00000000-0005-0000-0000-0000F2740000}"/>
    <cellStyle name="Note 2 2 3 2 2 3 2" xfId="16919" xr:uid="{00000000-0005-0000-0000-0000F3740000}"/>
    <cellStyle name="Note 2 2 3 2 2 3 2 2" xfId="30326" xr:uid="{00000000-0005-0000-0000-0000F4740000}"/>
    <cellStyle name="Note 2 2 3 2 2 3 3" xfId="32006" xr:uid="{00000000-0005-0000-0000-0000F5740000}"/>
    <cellStyle name="Note 2 2 3 2 2 4" xfId="10247" xr:uid="{00000000-0005-0000-0000-0000F6740000}"/>
    <cellStyle name="Note 2 2 3 2 2 5" xfId="32004" xr:uid="{00000000-0005-0000-0000-0000F7740000}"/>
    <cellStyle name="Note 2 2 3 2 3" xfId="7746" xr:uid="{00000000-0005-0000-0000-0000F8740000}"/>
    <cellStyle name="Note 2 2 3 2 3 2" xfId="7747" xr:uid="{00000000-0005-0000-0000-0000F9740000}"/>
    <cellStyle name="Note 2 2 3 2 3 2 2" xfId="13283" xr:uid="{00000000-0005-0000-0000-0000FA740000}"/>
    <cellStyle name="Note 2 2 3 2 3 2 3" xfId="32008" xr:uid="{00000000-0005-0000-0000-0000FB740000}"/>
    <cellStyle name="Note 2 2 3 2 3 3" xfId="12307" xr:uid="{00000000-0005-0000-0000-0000FC740000}"/>
    <cellStyle name="Note 2 2 3 2 3 3 2" xfId="26019" xr:uid="{00000000-0005-0000-0000-0000FD740000}"/>
    <cellStyle name="Note 2 2 3 2 3 4" xfId="32007" xr:uid="{00000000-0005-0000-0000-0000FE740000}"/>
    <cellStyle name="Note 2 2 3 2 4" xfId="7748" xr:uid="{00000000-0005-0000-0000-0000FF740000}"/>
    <cellStyle name="Note 2 2 3 2 4 2" xfId="7749" xr:uid="{00000000-0005-0000-0000-000000750000}"/>
    <cellStyle name="Note 2 2 3 2 4 2 2" xfId="15718" xr:uid="{00000000-0005-0000-0000-000001750000}"/>
    <cellStyle name="Note 2 2 3 2 4 2 3" xfId="32010" xr:uid="{00000000-0005-0000-0000-000002750000}"/>
    <cellStyle name="Note 2 2 3 2 4 3" xfId="13871" xr:uid="{00000000-0005-0000-0000-000003750000}"/>
    <cellStyle name="Note 2 2 3 2 4 3 2" xfId="27420" xr:uid="{00000000-0005-0000-0000-000004750000}"/>
    <cellStyle name="Note 2 2 3 2 4 4" xfId="32009" xr:uid="{00000000-0005-0000-0000-000005750000}"/>
    <cellStyle name="Note 2 2 3 2 5" xfId="7750" xr:uid="{00000000-0005-0000-0000-000006750000}"/>
    <cellStyle name="Note 2 2 3 2 5 2" xfId="14452" xr:uid="{00000000-0005-0000-0000-000007750000}"/>
    <cellStyle name="Note 2 2 3 2 5 2 2" xfId="28001" xr:uid="{00000000-0005-0000-0000-000008750000}"/>
    <cellStyle name="Note 2 2 3 2 5 3" xfId="32011" xr:uid="{00000000-0005-0000-0000-000009750000}"/>
    <cellStyle name="Note 2 2 3 2 6" xfId="7751" xr:uid="{00000000-0005-0000-0000-00000A750000}"/>
    <cellStyle name="Note 2 2 3 2 6 2" xfId="16338" xr:uid="{00000000-0005-0000-0000-00000B750000}"/>
    <cellStyle name="Note 2 2 3 2 6 2 2" xfId="29745" xr:uid="{00000000-0005-0000-0000-00000C750000}"/>
    <cellStyle name="Note 2 2 3 2 6 3" xfId="32012" xr:uid="{00000000-0005-0000-0000-00000D750000}"/>
    <cellStyle name="Note 2 2 3 2 7" xfId="10246" xr:uid="{00000000-0005-0000-0000-00000E750000}"/>
    <cellStyle name="Note 2 2 3 2 8" xfId="32003" xr:uid="{00000000-0005-0000-0000-00000F750000}"/>
    <cellStyle name="Note 2 2 3 3" xfId="7752" xr:uid="{00000000-0005-0000-0000-000010750000}"/>
    <cellStyle name="Note 2 2 3 3 2" xfId="7753" xr:uid="{00000000-0005-0000-0000-000011750000}"/>
    <cellStyle name="Note 2 2 3 3 2 2" xfId="11604" xr:uid="{00000000-0005-0000-0000-000012750000}"/>
    <cellStyle name="Note 2 2 3 3 2 3" xfId="32014" xr:uid="{00000000-0005-0000-0000-000013750000}"/>
    <cellStyle name="Note 2 2 3 3 3" xfId="7754" xr:uid="{00000000-0005-0000-0000-000014750000}"/>
    <cellStyle name="Note 2 2 3 3 3 2" xfId="16630" xr:uid="{00000000-0005-0000-0000-000015750000}"/>
    <cellStyle name="Note 2 2 3 3 3 2 2" xfId="30037" xr:uid="{00000000-0005-0000-0000-000016750000}"/>
    <cellStyle name="Note 2 2 3 3 3 3" xfId="32015" xr:uid="{00000000-0005-0000-0000-000017750000}"/>
    <cellStyle name="Note 2 2 3 3 4" xfId="10248" xr:uid="{00000000-0005-0000-0000-000018750000}"/>
    <cellStyle name="Note 2 2 3 3 5" xfId="32013" xr:uid="{00000000-0005-0000-0000-000019750000}"/>
    <cellStyle name="Note 2 2 3 4" xfId="7755" xr:uid="{00000000-0005-0000-0000-00001A750000}"/>
    <cellStyle name="Note 2 2 3 4 2" xfId="7756" xr:uid="{00000000-0005-0000-0000-00001B750000}"/>
    <cellStyle name="Note 2 2 3 4 2 2" xfId="13284" xr:uid="{00000000-0005-0000-0000-00001C750000}"/>
    <cellStyle name="Note 2 2 3 4 2 3" xfId="32017" xr:uid="{00000000-0005-0000-0000-00001D750000}"/>
    <cellStyle name="Note 2 2 3 4 3" xfId="12007" xr:uid="{00000000-0005-0000-0000-00001E750000}"/>
    <cellStyle name="Note 2 2 3 4 3 2" xfId="25722" xr:uid="{00000000-0005-0000-0000-00001F750000}"/>
    <cellStyle name="Note 2 2 3 4 4" xfId="32016" xr:uid="{00000000-0005-0000-0000-000020750000}"/>
    <cellStyle name="Note 2 2 3 5" xfId="7757" xr:uid="{00000000-0005-0000-0000-000021750000}"/>
    <cellStyle name="Note 2 2 3 5 2" xfId="7758" xr:uid="{00000000-0005-0000-0000-000022750000}"/>
    <cellStyle name="Note 2 2 3 5 2 2" xfId="15719" xr:uid="{00000000-0005-0000-0000-000023750000}"/>
    <cellStyle name="Note 2 2 3 5 2 3" xfId="32019" xr:uid="{00000000-0005-0000-0000-000024750000}"/>
    <cellStyle name="Note 2 2 3 5 3" xfId="13582" xr:uid="{00000000-0005-0000-0000-000025750000}"/>
    <cellStyle name="Note 2 2 3 5 3 2" xfId="27131" xr:uid="{00000000-0005-0000-0000-000026750000}"/>
    <cellStyle name="Note 2 2 3 5 4" xfId="32018" xr:uid="{00000000-0005-0000-0000-000027750000}"/>
    <cellStyle name="Note 2 2 3 6" xfId="7759" xr:uid="{00000000-0005-0000-0000-000028750000}"/>
    <cellStyle name="Note 2 2 3 6 2" xfId="14163" xr:uid="{00000000-0005-0000-0000-000029750000}"/>
    <cellStyle name="Note 2 2 3 6 2 2" xfId="27712" xr:uid="{00000000-0005-0000-0000-00002A750000}"/>
    <cellStyle name="Note 2 2 3 6 3" xfId="32020" xr:uid="{00000000-0005-0000-0000-00002B750000}"/>
    <cellStyle name="Note 2 2 3 7" xfId="7760" xr:uid="{00000000-0005-0000-0000-00002C750000}"/>
    <cellStyle name="Note 2 2 3 7 2" xfId="16049" xr:uid="{00000000-0005-0000-0000-00002D750000}"/>
    <cellStyle name="Note 2 2 3 7 2 2" xfId="29456" xr:uid="{00000000-0005-0000-0000-00002E750000}"/>
    <cellStyle name="Note 2 2 3 7 3" xfId="32021" xr:uid="{00000000-0005-0000-0000-00002F750000}"/>
    <cellStyle name="Note 2 2 3 8" xfId="10245" xr:uid="{00000000-0005-0000-0000-000030750000}"/>
    <cellStyle name="Note 2 2 3 9" xfId="32002" xr:uid="{00000000-0005-0000-0000-000031750000}"/>
    <cellStyle name="Note 2 2 4" xfId="7761" xr:uid="{00000000-0005-0000-0000-000032750000}"/>
    <cellStyle name="Note 2 2 4 2" xfId="7762" xr:uid="{00000000-0005-0000-0000-000033750000}"/>
    <cellStyle name="Note 2 2 4 2 2" xfId="7763" xr:uid="{00000000-0005-0000-0000-000034750000}"/>
    <cellStyle name="Note 2 2 4 2 2 2" xfId="11605" xr:uid="{00000000-0005-0000-0000-000035750000}"/>
    <cellStyle name="Note 2 2 4 2 2 3" xfId="32024" xr:uid="{00000000-0005-0000-0000-000036750000}"/>
    <cellStyle name="Note 2 2 4 2 3" xfId="7764" xr:uid="{00000000-0005-0000-0000-000037750000}"/>
    <cellStyle name="Note 2 2 4 2 3 2" xfId="16776" xr:uid="{00000000-0005-0000-0000-000038750000}"/>
    <cellStyle name="Note 2 2 4 2 3 2 2" xfId="30183" xr:uid="{00000000-0005-0000-0000-000039750000}"/>
    <cellStyle name="Note 2 2 4 2 3 3" xfId="32025" xr:uid="{00000000-0005-0000-0000-00003A750000}"/>
    <cellStyle name="Note 2 2 4 2 4" xfId="10250" xr:uid="{00000000-0005-0000-0000-00003B750000}"/>
    <cellStyle name="Note 2 2 4 2 5" xfId="32023" xr:uid="{00000000-0005-0000-0000-00003C750000}"/>
    <cellStyle name="Note 2 2 4 3" xfId="7765" xr:uid="{00000000-0005-0000-0000-00003D750000}"/>
    <cellStyle name="Note 2 2 4 3 2" xfId="7766" xr:uid="{00000000-0005-0000-0000-00003E750000}"/>
    <cellStyle name="Note 2 2 4 3 2 2" xfId="13285" xr:uid="{00000000-0005-0000-0000-00003F750000}"/>
    <cellStyle name="Note 2 2 4 3 2 3" xfId="32027" xr:uid="{00000000-0005-0000-0000-000040750000}"/>
    <cellStyle name="Note 2 2 4 3 3" xfId="12164" xr:uid="{00000000-0005-0000-0000-000041750000}"/>
    <cellStyle name="Note 2 2 4 3 3 2" xfId="25876" xr:uid="{00000000-0005-0000-0000-000042750000}"/>
    <cellStyle name="Note 2 2 4 3 4" xfId="32026" xr:uid="{00000000-0005-0000-0000-000043750000}"/>
    <cellStyle name="Note 2 2 4 4" xfId="7767" xr:uid="{00000000-0005-0000-0000-000044750000}"/>
    <cellStyle name="Note 2 2 4 4 2" xfId="7768" xr:uid="{00000000-0005-0000-0000-000045750000}"/>
    <cellStyle name="Note 2 2 4 4 2 2" xfId="15720" xr:uid="{00000000-0005-0000-0000-000046750000}"/>
    <cellStyle name="Note 2 2 4 4 2 3" xfId="32029" xr:uid="{00000000-0005-0000-0000-000047750000}"/>
    <cellStyle name="Note 2 2 4 4 3" xfId="13728" xr:uid="{00000000-0005-0000-0000-000048750000}"/>
    <cellStyle name="Note 2 2 4 4 3 2" xfId="27277" xr:uid="{00000000-0005-0000-0000-000049750000}"/>
    <cellStyle name="Note 2 2 4 4 4" xfId="32028" xr:uid="{00000000-0005-0000-0000-00004A750000}"/>
    <cellStyle name="Note 2 2 4 5" xfId="7769" xr:uid="{00000000-0005-0000-0000-00004B750000}"/>
    <cellStyle name="Note 2 2 4 5 2" xfId="14309" xr:uid="{00000000-0005-0000-0000-00004C750000}"/>
    <cellStyle name="Note 2 2 4 5 2 2" xfId="27858" xr:uid="{00000000-0005-0000-0000-00004D750000}"/>
    <cellStyle name="Note 2 2 4 5 3" xfId="32030" xr:uid="{00000000-0005-0000-0000-00004E750000}"/>
    <cellStyle name="Note 2 2 4 6" xfId="7770" xr:uid="{00000000-0005-0000-0000-00004F750000}"/>
    <cellStyle name="Note 2 2 4 6 2" xfId="16195" xr:uid="{00000000-0005-0000-0000-000050750000}"/>
    <cellStyle name="Note 2 2 4 6 2 2" xfId="29602" xr:uid="{00000000-0005-0000-0000-000051750000}"/>
    <cellStyle name="Note 2 2 4 6 3" xfId="32031" xr:uid="{00000000-0005-0000-0000-000052750000}"/>
    <cellStyle name="Note 2 2 4 7" xfId="10249" xr:uid="{00000000-0005-0000-0000-000053750000}"/>
    <cellStyle name="Note 2 2 4 8" xfId="32022" xr:uid="{00000000-0005-0000-0000-000054750000}"/>
    <cellStyle name="Note 2 2 5" xfId="7771" xr:uid="{00000000-0005-0000-0000-000055750000}"/>
    <cellStyle name="Note 2 2 5 2" xfId="7772" xr:uid="{00000000-0005-0000-0000-000056750000}"/>
    <cellStyle name="Note 2 2 5 2 2" xfId="7773" xr:uid="{00000000-0005-0000-0000-000057750000}"/>
    <cellStyle name="Note 2 2 5 2 2 2" xfId="11607" xr:uid="{00000000-0005-0000-0000-000058750000}"/>
    <cellStyle name="Note 2 2 5 2 2 3" xfId="32034" xr:uid="{00000000-0005-0000-0000-000059750000}"/>
    <cellStyle name="Note 2 2 5 2 3" xfId="10252" xr:uid="{00000000-0005-0000-0000-00005A750000}"/>
    <cellStyle name="Note 2 2 5 2 4" xfId="32033" xr:uid="{00000000-0005-0000-0000-00005B750000}"/>
    <cellStyle name="Note 2 2 5 3" xfId="7774" xr:uid="{00000000-0005-0000-0000-00005C750000}"/>
    <cellStyle name="Note 2 2 5 3 2" xfId="11606" xr:uid="{00000000-0005-0000-0000-00005D750000}"/>
    <cellStyle name="Note 2 2 5 3 3" xfId="32035" xr:uid="{00000000-0005-0000-0000-00005E750000}"/>
    <cellStyle name="Note 2 2 5 4" xfId="7775" xr:uid="{00000000-0005-0000-0000-00005F750000}"/>
    <cellStyle name="Note 2 2 5 4 2" xfId="17042" xr:uid="{00000000-0005-0000-0000-000060750000}"/>
    <cellStyle name="Note 2 2 5 4 2 2" xfId="30441" xr:uid="{00000000-0005-0000-0000-000061750000}"/>
    <cellStyle name="Note 2 2 5 4 3" xfId="32036" xr:uid="{00000000-0005-0000-0000-000062750000}"/>
    <cellStyle name="Note 2 2 5 5" xfId="10251" xr:uid="{00000000-0005-0000-0000-000063750000}"/>
    <cellStyle name="Note 2 2 5 6" xfId="32032" xr:uid="{00000000-0005-0000-0000-000064750000}"/>
    <cellStyle name="Note 2 2 6" xfId="7776" xr:uid="{00000000-0005-0000-0000-000065750000}"/>
    <cellStyle name="Note 2 2 6 2" xfId="7777" xr:uid="{00000000-0005-0000-0000-000066750000}"/>
    <cellStyle name="Note 2 2 6 2 2" xfId="17123" xr:uid="{00000000-0005-0000-0000-000067750000}"/>
    <cellStyle name="Note 2 2 6 2 2 2" xfId="30482" xr:uid="{00000000-0005-0000-0000-000068750000}"/>
    <cellStyle name="Note 2 2 6 2 3" xfId="32038" xr:uid="{00000000-0005-0000-0000-000069750000}"/>
    <cellStyle name="Note 2 2 6 3" xfId="10253" xr:uid="{00000000-0005-0000-0000-00006A750000}"/>
    <cellStyle name="Note 2 2 6 4" xfId="32037" xr:uid="{00000000-0005-0000-0000-00006B750000}"/>
    <cellStyle name="Note 2 2 7" xfId="7778" xr:uid="{00000000-0005-0000-0000-00006C750000}"/>
    <cellStyle name="Note 2 2 7 2" xfId="7779" xr:uid="{00000000-0005-0000-0000-00006D750000}"/>
    <cellStyle name="Note 2 2 7 2 2" xfId="11608" xr:uid="{00000000-0005-0000-0000-00006E750000}"/>
    <cellStyle name="Note 2 2 7 2 3" xfId="32040" xr:uid="{00000000-0005-0000-0000-00006F750000}"/>
    <cellStyle name="Note 2 2 7 3" xfId="7780" xr:uid="{00000000-0005-0000-0000-000070750000}"/>
    <cellStyle name="Note 2 2 7 3 2" xfId="17212" xr:uid="{00000000-0005-0000-0000-000071750000}"/>
    <cellStyle name="Note 2 2 7 3 2 2" xfId="30571" xr:uid="{00000000-0005-0000-0000-000072750000}"/>
    <cellStyle name="Note 2 2 7 3 3" xfId="32041" xr:uid="{00000000-0005-0000-0000-000073750000}"/>
    <cellStyle name="Note 2 2 7 4" xfId="10254" xr:uid="{00000000-0005-0000-0000-000074750000}"/>
    <cellStyle name="Note 2 2 7 5" xfId="32039" xr:uid="{00000000-0005-0000-0000-000075750000}"/>
    <cellStyle name="Note 2 2 8" xfId="7781" xr:uid="{00000000-0005-0000-0000-000076750000}"/>
    <cellStyle name="Note 2 2 8 2" xfId="7782" xr:uid="{00000000-0005-0000-0000-000077750000}"/>
    <cellStyle name="Note 2 2 8 2 2" xfId="11609" xr:uid="{00000000-0005-0000-0000-000078750000}"/>
    <cellStyle name="Note 2 2 8 2 3" xfId="32043" xr:uid="{00000000-0005-0000-0000-000079750000}"/>
    <cellStyle name="Note 2 2 8 3" xfId="7783" xr:uid="{00000000-0005-0000-0000-00007A750000}"/>
    <cellStyle name="Note 2 2 8 3 2" xfId="16487" xr:uid="{00000000-0005-0000-0000-00007B750000}"/>
    <cellStyle name="Note 2 2 8 3 2 2" xfId="29894" xr:uid="{00000000-0005-0000-0000-00007C750000}"/>
    <cellStyle name="Note 2 2 8 3 3" xfId="32044" xr:uid="{00000000-0005-0000-0000-00007D750000}"/>
    <cellStyle name="Note 2 2 8 4" xfId="10255" xr:uid="{00000000-0005-0000-0000-00007E750000}"/>
    <cellStyle name="Note 2 2 8 5" xfId="32042" xr:uid="{00000000-0005-0000-0000-00007F750000}"/>
    <cellStyle name="Note 2 2 9" xfId="7784" xr:uid="{00000000-0005-0000-0000-000080750000}"/>
    <cellStyle name="Note 2 2 9 2" xfId="7785" xr:uid="{00000000-0005-0000-0000-000081750000}"/>
    <cellStyle name="Note 2 2 9 2 2" xfId="13286" xr:uid="{00000000-0005-0000-0000-000082750000}"/>
    <cellStyle name="Note 2 2 9 2 2 2" xfId="26908" xr:uid="{00000000-0005-0000-0000-000083750000}"/>
    <cellStyle name="Note 2 2 9 2 3" xfId="32046" xr:uid="{00000000-0005-0000-0000-000084750000}"/>
    <cellStyle name="Note 2 2 9 3" xfId="7786" xr:uid="{00000000-0005-0000-0000-000085750000}"/>
    <cellStyle name="Note 2 2 9 3 2" xfId="15721" xr:uid="{00000000-0005-0000-0000-000086750000}"/>
    <cellStyle name="Note 2 2 9 3 3" xfId="32047" xr:uid="{00000000-0005-0000-0000-000087750000}"/>
    <cellStyle name="Note 2 2 9 4" xfId="10532" xr:uid="{00000000-0005-0000-0000-000088750000}"/>
    <cellStyle name="Note 2 2 9 4 2" xfId="24474" xr:uid="{00000000-0005-0000-0000-000089750000}"/>
    <cellStyle name="Note 2 2 9 5" xfId="32045" xr:uid="{00000000-0005-0000-0000-00008A750000}"/>
    <cellStyle name="Note 2 20" xfId="7787" xr:uid="{00000000-0005-0000-0000-00008B750000}"/>
    <cellStyle name="Note 2 20 2" xfId="7788" xr:uid="{00000000-0005-0000-0000-00008C750000}"/>
    <cellStyle name="Note 2 20 2 2" xfId="11714" xr:uid="{00000000-0005-0000-0000-00008D750000}"/>
    <cellStyle name="Note 2 20 2 2 2" xfId="25434" xr:uid="{00000000-0005-0000-0000-00008E750000}"/>
    <cellStyle name="Note 2 20 2 3" xfId="32049" xr:uid="{00000000-0005-0000-0000-00008F750000}"/>
    <cellStyle name="Note 2 20 3" xfId="7789" xr:uid="{00000000-0005-0000-0000-000090750000}"/>
    <cellStyle name="Note 2 20 3 2" xfId="13287" xr:uid="{00000000-0005-0000-0000-000091750000}"/>
    <cellStyle name="Note 2 20 3 2 2" xfId="26909" xr:uid="{00000000-0005-0000-0000-000092750000}"/>
    <cellStyle name="Note 2 20 3 3" xfId="32050" xr:uid="{00000000-0005-0000-0000-000093750000}"/>
    <cellStyle name="Note 2 20 4" xfId="7790" xr:uid="{00000000-0005-0000-0000-000094750000}"/>
    <cellStyle name="Note 2 20 4 2" xfId="15722" xr:uid="{00000000-0005-0000-0000-000095750000}"/>
    <cellStyle name="Note 2 20 4 3" xfId="32051" xr:uid="{00000000-0005-0000-0000-000096750000}"/>
    <cellStyle name="Note 2 20 5" xfId="10487" xr:uid="{00000000-0005-0000-0000-000097750000}"/>
    <cellStyle name="Note 2 20 5 2" xfId="24438" xr:uid="{00000000-0005-0000-0000-000098750000}"/>
    <cellStyle name="Note 2 20 6" xfId="32048" xr:uid="{00000000-0005-0000-0000-000099750000}"/>
    <cellStyle name="Note 2 21" xfId="7791" xr:uid="{00000000-0005-0000-0000-00009A750000}"/>
    <cellStyle name="Note 2 21 2" xfId="7792" xr:uid="{00000000-0005-0000-0000-00009B750000}"/>
    <cellStyle name="Note 2 21 2 2" xfId="13288" xr:uid="{00000000-0005-0000-0000-00009C750000}"/>
    <cellStyle name="Note 2 21 2 2 2" xfId="26910" xr:uid="{00000000-0005-0000-0000-00009D750000}"/>
    <cellStyle name="Note 2 21 2 3" xfId="32053" xr:uid="{00000000-0005-0000-0000-00009E750000}"/>
    <cellStyle name="Note 2 21 3" xfId="7793" xr:uid="{00000000-0005-0000-0000-00009F750000}"/>
    <cellStyle name="Note 2 21 3 2" xfId="15723" xr:uid="{00000000-0005-0000-0000-0000A0750000}"/>
    <cellStyle name="Note 2 21 3 3" xfId="32054" xr:uid="{00000000-0005-0000-0000-0000A1750000}"/>
    <cellStyle name="Note 2 21 4" xfId="10515" xr:uid="{00000000-0005-0000-0000-0000A2750000}"/>
    <cellStyle name="Note 2 21 4 2" xfId="24457" xr:uid="{00000000-0005-0000-0000-0000A3750000}"/>
    <cellStyle name="Note 2 21 5" xfId="32052" xr:uid="{00000000-0005-0000-0000-0000A4750000}"/>
    <cellStyle name="Note 2 22" xfId="7794" xr:uid="{00000000-0005-0000-0000-0000A5750000}"/>
    <cellStyle name="Note 2 22 2" xfId="11589" xr:uid="{00000000-0005-0000-0000-0000A6750000}"/>
    <cellStyle name="Note 2 22 3" xfId="32055" xr:uid="{00000000-0005-0000-0000-0000A7750000}"/>
    <cellStyle name="Note 2 23" xfId="7795" xr:uid="{00000000-0005-0000-0000-0000A8750000}"/>
    <cellStyle name="Note 2 23 2" xfId="11778" xr:uid="{00000000-0005-0000-0000-0000A9750000}"/>
    <cellStyle name="Note 2 23 2 2" xfId="25493" xr:uid="{00000000-0005-0000-0000-0000AA750000}"/>
    <cellStyle name="Note 2 23 3" xfId="32056" xr:uid="{00000000-0005-0000-0000-0000AB750000}"/>
    <cellStyle name="Note 2 24" xfId="7796" xr:uid="{00000000-0005-0000-0000-0000AC750000}"/>
    <cellStyle name="Note 2 24 2" xfId="13382" xr:uid="{00000000-0005-0000-0000-0000AD750000}"/>
    <cellStyle name="Note 2 24 2 2" xfId="26931" xr:uid="{00000000-0005-0000-0000-0000AE750000}"/>
    <cellStyle name="Note 2 24 3" xfId="32057" xr:uid="{00000000-0005-0000-0000-0000AF750000}"/>
    <cellStyle name="Note 2 25" xfId="7797" xr:uid="{00000000-0005-0000-0000-0000B0750000}"/>
    <cellStyle name="Note 2 25 2" xfId="13963" xr:uid="{00000000-0005-0000-0000-0000B1750000}"/>
    <cellStyle name="Note 2 25 2 2" xfId="27512" xr:uid="{00000000-0005-0000-0000-0000B2750000}"/>
    <cellStyle name="Note 2 25 3" xfId="32058" xr:uid="{00000000-0005-0000-0000-0000B3750000}"/>
    <cellStyle name="Note 2 26" xfId="7798" xr:uid="{00000000-0005-0000-0000-0000B4750000}"/>
    <cellStyle name="Note 2 26 2" xfId="15832" xr:uid="{00000000-0005-0000-0000-0000B5750000}"/>
    <cellStyle name="Note 2 26 2 2" xfId="29239" xr:uid="{00000000-0005-0000-0000-0000B6750000}"/>
    <cellStyle name="Note 2 26 3" xfId="32059" xr:uid="{00000000-0005-0000-0000-0000B7750000}"/>
    <cellStyle name="Note 2 27" xfId="7799" xr:uid="{00000000-0005-0000-0000-0000B8750000}"/>
    <cellStyle name="Note 2 27 2" xfId="15849" xr:uid="{00000000-0005-0000-0000-0000B9750000}"/>
    <cellStyle name="Note 2 27 2 2" xfId="29256" xr:uid="{00000000-0005-0000-0000-0000BA750000}"/>
    <cellStyle name="Note 2 27 3" xfId="32060" xr:uid="{00000000-0005-0000-0000-0000BB750000}"/>
    <cellStyle name="Note 2 28" xfId="10224" xr:uid="{00000000-0005-0000-0000-0000BC750000}"/>
    <cellStyle name="Note 2 29" xfId="31927" xr:uid="{00000000-0005-0000-0000-0000BD750000}"/>
    <cellStyle name="Note 2 3" xfId="7800" xr:uid="{00000000-0005-0000-0000-0000BE750000}"/>
    <cellStyle name="Note 2 3 10" xfId="10256" xr:uid="{00000000-0005-0000-0000-0000BF750000}"/>
    <cellStyle name="Note 2 3 11" xfId="32061" xr:uid="{00000000-0005-0000-0000-0000C0750000}"/>
    <cellStyle name="Note 2 3 2" xfId="7801" xr:uid="{00000000-0005-0000-0000-0000C1750000}"/>
    <cellStyle name="Note 2 3 2 2" xfId="7802" xr:uid="{00000000-0005-0000-0000-0000C2750000}"/>
    <cellStyle name="Note 2 3 2 2 2" xfId="7803" xr:uid="{00000000-0005-0000-0000-0000C3750000}"/>
    <cellStyle name="Note 2 3 2 2 2 2" xfId="7804" xr:uid="{00000000-0005-0000-0000-0000C4750000}"/>
    <cellStyle name="Note 2 3 2 2 2 2 2" xfId="11610" xr:uid="{00000000-0005-0000-0000-0000C5750000}"/>
    <cellStyle name="Note 2 3 2 2 2 2 3" xfId="32065" xr:uid="{00000000-0005-0000-0000-0000C6750000}"/>
    <cellStyle name="Note 2 3 2 2 2 3" xfId="7805" xr:uid="{00000000-0005-0000-0000-0000C7750000}"/>
    <cellStyle name="Note 2 3 2 2 2 3 2" xfId="16942" xr:uid="{00000000-0005-0000-0000-0000C8750000}"/>
    <cellStyle name="Note 2 3 2 2 2 3 2 2" xfId="30349" xr:uid="{00000000-0005-0000-0000-0000C9750000}"/>
    <cellStyle name="Note 2 3 2 2 2 3 3" xfId="32066" xr:uid="{00000000-0005-0000-0000-0000CA750000}"/>
    <cellStyle name="Note 2 3 2 2 2 4" xfId="10259" xr:uid="{00000000-0005-0000-0000-0000CB750000}"/>
    <cellStyle name="Note 2 3 2 2 2 5" xfId="32064" xr:uid="{00000000-0005-0000-0000-0000CC750000}"/>
    <cellStyle name="Note 2 3 2 2 3" xfId="7806" xr:uid="{00000000-0005-0000-0000-0000CD750000}"/>
    <cellStyle name="Note 2 3 2 2 3 2" xfId="7807" xr:uid="{00000000-0005-0000-0000-0000CE750000}"/>
    <cellStyle name="Note 2 3 2 2 3 2 2" xfId="13289" xr:uid="{00000000-0005-0000-0000-0000CF750000}"/>
    <cellStyle name="Note 2 3 2 2 3 2 3" xfId="32068" xr:uid="{00000000-0005-0000-0000-0000D0750000}"/>
    <cellStyle name="Note 2 3 2 2 3 3" xfId="12330" xr:uid="{00000000-0005-0000-0000-0000D1750000}"/>
    <cellStyle name="Note 2 3 2 2 3 3 2" xfId="26042" xr:uid="{00000000-0005-0000-0000-0000D2750000}"/>
    <cellStyle name="Note 2 3 2 2 3 4" xfId="32067" xr:uid="{00000000-0005-0000-0000-0000D3750000}"/>
    <cellStyle name="Note 2 3 2 2 4" xfId="7808" xr:uid="{00000000-0005-0000-0000-0000D4750000}"/>
    <cellStyle name="Note 2 3 2 2 4 2" xfId="7809" xr:uid="{00000000-0005-0000-0000-0000D5750000}"/>
    <cellStyle name="Note 2 3 2 2 4 2 2" xfId="15724" xr:uid="{00000000-0005-0000-0000-0000D6750000}"/>
    <cellStyle name="Note 2 3 2 2 4 2 3" xfId="32070" xr:uid="{00000000-0005-0000-0000-0000D7750000}"/>
    <cellStyle name="Note 2 3 2 2 4 3" xfId="13894" xr:uid="{00000000-0005-0000-0000-0000D8750000}"/>
    <cellStyle name="Note 2 3 2 2 4 3 2" xfId="27443" xr:uid="{00000000-0005-0000-0000-0000D9750000}"/>
    <cellStyle name="Note 2 3 2 2 4 4" xfId="32069" xr:uid="{00000000-0005-0000-0000-0000DA750000}"/>
    <cellStyle name="Note 2 3 2 2 5" xfId="7810" xr:uid="{00000000-0005-0000-0000-0000DB750000}"/>
    <cellStyle name="Note 2 3 2 2 5 2" xfId="14475" xr:uid="{00000000-0005-0000-0000-0000DC750000}"/>
    <cellStyle name="Note 2 3 2 2 5 2 2" xfId="28024" xr:uid="{00000000-0005-0000-0000-0000DD750000}"/>
    <cellStyle name="Note 2 3 2 2 5 3" xfId="32071" xr:uid="{00000000-0005-0000-0000-0000DE750000}"/>
    <cellStyle name="Note 2 3 2 2 6" xfId="7811" xr:uid="{00000000-0005-0000-0000-0000DF750000}"/>
    <cellStyle name="Note 2 3 2 2 6 2" xfId="16361" xr:uid="{00000000-0005-0000-0000-0000E0750000}"/>
    <cellStyle name="Note 2 3 2 2 6 2 2" xfId="29768" xr:uid="{00000000-0005-0000-0000-0000E1750000}"/>
    <cellStyle name="Note 2 3 2 2 6 3" xfId="32072" xr:uid="{00000000-0005-0000-0000-0000E2750000}"/>
    <cellStyle name="Note 2 3 2 2 7" xfId="10258" xr:uid="{00000000-0005-0000-0000-0000E3750000}"/>
    <cellStyle name="Note 2 3 2 2 8" xfId="32063" xr:uid="{00000000-0005-0000-0000-0000E4750000}"/>
    <cellStyle name="Note 2 3 2 3" xfId="7812" xr:uid="{00000000-0005-0000-0000-0000E5750000}"/>
    <cellStyle name="Note 2 3 2 3 2" xfId="7813" xr:uid="{00000000-0005-0000-0000-0000E6750000}"/>
    <cellStyle name="Note 2 3 2 3 2 2" xfId="11611" xr:uid="{00000000-0005-0000-0000-0000E7750000}"/>
    <cellStyle name="Note 2 3 2 3 2 3" xfId="32074" xr:uid="{00000000-0005-0000-0000-0000E8750000}"/>
    <cellStyle name="Note 2 3 2 3 3" xfId="7814" xr:uid="{00000000-0005-0000-0000-0000E9750000}"/>
    <cellStyle name="Note 2 3 2 3 3 2" xfId="16653" xr:uid="{00000000-0005-0000-0000-0000EA750000}"/>
    <cellStyle name="Note 2 3 2 3 3 2 2" xfId="30060" xr:uid="{00000000-0005-0000-0000-0000EB750000}"/>
    <cellStyle name="Note 2 3 2 3 3 3" xfId="32075" xr:uid="{00000000-0005-0000-0000-0000EC750000}"/>
    <cellStyle name="Note 2 3 2 3 4" xfId="10260" xr:uid="{00000000-0005-0000-0000-0000ED750000}"/>
    <cellStyle name="Note 2 3 2 3 5" xfId="32073" xr:uid="{00000000-0005-0000-0000-0000EE750000}"/>
    <cellStyle name="Note 2 3 2 4" xfId="7815" xr:uid="{00000000-0005-0000-0000-0000EF750000}"/>
    <cellStyle name="Note 2 3 2 4 2" xfId="7816" xr:uid="{00000000-0005-0000-0000-0000F0750000}"/>
    <cellStyle name="Note 2 3 2 4 2 2" xfId="13290" xr:uid="{00000000-0005-0000-0000-0000F1750000}"/>
    <cellStyle name="Note 2 3 2 4 2 3" xfId="32077" xr:uid="{00000000-0005-0000-0000-0000F2750000}"/>
    <cellStyle name="Note 2 3 2 4 3" xfId="12030" xr:uid="{00000000-0005-0000-0000-0000F3750000}"/>
    <cellStyle name="Note 2 3 2 4 3 2" xfId="25745" xr:uid="{00000000-0005-0000-0000-0000F4750000}"/>
    <cellStyle name="Note 2 3 2 4 4" xfId="32076" xr:uid="{00000000-0005-0000-0000-0000F5750000}"/>
    <cellStyle name="Note 2 3 2 5" xfId="7817" xr:uid="{00000000-0005-0000-0000-0000F6750000}"/>
    <cellStyle name="Note 2 3 2 5 2" xfId="7818" xr:uid="{00000000-0005-0000-0000-0000F7750000}"/>
    <cellStyle name="Note 2 3 2 5 2 2" xfId="15725" xr:uid="{00000000-0005-0000-0000-0000F8750000}"/>
    <cellStyle name="Note 2 3 2 5 2 3" xfId="32079" xr:uid="{00000000-0005-0000-0000-0000F9750000}"/>
    <cellStyle name="Note 2 3 2 5 3" xfId="13605" xr:uid="{00000000-0005-0000-0000-0000FA750000}"/>
    <cellStyle name="Note 2 3 2 5 3 2" xfId="27154" xr:uid="{00000000-0005-0000-0000-0000FB750000}"/>
    <cellStyle name="Note 2 3 2 5 4" xfId="32078" xr:uid="{00000000-0005-0000-0000-0000FC750000}"/>
    <cellStyle name="Note 2 3 2 6" xfId="7819" xr:uid="{00000000-0005-0000-0000-0000FD750000}"/>
    <cellStyle name="Note 2 3 2 6 2" xfId="14186" xr:uid="{00000000-0005-0000-0000-0000FE750000}"/>
    <cellStyle name="Note 2 3 2 6 2 2" xfId="27735" xr:uid="{00000000-0005-0000-0000-0000FF750000}"/>
    <cellStyle name="Note 2 3 2 6 3" xfId="32080" xr:uid="{00000000-0005-0000-0000-000000760000}"/>
    <cellStyle name="Note 2 3 2 7" xfId="7820" xr:uid="{00000000-0005-0000-0000-000001760000}"/>
    <cellStyle name="Note 2 3 2 7 2" xfId="16072" xr:uid="{00000000-0005-0000-0000-000002760000}"/>
    <cellStyle name="Note 2 3 2 7 2 2" xfId="29479" xr:uid="{00000000-0005-0000-0000-000003760000}"/>
    <cellStyle name="Note 2 3 2 7 3" xfId="32081" xr:uid="{00000000-0005-0000-0000-000004760000}"/>
    <cellStyle name="Note 2 3 2 8" xfId="10257" xr:uid="{00000000-0005-0000-0000-000005760000}"/>
    <cellStyle name="Note 2 3 2 9" xfId="32062" xr:uid="{00000000-0005-0000-0000-000006760000}"/>
    <cellStyle name="Note 2 3 3" xfId="7821" xr:uid="{00000000-0005-0000-0000-000007760000}"/>
    <cellStyle name="Note 2 3 3 2" xfId="7822" xr:uid="{00000000-0005-0000-0000-000008760000}"/>
    <cellStyle name="Note 2 3 3 2 2" xfId="7823" xr:uid="{00000000-0005-0000-0000-000009760000}"/>
    <cellStyle name="Note 2 3 3 2 2 2" xfId="11612" xr:uid="{00000000-0005-0000-0000-00000A760000}"/>
    <cellStyle name="Note 2 3 3 2 2 3" xfId="32084" xr:uid="{00000000-0005-0000-0000-00000B760000}"/>
    <cellStyle name="Note 2 3 3 2 3" xfId="7824" xr:uid="{00000000-0005-0000-0000-00000C760000}"/>
    <cellStyle name="Note 2 3 3 2 3 2" xfId="16799" xr:uid="{00000000-0005-0000-0000-00000D760000}"/>
    <cellStyle name="Note 2 3 3 2 3 2 2" xfId="30206" xr:uid="{00000000-0005-0000-0000-00000E760000}"/>
    <cellStyle name="Note 2 3 3 2 3 3" xfId="32085" xr:uid="{00000000-0005-0000-0000-00000F760000}"/>
    <cellStyle name="Note 2 3 3 2 4" xfId="10262" xr:uid="{00000000-0005-0000-0000-000010760000}"/>
    <cellStyle name="Note 2 3 3 2 5" xfId="32083" xr:uid="{00000000-0005-0000-0000-000011760000}"/>
    <cellStyle name="Note 2 3 3 3" xfId="7825" xr:uid="{00000000-0005-0000-0000-000012760000}"/>
    <cellStyle name="Note 2 3 3 3 2" xfId="7826" xr:uid="{00000000-0005-0000-0000-000013760000}"/>
    <cellStyle name="Note 2 3 3 3 2 2" xfId="13291" xr:uid="{00000000-0005-0000-0000-000014760000}"/>
    <cellStyle name="Note 2 3 3 3 2 3" xfId="32087" xr:uid="{00000000-0005-0000-0000-000015760000}"/>
    <cellStyle name="Note 2 3 3 3 3" xfId="12187" xr:uid="{00000000-0005-0000-0000-000016760000}"/>
    <cellStyle name="Note 2 3 3 3 3 2" xfId="25899" xr:uid="{00000000-0005-0000-0000-000017760000}"/>
    <cellStyle name="Note 2 3 3 3 4" xfId="32086" xr:uid="{00000000-0005-0000-0000-000018760000}"/>
    <cellStyle name="Note 2 3 3 4" xfId="7827" xr:uid="{00000000-0005-0000-0000-000019760000}"/>
    <cellStyle name="Note 2 3 3 4 2" xfId="7828" xr:uid="{00000000-0005-0000-0000-00001A760000}"/>
    <cellStyle name="Note 2 3 3 4 2 2" xfId="15726" xr:uid="{00000000-0005-0000-0000-00001B760000}"/>
    <cellStyle name="Note 2 3 3 4 2 3" xfId="32089" xr:uid="{00000000-0005-0000-0000-00001C760000}"/>
    <cellStyle name="Note 2 3 3 4 3" xfId="13751" xr:uid="{00000000-0005-0000-0000-00001D760000}"/>
    <cellStyle name="Note 2 3 3 4 3 2" xfId="27300" xr:uid="{00000000-0005-0000-0000-00001E760000}"/>
    <cellStyle name="Note 2 3 3 4 4" xfId="32088" xr:uid="{00000000-0005-0000-0000-00001F760000}"/>
    <cellStyle name="Note 2 3 3 5" xfId="7829" xr:uid="{00000000-0005-0000-0000-000020760000}"/>
    <cellStyle name="Note 2 3 3 5 2" xfId="14332" xr:uid="{00000000-0005-0000-0000-000021760000}"/>
    <cellStyle name="Note 2 3 3 5 2 2" xfId="27881" xr:uid="{00000000-0005-0000-0000-000022760000}"/>
    <cellStyle name="Note 2 3 3 5 3" xfId="32090" xr:uid="{00000000-0005-0000-0000-000023760000}"/>
    <cellStyle name="Note 2 3 3 6" xfId="7830" xr:uid="{00000000-0005-0000-0000-000024760000}"/>
    <cellStyle name="Note 2 3 3 6 2" xfId="16218" xr:uid="{00000000-0005-0000-0000-000025760000}"/>
    <cellStyle name="Note 2 3 3 6 2 2" xfId="29625" xr:uid="{00000000-0005-0000-0000-000026760000}"/>
    <cellStyle name="Note 2 3 3 6 3" xfId="32091" xr:uid="{00000000-0005-0000-0000-000027760000}"/>
    <cellStyle name="Note 2 3 3 7" xfId="10261" xr:uid="{00000000-0005-0000-0000-000028760000}"/>
    <cellStyle name="Note 2 3 3 8" xfId="32082" xr:uid="{00000000-0005-0000-0000-000029760000}"/>
    <cellStyle name="Note 2 3 4" xfId="7831" xr:uid="{00000000-0005-0000-0000-00002A760000}"/>
    <cellStyle name="Note 2 3 4 2" xfId="7832" xr:uid="{00000000-0005-0000-0000-00002B760000}"/>
    <cellStyle name="Note 2 3 4 2 2" xfId="17146" xr:uid="{00000000-0005-0000-0000-00002C760000}"/>
    <cellStyle name="Note 2 3 4 2 2 2" xfId="30505" xr:uid="{00000000-0005-0000-0000-00002D760000}"/>
    <cellStyle name="Note 2 3 4 2 3" xfId="32093" xr:uid="{00000000-0005-0000-0000-00002E760000}"/>
    <cellStyle name="Note 2 3 4 3" xfId="10263" xr:uid="{00000000-0005-0000-0000-00002F760000}"/>
    <cellStyle name="Note 2 3 4 4" xfId="32092" xr:uid="{00000000-0005-0000-0000-000030760000}"/>
    <cellStyle name="Note 2 3 5" xfId="7833" xr:uid="{00000000-0005-0000-0000-000031760000}"/>
    <cellStyle name="Note 2 3 5 2" xfId="7834" xr:uid="{00000000-0005-0000-0000-000032760000}"/>
    <cellStyle name="Note 2 3 5 2 2" xfId="11613" xr:uid="{00000000-0005-0000-0000-000033760000}"/>
    <cellStyle name="Note 2 3 5 2 3" xfId="32095" xr:uid="{00000000-0005-0000-0000-000034760000}"/>
    <cellStyle name="Note 2 3 5 3" xfId="7835" xr:uid="{00000000-0005-0000-0000-000035760000}"/>
    <cellStyle name="Note 2 3 5 3 2" xfId="17235" xr:uid="{00000000-0005-0000-0000-000036760000}"/>
    <cellStyle name="Note 2 3 5 3 2 2" xfId="30594" xr:uid="{00000000-0005-0000-0000-000037760000}"/>
    <cellStyle name="Note 2 3 5 3 3" xfId="32096" xr:uid="{00000000-0005-0000-0000-000038760000}"/>
    <cellStyle name="Note 2 3 5 4" xfId="10264" xr:uid="{00000000-0005-0000-0000-000039760000}"/>
    <cellStyle name="Note 2 3 5 5" xfId="32094" xr:uid="{00000000-0005-0000-0000-00003A760000}"/>
    <cellStyle name="Note 2 3 6" xfId="7836" xr:uid="{00000000-0005-0000-0000-00003B760000}"/>
    <cellStyle name="Note 2 3 6 2" xfId="7837" xr:uid="{00000000-0005-0000-0000-00003C760000}"/>
    <cellStyle name="Note 2 3 6 2 2" xfId="13292" xr:uid="{00000000-0005-0000-0000-00003D760000}"/>
    <cellStyle name="Note 2 3 6 2 3" xfId="32098" xr:uid="{00000000-0005-0000-0000-00003E760000}"/>
    <cellStyle name="Note 2 3 6 3" xfId="7838" xr:uid="{00000000-0005-0000-0000-00003F760000}"/>
    <cellStyle name="Note 2 3 6 3 2" xfId="16510" xr:uid="{00000000-0005-0000-0000-000040760000}"/>
    <cellStyle name="Note 2 3 6 3 2 2" xfId="29917" xr:uid="{00000000-0005-0000-0000-000041760000}"/>
    <cellStyle name="Note 2 3 6 3 3" xfId="32099" xr:uid="{00000000-0005-0000-0000-000042760000}"/>
    <cellStyle name="Note 2 3 6 4" xfId="11885" xr:uid="{00000000-0005-0000-0000-000043760000}"/>
    <cellStyle name="Note 2 3 6 4 2" xfId="25600" xr:uid="{00000000-0005-0000-0000-000044760000}"/>
    <cellStyle name="Note 2 3 6 5" xfId="32097" xr:uid="{00000000-0005-0000-0000-000045760000}"/>
    <cellStyle name="Note 2 3 7" xfId="7839" xr:uid="{00000000-0005-0000-0000-000046760000}"/>
    <cellStyle name="Note 2 3 7 2" xfId="7840" xr:uid="{00000000-0005-0000-0000-000047760000}"/>
    <cellStyle name="Note 2 3 7 2 2" xfId="15727" xr:uid="{00000000-0005-0000-0000-000048760000}"/>
    <cellStyle name="Note 2 3 7 2 3" xfId="32101" xr:uid="{00000000-0005-0000-0000-000049760000}"/>
    <cellStyle name="Note 2 3 7 3" xfId="13462" xr:uid="{00000000-0005-0000-0000-00004A760000}"/>
    <cellStyle name="Note 2 3 7 3 2" xfId="27011" xr:uid="{00000000-0005-0000-0000-00004B760000}"/>
    <cellStyle name="Note 2 3 7 4" xfId="32100" xr:uid="{00000000-0005-0000-0000-00004C760000}"/>
    <cellStyle name="Note 2 3 8" xfId="7841" xr:uid="{00000000-0005-0000-0000-00004D760000}"/>
    <cellStyle name="Note 2 3 8 2" xfId="14043" xr:uid="{00000000-0005-0000-0000-00004E760000}"/>
    <cellStyle name="Note 2 3 8 2 2" xfId="27592" xr:uid="{00000000-0005-0000-0000-00004F760000}"/>
    <cellStyle name="Note 2 3 8 3" xfId="32102" xr:uid="{00000000-0005-0000-0000-000050760000}"/>
    <cellStyle name="Note 2 3 9" xfId="7842" xr:uid="{00000000-0005-0000-0000-000051760000}"/>
    <cellStyle name="Note 2 3 9 2" xfId="15929" xr:uid="{00000000-0005-0000-0000-000052760000}"/>
    <cellStyle name="Note 2 3 9 2 2" xfId="29336" xr:uid="{00000000-0005-0000-0000-000053760000}"/>
    <cellStyle name="Note 2 3 9 3" xfId="32103" xr:uid="{00000000-0005-0000-0000-000054760000}"/>
    <cellStyle name="Note 2 4" xfId="7843" xr:uid="{00000000-0005-0000-0000-000055760000}"/>
    <cellStyle name="Note 2 4 10" xfId="32104" xr:uid="{00000000-0005-0000-0000-000056760000}"/>
    <cellStyle name="Note 2 4 2" xfId="7844" xr:uid="{00000000-0005-0000-0000-000057760000}"/>
    <cellStyle name="Note 2 4 2 2" xfId="7845" xr:uid="{00000000-0005-0000-0000-000058760000}"/>
    <cellStyle name="Note 2 4 2 2 2" xfId="7846" xr:uid="{00000000-0005-0000-0000-000059760000}"/>
    <cellStyle name="Note 2 4 2 2 2 2" xfId="7847" xr:uid="{00000000-0005-0000-0000-00005A760000}"/>
    <cellStyle name="Note 2 4 2 2 2 2 2" xfId="11614" xr:uid="{00000000-0005-0000-0000-00005B760000}"/>
    <cellStyle name="Note 2 4 2 2 2 2 3" xfId="32108" xr:uid="{00000000-0005-0000-0000-00005C760000}"/>
    <cellStyle name="Note 2 4 2 2 2 3" xfId="7848" xr:uid="{00000000-0005-0000-0000-00005D760000}"/>
    <cellStyle name="Note 2 4 2 2 2 3 2" xfId="16896" xr:uid="{00000000-0005-0000-0000-00005E760000}"/>
    <cellStyle name="Note 2 4 2 2 2 3 2 2" xfId="30303" xr:uid="{00000000-0005-0000-0000-00005F760000}"/>
    <cellStyle name="Note 2 4 2 2 2 3 3" xfId="32109" xr:uid="{00000000-0005-0000-0000-000060760000}"/>
    <cellStyle name="Note 2 4 2 2 2 4" xfId="10268" xr:uid="{00000000-0005-0000-0000-000061760000}"/>
    <cellStyle name="Note 2 4 2 2 2 5" xfId="32107" xr:uid="{00000000-0005-0000-0000-000062760000}"/>
    <cellStyle name="Note 2 4 2 2 3" xfId="7849" xr:uid="{00000000-0005-0000-0000-000063760000}"/>
    <cellStyle name="Note 2 4 2 2 3 2" xfId="7850" xr:uid="{00000000-0005-0000-0000-000064760000}"/>
    <cellStyle name="Note 2 4 2 2 3 2 2" xfId="13293" xr:uid="{00000000-0005-0000-0000-000065760000}"/>
    <cellStyle name="Note 2 4 2 2 3 2 3" xfId="32111" xr:uid="{00000000-0005-0000-0000-000066760000}"/>
    <cellStyle name="Note 2 4 2 2 3 3" xfId="12284" xr:uid="{00000000-0005-0000-0000-000067760000}"/>
    <cellStyle name="Note 2 4 2 2 3 3 2" xfId="25996" xr:uid="{00000000-0005-0000-0000-000068760000}"/>
    <cellStyle name="Note 2 4 2 2 3 4" xfId="32110" xr:uid="{00000000-0005-0000-0000-000069760000}"/>
    <cellStyle name="Note 2 4 2 2 4" xfId="7851" xr:uid="{00000000-0005-0000-0000-00006A760000}"/>
    <cellStyle name="Note 2 4 2 2 4 2" xfId="7852" xr:uid="{00000000-0005-0000-0000-00006B760000}"/>
    <cellStyle name="Note 2 4 2 2 4 2 2" xfId="15728" xr:uid="{00000000-0005-0000-0000-00006C760000}"/>
    <cellStyle name="Note 2 4 2 2 4 2 3" xfId="32113" xr:uid="{00000000-0005-0000-0000-00006D760000}"/>
    <cellStyle name="Note 2 4 2 2 4 3" xfId="13848" xr:uid="{00000000-0005-0000-0000-00006E760000}"/>
    <cellStyle name="Note 2 4 2 2 4 3 2" xfId="27397" xr:uid="{00000000-0005-0000-0000-00006F760000}"/>
    <cellStyle name="Note 2 4 2 2 4 4" xfId="32112" xr:uid="{00000000-0005-0000-0000-000070760000}"/>
    <cellStyle name="Note 2 4 2 2 5" xfId="7853" xr:uid="{00000000-0005-0000-0000-000071760000}"/>
    <cellStyle name="Note 2 4 2 2 5 2" xfId="14429" xr:uid="{00000000-0005-0000-0000-000072760000}"/>
    <cellStyle name="Note 2 4 2 2 5 2 2" xfId="27978" xr:uid="{00000000-0005-0000-0000-000073760000}"/>
    <cellStyle name="Note 2 4 2 2 5 3" xfId="32114" xr:uid="{00000000-0005-0000-0000-000074760000}"/>
    <cellStyle name="Note 2 4 2 2 6" xfId="7854" xr:uid="{00000000-0005-0000-0000-000075760000}"/>
    <cellStyle name="Note 2 4 2 2 6 2" xfId="16315" xr:uid="{00000000-0005-0000-0000-000076760000}"/>
    <cellStyle name="Note 2 4 2 2 6 2 2" xfId="29722" xr:uid="{00000000-0005-0000-0000-000077760000}"/>
    <cellStyle name="Note 2 4 2 2 6 3" xfId="32115" xr:uid="{00000000-0005-0000-0000-000078760000}"/>
    <cellStyle name="Note 2 4 2 2 7" xfId="10267" xr:uid="{00000000-0005-0000-0000-000079760000}"/>
    <cellStyle name="Note 2 4 2 2 8" xfId="32106" xr:uid="{00000000-0005-0000-0000-00007A760000}"/>
    <cellStyle name="Note 2 4 2 3" xfId="7855" xr:uid="{00000000-0005-0000-0000-00007B760000}"/>
    <cellStyle name="Note 2 4 2 3 2" xfId="7856" xr:uid="{00000000-0005-0000-0000-00007C760000}"/>
    <cellStyle name="Note 2 4 2 3 2 2" xfId="11615" xr:uid="{00000000-0005-0000-0000-00007D760000}"/>
    <cellStyle name="Note 2 4 2 3 2 3" xfId="32117" xr:uid="{00000000-0005-0000-0000-00007E760000}"/>
    <cellStyle name="Note 2 4 2 3 3" xfId="7857" xr:uid="{00000000-0005-0000-0000-00007F760000}"/>
    <cellStyle name="Note 2 4 2 3 3 2" xfId="16607" xr:uid="{00000000-0005-0000-0000-000080760000}"/>
    <cellStyle name="Note 2 4 2 3 3 2 2" xfId="30014" xr:uid="{00000000-0005-0000-0000-000081760000}"/>
    <cellStyle name="Note 2 4 2 3 3 3" xfId="32118" xr:uid="{00000000-0005-0000-0000-000082760000}"/>
    <cellStyle name="Note 2 4 2 3 4" xfId="10269" xr:uid="{00000000-0005-0000-0000-000083760000}"/>
    <cellStyle name="Note 2 4 2 3 5" xfId="32116" xr:uid="{00000000-0005-0000-0000-000084760000}"/>
    <cellStyle name="Note 2 4 2 4" xfId="7858" xr:uid="{00000000-0005-0000-0000-000085760000}"/>
    <cellStyle name="Note 2 4 2 4 2" xfId="7859" xr:uid="{00000000-0005-0000-0000-000086760000}"/>
    <cellStyle name="Note 2 4 2 4 2 2" xfId="13294" xr:uid="{00000000-0005-0000-0000-000087760000}"/>
    <cellStyle name="Note 2 4 2 4 2 3" xfId="32120" xr:uid="{00000000-0005-0000-0000-000088760000}"/>
    <cellStyle name="Note 2 4 2 4 3" xfId="11984" xr:uid="{00000000-0005-0000-0000-000089760000}"/>
    <cellStyle name="Note 2 4 2 4 3 2" xfId="25699" xr:uid="{00000000-0005-0000-0000-00008A760000}"/>
    <cellStyle name="Note 2 4 2 4 4" xfId="32119" xr:uid="{00000000-0005-0000-0000-00008B760000}"/>
    <cellStyle name="Note 2 4 2 5" xfId="7860" xr:uid="{00000000-0005-0000-0000-00008C760000}"/>
    <cellStyle name="Note 2 4 2 5 2" xfId="7861" xr:uid="{00000000-0005-0000-0000-00008D760000}"/>
    <cellStyle name="Note 2 4 2 5 2 2" xfId="15729" xr:uid="{00000000-0005-0000-0000-00008E760000}"/>
    <cellStyle name="Note 2 4 2 5 2 3" xfId="32122" xr:uid="{00000000-0005-0000-0000-00008F760000}"/>
    <cellStyle name="Note 2 4 2 5 3" xfId="13559" xr:uid="{00000000-0005-0000-0000-000090760000}"/>
    <cellStyle name="Note 2 4 2 5 3 2" xfId="27108" xr:uid="{00000000-0005-0000-0000-000091760000}"/>
    <cellStyle name="Note 2 4 2 5 4" xfId="32121" xr:uid="{00000000-0005-0000-0000-000092760000}"/>
    <cellStyle name="Note 2 4 2 6" xfId="7862" xr:uid="{00000000-0005-0000-0000-000093760000}"/>
    <cellStyle name="Note 2 4 2 6 2" xfId="14140" xr:uid="{00000000-0005-0000-0000-000094760000}"/>
    <cellStyle name="Note 2 4 2 6 2 2" xfId="27689" xr:uid="{00000000-0005-0000-0000-000095760000}"/>
    <cellStyle name="Note 2 4 2 6 3" xfId="32123" xr:uid="{00000000-0005-0000-0000-000096760000}"/>
    <cellStyle name="Note 2 4 2 7" xfId="7863" xr:uid="{00000000-0005-0000-0000-000097760000}"/>
    <cellStyle name="Note 2 4 2 7 2" xfId="16026" xr:uid="{00000000-0005-0000-0000-000098760000}"/>
    <cellStyle name="Note 2 4 2 7 2 2" xfId="29433" xr:uid="{00000000-0005-0000-0000-000099760000}"/>
    <cellStyle name="Note 2 4 2 7 3" xfId="32124" xr:uid="{00000000-0005-0000-0000-00009A760000}"/>
    <cellStyle name="Note 2 4 2 8" xfId="10266" xr:uid="{00000000-0005-0000-0000-00009B760000}"/>
    <cellStyle name="Note 2 4 2 9" xfId="32105" xr:uid="{00000000-0005-0000-0000-00009C760000}"/>
    <cellStyle name="Note 2 4 3" xfId="7864" xr:uid="{00000000-0005-0000-0000-00009D760000}"/>
    <cellStyle name="Note 2 4 3 2" xfId="7865" xr:uid="{00000000-0005-0000-0000-00009E760000}"/>
    <cellStyle name="Note 2 4 3 2 2" xfId="7866" xr:uid="{00000000-0005-0000-0000-00009F760000}"/>
    <cellStyle name="Note 2 4 3 2 2 2" xfId="11616" xr:uid="{00000000-0005-0000-0000-0000A0760000}"/>
    <cellStyle name="Note 2 4 3 2 2 3" xfId="32127" xr:uid="{00000000-0005-0000-0000-0000A1760000}"/>
    <cellStyle name="Note 2 4 3 2 3" xfId="7867" xr:uid="{00000000-0005-0000-0000-0000A2760000}"/>
    <cellStyle name="Note 2 4 3 2 3 2" xfId="16756" xr:uid="{00000000-0005-0000-0000-0000A3760000}"/>
    <cellStyle name="Note 2 4 3 2 3 2 2" xfId="30163" xr:uid="{00000000-0005-0000-0000-0000A4760000}"/>
    <cellStyle name="Note 2 4 3 2 3 3" xfId="32128" xr:uid="{00000000-0005-0000-0000-0000A5760000}"/>
    <cellStyle name="Note 2 4 3 2 4" xfId="10271" xr:uid="{00000000-0005-0000-0000-0000A6760000}"/>
    <cellStyle name="Note 2 4 3 2 5" xfId="32126" xr:uid="{00000000-0005-0000-0000-0000A7760000}"/>
    <cellStyle name="Note 2 4 3 3" xfId="7868" xr:uid="{00000000-0005-0000-0000-0000A8760000}"/>
    <cellStyle name="Note 2 4 3 3 2" xfId="7869" xr:uid="{00000000-0005-0000-0000-0000A9760000}"/>
    <cellStyle name="Note 2 4 3 3 2 2" xfId="13295" xr:uid="{00000000-0005-0000-0000-0000AA760000}"/>
    <cellStyle name="Note 2 4 3 3 2 3" xfId="32130" xr:uid="{00000000-0005-0000-0000-0000AB760000}"/>
    <cellStyle name="Note 2 4 3 3 3" xfId="12144" xr:uid="{00000000-0005-0000-0000-0000AC760000}"/>
    <cellStyle name="Note 2 4 3 3 3 2" xfId="25856" xr:uid="{00000000-0005-0000-0000-0000AD760000}"/>
    <cellStyle name="Note 2 4 3 3 4" xfId="32129" xr:uid="{00000000-0005-0000-0000-0000AE760000}"/>
    <cellStyle name="Note 2 4 3 4" xfId="7870" xr:uid="{00000000-0005-0000-0000-0000AF760000}"/>
    <cellStyle name="Note 2 4 3 4 2" xfId="7871" xr:uid="{00000000-0005-0000-0000-0000B0760000}"/>
    <cellStyle name="Note 2 4 3 4 2 2" xfId="15730" xr:uid="{00000000-0005-0000-0000-0000B1760000}"/>
    <cellStyle name="Note 2 4 3 4 2 3" xfId="32132" xr:uid="{00000000-0005-0000-0000-0000B2760000}"/>
    <cellStyle name="Note 2 4 3 4 3" xfId="13708" xr:uid="{00000000-0005-0000-0000-0000B3760000}"/>
    <cellStyle name="Note 2 4 3 4 3 2" xfId="27257" xr:uid="{00000000-0005-0000-0000-0000B4760000}"/>
    <cellStyle name="Note 2 4 3 4 4" xfId="32131" xr:uid="{00000000-0005-0000-0000-0000B5760000}"/>
    <cellStyle name="Note 2 4 3 5" xfId="7872" xr:uid="{00000000-0005-0000-0000-0000B6760000}"/>
    <cellStyle name="Note 2 4 3 5 2" xfId="14289" xr:uid="{00000000-0005-0000-0000-0000B7760000}"/>
    <cellStyle name="Note 2 4 3 5 2 2" xfId="27838" xr:uid="{00000000-0005-0000-0000-0000B8760000}"/>
    <cellStyle name="Note 2 4 3 5 3" xfId="32133" xr:uid="{00000000-0005-0000-0000-0000B9760000}"/>
    <cellStyle name="Note 2 4 3 6" xfId="7873" xr:uid="{00000000-0005-0000-0000-0000BA760000}"/>
    <cellStyle name="Note 2 4 3 6 2" xfId="16175" xr:uid="{00000000-0005-0000-0000-0000BB760000}"/>
    <cellStyle name="Note 2 4 3 6 2 2" xfId="29582" xr:uid="{00000000-0005-0000-0000-0000BC760000}"/>
    <cellStyle name="Note 2 4 3 6 3" xfId="32134" xr:uid="{00000000-0005-0000-0000-0000BD760000}"/>
    <cellStyle name="Note 2 4 3 7" xfId="10270" xr:uid="{00000000-0005-0000-0000-0000BE760000}"/>
    <cellStyle name="Note 2 4 3 8" xfId="32125" xr:uid="{00000000-0005-0000-0000-0000BF760000}"/>
    <cellStyle name="Note 2 4 4" xfId="7874" xr:uid="{00000000-0005-0000-0000-0000C0760000}"/>
    <cellStyle name="Note 2 4 4 2" xfId="7875" xr:uid="{00000000-0005-0000-0000-0000C1760000}"/>
    <cellStyle name="Note 2 4 4 2 2" xfId="11617" xr:uid="{00000000-0005-0000-0000-0000C2760000}"/>
    <cellStyle name="Note 2 4 4 2 3" xfId="32136" xr:uid="{00000000-0005-0000-0000-0000C3760000}"/>
    <cellStyle name="Note 2 4 4 3" xfId="7876" xr:uid="{00000000-0005-0000-0000-0000C4760000}"/>
    <cellStyle name="Note 2 4 4 3 2" xfId="16464" xr:uid="{00000000-0005-0000-0000-0000C5760000}"/>
    <cellStyle name="Note 2 4 4 3 2 2" xfId="29871" xr:uid="{00000000-0005-0000-0000-0000C6760000}"/>
    <cellStyle name="Note 2 4 4 3 3" xfId="32137" xr:uid="{00000000-0005-0000-0000-0000C7760000}"/>
    <cellStyle name="Note 2 4 4 4" xfId="10272" xr:uid="{00000000-0005-0000-0000-0000C8760000}"/>
    <cellStyle name="Note 2 4 4 5" xfId="32135" xr:uid="{00000000-0005-0000-0000-0000C9760000}"/>
    <cellStyle name="Note 2 4 5" xfId="7877" xr:uid="{00000000-0005-0000-0000-0000CA760000}"/>
    <cellStyle name="Note 2 4 5 2" xfId="7878" xr:uid="{00000000-0005-0000-0000-0000CB760000}"/>
    <cellStyle name="Note 2 4 5 2 2" xfId="13296" xr:uid="{00000000-0005-0000-0000-0000CC760000}"/>
    <cellStyle name="Note 2 4 5 2 3" xfId="32139" xr:uid="{00000000-0005-0000-0000-0000CD760000}"/>
    <cellStyle name="Note 2 4 5 3" xfId="11815" xr:uid="{00000000-0005-0000-0000-0000CE760000}"/>
    <cellStyle name="Note 2 4 5 3 2" xfId="25530" xr:uid="{00000000-0005-0000-0000-0000CF760000}"/>
    <cellStyle name="Note 2 4 5 4" xfId="32138" xr:uid="{00000000-0005-0000-0000-0000D0760000}"/>
    <cellStyle name="Note 2 4 6" xfId="7879" xr:uid="{00000000-0005-0000-0000-0000D1760000}"/>
    <cellStyle name="Note 2 4 6 2" xfId="7880" xr:uid="{00000000-0005-0000-0000-0000D2760000}"/>
    <cellStyle name="Note 2 4 6 2 2" xfId="15731" xr:uid="{00000000-0005-0000-0000-0000D3760000}"/>
    <cellStyle name="Note 2 4 6 2 3" xfId="32141" xr:uid="{00000000-0005-0000-0000-0000D4760000}"/>
    <cellStyle name="Note 2 4 6 3" xfId="13416" xr:uid="{00000000-0005-0000-0000-0000D5760000}"/>
    <cellStyle name="Note 2 4 6 3 2" xfId="26965" xr:uid="{00000000-0005-0000-0000-0000D6760000}"/>
    <cellStyle name="Note 2 4 6 4" xfId="32140" xr:uid="{00000000-0005-0000-0000-0000D7760000}"/>
    <cellStyle name="Note 2 4 7" xfId="7881" xr:uid="{00000000-0005-0000-0000-0000D8760000}"/>
    <cellStyle name="Note 2 4 7 2" xfId="13997" xr:uid="{00000000-0005-0000-0000-0000D9760000}"/>
    <cellStyle name="Note 2 4 7 2 2" xfId="27546" xr:uid="{00000000-0005-0000-0000-0000DA760000}"/>
    <cellStyle name="Note 2 4 7 3" xfId="32142" xr:uid="{00000000-0005-0000-0000-0000DB760000}"/>
    <cellStyle name="Note 2 4 8" xfId="7882" xr:uid="{00000000-0005-0000-0000-0000DC760000}"/>
    <cellStyle name="Note 2 4 8 2" xfId="15883" xr:uid="{00000000-0005-0000-0000-0000DD760000}"/>
    <cellStyle name="Note 2 4 8 2 2" xfId="29290" xr:uid="{00000000-0005-0000-0000-0000DE760000}"/>
    <cellStyle name="Note 2 4 8 3" xfId="32143" xr:uid="{00000000-0005-0000-0000-0000DF760000}"/>
    <cellStyle name="Note 2 4 9" xfId="10265" xr:uid="{00000000-0005-0000-0000-0000E0760000}"/>
    <cellStyle name="Note 2 5" xfId="7883" xr:uid="{00000000-0005-0000-0000-0000E1760000}"/>
    <cellStyle name="Note 2 5 10" xfId="32144" xr:uid="{00000000-0005-0000-0000-0000E2760000}"/>
    <cellStyle name="Note 2 5 2" xfId="7884" xr:uid="{00000000-0005-0000-0000-0000E3760000}"/>
    <cellStyle name="Note 2 5 2 2" xfId="7885" xr:uid="{00000000-0005-0000-0000-0000E4760000}"/>
    <cellStyle name="Note 2 5 2 2 2" xfId="7886" xr:uid="{00000000-0005-0000-0000-0000E5760000}"/>
    <cellStyle name="Note 2 5 2 2 2 2" xfId="7887" xr:uid="{00000000-0005-0000-0000-0000E6760000}"/>
    <cellStyle name="Note 2 5 2 2 2 2 2" xfId="11618" xr:uid="{00000000-0005-0000-0000-0000E7760000}"/>
    <cellStyle name="Note 2 5 2 2 2 2 3" xfId="32148" xr:uid="{00000000-0005-0000-0000-0000E8760000}"/>
    <cellStyle name="Note 2 5 2 2 2 3" xfId="7888" xr:uid="{00000000-0005-0000-0000-0000E9760000}"/>
    <cellStyle name="Note 2 5 2 2 2 3 2" xfId="16879" xr:uid="{00000000-0005-0000-0000-0000EA760000}"/>
    <cellStyle name="Note 2 5 2 2 2 3 2 2" xfId="30286" xr:uid="{00000000-0005-0000-0000-0000EB760000}"/>
    <cellStyle name="Note 2 5 2 2 2 3 3" xfId="32149" xr:uid="{00000000-0005-0000-0000-0000EC760000}"/>
    <cellStyle name="Note 2 5 2 2 2 4" xfId="10276" xr:uid="{00000000-0005-0000-0000-0000ED760000}"/>
    <cellStyle name="Note 2 5 2 2 2 5" xfId="32147" xr:uid="{00000000-0005-0000-0000-0000EE760000}"/>
    <cellStyle name="Note 2 5 2 2 3" xfId="7889" xr:uid="{00000000-0005-0000-0000-0000EF760000}"/>
    <cellStyle name="Note 2 5 2 2 3 2" xfId="7890" xr:uid="{00000000-0005-0000-0000-0000F0760000}"/>
    <cellStyle name="Note 2 5 2 2 3 2 2" xfId="13297" xr:uid="{00000000-0005-0000-0000-0000F1760000}"/>
    <cellStyle name="Note 2 5 2 2 3 2 3" xfId="32151" xr:uid="{00000000-0005-0000-0000-0000F2760000}"/>
    <cellStyle name="Note 2 5 2 2 3 3" xfId="12267" xr:uid="{00000000-0005-0000-0000-0000F3760000}"/>
    <cellStyle name="Note 2 5 2 2 3 3 2" xfId="25979" xr:uid="{00000000-0005-0000-0000-0000F4760000}"/>
    <cellStyle name="Note 2 5 2 2 3 4" xfId="32150" xr:uid="{00000000-0005-0000-0000-0000F5760000}"/>
    <cellStyle name="Note 2 5 2 2 4" xfId="7891" xr:uid="{00000000-0005-0000-0000-0000F6760000}"/>
    <cellStyle name="Note 2 5 2 2 4 2" xfId="7892" xr:uid="{00000000-0005-0000-0000-0000F7760000}"/>
    <cellStyle name="Note 2 5 2 2 4 2 2" xfId="15732" xr:uid="{00000000-0005-0000-0000-0000F8760000}"/>
    <cellStyle name="Note 2 5 2 2 4 2 3" xfId="32153" xr:uid="{00000000-0005-0000-0000-0000F9760000}"/>
    <cellStyle name="Note 2 5 2 2 4 3" xfId="13831" xr:uid="{00000000-0005-0000-0000-0000FA760000}"/>
    <cellStyle name="Note 2 5 2 2 4 3 2" xfId="27380" xr:uid="{00000000-0005-0000-0000-0000FB760000}"/>
    <cellStyle name="Note 2 5 2 2 4 4" xfId="32152" xr:uid="{00000000-0005-0000-0000-0000FC760000}"/>
    <cellStyle name="Note 2 5 2 2 5" xfId="7893" xr:uid="{00000000-0005-0000-0000-0000FD760000}"/>
    <cellStyle name="Note 2 5 2 2 5 2" xfId="14412" xr:uid="{00000000-0005-0000-0000-0000FE760000}"/>
    <cellStyle name="Note 2 5 2 2 5 2 2" xfId="27961" xr:uid="{00000000-0005-0000-0000-0000FF760000}"/>
    <cellStyle name="Note 2 5 2 2 5 3" xfId="32154" xr:uid="{00000000-0005-0000-0000-000000770000}"/>
    <cellStyle name="Note 2 5 2 2 6" xfId="7894" xr:uid="{00000000-0005-0000-0000-000001770000}"/>
    <cellStyle name="Note 2 5 2 2 6 2" xfId="16298" xr:uid="{00000000-0005-0000-0000-000002770000}"/>
    <cellStyle name="Note 2 5 2 2 6 2 2" xfId="29705" xr:uid="{00000000-0005-0000-0000-000003770000}"/>
    <cellStyle name="Note 2 5 2 2 6 3" xfId="32155" xr:uid="{00000000-0005-0000-0000-000004770000}"/>
    <cellStyle name="Note 2 5 2 2 7" xfId="10275" xr:uid="{00000000-0005-0000-0000-000005770000}"/>
    <cellStyle name="Note 2 5 2 2 8" xfId="32146" xr:uid="{00000000-0005-0000-0000-000006770000}"/>
    <cellStyle name="Note 2 5 2 3" xfId="7895" xr:uid="{00000000-0005-0000-0000-000007770000}"/>
    <cellStyle name="Note 2 5 2 3 2" xfId="7896" xr:uid="{00000000-0005-0000-0000-000008770000}"/>
    <cellStyle name="Note 2 5 2 3 2 2" xfId="11619" xr:uid="{00000000-0005-0000-0000-000009770000}"/>
    <cellStyle name="Note 2 5 2 3 2 3" xfId="32157" xr:uid="{00000000-0005-0000-0000-00000A770000}"/>
    <cellStyle name="Note 2 5 2 3 3" xfId="7897" xr:uid="{00000000-0005-0000-0000-00000B770000}"/>
    <cellStyle name="Note 2 5 2 3 3 2" xfId="16590" xr:uid="{00000000-0005-0000-0000-00000C770000}"/>
    <cellStyle name="Note 2 5 2 3 3 2 2" xfId="29997" xr:uid="{00000000-0005-0000-0000-00000D770000}"/>
    <cellStyle name="Note 2 5 2 3 3 3" xfId="32158" xr:uid="{00000000-0005-0000-0000-00000E770000}"/>
    <cellStyle name="Note 2 5 2 3 4" xfId="10277" xr:uid="{00000000-0005-0000-0000-00000F770000}"/>
    <cellStyle name="Note 2 5 2 3 5" xfId="32156" xr:uid="{00000000-0005-0000-0000-000010770000}"/>
    <cellStyle name="Note 2 5 2 4" xfId="7898" xr:uid="{00000000-0005-0000-0000-000011770000}"/>
    <cellStyle name="Note 2 5 2 4 2" xfId="7899" xr:uid="{00000000-0005-0000-0000-000012770000}"/>
    <cellStyle name="Note 2 5 2 4 2 2" xfId="13298" xr:uid="{00000000-0005-0000-0000-000013770000}"/>
    <cellStyle name="Note 2 5 2 4 2 3" xfId="32160" xr:uid="{00000000-0005-0000-0000-000014770000}"/>
    <cellStyle name="Note 2 5 2 4 3" xfId="11967" xr:uid="{00000000-0005-0000-0000-000015770000}"/>
    <cellStyle name="Note 2 5 2 4 3 2" xfId="25682" xr:uid="{00000000-0005-0000-0000-000016770000}"/>
    <cellStyle name="Note 2 5 2 4 4" xfId="32159" xr:uid="{00000000-0005-0000-0000-000017770000}"/>
    <cellStyle name="Note 2 5 2 5" xfId="7900" xr:uid="{00000000-0005-0000-0000-000018770000}"/>
    <cellStyle name="Note 2 5 2 5 2" xfId="7901" xr:uid="{00000000-0005-0000-0000-000019770000}"/>
    <cellStyle name="Note 2 5 2 5 2 2" xfId="15733" xr:uid="{00000000-0005-0000-0000-00001A770000}"/>
    <cellStyle name="Note 2 5 2 5 2 3" xfId="32162" xr:uid="{00000000-0005-0000-0000-00001B770000}"/>
    <cellStyle name="Note 2 5 2 5 3" xfId="13542" xr:uid="{00000000-0005-0000-0000-00001C770000}"/>
    <cellStyle name="Note 2 5 2 5 3 2" xfId="27091" xr:uid="{00000000-0005-0000-0000-00001D770000}"/>
    <cellStyle name="Note 2 5 2 5 4" xfId="32161" xr:uid="{00000000-0005-0000-0000-00001E770000}"/>
    <cellStyle name="Note 2 5 2 6" xfId="7902" xr:uid="{00000000-0005-0000-0000-00001F770000}"/>
    <cellStyle name="Note 2 5 2 6 2" xfId="14123" xr:uid="{00000000-0005-0000-0000-000020770000}"/>
    <cellStyle name="Note 2 5 2 6 2 2" xfId="27672" xr:uid="{00000000-0005-0000-0000-000021770000}"/>
    <cellStyle name="Note 2 5 2 6 3" xfId="32163" xr:uid="{00000000-0005-0000-0000-000022770000}"/>
    <cellStyle name="Note 2 5 2 7" xfId="7903" xr:uid="{00000000-0005-0000-0000-000023770000}"/>
    <cellStyle name="Note 2 5 2 7 2" xfId="16009" xr:uid="{00000000-0005-0000-0000-000024770000}"/>
    <cellStyle name="Note 2 5 2 7 2 2" xfId="29416" xr:uid="{00000000-0005-0000-0000-000025770000}"/>
    <cellStyle name="Note 2 5 2 7 3" xfId="32164" xr:uid="{00000000-0005-0000-0000-000026770000}"/>
    <cellStyle name="Note 2 5 2 8" xfId="10274" xr:uid="{00000000-0005-0000-0000-000027770000}"/>
    <cellStyle name="Note 2 5 2 9" xfId="32145" xr:uid="{00000000-0005-0000-0000-000028770000}"/>
    <cellStyle name="Note 2 5 3" xfId="7904" xr:uid="{00000000-0005-0000-0000-000029770000}"/>
    <cellStyle name="Note 2 5 3 2" xfId="7905" xr:uid="{00000000-0005-0000-0000-00002A770000}"/>
    <cellStyle name="Note 2 5 3 2 2" xfId="7906" xr:uid="{00000000-0005-0000-0000-00002B770000}"/>
    <cellStyle name="Note 2 5 3 2 2 2" xfId="11620" xr:uid="{00000000-0005-0000-0000-00002C770000}"/>
    <cellStyle name="Note 2 5 3 2 2 3" xfId="32167" xr:uid="{00000000-0005-0000-0000-00002D770000}"/>
    <cellStyle name="Note 2 5 3 2 3" xfId="7907" xr:uid="{00000000-0005-0000-0000-00002E770000}"/>
    <cellStyle name="Note 2 5 3 2 3 2" xfId="16739" xr:uid="{00000000-0005-0000-0000-00002F770000}"/>
    <cellStyle name="Note 2 5 3 2 3 2 2" xfId="30146" xr:uid="{00000000-0005-0000-0000-000030770000}"/>
    <cellStyle name="Note 2 5 3 2 3 3" xfId="32168" xr:uid="{00000000-0005-0000-0000-000031770000}"/>
    <cellStyle name="Note 2 5 3 2 4" xfId="10279" xr:uid="{00000000-0005-0000-0000-000032770000}"/>
    <cellStyle name="Note 2 5 3 2 5" xfId="32166" xr:uid="{00000000-0005-0000-0000-000033770000}"/>
    <cellStyle name="Note 2 5 3 3" xfId="7908" xr:uid="{00000000-0005-0000-0000-000034770000}"/>
    <cellStyle name="Note 2 5 3 3 2" xfId="7909" xr:uid="{00000000-0005-0000-0000-000035770000}"/>
    <cellStyle name="Note 2 5 3 3 2 2" xfId="13299" xr:uid="{00000000-0005-0000-0000-000036770000}"/>
    <cellStyle name="Note 2 5 3 3 2 3" xfId="32170" xr:uid="{00000000-0005-0000-0000-000037770000}"/>
    <cellStyle name="Note 2 5 3 3 3" xfId="12127" xr:uid="{00000000-0005-0000-0000-000038770000}"/>
    <cellStyle name="Note 2 5 3 3 3 2" xfId="25839" xr:uid="{00000000-0005-0000-0000-000039770000}"/>
    <cellStyle name="Note 2 5 3 3 4" xfId="32169" xr:uid="{00000000-0005-0000-0000-00003A770000}"/>
    <cellStyle name="Note 2 5 3 4" xfId="7910" xr:uid="{00000000-0005-0000-0000-00003B770000}"/>
    <cellStyle name="Note 2 5 3 4 2" xfId="7911" xr:uid="{00000000-0005-0000-0000-00003C770000}"/>
    <cellStyle name="Note 2 5 3 4 2 2" xfId="15734" xr:uid="{00000000-0005-0000-0000-00003D770000}"/>
    <cellStyle name="Note 2 5 3 4 2 3" xfId="32172" xr:uid="{00000000-0005-0000-0000-00003E770000}"/>
    <cellStyle name="Note 2 5 3 4 3" xfId="13691" xr:uid="{00000000-0005-0000-0000-00003F770000}"/>
    <cellStyle name="Note 2 5 3 4 3 2" xfId="27240" xr:uid="{00000000-0005-0000-0000-000040770000}"/>
    <cellStyle name="Note 2 5 3 4 4" xfId="32171" xr:uid="{00000000-0005-0000-0000-000041770000}"/>
    <cellStyle name="Note 2 5 3 5" xfId="7912" xr:uid="{00000000-0005-0000-0000-000042770000}"/>
    <cellStyle name="Note 2 5 3 5 2" xfId="14272" xr:uid="{00000000-0005-0000-0000-000043770000}"/>
    <cellStyle name="Note 2 5 3 5 2 2" xfId="27821" xr:uid="{00000000-0005-0000-0000-000044770000}"/>
    <cellStyle name="Note 2 5 3 5 3" xfId="32173" xr:uid="{00000000-0005-0000-0000-000045770000}"/>
    <cellStyle name="Note 2 5 3 6" xfId="7913" xr:uid="{00000000-0005-0000-0000-000046770000}"/>
    <cellStyle name="Note 2 5 3 6 2" xfId="16158" xr:uid="{00000000-0005-0000-0000-000047770000}"/>
    <cellStyle name="Note 2 5 3 6 2 2" xfId="29565" xr:uid="{00000000-0005-0000-0000-000048770000}"/>
    <cellStyle name="Note 2 5 3 6 3" xfId="32174" xr:uid="{00000000-0005-0000-0000-000049770000}"/>
    <cellStyle name="Note 2 5 3 7" xfId="10278" xr:uid="{00000000-0005-0000-0000-00004A770000}"/>
    <cellStyle name="Note 2 5 3 8" xfId="32165" xr:uid="{00000000-0005-0000-0000-00004B770000}"/>
    <cellStyle name="Note 2 5 4" xfId="7914" xr:uid="{00000000-0005-0000-0000-00004C770000}"/>
    <cellStyle name="Note 2 5 4 2" xfId="7915" xr:uid="{00000000-0005-0000-0000-00004D770000}"/>
    <cellStyle name="Note 2 5 4 2 2" xfId="11621" xr:uid="{00000000-0005-0000-0000-00004E770000}"/>
    <cellStyle name="Note 2 5 4 2 3" xfId="32176" xr:uid="{00000000-0005-0000-0000-00004F770000}"/>
    <cellStyle name="Note 2 5 4 3" xfId="7916" xr:uid="{00000000-0005-0000-0000-000050770000}"/>
    <cellStyle name="Note 2 5 4 3 2" xfId="16447" xr:uid="{00000000-0005-0000-0000-000051770000}"/>
    <cellStyle name="Note 2 5 4 3 2 2" xfId="29854" xr:uid="{00000000-0005-0000-0000-000052770000}"/>
    <cellStyle name="Note 2 5 4 3 3" xfId="32177" xr:uid="{00000000-0005-0000-0000-000053770000}"/>
    <cellStyle name="Note 2 5 4 4" xfId="10280" xr:uid="{00000000-0005-0000-0000-000054770000}"/>
    <cellStyle name="Note 2 5 4 5" xfId="32175" xr:uid="{00000000-0005-0000-0000-000055770000}"/>
    <cellStyle name="Note 2 5 5" xfId="7917" xr:uid="{00000000-0005-0000-0000-000056770000}"/>
    <cellStyle name="Note 2 5 5 2" xfId="7918" xr:uid="{00000000-0005-0000-0000-000057770000}"/>
    <cellStyle name="Note 2 5 5 2 2" xfId="13300" xr:uid="{00000000-0005-0000-0000-000058770000}"/>
    <cellStyle name="Note 2 5 5 2 3" xfId="32179" xr:uid="{00000000-0005-0000-0000-000059770000}"/>
    <cellStyle name="Note 2 5 5 3" xfId="11798" xr:uid="{00000000-0005-0000-0000-00005A770000}"/>
    <cellStyle name="Note 2 5 5 3 2" xfId="25513" xr:uid="{00000000-0005-0000-0000-00005B770000}"/>
    <cellStyle name="Note 2 5 5 4" xfId="32178" xr:uid="{00000000-0005-0000-0000-00005C770000}"/>
    <cellStyle name="Note 2 5 6" xfId="7919" xr:uid="{00000000-0005-0000-0000-00005D770000}"/>
    <cellStyle name="Note 2 5 6 2" xfId="7920" xr:uid="{00000000-0005-0000-0000-00005E770000}"/>
    <cellStyle name="Note 2 5 6 2 2" xfId="15735" xr:uid="{00000000-0005-0000-0000-00005F770000}"/>
    <cellStyle name="Note 2 5 6 2 3" xfId="32181" xr:uid="{00000000-0005-0000-0000-000060770000}"/>
    <cellStyle name="Note 2 5 6 3" xfId="13399" xr:uid="{00000000-0005-0000-0000-000061770000}"/>
    <cellStyle name="Note 2 5 6 3 2" xfId="26948" xr:uid="{00000000-0005-0000-0000-000062770000}"/>
    <cellStyle name="Note 2 5 6 4" xfId="32180" xr:uid="{00000000-0005-0000-0000-000063770000}"/>
    <cellStyle name="Note 2 5 7" xfId="7921" xr:uid="{00000000-0005-0000-0000-000064770000}"/>
    <cellStyle name="Note 2 5 7 2" xfId="13980" xr:uid="{00000000-0005-0000-0000-000065770000}"/>
    <cellStyle name="Note 2 5 7 2 2" xfId="27529" xr:uid="{00000000-0005-0000-0000-000066770000}"/>
    <cellStyle name="Note 2 5 7 3" xfId="32182" xr:uid="{00000000-0005-0000-0000-000067770000}"/>
    <cellStyle name="Note 2 5 8" xfId="7922" xr:uid="{00000000-0005-0000-0000-000068770000}"/>
    <cellStyle name="Note 2 5 8 2" xfId="15866" xr:uid="{00000000-0005-0000-0000-000069770000}"/>
    <cellStyle name="Note 2 5 8 2 2" xfId="29273" xr:uid="{00000000-0005-0000-0000-00006A770000}"/>
    <cellStyle name="Note 2 5 8 3" xfId="32183" xr:uid="{00000000-0005-0000-0000-00006B770000}"/>
    <cellStyle name="Note 2 5 9" xfId="10273" xr:uid="{00000000-0005-0000-0000-00006C770000}"/>
    <cellStyle name="Note 2 6" xfId="7923" xr:uid="{00000000-0005-0000-0000-00006D770000}"/>
    <cellStyle name="Note 2 6 10" xfId="32184" xr:uid="{00000000-0005-0000-0000-00006E770000}"/>
    <cellStyle name="Note 2 6 2" xfId="7924" xr:uid="{00000000-0005-0000-0000-00006F770000}"/>
    <cellStyle name="Note 2 6 2 2" xfId="7925" xr:uid="{00000000-0005-0000-0000-000070770000}"/>
    <cellStyle name="Note 2 6 2 2 2" xfId="7926" xr:uid="{00000000-0005-0000-0000-000071770000}"/>
    <cellStyle name="Note 2 6 2 2 2 2" xfId="7927" xr:uid="{00000000-0005-0000-0000-000072770000}"/>
    <cellStyle name="Note 2 6 2 2 2 2 2" xfId="11622" xr:uid="{00000000-0005-0000-0000-000073770000}"/>
    <cellStyle name="Note 2 6 2 2 2 2 3" xfId="32188" xr:uid="{00000000-0005-0000-0000-000074770000}"/>
    <cellStyle name="Note 2 6 2 2 2 3" xfId="7928" xr:uid="{00000000-0005-0000-0000-000075770000}"/>
    <cellStyle name="Note 2 6 2 2 2 3 2" xfId="16985" xr:uid="{00000000-0005-0000-0000-000076770000}"/>
    <cellStyle name="Note 2 6 2 2 2 3 2 2" xfId="30392" xr:uid="{00000000-0005-0000-0000-000077770000}"/>
    <cellStyle name="Note 2 6 2 2 2 3 3" xfId="32189" xr:uid="{00000000-0005-0000-0000-000078770000}"/>
    <cellStyle name="Note 2 6 2 2 2 4" xfId="10284" xr:uid="{00000000-0005-0000-0000-000079770000}"/>
    <cellStyle name="Note 2 6 2 2 2 5" xfId="32187" xr:uid="{00000000-0005-0000-0000-00007A770000}"/>
    <cellStyle name="Note 2 6 2 2 3" xfId="7929" xr:uid="{00000000-0005-0000-0000-00007B770000}"/>
    <cellStyle name="Note 2 6 2 2 3 2" xfId="7930" xr:uid="{00000000-0005-0000-0000-00007C770000}"/>
    <cellStyle name="Note 2 6 2 2 3 2 2" xfId="13301" xr:uid="{00000000-0005-0000-0000-00007D770000}"/>
    <cellStyle name="Note 2 6 2 2 3 2 3" xfId="32191" xr:uid="{00000000-0005-0000-0000-00007E770000}"/>
    <cellStyle name="Note 2 6 2 2 3 3" xfId="12373" xr:uid="{00000000-0005-0000-0000-00007F770000}"/>
    <cellStyle name="Note 2 6 2 2 3 3 2" xfId="26085" xr:uid="{00000000-0005-0000-0000-000080770000}"/>
    <cellStyle name="Note 2 6 2 2 3 4" xfId="32190" xr:uid="{00000000-0005-0000-0000-000081770000}"/>
    <cellStyle name="Note 2 6 2 2 4" xfId="7931" xr:uid="{00000000-0005-0000-0000-000082770000}"/>
    <cellStyle name="Note 2 6 2 2 4 2" xfId="7932" xr:uid="{00000000-0005-0000-0000-000083770000}"/>
    <cellStyle name="Note 2 6 2 2 4 2 2" xfId="15736" xr:uid="{00000000-0005-0000-0000-000084770000}"/>
    <cellStyle name="Note 2 6 2 2 4 2 3" xfId="32193" xr:uid="{00000000-0005-0000-0000-000085770000}"/>
    <cellStyle name="Note 2 6 2 2 4 3" xfId="13937" xr:uid="{00000000-0005-0000-0000-000086770000}"/>
    <cellStyle name="Note 2 6 2 2 4 3 2" xfId="27486" xr:uid="{00000000-0005-0000-0000-000087770000}"/>
    <cellStyle name="Note 2 6 2 2 4 4" xfId="32192" xr:uid="{00000000-0005-0000-0000-000088770000}"/>
    <cellStyle name="Note 2 6 2 2 5" xfId="7933" xr:uid="{00000000-0005-0000-0000-000089770000}"/>
    <cellStyle name="Note 2 6 2 2 5 2" xfId="14518" xr:uid="{00000000-0005-0000-0000-00008A770000}"/>
    <cellStyle name="Note 2 6 2 2 5 2 2" xfId="28067" xr:uid="{00000000-0005-0000-0000-00008B770000}"/>
    <cellStyle name="Note 2 6 2 2 5 3" xfId="32194" xr:uid="{00000000-0005-0000-0000-00008C770000}"/>
    <cellStyle name="Note 2 6 2 2 6" xfId="7934" xr:uid="{00000000-0005-0000-0000-00008D770000}"/>
    <cellStyle name="Note 2 6 2 2 6 2" xfId="16404" xr:uid="{00000000-0005-0000-0000-00008E770000}"/>
    <cellStyle name="Note 2 6 2 2 6 2 2" xfId="29811" xr:uid="{00000000-0005-0000-0000-00008F770000}"/>
    <cellStyle name="Note 2 6 2 2 6 3" xfId="32195" xr:uid="{00000000-0005-0000-0000-000090770000}"/>
    <cellStyle name="Note 2 6 2 2 7" xfId="10283" xr:uid="{00000000-0005-0000-0000-000091770000}"/>
    <cellStyle name="Note 2 6 2 2 8" xfId="32186" xr:uid="{00000000-0005-0000-0000-000092770000}"/>
    <cellStyle name="Note 2 6 2 3" xfId="7935" xr:uid="{00000000-0005-0000-0000-000093770000}"/>
    <cellStyle name="Note 2 6 2 3 2" xfId="7936" xr:uid="{00000000-0005-0000-0000-000094770000}"/>
    <cellStyle name="Note 2 6 2 3 2 2" xfId="11623" xr:uid="{00000000-0005-0000-0000-000095770000}"/>
    <cellStyle name="Note 2 6 2 3 2 3" xfId="32197" xr:uid="{00000000-0005-0000-0000-000096770000}"/>
    <cellStyle name="Note 2 6 2 3 3" xfId="7937" xr:uid="{00000000-0005-0000-0000-000097770000}"/>
    <cellStyle name="Note 2 6 2 3 3 2" xfId="16696" xr:uid="{00000000-0005-0000-0000-000098770000}"/>
    <cellStyle name="Note 2 6 2 3 3 2 2" xfId="30103" xr:uid="{00000000-0005-0000-0000-000099770000}"/>
    <cellStyle name="Note 2 6 2 3 3 3" xfId="32198" xr:uid="{00000000-0005-0000-0000-00009A770000}"/>
    <cellStyle name="Note 2 6 2 3 4" xfId="10285" xr:uid="{00000000-0005-0000-0000-00009B770000}"/>
    <cellStyle name="Note 2 6 2 3 5" xfId="32196" xr:uid="{00000000-0005-0000-0000-00009C770000}"/>
    <cellStyle name="Note 2 6 2 4" xfId="7938" xr:uid="{00000000-0005-0000-0000-00009D770000}"/>
    <cellStyle name="Note 2 6 2 4 2" xfId="7939" xr:uid="{00000000-0005-0000-0000-00009E770000}"/>
    <cellStyle name="Note 2 6 2 4 2 2" xfId="13302" xr:uid="{00000000-0005-0000-0000-00009F770000}"/>
    <cellStyle name="Note 2 6 2 4 2 3" xfId="32200" xr:uid="{00000000-0005-0000-0000-0000A0770000}"/>
    <cellStyle name="Note 2 6 2 4 3" xfId="12073" xr:uid="{00000000-0005-0000-0000-0000A1770000}"/>
    <cellStyle name="Note 2 6 2 4 3 2" xfId="25788" xr:uid="{00000000-0005-0000-0000-0000A2770000}"/>
    <cellStyle name="Note 2 6 2 4 4" xfId="32199" xr:uid="{00000000-0005-0000-0000-0000A3770000}"/>
    <cellStyle name="Note 2 6 2 5" xfId="7940" xr:uid="{00000000-0005-0000-0000-0000A4770000}"/>
    <cellStyle name="Note 2 6 2 5 2" xfId="7941" xr:uid="{00000000-0005-0000-0000-0000A5770000}"/>
    <cellStyle name="Note 2 6 2 5 2 2" xfId="15737" xr:uid="{00000000-0005-0000-0000-0000A6770000}"/>
    <cellStyle name="Note 2 6 2 5 2 3" xfId="32202" xr:uid="{00000000-0005-0000-0000-0000A7770000}"/>
    <cellStyle name="Note 2 6 2 5 3" xfId="13648" xr:uid="{00000000-0005-0000-0000-0000A8770000}"/>
    <cellStyle name="Note 2 6 2 5 3 2" xfId="27197" xr:uid="{00000000-0005-0000-0000-0000A9770000}"/>
    <cellStyle name="Note 2 6 2 5 4" xfId="32201" xr:uid="{00000000-0005-0000-0000-0000AA770000}"/>
    <cellStyle name="Note 2 6 2 6" xfId="7942" xr:uid="{00000000-0005-0000-0000-0000AB770000}"/>
    <cellStyle name="Note 2 6 2 6 2" xfId="14229" xr:uid="{00000000-0005-0000-0000-0000AC770000}"/>
    <cellStyle name="Note 2 6 2 6 2 2" xfId="27778" xr:uid="{00000000-0005-0000-0000-0000AD770000}"/>
    <cellStyle name="Note 2 6 2 6 3" xfId="32203" xr:uid="{00000000-0005-0000-0000-0000AE770000}"/>
    <cellStyle name="Note 2 6 2 7" xfId="7943" xr:uid="{00000000-0005-0000-0000-0000AF770000}"/>
    <cellStyle name="Note 2 6 2 7 2" xfId="16115" xr:uid="{00000000-0005-0000-0000-0000B0770000}"/>
    <cellStyle name="Note 2 6 2 7 2 2" xfId="29522" xr:uid="{00000000-0005-0000-0000-0000B1770000}"/>
    <cellStyle name="Note 2 6 2 7 3" xfId="32204" xr:uid="{00000000-0005-0000-0000-0000B2770000}"/>
    <cellStyle name="Note 2 6 2 8" xfId="10282" xr:uid="{00000000-0005-0000-0000-0000B3770000}"/>
    <cellStyle name="Note 2 6 2 9" xfId="32185" xr:uid="{00000000-0005-0000-0000-0000B4770000}"/>
    <cellStyle name="Note 2 6 3" xfId="7944" xr:uid="{00000000-0005-0000-0000-0000B5770000}"/>
    <cellStyle name="Note 2 6 3 2" xfId="7945" xr:uid="{00000000-0005-0000-0000-0000B6770000}"/>
    <cellStyle name="Note 2 6 3 2 2" xfId="7946" xr:uid="{00000000-0005-0000-0000-0000B7770000}"/>
    <cellStyle name="Note 2 6 3 2 2 2" xfId="11624" xr:uid="{00000000-0005-0000-0000-0000B8770000}"/>
    <cellStyle name="Note 2 6 3 2 2 3" xfId="32207" xr:uid="{00000000-0005-0000-0000-0000B9770000}"/>
    <cellStyle name="Note 2 6 3 2 3" xfId="7947" xr:uid="{00000000-0005-0000-0000-0000BA770000}"/>
    <cellStyle name="Note 2 6 3 2 3 2" xfId="16842" xr:uid="{00000000-0005-0000-0000-0000BB770000}"/>
    <cellStyle name="Note 2 6 3 2 3 2 2" xfId="30249" xr:uid="{00000000-0005-0000-0000-0000BC770000}"/>
    <cellStyle name="Note 2 6 3 2 3 3" xfId="32208" xr:uid="{00000000-0005-0000-0000-0000BD770000}"/>
    <cellStyle name="Note 2 6 3 2 4" xfId="10287" xr:uid="{00000000-0005-0000-0000-0000BE770000}"/>
    <cellStyle name="Note 2 6 3 2 5" xfId="32206" xr:uid="{00000000-0005-0000-0000-0000BF770000}"/>
    <cellStyle name="Note 2 6 3 3" xfId="7948" xr:uid="{00000000-0005-0000-0000-0000C0770000}"/>
    <cellStyle name="Note 2 6 3 3 2" xfId="7949" xr:uid="{00000000-0005-0000-0000-0000C1770000}"/>
    <cellStyle name="Note 2 6 3 3 2 2" xfId="13303" xr:uid="{00000000-0005-0000-0000-0000C2770000}"/>
    <cellStyle name="Note 2 6 3 3 2 3" xfId="32210" xr:uid="{00000000-0005-0000-0000-0000C3770000}"/>
    <cellStyle name="Note 2 6 3 3 3" xfId="12230" xr:uid="{00000000-0005-0000-0000-0000C4770000}"/>
    <cellStyle name="Note 2 6 3 3 3 2" xfId="25942" xr:uid="{00000000-0005-0000-0000-0000C5770000}"/>
    <cellStyle name="Note 2 6 3 3 4" xfId="32209" xr:uid="{00000000-0005-0000-0000-0000C6770000}"/>
    <cellStyle name="Note 2 6 3 4" xfId="7950" xr:uid="{00000000-0005-0000-0000-0000C7770000}"/>
    <cellStyle name="Note 2 6 3 4 2" xfId="7951" xr:uid="{00000000-0005-0000-0000-0000C8770000}"/>
    <cellStyle name="Note 2 6 3 4 2 2" xfId="15738" xr:uid="{00000000-0005-0000-0000-0000C9770000}"/>
    <cellStyle name="Note 2 6 3 4 2 3" xfId="32212" xr:uid="{00000000-0005-0000-0000-0000CA770000}"/>
    <cellStyle name="Note 2 6 3 4 3" xfId="13794" xr:uid="{00000000-0005-0000-0000-0000CB770000}"/>
    <cellStyle name="Note 2 6 3 4 3 2" xfId="27343" xr:uid="{00000000-0005-0000-0000-0000CC770000}"/>
    <cellStyle name="Note 2 6 3 4 4" xfId="32211" xr:uid="{00000000-0005-0000-0000-0000CD770000}"/>
    <cellStyle name="Note 2 6 3 5" xfId="7952" xr:uid="{00000000-0005-0000-0000-0000CE770000}"/>
    <cellStyle name="Note 2 6 3 5 2" xfId="14375" xr:uid="{00000000-0005-0000-0000-0000CF770000}"/>
    <cellStyle name="Note 2 6 3 5 2 2" xfId="27924" xr:uid="{00000000-0005-0000-0000-0000D0770000}"/>
    <cellStyle name="Note 2 6 3 5 3" xfId="32213" xr:uid="{00000000-0005-0000-0000-0000D1770000}"/>
    <cellStyle name="Note 2 6 3 6" xfId="7953" xr:uid="{00000000-0005-0000-0000-0000D2770000}"/>
    <cellStyle name="Note 2 6 3 6 2" xfId="16261" xr:uid="{00000000-0005-0000-0000-0000D3770000}"/>
    <cellStyle name="Note 2 6 3 6 2 2" xfId="29668" xr:uid="{00000000-0005-0000-0000-0000D4770000}"/>
    <cellStyle name="Note 2 6 3 6 3" xfId="32214" xr:uid="{00000000-0005-0000-0000-0000D5770000}"/>
    <cellStyle name="Note 2 6 3 7" xfId="10286" xr:uid="{00000000-0005-0000-0000-0000D6770000}"/>
    <cellStyle name="Note 2 6 3 8" xfId="32205" xr:uid="{00000000-0005-0000-0000-0000D7770000}"/>
    <cellStyle name="Note 2 6 4" xfId="7954" xr:uid="{00000000-0005-0000-0000-0000D8770000}"/>
    <cellStyle name="Note 2 6 4 2" xfId="7955" xr:uid="{00000000-0005-0000-0000-0000D9770000}"/>
    <cellStyle name="Note 2 6 4 2 2" xfId="11625" xr:uid="{00000000-0005-0000-0000-0000DA770000}"/>
    <cellStyle name="Note 2 6 4 2 3" xfId="32216" xr:uid="{00000000-0005-0000-0000-0000DB770000}"/>
    <cellStyle name="Note 2 6 4 3" xfId="7956" xr:uid="{00000000-0005-0000-0000-0000DC770000}"/>
    <cellStyle name="Note 2 6 4 3 2" xfId="16553" xr:uid="{00000000-0005-0000-0000-0000DD770000}"/>
    <cellStyle name="Note 2 6 4 3 2 2" xfId="29960" xr:uid="{00000000-0005-0000-0000-0000DE770000}"/>
    <cellStyle name="Note 2 6 4 3 3" xfId="32217" xr:uid="{00000000-0005-0000-0000-0000DF770000}"/>
    <cellStyle name="Note 2 6 4 4" xfId="10288" xr:uid="{00000000-0005-0000-0000-0000E0770000}"/>
    <cellStyle name="Note 2 6 4 5" xfId="32215" xr:uid="{00000000-0005-0000-0000-0000E1770000}"/>
    <cellStyle name="Note 2 6 5" xfId="7957" xr:uid="{00000000-0005-0000-0000-0000E2770000}"/>
    <cellStyle name="Note 2 6 5 2" xfId="7958" xr:uid="{00000000-0005-0000-0000-0000E3770000}"/>
    <cellStyle name="Note 2 6 5 2 2" xfId="13304" xr:uid="{00000000-0005-0000-0000-0000E4770000}"/>
    <cellStyle name="Note 2 6 5 2 3" xfId="32219" xr:uid="{00000000-0005-0000-0000-0000E5770000}"/>
    <cellStyle name="Note 2 6 5 3" xfId="11928" xr:uid="{00000000-0005-0000-0000-0000E6770000}"/>
    <cellStyle name="Note 2 6 5 3 2" xfId="25643" xr:uid="{00000000-0005-0000-0000-0000E7770000}"/>
    <cellStyle name="Note 2 6 5 4" xfId="32218" xr:uid="{00000000-0005-0000-0000-0000E8770000}"/>
    <cellStyle name="Note 2 6 6" xfId="7959" xr:uid="{00000000-0005-0000-0000-0000E9770000}"/>
    <cellStyle name="Note 2 6 6 2" xfId="7960" xr:uid="{00000000-0005-0000-0000-0000EA770000}"/>
    <cellStyle name="Note 2 6 6 2 2" xfId="15739" xr:uid="{00000000-0005-0000-0000-0000EB770000}"/>
    <cellStyle name="Note 2 6 6 2 3" xfId="32221" xr:uid="{00000000-0005-0000-0000-0000EC770000}"/>
    <cellStyle name="Note 2 6 6 3" xfId="13505" xr:uid="{00000000-0005-0000-0000-0000ED770000}"/>
    <cellStyle name="Note 2 6 6 3 2" xfId="27054" xr:uid="{00000000-0005-0000-0000-0000EE770000}"/>
    <cellStyle name="Note 2 6 6 4" xfId="32220" xr:uid="{00000000-0005-0000-0000-0000EF770000}"/>
    <cellStyle name="Note 2 6 7" xfId="7961" xr:uid="{00000000-0005-0000-0000-0000F0770000}"/>
    <cellStyle name="Note 2 6 7 2" xfId="14086" xr:uid="{00000000-0005-0000-0000-0000F1770000}"/>
    <cellStyle name="Note 2 6 7 2 2" xfId="27635" xr:uid="{00000000-0005-0000-0000-0000F2770000}"/>
    <cellStyle name="Note 2 6 7 3" xfId="32222" xr:uid="{00000000-0005-0000-0000-0000F3770000}"/>
    <cellStyle name="Note 2 6 8" xfId="7962" xr:uid="{00000000-0005-0000-0000-0000F4770000}"/>
    <cellStyle name="Note 2 6 8 2" xfId="15972" xr:uid="{00000000-0005-0000-0000-0000F5770000}"/>
    <cellStyle name="Note 2 6 8 2 2" xfId="29379" xr:uid="{00000000-0005-0000-0000-0000F6770000}"/>
    <cellStyle name="Note 2 6 8 3" xfId="32223" xr:uid="{00000000-0005-0000-0000-0000F7770000}"/>
    <cellStyle name="Note 2 6 9" xfId="10281" xr:uid="{00000000-0005-0000-0000-0000F8770000}"/>
    <cellStyle name="Note 2 7" xfId="7963" xr:uid="{00000000-0005-0000-0000-0000F9770000}"/>
    <cellStyle name="Note 2 7 2" xfId="7964" xr:uid="{00000000-0005-0000-0000-0000FA770000}"/>
    <cellStyle name="Note 2 7 2 2" xfId="7965" xr:uid="{00000000-0005-0000-0000-0000FB770000}"/>
    <cellStyle name="Note 2 7 2 2 2" xfId="7966" xr:uid="{00000000-0005-0000-0000-0000FC770000}"/>
    <cellStyle name="Note 2 7 2 2 2 2" xfId="11626" xr:uid="{00000000-0005-0000-0000-0000FD770000}"/>
    <cellStyle name="Note 2 7 2 2 2 3" xfId="32227" xr:uid="{00000000-0005-0000-0000-0000FE770000}"/>
    <cellStyle name="Note 2 7 2 2 3" xfId="7967" xr:uid="{00000000-0005-0000-0000-0000FF770000}"/>
    <cellStyle name="Note 2 7 2 2 3 2" xfId="16862" xr:uid="{00000000-0005-0000-0000-000000780000}"/>
    <cellStyle name="Note 2 7 2 2 3 2 2" xfId="30269" xr:uid="{00000000-0005-0000-0000-000001780000}"/>
    <cellStyle name="Note 2 7 2 2 3 3" xfId="32228" xr:uid="{00000000-0005-0000-0000-000002780000}"/>
    <cellStyle name="Note 2 7 2 2 4" xfId="10291" xr:uid="{00000000-0005-0000-0000-000003780000}"/>
    <cellStyle name="Note 2 7 2 2 5" xfId="32226" xr:uid="{00000000-0005-0000-0000-000004780000}"/>
    <cellStyle name="Note 2 7 2 3" xfId="7968" xr:uid="{00000000-0005-0000-0000-000005780000}"/>
    <cellStyle name="Note 2 7 2 3 2" xfId="7969" xr:uid="{00000000-0005-0000-0000-000006780000}"/>
    <cellStyle name="Note 2 7 2 3 2 2" xfId="13305" xr:uid="{00000000-0005-0000-0000-000007780000}"/>
    <cellStyle name="Note 2 7 2 3 2 3" xfId="32230" xr:uid="{00000000-0005-0000-0000-000008780000}"/>
    <cellStyle name="Note 2 7 2 3 3" xfId="12250" xr:uid="{00000000-0005-0000-0000-000009780000}"/>
    <cellStyle name="Note 2 7 2 3 3 2" xfId="25962" xr:uid="{00000000-0005-0000-0000-00000A780000}"/>
    <cellStyle name="Note 2 7 2 3 4" xfId="32229" xr:uid="{00000000-0005-0000-0000-00000B780000}"/>
    <cellStyle name="Note 2 7 2 4" xfId="7970" xr:uid="{00000000-0005-0000-0000-00000C780000}"/>
    <cellStyle name="Note 2 7 2 4 2" xfId="7971" xr:uid="{00000000-0005-0000-0000-00000D780000}"/>
    <cellStyle name="Note 2 7 2 4 2 2" xfId="15740" xr:uid="{00000000-0005-0000-0000-00000E780000}"/>
    <cellStyle name="Note 2 7 2 4 2 3" xfId="32232" xr:uid="{00000000-0005-0000-0000-00000F780000}"/>
    <cellStyle name="Note 2 7 2 4 3" xfId="13814" xr:uid="{00000000-0005-0000-0000-000010780000}"/>
    <cellStyle name="Note 2 7 2 4 3 2" xfId="27363" xr:uid="{00000000-0005-0000-0000-000011780000}"/>
    <cellStyle name="Note 2 7 2 4 4" xfId="32231" xr:uid="{00000000-0005-0000-0000-000012780000}"/>
    <cellStyle name="Note 2 7 2 5" xfId="7972" xr:uid="{00000000-0005-0000-0000-000013780000}"/>
    <cellStyle name="Note 2 7 2 5 2" xfId="14395" xr:uid="{00000000-0005-0000-0000-000014780000}"/>
    <cellStyle name="Note 2 7 2 5 2 2" xfId="27944" xr:uid="{00000000-0005-0000-0000-000015780000}"/>
    <cellStyle name="Note 2 7 2 5 3" xfId="32233" xr:uid="{00000000-0005-0000-0000-000016780000}"/>
    <cellStyle name="Note 2 7 2 6" xfId="7973" xr:uid="{00000000-0005-0000-0000-000017780000}"/>
    <cellStyle name="Note 2 7 2 6 2" xfId="16281" xr:uid="{00000000-0005-0000-0000-000018780000}"/>
    <cellStyle name="Note 2 7 2 6 2 2" xfId="29688" xr:uid="{00000000-0005-0000-0000-000019780000}"/>
    <cellStyle name="Note 2 7 2 6 3" xfId="32234" xr:uid="{00000000-0005-0000-0000-00001A780000}"/>
    <cellStyle name="Note 2 7 2 7" xfId="10290" xr:uid="{00000000-0005-0000-0000-00001B780000}"/>
    <cellStyle name="Note 2 7 2 8" xfId="32225" xr:uid="{00000000-0005-0000-0000-00001C780000}"/>
    <cellStyle name="Note 2 7 3" xfId="7974" xr:uid="{00000000-0005-0000-0000-00001D780000}"/>
    <cellStyle name="Note 2 7 3 2" xfId="7975" xr:uid="{00000000-0005-0000-0000-00001E780000}"/>
    <cellStyle name="Note 2 7 3 2 2" xfId="11627" xr:uid="{00000000-0005-0000-0000-00001F780000}"/>
    <cellStyle name="Note 2 7 3 2 3" xfId="32236" xr:uid="{00000000-0005-0000-0000-000020780000}"/>
    <cellStyle name="Note 2 7 3 3" xfId="7976" xr:uid="{00000000-0005-0000-0000-000021780000}"/>
    <cellStyle name="Note 2 7 3 3 2" xfId="16573" xr:uid="{00000000-0005-0000-0000-000022780000}"/>
    <cellStyle name="Note 2 7 3 3 2 2" xfId="29980" xr:uid="{00000000-0005-0000-0000-000023780000}"/>
    <cellStyle name="Note 2 7 3 3 3" xfId="32237" xr:uid="{00000000-0005-0000-0000-000024780000}"/>
    <cellStyle name="Note 2 7 3 4" xfId="10292" xr:uid="{00000000-0005-0000-0000-000025780000}"/>
    <cellStyle name="Note 2 7 3 5" xfId="32235" xr:uid="{00000000-0005-0000-0000-000026780000}"/>
    <cellStyle name="Note 2 7 4" xfId="7977" xr:uid="{00000000-0005-0000-0000-000027780000}"/>
    <cellStyle name="Note 2 7 4 2" xfId="7978" xr:uid="{00000000-0005-0000-0000-000028780000}"/>
    <cellStyle name="Note 2 7 4 2 2" xfId="13306" xr:uid="{00000000-0005-0000-0000-000029780000}"/>
    <cellStyle name="Note 2 7 4 2 3" xfId="32239" xr:uid="{00000000-0005-0000-0000-00002A780000}"/>
    <cellStyle name="Note 2 7 4 3" xfId="11950" xr:uid="{00000000-0005-0000-0000-00002B780000}"/>
    <cellStyle name="Note 2 7 4 3 2" xfId="25665" xr:uid="{00000000-0005-0000-0000-00002C780000}"/>
    <cellStyle name="Note 2 7 4 4" xfId="32238" xr:uid="{00000000-0005-0000-0000-00002D780000}"/>
    <cellStyle name="Note 2 7 5" xfId="7979" xr:uid="{00000000-0005-0000-0000-00002E780000}"/>
    <cellStyle name="Note 2 7 5 2" xfId="7980" xr:uid="{00000000-0005-0000-0000-00002F780000}"/>
    <cellStyle name="Note 2 7 5 2 2" xfId="15741" xr:uid="{00000000-0005-0000-0000-000030780000}"/>
    <cellStyle name="Note 2 7 5 2 3" xfId="32241" xr:uid="{00000000-0005-0000-0000-000031780000}"/>
    <cellStyle name="Note 2 7 5 3" xfId="13525" xr:uid="{00000000-0005-0000-0000-000032780000}"/>
    <cellStyle name="Note 2 7 5 3 2" xfId="27074" xr:uid="{00000000-0005-0000-0000-000033780000}"/>
    <cellStyle name="Note 2 7 5 4" xfId="32240" xr:uid="{00000000-0005-0000-0000-000034780000}"/>
    <cellStyle name="Note 2 7 6" xfId="7981" xr:uid="{00000000-0005-0000-0000-000035780000}"/>
    <cellStyle name="Note 2 7 6 2" xfId="14106" xr:uid="{00000000-0005-0000-0000-000036780000}"/>
    <cellStyle name="Note 2 7 6 2 2" xfId="27655" xr:uid="{00000000-0005-0000-0000-000037780000}"/>
    <cellStyle name="Note 2 7 6 3" xfId="32242" xr:uid="{00000000-0005-0000-0000-000038780000}"/>
    <cellStyle name="Note 2 7 7" xfId="7982" xr:uid="{00000000-0005-0000-0000-000039780000}"/>
    <cellStyle name="Note 2 7 7 2" xfId="15992" xr:uid="{00000000-0005-0000-0000-00003A780000}"/>
    <cellStyle name="Note 2 7 7 2 2" xfId="29399" xr:uid="{00000000-0005-0000-0000-00003B780000}"/>
    <cellStyle name="Note 2 7 7 3" xfId="32243" xr:uid="{00000000-0005-0000-0000-00003C780000}"/>
    <cellStyle name="Note 2 7 8" xfId="10289" xr:uid="{00000000-0005-0000-0000-00003D780000}"/>
    <cellStyle name="Note 2 7 9" xfId="32224" xr:uid="{00000000-0005-0000-0000-00003E780000}"/>
    <cellStyle name="Note 2 8" xfId="7983" xr:uid="{00000000-0005-0000-0000-00003F780000}"/>
    <cellStyle name="Note 2 8 2" xfId="7984" xr:uid="{00000000-0005-0000-0000-000040780000}"/>
    <cellStyle name="Note 2 8 2 2" xfId="7985" xr:uid="{00000000-0005-0000-0000-000041780000}"/>
    <cellStyle name="Note 2 8 2 2 2" xfId="11628" xr:uid="{00000000-0005-0000-0000-000042780000}"/>
    <cellStyle name="Note 2 8 2 2 3" xfId="32246" xr:uid="{00000000-0005-0000-0000-000043780000}"/>
    <cellStyle name="Note 2 8 2 3" xfId="7986" xr:uid="{00000000-0005-0000-0000-000044780000}"/>
    <cellStyle name="Note 2 8 2 3 2" xfId="16718" xr:uid="{00000000-0005-0000-0000-000045780000}"/>
    <cellStyle name="Note 2 8 2 3 2 2" xfId="30125" xr:uid="{00000000-0005-0000-0000-000046780000}"/>
    <cellStyle name="Note 2 8 2 3 3" xfId="32247" xr:uid="{00000000-0005-0000-0000-000047780000}"/>
    <cellStyle name="Note 2 8 2 4" xfId="10294" xr:uid="{00000000-0005-0000-0000-000048780000}"/>
    <cellStyle name="Note 2 8 2 5" xfId="32245" xr:uid="{00000000-0005-0000-0000-000049780000}"/>
    <cellStyle name="Note 2 8 3" xfId="7987" xr:uid="{00000000-0005-0000-0000-00004A780000}"/>
    <cellStyle name="Note 2 8 3 2" xfId="7988" xr:uid="{00000000-0005-0000-0000-00004B780000}"/>
    <cellStyle name="Note 2 8 3 2 2" xfId="13307" xr:uid="{00000000-0005-0000-0000-00004C780000}"/>
    <cellStyle name="Note 2 8 3 2 3" xfId="32249" xr:uid="{00000000-0005-0000-0000-00004D780000}"/>
    <cellStyle name="Note 2 8 3 3" xfId="12106" xr:uid="{00000000-0005-0000-0000-00004E780000}"/>
    <cellStyle name="Note 2 8 3 3 2" xfId="25818" xr:uid="{00000000-0005-0000-0000-00004F780000}"/>
    <cellStyle name="Note 2 8 3 4" xfId="32248" xr:uid="{00000000-0005-0000-0000-000050780000}"/>
    <cellStyle name="Note 2 8 4" xfId="7989" xr:uid="{00000000-0005-0000-0000-000051780000}"/>
    <cellStyle name="Note 2 8 4 2" xfId="7990" xr:uid="{00000000-0005-0000-0000-000052780000}"/>
    <cellStyle name="Note 2 8 4 2 2" xfId="15742" xr:uid="{00000000-0005-0000-0000-000053780000}"/>
    <cellStyle name="Note 2 8 4 2 3" xfId="32251" xr:uid="{00000000-0005-0000-0000-000054780000}"/>
    <cellStyle name="Note 2 8 4 3" xfId="13670" xr:uid="{00000000-0005-0000-0000-000055780000}"/>
    <cellStyle name="Note 2 8 4 3 2" xfId="27219" xr:uid="{00000000-0005-0000-0000-000056780000}"/>
    <cellStyle name="Note 2 8 4 4" xfId="32250" xr:uid="{00000000-0005-0000-0000-000057780000}"/>
    <cellStyle name="Note 2 8 5" xfId="7991" xr:uid="{00000000-0005-0000-0000-000058780000}"/>
    <cellStyle name="Note 2 8 5 2" xfId="14251" xr:uid="{00000000-0005-0000-0000-000059780000}"/>
    <cellStyle name="Note 2 8 5 2 2" xfId="27800" xr:uid="{00000000-0005-0000-0000-00005A780000}"/>
    <cellStyle name="Note 2 8 5 3" xfId="32252" xr:uid="{00000000-0005-0000-0000-00005B780000}"/>
    <cellStyle name="Note 2 8 6" xfId="7992" xr:uid="{00000000-0005-0000-0000-00005C780000}"/>
    <cellStyle name="Note 2 8 6 2" xfId="16137" xr:uid="{00000000-0005-0000-0000-00005D780000}"/>
    <cellStyle name="Note 2 8 6 2 2" xfId="29544" xr:uid="{00000000-0005-0000-0000-00005E780000}"/>
    <cellStyle name="Note 2 8 6 3" xfId="32253" xr:uid="{00000000-0005-0000-0000-00005F780000}"/>
    <cellStyle name="Note 2 8 7" xfId="10293" xr:uid="{00000000-0005-0000-0000-000060780000}"/>
    <cellStyle name="Note 2 8 8" xfId="32244" xr:uid="{00000000-0005-0000-0000-000061780000}"/>
    <cellStyle name="Note 2 9" xfId="7993" xr:uid="{00000000-0005-0000-0000-000062780000}"/>
    <cellStyle name="Note 2 9 2" xfId="7994" xr:uid="{00000000-0005-0000-0000-000063780000}"/>
    <cellStyle name="Note 2 9 2 2" xfId="13308" xr:uid="{00000000-0005-0000-0000-000064780000}"/>
    <cellStyle name="Note 2 9 2 3" xfId="32255" xr:uid="{00000000-0005-0000-0000-000065780000}"/>
    <cellStyle name="Note 2 9 3" xfId="7995" xr:uid="{00000000-0005-0000-0000-000066780000}"/>
    <cellStyle name="Note 2 9 3 2" xfId="17041" xr:uid="{00000000-0005-0000-0000-000067780000}"/>
    <cellStyle name="Note 2 9 3 2 2" xfId="30440" xr:uid="{00000000-0005-0000-0000-000068780000}"/>
    <cellStyle name="Note 2 9 3 3" xfId="32256" xr:uid="{00000000-0005-0000-0000-000069780000}"/>
    <cellStyle name="Note 2 9 4" xfId="10295" xr:uid="{00000000-0005-0000-0000-00006A780000}"/>
    <cellStyle name="Note 2 9 5" xfId="32254" xr:uid="{00000000-0005-0000-0000-00006B780000}"/>
    <cellStyle name="Note 3" xfId="7996" xr:uid="{00000000-0005-0000-0000-00006C780000}"/>
    <cellStyle name="Note 3 10" xfId="10296" xr:uid="{00000000-0005-0000-0000-00006D780000}"/>
    <cellStyle name="Note 3 11" xfId="32257" xr:uid="{00000000-0005-0000-0000-00006E780000}"/>
    <cellStyle name="Note 3 2" xfId="7997" xr:uid="{00000000-0005-0000-0000-00006F780000}"/>
    <cellStyle name="Note 3 2 10" xfId="32258" xr:uid="{00000000-0005-0000-0000-000070780000}"/>
    <cellStyle name="Note 3 2 2" xfId="7998" xr:uid="{00000000-0005-0000-0000-000071780000}"/>
    <cellStyle name="Note 3 2 2 2" xfId="7999" xr:uid="{00000000-0005-0000-0000-000072780000}"/>
    <cellStyle name="Note 3 2 2 2 2" xfId="8000" xr:uid="{00000000-0005-0000-0000-000073780000}"/>
    <cellStyle name="Note 3 2 2 2 2 2" xfId="8001" xr:uid="{00000000-0005-0000-0000-000074780000}"/>
    <cellStyle name="Note 3 2 2 2 2 2 2" xfId="11629" xr:uid="{00000000-0005-0000-0000-000075780000}"/>
    <cellStyle name="Note 3 2 2 2 2 2 3" xfId="32262" xr:uid="{00000000-0005-0000-0000-000076780000}"/>
    <cellStyle name="Note 3 2 2 2 2 3" xfId="8002" xr:uid="{00000000-0005-0000-0000-000077780000}"/>
    <cellStyle name="Note 3 2 2 2 2 3 2" xfId="16949" xr:uid="{00000000-0005-0000-0000-000078780000}"/>
    <cellStyle name="Note 3 2 2 2 2 3 2 2" xfId="30356" xr:uid="{00000000-0005-0000-0000-000079780000}"/>
    <cellStyle name="Note 3 2 2 2 2 3 3" xfId="32263" xr:uid="{00000000-0005-0000-0000-00007A780000}"/>
    <cellStyle name="Note 3 2 2 2 2 4" xfId="10300" xr:uid="{00000000-0005-0000-0000-00007B780000}"/>
    <cellStyle name="Note 3 2 2 2 2 5" xfId="32261" xr:uid="{00000000-0005-0000-0000-00007C780000}"/>
    <cellStyle name="Note 3 2 2 2 3" xfId="8003" xr:uid="{00000000-0005-0000-0000-00007D780000}"/>
    <cellStyle name="Note 3 2 2 2 3 2" xfId="8004" xr:uid="{00000000-0005-0000-0000-00007E780000}"/>
    <cellStyle name="Note 3 2 2 2 3 2 2" xfId="13309" xr:uid="{00000000-0005-0000-0000-00007F780000}"/>
    <cellStyle name="Note 3 2 2 2 3 2 3" xfId="32265" xr:uid="{00000000-0005-0000-0000-000080780000}"/>
    <cellStyle name="Note 3 2 2 2 3 3" xfId="12337" xr:uid="{00000000-0005-0000-0000-000081780000}"/>
    <cellStyle name="Note 3 2 2 2 3 3 2" xfId="26049" xr:uid="{00000000-0005-0000-0000-000082780000}"/>
    <cellStyle name="Note 3 2 2 2 3 4" xfId="32264" xr:uid="{00000000-0005-0000-0000-000083780000}"/>
    <cellStyle name="Note 3 2 2 2 4" xfId="8005" xr:uid="{00000000-0005-0000-0000-000084780000}"/>
    <cellStyle name="Note 3 2 2 2 4 2" xfId="8006" xr:uid="{00000000-0005-0000-0000-000085780000}"/>
    <cellStyle name="Note 3 2 2 2 4 2 2" xfId="15743" xr:uid="{00000000-0005-0000-0000-000086780000}"/>
    <cellStyle name="Note 3 2 2 2 4 2 3" xfId="32267" xr:uid="{00000000-0005-0000-0000-000087780000}"/>
    <cellStyle name="Note 3 2 2 2 4 3" xfId="13901" xr:uid="{00000000-0005-0000-0000-000088780000}"/>
    <cellStyle name="Note 3 2 2 2 4 3 2" xfId="27450" xr:uid="{00000000-0005-0000-0000-000089780000}"/>
    <cellStyle name="Note 3 2 2 2 4 4" xfId="32266" xr:uid="{00000000-0005-0000-0000-00008A780000}"/>
    <cellStyle name="Note 3 2 2 2 5" xfId="8007" xr:uid="{00000000-0005-0000-0000-00008B780000}"/>
    <cellStyle name="Note 3 2 2 2 5 2" xfId="14482" xr:uid="{00000000-0005-0000-0000-00008C780000}"/>
    <cellStyle name="Note 3 2 2 2 5 2 2" xfId="28031" xr:uid="{00000000-0005-0000-0000-00008D780000}"/>
    <cellStyle name="Note 3 2 2 2 5 3" xfId="32268" xr:uid="{00000000-0005-0000-0000-00008E780000}"/>
    <cellStyle name="Note 3 2 2 2 6" xfId="8008" xr:uid="{00000000-0005-0000-0000-00008F780000}"/>
    <cellStyle name="Note 3 2 2 2 6 2" xfId="16368" xr:uid="{00000000-0005-0000-0000-000090780000}"/>
    <cellStyle name="Note 3 2 2 2 6 2 2" xfId="29775" xr:uid="{00000000-0005-0000-0000-000091780000}"/>
    <cellStyle name="Note 3 2 2 2 6 3" xfId="32269" xr:uid="{00000000-0005-0000-0000-000092780000}"/>
    <cellStyle name="Note 3 2 2 2 7" xfId="10299" xr:uid="{00000000-0005-0000-0000-000093780000}"/>
    <cellStyle name="Note 3 2 2 2 8" xfId="32260" xr:uid="{00000000-0005-0000-0000-000094780000}"/>
    <cellStyle name="Note 3 2 2 3" xfId="8009" xr:uid="{00000000-0005-0000-0000-000095780000}"/>
    <cellStyle name="Note 3 2 2 3 2" xfId="8010" xr:uid="{00000000-0005-0000-0000-000096780000}"/>
    <cellStyle name="Note 3 2 2 3 2 2" xfId="11630" xr:uid="{00000000-0005-0000-0000-000097780000}"/>
    <cellStyle name="Note 3 2 2 3 2 3" xfId="32271" xr:uid="{00000000-0005-0000-0000-000098780000}"/>
    <cellStyle name="Note 3 2 2 3 3" xfId="8011" xr:uid="{00000000-0005-0000-0000-000099780000}"/>
    <cellStyle name="Note 3 2 2 3 3 2" xfId="16660" xr:uid="{00000000-0005-0000-0000-00009A780000}"/>
    <cellStyle name="Note 3 2 2 3 3 2 2" xfId="30067" xr:uid="{00000000-0005-0000-0000-00009B780000}"/>
    <cellStyle name="Note 3 2 2 3 3 3" xfId="32272" xr:uid="{00000000-0005-0000-0000-00009C780000}"/>
    <cellStyle name="Note 3 2 2 3 4" xfId="10301" xr:uid="{00000000-0005-0000-0000-00009D780000}"/>
    <cellStyle name="Note 3 2 2 3 5" xfId="32270" xr:uid="{00000000-0005-0000-0000-00009E780000}"/>
    <cellStyle name="Note 3 2 2 4" xfId="8012" xr:uid="{00000000-0005-0000-0000-00009F780000}"/>
    <cellStyle name="Note 3 2 2 4 2" xfId="8013" xr:uid="{00000000-0005-0000-0000-0000A0780000}"/>
    <cellStyle name="Note 3 2 2 4 2 2" xfId="13310" xr:uid="{00000000-0005-0000-0000-0000A1780000}"/>
    <cellStyle name="Note 3 2 2 4 2 3" xfId="32274" xr:uid="{00000000-0005-0000-0000-0000A2780000}"/>
    <cellStyle name="Note 3 2 2 4 3" xfId="12037" xr:uid="{00000000-0005-0000-0000-0000A3780000}"/>
    <cellStyle name="Note 3 2 2 4 3 2" xfId="25752" xr:uid="{00000000-0005-0000-0000-0000A4780000}"/>
    <cellStyle name="Note 3 2 2 4 4" xfId="32273" xr:uid="{00000000-0005-0000-0000-0000A5780000}"/>
    <cellStyle name="Note 3 2 2 5" xfId="8014" xr:uid="{00000000-0005-0000-0000-0000A6780000}"/>
    <cellStyle name="Note 3 2 2 5 2" xfId="8015" xr:uid="{00000000-0005-0000-0000-0000A7780000}"/>
    <cellStyle name="Note 3 2 2 5 2 2" xfId="15744" xr:uid="{00000000-0005-0000-0000-0000A8780000}"/>
    <cellStyle name="Note 3 2 2 5 2 3" xfId="32276" xr:uid="{00000000-0005-0000-0000-0000A9780000}"/>
    <cellStyle name="Note 3 2 2 5 3" xfId="13612" xr:uid="{00000000-0005-0000-0000-0000AA780000}"/>
    <cellStyle name="Note 3 2 2 5 3 2" xfId="27161" xr:uid="{00000000-0005-0000-0000-0000AB780000}"/>
    <cellStyle name="Note 3 2 2 5 4" xfId="32275" xr:uid="{00000000-0005-0000-0000-0000AC780000}"/>
    <cellStyle name="Note 3 2 2 6" xfId="8016" xr:uid="{00000000-0005-0000-0000-0000AD780000}"/>
    <cellStyle name="Note 3 2 2 6 2" xfId="14193" xr:uid="{00000000-0005-0000-0000-0000AE780000}"/>
    <cellStyle name="Note 3 2 2 6 2 2" xfId="27742" xr:uid="{00000000-0005-0000-0000-0000AF780000}"/>
    <cellStyle name="Note 3 2 2 6 3" xfId="32277" xr:uid="{00000000-0005-0000-0000-0000B0780000}"/>
    <cellStyle name="Note 3 2 2 7" xfId="8017" xr:uid="{00000000-0005-0000-0000-0000B1780000}"/>
    <cellStyle name="Note 3 2 2 7 2" xfId="16079" xr:uid="{00000000-0005-0000-0000-0000B2780000}"/>
    <cellStyle name="Note 3 2 2 7 2 2" xfId="29486" xr:uid="{00000000-0005-0000-0000-0000B3780000}"/>
    <cellStyle name="Note 3 2 2 7 3" xfId="32278" xr:uid="{00000000-0005-0000-0000-0000B4780000}"/>
    <cellStyle name="Note 3 2 2 8" xfId="10298" xr:uid="{00000000-0005-0000-0000-0000B5780000}"/>
    <cellStyle name="Note 3 2 2 9" xfId="32259" xr:uid="{00000000-0005-0000-0000-0000B6780000}"/>
    <cellStyle name="Note 3 2 3" xfId="8018" xr:uid="{00000000-0005-0000-0000-0000B7780000}"/>
    <cellStyle name="Note 3 2 3 2" xfId="8019" xr:uid="{00000000-0005-0000-0000-0000B8780000}"/>
    <cellStyle name="Note 3 2 3 2 2" xfId="8020" xr:uid="{00000000-0005-0000-0000-0000B9780000}"/>
    <cellStyle name="Note 3 2 3 2 2 2" xfId="11631" xr:uid="{00000000-0005-0000-0000-0000BA780000}"/>
    <cellStyle name="Note 3 2 3 2 2 3" xfId="32281" xr:uid="{00000000-0005-0000-0000-0000BB780000}"/>
    <cellStyle name="Note 3 2 3 2 3" xfId="8021" xr:uid="{00000000-0005-0000-0000-0000BC780000}"/>
    <cellStyle name="Note 3 2 3 2 3 2" xfId="16806" xr:uid="{00000000-0005-0000-0000-0000BD780000}"/>
    <cellStyle name="Note 3 2 3 2 3 2 2" xfId="30213" xr:uid="{00000000-0005-0000-0000-0000BE780000}"/>
    <cellStyle name="Note 3 2 3 2 3 3" xfId="32282" xr:uid="{00000000-0005-0000-0000-0000BF780000}"/>
    <cellStyle name="Note 3 2 3 2 4" xfId="10303" xr:uid="{00000000-0005-0000-0000-0000C0780000}"/>
    <cellStyle name="Note 3 2 3 2 5" xfId="32280" xr:uid="{00000000-0005-0000-0000-0000C1780000}"/>
    <cellStyle name="Note 3 2 3 3" xfId="8022" xr:uid="{00000000-0005-0000-0000-0000C2780000}"/>
    <cellStyle name="Note 3 2 3 3 2" xfId="8023" xr:uid="{00000000-0005-0000-0000-0000C3780000}"/>
    <cellStyle name="Note 3 2 3 3 2 2" xfId="13311" xr:uid="{00000000-0005-0000-0000-0000C4780000}"/>
    <cellStyle name="Note 3 2 3 3 2 3" xfId="32284" xr:uid="{00000000-0005-0000-0000-0000C5780000}"/>
    <cellStyle name="Note 3 2 3 3 3" xfId="12194" xr:uid="{00000000-0005-0000-0000-0000C6780000}"/>
    <cellStyle name="Note 3 2 3 3 3 2" xfId="25906" xr:uid="{00000000-0005-0000-0000-0000C7780000}"/>
    <cellStyle name="Note 3 2 3 3 4" xfId="32283" xr:uid="{00000000-0005-0000-0000-0000C8780000}"/>
    <cellStyle name="Note 3 2 3 4" xfId="8024" xr:uid="{00000000-0005-0000-0000-0000C9780000}"/>
    <cellStyle name="Note 3 2 3 4 2" xfId="8025" xr:uid="{00000000-0005-0000-0000-0000CA780000}"/>
    <cellStyle name="Note 3 2 3 4 2 2" xfId="15745" xr:uid="{00000000-0005-0000-0000-0000CB780000}"/>
    <cellStyle name="Note 3 2 3 4 2 3" xfId="32286" xr:uid="{00000000-0005-0000-0000-0000CC780000}"/>
    <cellStyle name="Note 3 2 3 4 3" xfId="13758" xr:uid="{00000000-0005-0000-0000-0000CD780000}"/>
    <cellStyle name="Note 3 2 3 4 3 2" xfId="27307" xr:uid="{00000000-0005-0000-0000-0000CE780000}"/>
    <cellStyle name="Note 3 2 3 4 4" xfId="32285" xr:uid="{00000000-0005-0000-0000-0000CF780000}"/>
    <cellStyle name="Note 3 2 3 5" xfId="8026" xr:uid="{00000000-0005-0000-0000-0000D0780000}"/>
    <cellStyle name="Note 3 2 3 5 2" xfId="14339" xr:uid="{00000000-0005-0000-0000-0000D1780000}"/>
    <cellStyle name="Note 3 2 3 5 2 2" xfId="27888" xr:uid="{00000000-0005-0000-0000-0000D2780000}"/>
    <cellStyle name="Note 3 2 3 5 3" xfId="32287" xr:uid="{00000000-0005-0000-0000-0000D3780000}"/>
    <cellStyle name="Note 3 2 3 6" xfId="8027" xr:uid="{00000000-0005-0000-0000-0000D4780000}"/>
    <cellStyle name="Note 3 2 3 6 2" xfId="16225" xr:uid="{00000000-0005-0000-0000-0000D5780000}"/>
    <cellStyle name="Note 3 2 3 6 2 2" xfId="29632" xr:uid="{00000000-0005-0000-0000-0000D6780000}"/>
    <cellStyle name="Note 3 2 3 6 3" xfId="32288" xr:uid="{00000000-0005-0000-0000-0000D7780000}"/>
    <cellStyle name="Note 3 2 3 7" xfId="10302" xr:uid="{00000000-0005-0000-0000-0000D8780000}"/>
    <cellStyle name="Note 3 2 3 8" xfId="32279" xr:uid="{00000000-0005-0000-0000-0000D9780000}"/>
    <cellStyle name="Note 3 2 4" xfId="8028" xr:uid="{00000000-0005-0000-0000-0000DA780000}"/>
    <cellStyle name="Note 3 2 4 2" xfId="8029" xr:uid="{00000000-0005-0000-0000-0000DB780000}"/>
    <cellStyle name="Note 3 2 4 2 2" xfId="11632" xr:uid="{00000000-0005-0000-0000-0000DC780000}"/>
    <cellStyle name="Note 3 2 4 2 3" xfId="32290" xr:uid="{00000000-0005-0000-0000-0000DD780000}"/>
    <cellStyle name="Note 3 2 4 3" xfId="8030" xr:uid="{00000000-0005-0000-0000-0000DE780000}"/>
    <cellStyle name="Note 3 2 4 3 2" xfId="17153" xr:uid="{00000000-0005-0000-0000-0000DF780000}"/>
    <cellStyle name="Note 3 2 4 3 2 2" xfId="30512" xr:uid="{00000000-0005-0000-0000-0000E0780000}"/>
    <cellStyle name="Note 3 2 4 3 3" xfId="32291" xr:uid="{00000000-0005-0000-0000-0000E1780000}"/>
    <cellStyle name="Note 3 2 4 4" xfId="10304" xr:uid="{00000000-0005-0000-0000-0000E2780000}"/>
    <cellStyle name="Note 3 2 4 5" xfId="32289" xr:uid="{00000000-0005-0000-0000-0000E3780000}"/>
    <cellStyle name="Note 3 2 5" xfId="8031" xr:uid="{00000000-0005-0000-0000-0000E4780000}"/>
    <cellStyle name="Note 3 2 5 2" xfId="8032" xr:uid="{00000000-0005-0000-0000-0000E5780000}"/>
    <cellStyle name="Note 3 2 5 2 2" xfId="13312" xr:uid="{00000000-0005-0000-0000-0000E6780000}"/>
    <cellStyle name="Note 3 2 5 2 3" xfId="32293" xr:uid="{00000000-0005-0000-0000-0000E7780000}"/>
    <cellStyle name="Note 3 2 5 3" xfId="8033" xr:uid="{00000000-0005-0000-0000-0000E8780000}"/>
    <cellStyle name="Note 3 2 5 3 2" xfId="17242" xr:uid="{00000000-0005-0000-0000-0000E9780000}"/>
    <cellStyle name="Note 3 2 5 3 2 2" xfId="30601" xr:uid="{00000000-0005-0000-0000-0000EA780000}"/>
    <cellStyle name="Note 3 2 5 3 3" xfId="32294" xr:uid="{00000000-0005-0000-0000-0000EB780000}"/>
    <cellStyle name="Note 3 2 5 4" xfId="11892" xr:uid="{00000000-0005-0000-0000-0000EC780000}"/>
    <cellStyle name="Note 3 2 5 4 2" xfId="25607" xr:uid="{00000000-0005-0000-0000-0000ED780000}"/>
    <cellStyle name="Note 3 2 5 5" xfId="32292" xr:uid="{00000000-0005-0000-0000-0000EE780000}"/>
    <cellStyle name="Note 3 2 6" xfId="8034" xr:uid="{00000000-0005-0000-0000-0000EF780000}"/>
    <cellStyle name="Note 3 2 6 2" xfId="8035" xr:uid="{00000000-0005-0000-0000-0000F0780000}"/>
    <cellStyle name="Note 3 2 6 2 2" xfId="15746" xr:uid="{00000000-0005-0000-0000-0000F1780000}"/>
    <cellStyle name="Note 3 2 6 2 3" xfId="32296" xr:uid="{00000000-0005-0000-0000-0000F2780000}"/>
    <cellStyle name="Note 3 2 6 3" xfId="8036" xr:uid="{00000000-0005-0000-0000-0000F3780000}"/>
    <cellStyle name="Note 3 2 6 3 2" xfId="16517" xr:uid="{00000000-0005-0000-0000-0000F4780000}"/>
    <cellStyle name="Note 3 2 6 3 2 2" xfId="29924" xr:uid="{00000000-0005-0000-0000-0000F5780000}"/>
    <cellStyle name="Note 3 2 6 3 3" xfId="32297" xr:uid="{00000000-0005-0000-0000-0000F6780000}"/>
    <cellStyle name="Note 3 2 6 4" xfId="13469" xr:uid="{00000000-0005-0000-0000-0000F7780000}"/>
    <cellStyle name="Note 3 2 6 4 2" xfId="27018" xr:uid="{00000000-0005-0000-0000-0000F8780000}"/>
    <cellStyle name="Note 3 2 6 5" xfId="32295" xr:uid="{00000000-0005-0000-0000-0000F9780000}"/>
    <cellStyle name="Note 3 2 7" xfId="8037" xr:uid="{00000000-0005-0000-0000-0000FA780000}"/>
    <cellStyle name="Note 3 2 7 2" xfId="14050" xr:uid="{00000000-0005-0000-0000-0000FB780000}"/>
    <cellStyle name="Note 3 2 7 2 2" xfId="27599" xr:uid="{00000000-0005-0000-0000-0000FC780000}"/>
    <cellStyle name="Note 3 2 7 3" xfId="32298" xr:uid="{00000000-0005-0000-0000-0000FD780000}"/>
    <cellStyle name="Note 3 2 8" xfId="8038" xr:uid="{00000000-0005-0000-0000-0000FE780000}"/>
    <cellStyle name="Note 3 2 8 2" xfId="15936" xr:uid="{00000000-0005-0000-0000-0000FF780000}"/>
    <cellStyle name="Note 3 2 8 2 2" xfId="29343" xr:uid="{00000000-0005-0000-0000-000000790000}"/>
    <cellStyle name="Note 3 2 8 3" xfId="32299" xr:uid="{00000000-0005-0000-0000-000001790000}"/>
    <cellStyle name="Note 3 2 9" xfId="10297" xr:uid="{00000000-0005-0000-0000-000002790000}"/>
    <cellStyle name="Note 3 3" xfId="8039" xr:uid="{00000000-0005-0000-0000-000003790000}"/>
    <cellStyle name="Note 3 3 2" xfId="8040" xr:uid="{00000000-0005-0000-0000-000004790000}"/>
    <cellStyle name="Note 3 3 2 2" xfId="8041" xr:uid="{00000000-0005-0000-0000-000005790000}"/>
    <cellStyle name="Note 3 3 2 2 2" xfId="8042" xr:uid="{00000000-0005-0000-0000-000006790000}"/>
    <cellStyle name="Note 3 3 2 2 2 2" xfId="11633" xr:uid="{00000000-0005-0000-0000-000007790000}"/>
    <cellStyle name="Note 3 3 2 2 2 3" xfId="32303" xr:uid="{00000000-0005-0000-0000-000008790000}"/>
    <cellStyle name="Note 3 3 2 2 3" xfId="8043" xr:uid="{00000000-0005-0000-0000-000009790000}"/>
    <cellStyle name="Note 3 3 2 2 3 2" xfId="16903" xr:uid="{00000000-0005-0000-0000-00000A790000}"/>
    <cellStyle name="Note 3 3 2 2 3 2 2" xfId="30310" xr:uid="{00000000-0005-0000-0000-00000B790000}"/>
    <cellStyle name="Note 3 3 2 2 3 3" xfId="32304" xr:uid="{00000000-0005-0000-0000-00000C790000}"/>
    <cellStyle name="Note 3 3 2 2 4" xfId="10307" xr:uid="{00000000-0005-0000-0000-00000D790000}"/>
    <cellStyle name="Note 3 3 2 2 5" xfId="32302" xr:uid="{00000000-0005-0000-0000-00000E790000}"/>
    <cellStyle name="Note 3 3 2 3" xfId="8044" xr:uid="{00000000-0005-0000-0000-00000F790000}"/>
    <cellStyle name="Note 3 3 2 3 2" xfId="8045" xr:uid="{00000000-0005-0000-0000-000010790000}"/>
    <cellStyle name="Note 3 3 2 3 2 2" xfId="13313" xr:uid="{00000000-0005-0000-0000-000011790000}"/>
    <cellStyle name="Note 3 3 2 3 2 3" xfId="32306" xr:uid="{00000000-0005-0000-0000-000012790000}"/>
    <cellStyle name="Note 3 3 2 3 3" xfId="12291" xr:uid="{00000000-0005-0000-0000-000013790000}"/>
    <cellStyle name="Note 3 3 2 3 3 2" xfId="26003" xr:uid="{00000000-0005-0000-0000-000014790000}"/>
    <cellStyle name="Note 3 3 2 3 4" xfId="32305" xr:uid="{00000000-0005-0000-0000-000015790000}"/>
    <cellStyle name="Note 3 3 2 4" xfId="8046" xr:uid="{00000000-0005-0000-0000-000016790000}"/>
    <cellStyle name="Note 3 3 2 4 2" xfId="8047" xr:uid="{00000000-0005-0000-0000-000017790000}"/>
    <cellStyle name="Note 3 3 2 4 2 2" xfId="15747" xr:uid="{00000000-0005-0000-0000-000018790000}"/>
    <cellStyle name="Note 3 3 2 4 2 3" xfId="32308" xr:uid="{00000000-0005-0000-0000-000019790000}"/>
    <cellStyle name="Note 3 3 2 4 3" xfId="13855" xr:uid="{00000000-0005-0000-0000-00001A790000}"/>
    <cellStyle name="Note 3 3 2 4 3 2" xfId="27404" xr:uid="{00000000-0005-0000-0000-00001B790000}"/>
    <cellStyle name="Note 3 3 2 4 4" xfId="32307" xr:uid="{00000000-0005-0000-0000-00001C790000}"/>
    <cellStyle name="Note 3 3 2 5" xfId="8048" xr:uid="{00000000-0005-0000-0000-00001D790000}"/>
    <cellStyle name="Note 3 3 2 5 2" xfId="14436" xr:uid="{00000000-0005-0000-0000-00001E790000}"/>
    <cellStyle name="Note 3 3 2 5 2 2" xfId="27985" xr:uid="{00000000-0005-0000-0000-00001F790000}"/>
    <cellStyle name="Note 3 3 2 5 3" xfId="32309" xr:uid="{00000000-0005-0000-0000-000020790000}"/>
    <cellStyle name="Note 3 3 2 6" xfId="8049" xr:uid="{00000000-0005-0000-0000-000021790000}"/>
    <cellStyle name="Note 3 3 2 6 2" xfId="16322" xr:uid="{00000000-0005-0000-0000-000022790000}"/>
    <cellStyle name="Note 3 3 2 6 2 2" xfId="29729" xr:uid="{00000000-0005-0000-0000-000023790000}"/>
    <cellStyle name="Note 3 3 2 6 3" xfId="32310" xr:uid="{00000000-0005-0000-0000-000024790000}"/>
    <cellStyle name="Note 3 3 2 7" xfId="10306" xr:uid="{00000000-0005-0000-0000-000025790000}"/>
    <cellStyle name="Note 3 3 2 8" xfId="32301" xr:uid="{00000000-0005-0000-0000-000026790000}"/>
    <cellStyle name="Note 3 3 3" xfId="8050" xr:uid="{00000000-0005-0000-0000-000027790000}"/>
    <cellStyle name="Note 3 3 3 2" xfId="8051" xr:uid="{00000000-0005-0000-0000-000028790000}"/>
    <cellStyle name="Note 3 3 3 2 2" xfId="11634" xr:uid="{00000000-0005-0000-0000-000029790000}"/>
    <cellStyle name="Note 3 3 3 2 3" xfId="32312" xr:uid="{00000000-0005-0000-0000-00002A790000}"/>
    <cellStyle name="Note 3 3 3 3" xfId="8052" xr:uid="{00000000-0005-0000-0000-00002B790000}"/>
    <cellStyle name="Note 3 3 3 3 2" xfId="16614" xr:uid="{00000000-0005-0000-0000-00002C790000}"/>
    <cellStyle name="Note 3 3 3 3 2 2" xfId="30021" xr:uid="{00000000-0005-0000-0000-00002D790000}"/>
    <cellStyle name="Note 3 3 3 3 3" xfId="32313" xr:uid="{00000000-0005-0000-0000-00002E790000}"/>
    <cellStyle name="Note 3 3 3 4" xfId="10308" xr:uid="{00000000-0005-0000-0000-00002F790000}"/>
    <cellStyle name="Note 3 3 3 5" xfId="32311" xr:uid="{00000000-0005-0000-0000-000030790000}"/>
    <cellStyle name="Note 3 3 4" xfId="8053" xr:uid="{00000000-0005-0000-0000-000031790000}"/>
    <cellStyle name="Note 3 3 4 2" xfId="8054" xr:uid="{00000000-0005-0000-0000-000032790000}"/>
    <cellStyle name="Note 3 3 4 2 2" xfId="13314" xr:uid="{00000000-0005-0000-0000-000033790000}"/>
    <cellStyle name="Note 3 3 4 2 3" xfId="32315" xr:uid="{00000000-0005-0000-0000-000034790000}"/>
    <cellStyle name="Note 3 3 4 3" xfId="11991" xr:uid="{00000000-0005-0000-0000-000035790000}"/>
    <cellStyle name="Note 3 3 4 3 2" xfId="25706" xr:uid="{00000000-0005-0000-0000-000036790000}"/>
    <cellStyle name="Note 3 3 4 4" xfId="32314" xr:uid="{00000000-0005-0000-0000-000037790000}"/>
    <cellStyle name="Note 3 3 5" xfId="8055" xr:uid="{00000000-0005-0000-0000-000038790000}"/>
    <cellStyle name="Note 3 3 5 2" xfId="8056" xr:uid="{00000000-0005-0000-0000-000039790000}"/>
    <cellStyle name="Note 3 3 5 2 2" xfId="15748" xr:uid="{00000000-0005-0000-0000-00003A790000}"/>
    <cellStyle name="Note 3 3 5 2 3" xfId="32317" xr:uid="{00000000-0005-0000-0000-00003B790000}"/>
    <cellStyle name="Note 3 3 5 3" xfId="13566" xr:uid="{00000000-0005-0000-0000-00003C790000}"/>
    <cellStyle name="Note 3 3 5 3 2" xfId="27115" xr:uid="{00000000-0005-0000-0000-00003D790000}"/>
    <cellStyle name="Note 3 3 5 4" xfId="32316" xr:uid="{00000000-0005-0000-0000-00003E790000}"/>
    <cellStyle name="Note 3 3 6" xfId="8057" xr:uid="{00000000-0005-0000-0000-00003F790000}"/>
    <cellStyle name="Note 3 3 6 2" xfId="14147" xr:uid="{00000000-0005-0000-0000-000040790000}"/>
    <cellStyle name="Note 3 3 6 2 2" xfId="27696" xr:uid="{00000000-0005-0000-0000-000041790000}"/>
    <cellStyle name="Note 3 3 6 3" xfId="32318" xr:uid="{00000000-0005-0000-0000-000042790000}"/>
    <cellStyle name="Note 3 3 7" xfId="8058" xr:uid="{00000000-0005-0000-0000-000043790000}"/>
    <cellStyle name="Note 3 3 7 2" xfId="16033" xr:uid="{00000000-0005-0000-0000-000044790000}"/>
    <cellStyle name="Note 3 3 7 2 2" xfId="29440" xr:uid="{00000000-0005-0000-0000-000045790000}"/>
    <cellStyle name="Note 3 3 7 3" xfId="32319" xr:uid="{00000000-0005-0000-0000-000046790000}"/>
    <cellStyle name="Note 3 3 8" xfId="10305" xr:uid="{00000000-0005-0000-0000-000047790000}"/>
    <cellStyle name="Note 3 3 9" xfId="32300" xr:uid="{00000000-0005-0000-0000-000048790000}"/>
    <cellStyle name="Note 3 4" xfId="8059" xr:uid="{00000000-0005-0000-0000-000049790000}"/>
    <cellStyle name="Note 3 4 2" xfId="8060" xr:uid="{00000000-0005-0000-0000-00004A790000}"/>
    <cellStyle name="Note 3 4 2 2" xfId="8061" xr:uid="{00000000-0005-0000-0000-00004B790000}"/>
    <cellStyle name="Note 3 4 2 2 2" xfId="11635" xr:uid="{00000000-0005-0000-0000-00004C790000}"/>
    <cellStyle name="Note 3 4 2 2 3" xfId="32322" xr:uid="{00000000-0005-0000-0000-00004D790000}"/>
    <cellStyle name="Note 3 4 2 3" xfId="8062" xr:uid="{00000000-0005-0000-0000-00004E790000}"/>
    <cellStyle name="Note 3 4 2 3 2" xfId="16760" xr:uid="{00000000-0005-0000-0000-00004F790000}"/>
    <cellStyle name="Note 3 4 2 3 2 2" xfId="30167" xr:uid="{00000000-0005-0000-0000-000050790000}"/>
    <cellStyle name="Note 3 4 2 3 3" xfId="32323" xr:uid="{00000000-0005-0000-0000-000051790000}"/>
    <cellStyle name="Note 3 4 2 4" xfId="10310" xr:uid="{00000000-0005-0000-0000-000052790000}"/>
    <cellStyle name="Note 3 4 2 5" xfId="32321" xr:uid="{00000000-0005-0000-0000-000053790000}"/>
    <cellStyle name="Note 3 4 3" xfId="8063" xr:uid="{00000000-0005-0000-0000-000054790000}"/>
    <cellStyle name="Note 3 4 3 2" xfId="8064" xr:uid="{00000000-0005-0000-0000-000055790000}"/>
    <cellStyle name="Note 3 4 3 2 2" xfId="13315" xr:uid="{00000000-0005-0000-0000-000056790000}"/>
    <cellStyle name="Note 3 4 3 2 3" xfId="32325" xr:uid="{00000000-0005-0000-0000-000057790000}"/>
    <cellStyle name="Note 3 4 3 3" xfId="12148" xr:uid="{00000000-0005-0000-0000-000058790000}"/>
    <cellStyle name="Note 3 4 3 3 2" xfId="25860" xr:uid="{00000000-0005-0000-0000-000059790000}"/>
    <cellStyle name="Note 3 4 3 4" xfId="32324" xr:uid="{00000000-0005-0000-0000-00005A790000}"/>
    <cellStyle name="Note 3 4 4" xfId="8065" xr:uid="{00000000-0005-0000-0000-00005B790000}"/>
    <cellStyle name="Note 3 4 4 2" xfId="8066" xr:uid="{00000000-0005-0000-0000-00005C790000}"/>
    <cellStyle name="Note 3 4 4 2 2" xfId="15749" xr:uid="{00000000-0005-0000-0000-00005D790000}"/>
    <cellStyle name="Note 3 4 4 2 3" xfId="32327" xr:uid="{00000000-0005-0000-0000-00005E790000}"/>
    <cellStyle name="Note 3 4 4 3" xfId="13712" xr:uid="{00000000-0005-0000-0000-00005F790000}"/>
    <cellStyle name="Note 3 4 4 3 2" xfId="27261" xr:uid="{00000000-0005-0000-0000-000060790000}"/>
    <cellStyle name="Note 3 4 4 4" xfId="32326" xr:uid="{00000000-0005-0000-0000-000061790000}"/>
    <cellStyle name="Note 3 4 5" xfId="8067" xr:uid="{00000000-0005-0000-0000-000062790000}"/>
    <cellStyle name="Note 3 4 5 2" xfId="14293" xr:uid="{00000000-0005-0000-0000-000063790000}"/>
    <cellStyle name="Note 3 4 5 2 2" xfId="27842" xr:uid="{00000000-0005-0000-0000-000064790000}"/>
    <cellStyle name="Note 3 4 5 3" xfId="32328" xr:uid="{00000000-0005-0000-0000-000065790000}"/>
    <cellStyle name="Note 3 4 6" xfId="8068" xr:uid="{00000000-0005-0000-0000-000066790000}"/>
    <cellStyle name="Note 3 4 6 2" xfId="16179" xr:uid="{00000000-0005-0000-0000-000067790000}"/>
    <cellStyle name="Note 3 4 6 2 2" xfId="29586" xr:uid="{00000000-0005-0000-0000-000068790000}"/>
    <cellStyle name="Note 3 4 6 3" xfId="32329" xr:uid="{00000000-0005-0000-0000-000069790000}"/>
    <cellStyle name="Note 3 4 7" xfId="10309" xr:uid="{00000000-0005-0000-0000-00006A790000}"/>
    <cellStyle name="Note 3 4 8" xfId="32320" xr:uid="{00000000-0005-0000-0000-00006B790000}"/>
    <cellStyle name="Note 3 5" xfId="8069" xr:uid="{00000000-0005-0000-0000-00006C790000}"/>
    <cellStyle name="Note 3 5 2" xfId="8070" xr:uid="{00000000-0005-0000-0000-00006D790000}"/>
    <cellStyle name="Note 3 5 2 2" xfId="11636" xr:uid="{00000000-0005-0000-0000-00006E790000}"/>
    <cellStyle name="Note 3 5 2 3" xfId="32331" xr:uid="{00000000-0005-0000-0000-00006F790000}"/>
    <cellStyle name="Note 3 5 3" xfId="8071" xr:uid="{00000000-0005-0000-0000-000070790000}"/>
    <cellStyle name="Note 3 5 3 2" xfId="17107" xr:uid="{00000000-0005-0000-0000-000071790000}"/>
    <cellStyle name="Note 3 5 3 2 2" xfId="30466" xr:uid="{00000000-0005-0000-0000-000072790000}"/>
    <cellStyle name="Note 3 5 3 3" xfId="32332" xr:uid="{00000000-0005-0000-0000-000073790000}"/>
    <cellStyle name="Note 3 5 4" xfId="10311" xr:uid="{00000000-0005-0000-0000-000074790000}"/>
    <cellStyle name="Note 3 5 5" xfId="32330" xr:uid="{00000000-0005-0000-0000-000075790000}"/>
    <cellStyle name="Note 3 6" xfId="8072" xr:uid="{00000000-0005-0000-0000-000076790000}"/>
    <cellStyle name="Note 3 6 2" xfId="8073" xr:uid="{00000000-0005-0000-0000-000077790000}"/>
    <cellStyle name="Note 3 6 2 2" xfId="13316" xr:uid="{00000000-0005-0000-0000-000078790000}"/>
    <cellStyle name="Note 3 6 2 3" xfId="32334" xr:uid="{00000000-0005-0000-0000-000079790000}"/>
    <cellStyle name="Note 3 6 3" xfId="8074" xr:uid="{00000000-0005-0000-0000-00007A790000}"/>
    <cellStyle name="Note 3 6 3 2" xfId="17196" xr:uid="{00000000-0005-0000-0000-00007B790000}"/>
    <cellStyle name="Note 3 6 3 2 2" xfId="30555" xr:uid="{00000000-0005-0000-0000-00007C790000}"/>
    <cellStyle name="Note 3 6 3 3" xfId="32335" xr:uid="{00000000-0005-0000-0000-00007D790000}"/>
    <cellStyle name="Note 3 6 4" xfId="11823" xr:uid="{00000000-0005-0000-0000-00007E790000}"/>
    <cellStyle name="Note 3 6 4 2" xfId="25538" xr:uid="{00000000-0005-0000-0000-00007F790000}"/>
    <cellStyle name="Note 3 6 5" xfId="32333" xr:uid="{00000000-0005-0000-0000-000080790000}"/>
    <cellStyle name="Note 3 7" xfId="8075" xr:uid="{00000000-0005-0000-0000-000081790000}"/>
    <cellStyle name="Note 3 7 2" xfId="8076" xr:uid="{00000000-0005-0000-0000-000082790000}"/>
    <cellStyle name="Note 3 7 2 2" xfId="15750" xr:uid="{00000000-0005-0000-0000-000083790000}"/>
    <cellStyle name="Note 3 7 2 3" xfId="32337" xr:uid="{00000000-0005-0000-0000-000084790000}"/>
    <cellStyle name="Note 3 7 3" xfId="8077" xr:uid="{00000000-0005-0000-0000-000085790000}"/>
    <cellStyle name="Note 3 7 3 2" xfId="16471" xr:uid="{00000000-0005-0000-0000-000086790000}"/>
    <cellStyle name="Note 3 7 3 2 2" xfId="29878" xr:uid="{00000000-0005-0000-0000-000087790000}"/>
    <cellStyle name="Note 3 7 3 3" xfId="32338" xr:uid="{00000000-0005-0000-0000-000088790000}"/>
    <cellStyle name="Note 3 7 4" xfId="13423" xr:uid="{00000000-0005-0000-0000-000089790000}"/>
    <cellStyle name="Note 3 7 4 2" xfId="26972" xr:uid="{00000000-0005-0000-0000-00008A790000}"/>
    <cellStyle name="Note 3 7 5" xfId="32336" xr:uid="{00000000-0005-0000-0000-00008B790000}"/>
    <cellStyle name="Note 3 8" xfId="8078" xr:uid="{00000000-0005-0000-0000-00008C790000}"/>
    <cellStyle name="Note 3 8 2" xfId="14004" xr:uid="{00000000-0005-0000-0000-00008D790000}"/>
    <cellStyle name="Note 3 8 2 2" xfId="27553" xr:uid="{00000000-0005-0000-0000-00008E790000}"/>
    <cellStyle name="Note 3 8 3" xfId="32339" xr:uid="{00000000-0005-0000-0000-00008F790000}"/>
    <cellStyle name="Note 3 9" xfId="8079" xr:uid="{00000000-0005-0000-0000-000090790000}"/>
    <cellStyle name="Note 3 9 2" xfId="15890" xr:uid="{00000000-0005-0000-0000-000091790000}"/>
    <cellStyle name="Note 3 9 2 2" xfId="29297" xr:uid="{00000000-0005-0000-0000-000092790000}"/>
    <cellStyle name="Note 3 9 3" xfId="32340" xr:uid="{00000000-0005-0000-0000-000093790000}"/>
    <cellStyle name="Note 4" xfId="17362" xr:uid="{00000000-0005-0000-0000-000094790000}"/>
    <cellStyle name="Note 4 2" xfId="30678" xr:uid="{00000000-0005-0000-0000-000095790000}"/>
    <cellStyle name="Note 5" xfId="17283" xr:uid="{00000000-0005-0000-0000-000096790000}"/>
    <cellStyle name="Note 5 2" xfId="30642" xr:uid="{00000000-0005-0000-0000-000097790000}"/>
    <cellStyle name="Output" xfId="13" builtinId="21" customBuiltin="1"/>
    <cellStyle name="Output 10" xfId="8080" xr:uid="{00000000-0005-0000-0000-000099790000}"/>
    <cellStyle name="Output 10 2" xfId="10313" xr:uid="{00000000-0005-0000-0000-00009A790000}"/>
    <cellStyle name="Output 10 3" xfId="32341" xr:uid="{00000000-0005-0000-0000-00009B790000}"/>
    <cellStyle name="Output 11" xfId="8081" xr:uid="{00000000-0005-0000-0000-00009C790000}"/>
    <cellStyle name="Output 11 2" xfId="10314" xr:uid="{00000000-0005-0000-0000-00009D790000}"/>
    <cellStyle name="Output 11 3" xfId="32342" xr:uid="{00000000-0005-0000-0000-00009E790000}"/>
    <cellStyle name="Output 12" xfId="8082" xr:uid="{00000000-0005-0000-0000-00009F790000}"/>
    <cellStyle name="Output 12 2" xfId="8083" xr:uid="{00000000-0005-0000-0000-0000A0790000}"/>
    <cellStyle name="Output 12 2 2" xfId="15751" xr:uid="{00000000-0005-0000-0000-0000A1790000}"/>
    <cellStyle name="Output 12 2 3" xfId="32344" xr:uid="{00000000-0005-0000-0000-0000A2790000}"/>
    <cellStyle name="Output 12 3" xfId="10488" xr:uid="{00000000-0005-0000-0000-0000A3790000}"/>
    <cellStyle name="Output 12 4" xfId="32343" xr:uid="{00000000-0005-0000-0000-0000A4790000}"/>
    <cellStyle name="Output 13" xfId="8084" xr:uid="{00000000-0005-0000-0000-0000A5790000}"/>
    <cellStyle name="Output 13 2" xfId="11637" xr:uid="{00000000-0005-0000-0000-0000A6790000}"/>
    <cellStyle name="Output 13 3" xfId="32345" xr:uid="{00000000-0005-0000-0000-0000A7790000}"/>
    <cellStyle name="Output 14" xfId="8085" xr:uid="{00000000-0005-0000-0000-0000A8790000}"/>
    <cellStyle name="Output 14 2" xfId="10312" xr:uid="{00000000-0005-0000-0000-0000A9790000}"/>
    <cellStyle name="Output 14 3" xfId="32346" xr:uid="{00000000-0005-0000-0000-0000AA790000}"/>
    <cellStyle name="Output 2" xfId="8086" xr:uid="{00000000-0005-0000-0000-0000AB790000}"/>
    <cellStyle name="Output 2 2" xfId="10315" xr:uid="{00000000-0005-0000-0000-0000AC790000}"/>
    <cellStyle name="Output 2 3" xfId="32347" xr:uid="{00000000-0005-0000-0000-0000AD790000}"/>
    <cellStyle name="Output 3" xfId="8087" xr:uid="{00000000-0005-0000-0000-0000AE790000}"/>
    <cellStyle name="Output 3 2" xfId="8088" xr:uid="{00000000-0005-0000-0000-0000AF790000}"/>
    <cellStyle name="Output 3 2 2" xfId="10317" xr:uid="{00000000-0005-0000-0000-0000B0790000}"/>
    <cellStyle name="Output 3 2 3" xfId="32349" xr:uid="{00000000-0005-0000-0000-0000B1790000}"/>
    <cellStyle name="Output 3 3" xfId="10316" xr:uid="{00000000-0005-0000-0000-0000B2790000}"/>
    <cellStyle name="Output 3 4" xfId="32348" xr:uid="{00000000-0005-0000-0000-0000B3790000}"/>
    <cellStyle name="Output 4" xfId="8089" xr:uid="{00000000-0005-0000-0000-0000B4790000}"/>
    <cellStyle name="Output 4 2" xfId="8090" xr:uid="{00000000-0005-0000-0000-0000B5790000}"/>
    <cellStyle name="Output 4 2 2" xfId="13318" xr:uid="{00000000-0005-0000-0000-0000B6790000}"/>
    <cellStyle name="Output 4 2 3" xfId="32351" xr:uid="{00000000-0005-0000-0000-0000B7790000}"/>
    <cellStyle name="Output 4 3" xfId="8091" xr:uid="{00000000-0005-0000-0000-0000B8790000}"/>
    <cellStyle name="Output 4 3 2" xfId="13317" xr:uid="{00000000-0005-0000-0000-0000B9790000}"/>
    <cellStyle name="Output 4 3 3" xfId="32352" xr:uid="{00000000-0005-0000-0000-0000BA790000}"/>
    <cellStyle name="Output 4 4" xfId="10318" xr:uid="{00000000-0005-0000-0000-0000BB790000}"/>
    <cellStyle name="Output 4 5" xfId="32350" xr:uid="{00000000-0005-0000-0000-0000BC790000}"/>
    <cellStyle name="Output 5" xfId="8092" xr:uid="{00000000-0005-0000-0000-0000BD790000}"/>
    <cellStyle name="Output 5 2" xfId="8093" xr:uid="{00000000-0005-0000-0000-0000BE790000}"/>
    <cellStyle name="Output 5 2 2" xfId="10320" xr:uid="{00000000-0005-0000-0000-0000BF790000}"/>
    <cellStyle name="Output 5 2 3" xfId="32354" xr:uid="{00000000-0005-0000-0000-0000C0790000}"/>
    <cellStyle name="Output 5 3" xfId="10319" xr:uid="{00000000-0005-0000-0000-0000C1790000}"/>
    <cellStyle name="Output 5 4" xfId="32353" xr:uid="{00000000-0005-0000-0000-0000C2790000}"/>
    <cellStyle name="Output 6" xfId="8094" xr:uid="{00000000-0005-0000-0000-0000C3790000}"/>
    <cellStyle name="Output 6 2" xfId="10321" xr:uid="{00000000-0005-0000-0000-0000C4790000}"/>
    <cellStyle name="Output 6 3" xfId="32355" xr:uid="{00000000-0005-0000-0000-0000C5790000}"/>
    <cellStyle name="Output 7" xfId="8095" xr:uid="{00000000-0005-0000-0000-0000C6790000}"/>
    <cellStyle name="Output 7 2" xfId="10322" xr:uid="{00000000-0005-0000-0000-0000C7790000}"/>
    <cellStyle name="Output 7 3" xfId="32356" xr:uid="{00000000-0005-0000-0000-0000C8790000}"/>
    <cellStyle name="Output 8" xfId="8096" xr:uid="{00000000-0005-0000-0000-0000C9790000}"/>
    <cellStyle name="Output 8 2" xfId="10323" xr:uid="{00000000-0005-0000-0000-0000CA790000}"/>
    <cellStyle name="Output 8 3" xfId="32357" xr:uid="{00000000-0005-0000-0000-0000CB790000}"/>
    <cellStyle name="Output 9" xfId="8097" xr:uid="{00000000-0005-0000-0000-0000CC790000}"/>
    <cellStyle name="Output 9 2" xfId="10324" xr:uid="{00000000-0005-0000-0000-0000CD790000}"/>
    <cellStyle name="Output 9 3" xfId="32358" xr:uid="{00000000-0005-0000-0000-0000CE790000}"/>
    <cellStyle name="Percent" xfId="3" builtinId="5"/>
    <cellStyle name="Percent 10" xfId="10325" xr:uid="{00000000-0005-0000-0000-0000D0790000}"/>
    <cellStyle name="Percent 11" xfId="17363" xr:uid="{00000000-0005-0000-0000-0000D1790000}"/>
    <cellStyle name="Percent 11 2" xfId="30679" xr:uid="{00000000-0005-0000-0000-0000D2790000}"/>
    <cellStyle name="Percent 12" xfId="8776" xr:uid="{00000000-0005-0000-0000-0000D3790000}"/>
    <cellStyle name="Percent 2" xfId="8098" xr:uid="{00000000-0005-0000-0000-0000D4790000}"/>
    <cellStyle name="Percent 2 10" xfId="8099" xr:uid="{00000000-0005-0000-0000-0000D5790000}"/>
    <cellStyle name="Percent 2 10 2" xfId="10327" xr:uid="{00000000-0005-0000-0000-0000D6790000}"/>
    <cellStyle name="Percent 2 10 3" xfId="32359" xr:uid="{00000000-0005-0000-0000-0000D7790000}"/>
    <cellStyle name="Percent 2 11" xfId="8100" xr:uid="{00000000-0005-0000-0000-0000D8790000}"/>
    <cellStyle name="Percent 2 11 2" xfId="8101" xr:uid="{00000000-0005-0000-0000-0000D9790000}"/>
    <cellStyle name="Percent 2 11 2 2" xfId="13319" xr:uid="{00000000-0005-0000-0000-0000DA790000}"/>
    <cellStyle name="Percent 2 11 2 3" xfId="32361" xr:uid="{00000000-0005-0000-0000-0000DB790000}"/>
    <cellStyle name="Percent 2 11 3" xfId="8102" xr:uid="{00000000-0005-0000-0000-0000DC790000}"/>
    <cellStyle name="Percent 2 11 3 2" xfId="17043" xr:uid="{00000000-0005-0000-0000-0000DD790000}"/>
    <cellStyle name="Percent 2 11 3 2 2" xfId="30442" xr:uid="{00000000-0005-0000-0000-0000DE790000}"/>
    <cellStyle name="Percent 2 11 3 3" xfId="32362" xr:uid="{00000000-0005-0000-0000-0000DF790000}"/>
    <cellStyle name="Percent 2 11 4" xfId="10328" xr:uid="{00000000-0005-0000-0000-0000E0790000}"/>
    <cellStyle name="Percent 2 11 5" xfId="32360" xr:uid="{00000000-0005-0000-0000-0000E1790000}"/>
    <cellStyle name="Percent 2 12" xfId="8103" xr:uid="{00000000-0005-0000-0000-0000E2790000}"/>
    <cellStyle name="Percent 2 12 2" xfId="8104" xr:uid="{00000000-0005-0000-0000-0000E3790000}"/>
    <cellStyle name="Percent 2 12 2 2" xfId="13321" xr:uid="{00000000-0005-0000-0000-0000E4790000}"/>
    <cellStyle name="Percent 2 12 2 3" xfId="32364" xr:uid="{00000000-0005-0000-0000-0000E5790000}"/>
    <cellStyle name="Percent 2 12 3" xfId="8105" xr:uid="{00000000-0005-0000-0000-0000E6790000}"/>
    <cellStyle name="Percent 2 12 3 2" xfId="13320" xr:uid="{00000000-0005-0000-0000-0000E7790000}"/>
    <cellStyle name="Percent 2 12 3 2 2" xfId="26911" xr:uid="{00000000-0005-0000-0000-0000E8790000}"/>
    <cellStyle name="Percent 2 12 3 3" xfId="32365" xr:uid="{00000000-0005-0000-0000-0000E9790000}"/>
    <cellStyle name="Percent 2 12 4" xfId="8106" xr:uid="{00000000-0005-0000-0000-0000EA790000}"/>
    <cellStyle name="Percent 2 12 4 2" xfId="17101" xr:uid="{00000000-0005-0000-0000-0000EB790000}"/>
    <cellStyle name="Percent 2 12 4 2 2" xfId="30460" xr:uid="{00000000-0005-0000-0000-0000EC790000}"/>
    <cellStyle name="Percent 2 12 4 3" xfId="32366" xr:uid="{00000000-0005-0000-0000-0000ED790000}"/>
    <cellStyle name="Percent 2 12 5" xfId="10329" xr:uid="{00000000-0005-0000-0000-0000EE790000}"/>
    <cellStyle name="Percent 2 12 6" xfId="32363" xr:uid="{00000000-0005-0000-0000-0000EF790000}"/>
    <cellStyle name="Percent 2 13" xfId="8107" xr:uid="{00000000-0005-0000-0000-0000F0790000}"/>
    <cellStyle name="Percent 2 13 2" xfId="8108" xr:uid="{00000000-0005-0000-0000-0000F1790000}"/>
    <cellStyle name="Percent 2 13 2 2" xfId="17190" xr:uid="{00000000-0005-0000-0000-0000F2790000}"/>
    <cellStyle name="Percent 2 13 2 2 2" xfId="30549" xr:uid="{00000000-0005-0000-0000-0000F3790000}"/>
    <cellStyle name="Percent 2 13 2 3" xfId="32368" xr:uid="{00000000-0005-0000-0000-0000F4790000}"/>
    <cellStyle name="Percent 2 13 3" xfId="10330" xr:uid="{00000000-0005-0000-0000-0000F5790000}"/>
    <cellStyle name="Percent 2 13 4" xfId="32367" xr:uid="{00000000-0005-0000-0000-0000F6790000}"/>
    <cellStyle name="Percent 2 14" xfId="8109" xr:uid="{00000000-0005-0000-0000-0000F7790000}"/>
    <cellStyle name="Percent 2 14 2" xfId="8110" xr:uid="{00000000-0005-0000-0000-0000F8790000}"/>
    <cellStyle name="Percent 2 14 2 2" xfId="8111" xr:uid="{00000000-0005-0000-0000-0000F9790000}"/>
    <cellStyle name="Percent 2 14 2 2 2" xfId="11640" xr:uid="{00000000-0005-0000-0000-0000FA790000}"/>
    <cellStyle name="Percent 2 14 2 2 3" xfId="32371" xr:uid="{00000000-0005-0000-0000-0000FB790000}"/>
    <cellStyle name="Percent 2 14 2 3" xfId="10332" xr:uid="{00000000-0005-0000-0000-0000FC790000}"/>
    <cellStyle name="Percent 2 14 2 4" xfId="32370" xr:uid="{00000000-0005-0000-0000-0000FD790000}"/>
    <cellStyle name="Percent 2 14 3" xfId="8112" xr:uid="{00000000-0005-0000-0000-0000FE790000}"/>
    <cellStyle name="Percent 2 14 3 2" xfId="11639" xr:uid="{00000000-0005-0000-0000-0000FF790000}"/>
    <cellStyle name="Percent 2 14 3 3" xfId="32372" xr:uid="{00000000-0005-0000-0000-0000007A0000}"/>
    <cellStyle name="Percent 2 14 4" xfId="8113" xr:uid="{00000000-0005-0000-0000-0000017A0000}"/>
    <cellStyle name="Percent 2 14 4 2" xfId="17279" xr:uid="{00000000-0005-0000-0000-0000027A0000}"/>
    <cellStyle name="Percent 2 14 4 2 2" xfId="30638" xr:uid="{00000000-0005-0000-0000-0000037A0000}"/>
    <cellStyle name="Percent 2 14 4 3" xfId="32373" xr:uid="{00000000-0005-0000-0000-0000047A0000}"/>
    <cellStyle name="Percent 2 14 5" xfId="10331" xr:uid="{00000000-0005-0000-0000-0000057A0000}"/>
    <cellStyle name="Percent 2 14 6" xfId="32369" xr:uid="{00000000-0005-0000-0000-0000067A0000}"/>
    <cellStyle name="Percent 2 15" xfId="8114" xr:uid="{00000000-0005-0000-0000-0000077A0000}"/>
    <cellStyle name="Percent 2 15 2" xfId="8115" xr:uid="{00000000-0005-0000-0000-0000087A0000}"/>
    <cellStyle name="Percent 2 15 2 2" xfId="11641" xr:uid="{00000000-0005-0000-0000-0000097A0000}"/>
    <cellStyle name="Percent 2 15 2 3" xfId="32375" xr:uid="{00000000-0005-0000-0000-00000A7A0000}"/>
    <cellStyle name="Percent 2 15 3" xfId="8116" xr:uid="{00000000-0005-0000-0000-00000B7A0000}"/>
    <cellStyle name="Percent 2 15 3 2" xfId="16431" xr:uid="{00000000-0005-0000-0000-00000C7A0000}"/>
    <cellStyle name="Percent 2 15 3 2 2" xfId="29838" xr:uid="{00000000-0005-0000-0000-00000D7A0000}"/>
    <cellStyle name="Percent 2 15 3 3" xfId="32376" xr:uid="{00000000-0005-0000-0000-00000E7A0000}"/>
    <cellStyle name="Percent 2 15 4" xfId="10333" xr:uid="{00000000-0005-0000-0000-00000F7A0000}"/>
    <cellStyle name="Percent 2 15 5" xfId="32374" xr:uid="{00000000-0005-0000-0000-0000107A0000}"/>
    <cellStyle name="Percent 2 16" xfId="8117" xr:uid="{00000000-0005-0000-0000-0000117A0000}"/>
    <cellStyle name="Percent 2 16 2" xfId="8118" xr:uid="{00000000-0005-0000-0000-0000127A0000}"/>
    <cellStyle name="Percent 2 16 2 2" xfId="11642" xr:uid="{00000000-0005-0000-0000-0000137A0000}"/>
    <cellStyle name="Percent 2 16 2 3" xfId="32378" xr:uid="{00000000-0005-0000-0000-0000147A0000}"/>
    <cellStyle name="Percent 2 16 3" xfId="10334" xr:uid="{00000000-0005-0000-0000-0000157A0000}"/>
    <cellStyle name="Percent 2 16 4" xfId="32377" xr:uid="{00000000-0005-0000-0000-0000167A0000}"/>
    <cellStyle name="Percent 2 17" xfId="8119" xr:uid="{00000000-0005-0000-0000-0000177A0000}"/>
    <cellStyle name="Percent 2 17 2" xfId="8120" xr:uid="{00000000-0005-0000-0000-0000187A0000}"/>
    <cellStyle name="Percent 2 17 2 2" xfId="11643" xr:uid="{00000000-0005-0000-0000-0000197A0000}"/>
    <cellStyle name="Percent 2 17 2 3" xfId="32380" xr:uid="{00000000-0005-0000-0000-00001A7A0000}"/>
    <cellStyle name="Percent 2 17 3" xfId="10335" xr:uid="{00000000-0005-0000-0000-00001B7A0000}"/>
    <cellStyle name="Percent 2 17 4" xfId="32379" xr:uid="{00000000-0005-0000-0000-00001C7A0000}"/>
    <cellStyle name="Percent 2 18" xfId="8121" xr:uid="{00000000-0005-0000-0000-00001D7A0000}"/>
    <cellStyle name="Percent 2 18 2" xfId="8122" xr:uid="{00000000-0005-0000-0000-00001E7A0000}"/>
    <cellStyle name="Percent 2 18 2 2" xfId="11644" xr:uid="{00000000-0005-0000-0000-00001F7A0000}"/>
    <cellStyle name="Percent 2 18 2 3" xfId="32382" xr:uid="{00000000-0005-0000-0000-0000207A0000}"/>
    <cellStyle name="Percent 2 18 3" xfId="10336" xr:uid="{00000000-0005-0000-0000-0000217A0000}"/>
    <cellStyle name="Percent 2 18 4" xfId="32381" xr:uid="{00000000-0005-0000-0000-0000227A0000}"/>
    <cellStyle name="Percent 2 19" xfId="8123" xr:uid="{00000000-0005-0000-0000-0000237A0000}"/>
    <cellStyle name="Percent 2 19 2" xfId="8124" xr:uid="{00000000-0005-0000-0000-0000247A0000}"/>
    <cellStyle name="Percent 2 19 2 2" xfId="11645" xr:uid="{00000000-0005-0000-0000-0000257A0000}"/>
    <cellStyle name="Percent 2 19 2 3" xfId="32384" xr:uid="{00000000-0005-0000-0000-0000267A0000}"/>
    <cellStyle name="Percent 2 19 3" xfId="10337" xr:uid="{00000000-0005-0000-0000-0000277A0000}"/>
    <cellStyle name="Percent 2 19 4" xfId="32383" xr:uid="{00000000-0005-0000-0000-0000287A0000}"/>
    <cellStyle name="Percent 2 2" xfId="8125" xr:uid="{00000000-0005-0000-0000-0000297A0000}"/>
    <cellStyle name="Percent 2 2 10" xfId="8126" xr:uid="{00000000-0005-0000-0000-00002A7A0000}"/>
    <cellStyle name="Percent 2 2 10 2" xfId="11646" xr:uid="{00000000-0005-0000-0000-00002B7A0000}"/>
    <cellStyle name="Percent 2 2 10 3" xfId="32386" xr:uid="{00000000-0005-0000-0000-00002C7A0000}"/>
    <cellStyle name="Percent 2 2 11" xfId="8127" xr:uid="{00000000-0005-0000-0000-00002D7A0000}"/>
    <cellStyle name="Percent 2 2 11 2" xfId="8128" xr:uid="{00000000-0005-0000-0000-00002E7A0000}"/>
    <cellStyle name="Percent 2 2 11 2 2" xfId="13322" xr:uid="{00000000-0005-0000-0000-00002F7A0000}"/>
    <cellStyle name="Percent 2 2 11 2 2 2" xfId="26912" xr:uid="{00000000-0005-0000-0000-0000307A0000}"/>
    <cellStyle name="Percent 2 2 11 2 3" xfId="32388" xr:uid="{00000000-0005-0000-0000-0000317A0000}"/>
    <cellStyle name="Percent 2 2 11 3" xfId="8129" xr:uid="{00000000-0005-0000-0000-0000327A0000}"/>
    <cellStyle name="Percent 2 2 11 3 2" xfId="15752" xr:uid="{00000000-0005-0000-0000-0000337A0000}"/>
    <cellStyle name="Percent 2 2 11 3 3" xfId="32389" xr:uid="{00000000-0005-0000-0000-0000347A0000}"/>
    <cellStyle name="Percent 2 2 11 4" xfId="11722" xr:uid="{00000000-0005-0000-0000-0000357A0000}"/>
    <cellStyle name="Percent 2 2 11 5" xfId="32387" xr:uid="{00000000-0005-0000-0000-0000367A0000}"/>
    <cellStyle name="Percent 2 2 12" xfId="8130" xr:uid="{00000000-0005-0000-0000-0000377A0000}"/>
    <cellStyle name="Percent 2 2 12 2" xfId="11852" xr:uid="{00000000-0005-0000-0000-0000387A0000}"/>
    <cellStyle name="Percent 2 2 12 2 2" xfId="25567" xr:uid="{00000000-0005-0000-0000-0000397A0000}"/>
    <cellStyle name="Percent 2 2 12 3" xfId="32390" xr:uid="{00000000-0005-0000-0000-00003A7A0000}"/>
    <cellStyle name="Percent 2 2 13" xfId="8131" xr:uid="{00000000-0005-0000-0000-00003B7A0000}"/>
    <cellStyle name="Percent 2 2 13 2" xfId="13440" xr:uid="{00000000-0005-0000-0000-00003C7A0000}"/>
    <cellStyle name="Percent 2 2 13 2 2" xfId="26989" xr:uid="{00000000-0005-0000-0000-00003D7A0000}"/>
    <cellStyle name="Percent 2 2 13 3" xfId="32391" xr:uid="{00000000-0005-0000-0000-00003E7A0000}"/>
    <cellStyle name="Percent 2 2 14" xfId="8132" xr:uid="{00000000-0005-0000-0000-00003F7A0000}"/>
    <cellStyle name="Percent 2 2 14 2" xfId="14021" xr:uid="{00000000-0005-0000-0000-0000407A0000}"/>
    <cellStyle name="Percent 2 2 14 2 2" xfId="27570" xr:uid="{00000000-0005-0000-0000-0000417A0000}"/>
    <cellStyle name="Percent 2 2 14 3" xfId="32392" xr:uid="{00000000-0005-0000-0000-0000427A0000}"/>
    <cellStyle name="Percent 2 2 15" xfId="8133" xr:uid="{00000000-0005-0000-0000-0000437A0000}"/>
    <cellStyle name="Percent 2 2 15 2" xfId="15907" xr:uid="{00000000-0005-0000-0000-0000447A0000}"/>
    <cellStyle name="Percent 2 2 15 2 2" xfId="29314" xr:uid="{00000000-0005-0000-0000-0000457A0000}"/>
    <cellStyle name="Percent 2 2 15 3" xfId="32393" xr:uid="{00000000-0005-0000-0000-0000467A0000}"/>
    <cellStyle name="Percent 2 2 16" xfId="8134" xr:uid="{00000000-0005-0000-0000-0000477A0000}"/>
    <cellStyle name="Percent 2 2 16 2" xfId="10338" xr:uid="{00000000-0005-0000-0000-0000487A0000}"/>
    <cellStyle name="Percent 2 2 16 3" xfId="32394" xr:uid="{00000000-0005-0000-0000-0000497A0000}"/>
    <cellStyle name="Percent 2 2 17" xfId="8698" xr:uid="{00000000-0005-0000-0000-00004A7A0000}"/>
    <cellStyle name="Percent 2 2 18" xfId="32385" xr:uid="{00000000-0005-0000-0000-00004B7A0000}"/>
    <cellStyle name="Percent 2 2 2" xfId="8135" xr:uid="{00000000-0005-0000-0000-00004C7A0000}"/>
    <cellStyle name="Percent 2 2 2 10" xfId="10339" xr:uid="{00000000-0005-0000-0000-00004D7A0000}"/>
    <cellStyle name="Percent 2 2 2 11" xfId="32395" xr:uid="{00000000-0005-0000-0000-00004E7A0000}"/>
    <cellStyle name="Percent 2 2 2 2" xfId="8136" xr:uid="{00000000-0005-0000-0000-00004F7A0000}"/>
    <cellStyle name="Percent 2 2 2 2 2" xfId="8137" xr:uid="{00000000-0005-0000-0000-0000507A0000}"/>
    <cellStyle name="Percent 2 2 2 2 2 2" xfId="8138" xr:uid="{00000000-0005-0000-0000-0000517A0000}"/>
    <cellStyle name="Percent 2 2 2 2 2 2 2" xfId="8139" xr:uid="{00000000-0005-0000-0000-0000527A0000}"/>
    <cellStyle name="Percent 2 2 2 2 2 2 2 2" xfId="11647" xr:uid="{00000000-0005-0000-0000-0000537A0000}"/>
    <cellStyle name="Percent 2 2 2 2 2 2 2 3" xfId="32399" xr:uid="{00000000-0005-0000-0000-0000547A0000}"/>
    <cellStyle name="Percent 2 2 2 2 2 2 3" xfId="8140" xr:uid="{00000000-0005-0000-0000-0000557A0000}"/>
    <cellStyle name="Percent 2 2 2 2 2 2 3 2" xfId="16966" xr:uid="{00000000-0005-0000-0000-0000567A0000}"/>
    <cellStyle name="Percent 2 2 2 2 2 2 3 2 2" xfId="30373" xr:uid="{00000000-0005-0000-0000-0000577A0000}"/>
    <cellStyle name="Percent 2 2 2 2 2 2 3 3" xfId="32400" xr:uid="{00000000-0005-0000-0000-0000587A0000}"/>
    <cellStyle name="Percent 2 2 2 2 2 2 4" xfId="10342" xr:uid="{00000000-0005-0000-0000-0000597A0000}"/>
    <cellStyle name="Percent 2 2 2 2 2 2 5" xfId="32398" xr:uid="{00000000-0005-0000-0000-00005A7A0000}"/>
    <cellStyle name="Percent 2 2 2 2 2 3" xfId="8141" xr:uid="{00000000-0005-0000-0000-00005B7A0000}"/>
    <cellStyle name="Percent 2 2 2 2 2 3 2" xfId="8142" xr:uid="{00000000-0005-0000-0000-00005C7A0000}"/>
    <cellStyle name="Percent 2 2 2 2 2 3 2 2" xfId="13323" xr:uid="{00000000-0005-0000-0000-00005D7A0000}"/>
    <cellStyle name="Percent 2 2 2 2 2 3 2 3" xfId="32402" xr:uid="{00000000-0005-0000-0000-00005E7A0000}"/>
    <cellStyle name="Percent 2 2 2 2 2 3 3" xfId="12354" xr:uid="{00000000-0005-0000-0000-00005F7A0000}"/>
    <cellStyle name="Percent 2 2 2 2 2 3 3 2" xfId="26066" xr:uid="{00000000-0005-0000-0000-0000607A0000}"/>
    <cellStyle name="Percent 2 2 2 2 2 3 4" xfId="32401" xr:uid="{00000000-0005-0000-0000-0000617A0000}"/>
    <cellStyle name="Percent 2 2 2 2 2 4" xfId="8143" xr:uid="{00000000-0005-0000-0000-0000627A0000}"/>
    <cellStyle name="Percent 2 2 2 2 2 4 2" xfId="8144" xr:uid="{00000000-0005-0000-0000-0000637A0000}"/>
    <cellStyle name="Percent 2 2 2 2 2 4 2 2" xfId="15753" xr:uid="{00000000-0005-0000-0000-0000647A0000}"/>
    <cellStyle name="Percent 2 2 2 2 2 4 2 3" xfId="32404" xr:uid="{00000000-0005-0000-0000-0000657A0000}"/>
    <cellStyle name="Percent 2 2 2 2 2 4 3" xfId="13918" xr:uid="{00000000-0005-0000-0000-0000667A0000}"/>
    <cellStyle name="Percent 2 2 2 2 2 4 3 2" xfId="27467" xr:uid="{00000000-0005-0000-0000-0000677A0000}"/>
    <cellStyle name="Percent 2 2 2 2 2 4 4" xfId="32403" xr:uid="{00000000-0005-0000-0000-0000687A0000}"/>
    <cellStyle name="Percent 2 2 2 2 2 5" xfId="8145" xr:uid="{00000000-0005-0000-0000-0000697A0000}"/>
    <cellStyle name="Percent 2 2 2 2 2 5 2" xfId="14499" xr:uid="{00000000-0005-0000-0000-00006A7A0000}"/>
    <cellStyle name="Percent 2 2 2 2 2 5 2 2" xfId="28048" xr:uid="{00000000-0005-0000-0000-00006B7A0000}"/>
    <cellStyle name="Percent 2 2 2 2 2 5 3" xfId="32405" xr:uid="{00000000-0005-0000-0000-00006C7A0000}"/>
    <cellStyle name="Percent 2 2 2 2 2 6" xfId="8146" xr:uid="{00000000-0005-0000-0000-00006D7A0000}"/>
    <cellStyle name="Percent 2 2 2 2 2 6 2" xfId="16385" xr:uid="{00000000-0005-0000-0000-00006E7A0000}"/>
    <cellStyle name="Percent 2 2 2 2 2 6 2 2" xfId="29792" xr:uid="{00000000-0005-0000-0000-00006F7A0000}"/>
    <cellStyle name="Percent 2 2 2 2 2 6 3" xfId="32406" xr:uid="{00000000-0005-0000-0000-0000707A0000}"/>
    <cellStyle name="Percent 2 2 2 2 2 7" xfId="10341" xr:uid="{00000000-0005-0000-0000-0000717A0000}"/>
    <cellStyle name="Percent 2 2 2 2 2 8" xfId="32397" xr:uid="{00000000-0005-0000-0000-0000727A0000}"/>
    <cellStyle name="Percent 2 2 2 2 3" xfId="8147" xr:uid="{00000000-0005-0000-0000-0000737A0000}"/>
    <cellStyle name="Percent 2 2 2 2 3 2" xfId="8148" xr:uid="{00000000-0005-0000-0000-0000747A0000}"/>
    <cellStyle name="Percent 2 2 2 2 3 2 2" xfId="11648" xr:uid="{00000000-0005-0000-0000-0000757A0000}"/>
    <cellStyle name="Percent 2 2 2 2 3 2 3" xfId="32408" xr:uid="{00000000-0005-0000-0000-0000767A0000}"/>
    <cellStyle name="Percent 2 2 2 2 3 3" xfId="8149" xr:uid="{00000000-0005-0000-0000-0000777A0000}"/>
    <cellStyle name="Percent 2 2 2 2 3 3 2" xfId="16677" xr:uid="{00000000-0005-0000-0000-0000787A0000}"/>
    <cellStyle name="Percent 2 2 2 2 3 3 2 2" xfId="30084" xr:uid="{00000000-0005-0000-0000-0000797A0000}"/>
    <cellStyle name="Percent 2 2 2 2 3 3 3" xfId="32409" xr:uid="{00000000-0005-0000-0000-00007A7A0000}"/>
    <cellStyle name="Percent 2 2 2 2 3 4" xfId="10343" xr:uid="{00000000-0005-0000-0000-00007B7A0000}"/>
    <cellStyle name="Percent 2 2 2 2 3 5" xfId="32407" xr:uid="{00000000-0005-0000-0000-00007C7A0000}"/>
    <cellStyle name="Percent 2 2 2 2 4" xfId="8150" xr:uid="{00000000-0005-0000-0000-00007D7A0000}"/>
    <cellStyle name="Percent 2 2 2 2 4 2" xfId="8151" xr:uid="{00000000-0005-0000-0000-00007E7A0000}"/>
    <cellStyle name="Percent 2 2 2 2 4 2 2" xfId="13324" xr:uid="{00000000-0005-0000-0000-00007F7A0000}"/>
    <cellStyle name="Percent 2 2 2 2 4 2 3" xfId="32411" xr:uid="{00000000-0005-0000-0000-0000807A0000}"/>
    <cellStyle name="Percent 2 2 2 2 4 3" xfId="12054" xr:uid="{00000000-0005-0000-0000-0000817A0000}"/>
    <cellStyle name="Percent 2 2 2 2 4 3 2" xfId="25769" xr:uid="{00000000-0005-0000-0000-0000827A0000}"/>
    <cellStyle name="Percent 2 2 2 2 4 4" xfId="32410" xr:uid="{00000000-0005-0000-0000-0000837A0000}"/>
    <cellStyle name="Percent 2 2 2 2 5" xfId="8152" xr:uid="{00000000-0005-0000-0000-0000847A0000}"/>
    <cellStyle name="Percent 2 2 2 2 5 2" xfId="8153" xr:uid="{00000000-0005-0000-0000-0000857A0000}"/>
    <cellStyle name="Percent 2 2 2 2 5 2 2" xfId="15754" xr:uid="{00000000-0005-0000-0000-0000867A0000}"/>
    <cellStyle name="Percent 2 2 2 2 5 2 3" xfId="32413" xr:uid="{00000000-0005-0000-0000-0000877A0000}"/>
    <cellStyle name="Percent 2 2 2 2 5 3" xfId="13629" xr:uid="{00000000-0005-0000-0000-0000887A0000}"/>
    <cellStyle name="Percent 2 2 2 2 5 3 2" xfId="27178" xr:uid="{00000000-0005-0000-0000-0000897A0000}"/>
    <cellStyle name="Percent 2 2 2 2 5 4" xfId="32412" xr:uid="{00000000-0005-0000-0000-00008A7A0000}"/>
    <cellStyle name="Percent 2 2 2 2 6" xfId="8154" xr:uid="{00000000-0005-0000-0000-00008B7A0000}"/>
    <cellStyle name="Percent 2 2 2 2 6 2" xfId="14210" xr:uid="{00000000-0005-0000-0000-00008C7A0000}"/>
    <cellStyle name="Percent 2 2 2 2 6 2 2" xfId="27759" xr:uid="{00000000-0005-0000-0000-00008D7A0000}"/>
    <cellStyle name="Percent 2 2 2 2 6 3" xfId="32414" xr:uid="{00000000-0005-0000-0000-00008E7A0000}"/>
    <cellStyle name="Percent 2 2 2 2 7" xfId="8155" xr:uid="{00000000-0005-0000-0000-00008F7A0000}"/>
    <cellStyle name="Percent 2 2 2 2 7 2" xfId="16096" xr:uid="{00000000-0005-0000-0000-0000907A0000}"/>
    <cellStyle name="Percent 2 2 2 2 7 2 2" xfId="29503" xr:uid="{00000000-0005-0000-0000-0000917A0000}"/>
    <cellStyle name="Percent 2 2 2 2 7 3" xfId="32415" xr:uid="{00000000-0005-0000-0000-0000927A0000}"/>
    <cellStyle name="Percent 2 2 2 2 8" xfId="10340" xr:uid="{00000000-0005-0000-0000-0000937A0000}"/>
    <cellStyle name="Percent 2 2 2 2 9" xfId="32396" xr:uid="{00000000-0005-0000-0000-0000947A0000}"/>
    <cellStyle name="Percent 2 2 2 3" xfId="8156" xr:uid="{00000000-0005-0000-0000-0000957A0000}"/>
    <cellStyle name="Percent 2 2 2 3 2" xfId="8157" xr:uid="{00000000-0005-0000-0000-0000967A0000}"/>
    <cellStyle name="Percent 2 2 2 3 2 2" xfId="8158" xr:uid="{00000000-0005-0000-0000-0000977A0000}"/>
    <cellStyle name="Percent 2 2 2 3 2 2 2" xfId="11649" xr:uid="{00000000-0005-0000-0000-0000987A0000}"/>
    <cellStyle name="Percent 2 2 2 3 2 2 3" xfId="32418" xr:uid="{00000000-0005-0000-0000-0000997A0000}"/>
    <cellStyle name="Percent 2 2 2 3 2 3" xfId="8159" xr:uid="{00000000-0005-0000-0000-00009A7A0000}"/>
    <cellStyle name="Percent 2 2 2 3 2 3 2" xfId="16823" xr:uid="{00000000-0005-0000-0000-00009B7A0000}"/>
    <cellStyle name="Percent 2 2 2 3 2 3 2 2" xfId="30230" xr:uid="{00000000-0005-0000-0000-00009C7A0000}"/>
    <cellStyle name="Percent 2 2 2 3 2 3 3" xfId="32419" xr:uid="{00000000-0005-0000-0000-00009D7A0000}"/>
    <cellStyle name="Percent 2 2 2 3 2 4" xfId="10345" xr:uid="{00000000-0005-0000-0000-00009E7A0000}"/>
    <cellStyle name="Percent 2 2 2 3 2 5" xfId="32417" xr:uid="{00000000-0005-0000-0000-00009F7A0000}"/>
    <cellStyle name="Percent 2 2 2 3 3" xfId="8160" xr:uid="{00000000-0005-0000-0000-0000A07A0000}"/>
    <cellStyle name="Percent 2 2 2 3 3 2" xfId="8161" xr:uid="{00000000-0005-0000-0000-0000A17A0000}"/>
    <cellStyle name="Percent 2 2 2 3 3 2 2" xfId="13325" xr:uid="{00000000-0005-0000-0000-0000A27A0000}"/>
    <cellStyle name="Percent 2 2 2 3 3 2 3" xfId="32421" xr:uid="{00000000-0005-0000-0000-0000A37A0000}"/>
    <cellStyle name="Percent 2 2 2 3 3 3" xfId="12211" xr:uid="{00000000-0005-0000-0000-0000A47A0000}"/>
    <cellStyle name="Percent 2 2 2 3 3 3 2" xfId="25923" xr:uid="{00000000-0005-0000-0000-0000A57A0000}"/>
    <cellStyle name="Percent 2 2 2 3 3 4" xfId="32420" xr:uid="{00000000-0005-0000-0000-0000A67A0000}"/>
    <cellStyle name="Percent 2 2 2 3 4" xfId="8162" xr:uid="{00000000-0005-0000-0000-0000A77A0000}"/>
    <cellStyle name="Percent 2 2 2 3 4 2" xfId="8163" xr:uid="{00000000-0005-0000-0000-0000A87A0000}"/>
    <cellStyle name="Percent 2 2 2 3 4 2 2" xfId="15755" xr:uid="{00000000-0005-0000-0000-0000A97A0000}"/>
    <cellStyle name="Percent 2 2 2 3 4 2 3" xfId="32423" xr:uid="{00000000-0005-0000-0000-0000AA7A0000}"/>
    <cellStyle name="Percent 2 2 2 3 4 3" xfId="13775" xr:uid="{00000000-0005-0000-0000-0000AB7A0000}"/>
    <cellStyle name="Percent 2 2 2 3 4 3 2" xfId="27324" xr:uid="{00000000-0005-0000-0000-0000AC7A0000}"/>
    <cellStyle name="Percent 2 2 2 3 4 4" xfId="32422" xr:uid="{00000000-0005-0000-0000-0000AD7A0000}"/>
    <cellStyle name="Percent 2 2 2 3 5" xfId="8164" xr:uid="{00000000-0005-0000-0000-0000AE7A0000}"/>
    <cellStyle name="Percent 2 2 2 3 5 2" xfId="14356" xr:uid="{00000000-0005-0000-0000-0000AF7A0000}"/>
    <cellStyle name="Percent 2 2 2 3 5 2 2" xfId="27905" xr:uid="{00000000-0005-0000-0000-0000B07A0000}"/>
    <cellStyle name="Percent 2 2 2 3 5 3" xfId="32424" xr:uid="{00000000-0005-0000-0000-0000B17A0000}"/>
    <cellStyle name="Percent 2 2 2 3 6" xfId="8165" xr:uid="{00000000-0005-0000-0000-0000B27A0000}"/>
    <cellStyle name="Percent 2 2 2 3 6 2" xfId="16242" xr:uid="{00000000-0005-0000-0000-0000B37A0000}"/>
    <cellStyle name="Percent 2 2 2 3 6 2 2" xfId="29649" xr:uid="{00000000-0005-0000-0000-0000B47A0000}"/>
    <cellStyle name="Percent 2 2 2 3 6 3" xfId="32425" xr:uid="{00000000-0005-0000-0000-0000B57A0000}"/>
    <cellStyle name="Percent 2 2 2 3 7" xfId="10344" xr:uid="{00000000-0005-0000-0000-0000B67A0000}"/>
    <cellStyle name="Percent 2 2 2 3 8" xfId="32416" xr:uid="{00000000-0005-0000-0000-0000B77A0000}"/>
    <cellStyle name="Percent 2 2 2 4" xfId="8166" xr:uid="{00000000-0005-0000-0000-0000B87A0000}"/>
    <cellStyle name="Percent 2 2 2 4 2" xfId="8167" xr:uid="{00000000-0005-0000-0000-0000B97A0000}"/>
    <cellStyle name="Percent 2 2 2 4 2 2" xfId="17170" xr:uid="{00000000-0005-0000-0000-0000BA7A0000}"/>
    <cellStyle name="Percent 2 2 2 4 2 2 2" xfId="30529" xr:uid="{00000000-0005-0000-0000-0000BB7A0000}"/>
    <cellStyle name="Percent 2 2 2 4 2 3" xfId="32427" xr:uid="{00000000-0005-0000-0000-0000BC7A0000}"/>
    <cellStyle name="Percent 2 2 2 4 3" xfId="10346" xr:uid="{00000000-0005-0000-0000-0000BD7A0000}"/>
    <cellStyle name="Percent 2 2 2 4 4" xfId="32426" xr:uid="{00000000-0005-0000-0000-0000BE7A0000}"/>
    <cellStyle name="Percent 2 2 2 5" xfId="8168" xr:uid="{00000000-0005-0000-0000-0000BF7A0000}"/>
    <cellStyle name="Percent 2 2 2 5 2" xfId="8169" xr:uid="{00000000-0005-0000-0000-0000C07A0000}"/>
    <cellStyle name="Percent 2 2 2 5 2 2" xfId="11650" xr:uid="{00000000-0005-0000-0000-0000C17A0000}"/>
    <cellStyle name="Percent 2 2 2 5 2 3" xfId="32429" xr:uid="{00000000-0005-0000-0000-0000C27A0000}"/>
    <cellStyle name="Percent 2 2 2 5 3" xfId="8170" xr:uid="{00000000-0005-0000-0000-0000C37A0000}"/>
    <cellStyle name="Percent 2 2 2 5 3 2" xfId="17259" xr:uid="{00000000-0005-0000-0000-0000C47A0000}"/>
    <cellStyle name="Percent 2 2 2 5 3 2 2" xfId="30618" xr:uid="{00000000-0005-0000-0000-0000C57A0000}"/>
    <cellStyle name="Percent 2 2 2 5 3 3" xfId="32430" xr:uid="{00000000-0005-0000-0000-0000C67A0000}"/>
    <cellStyle name="Percent 2 2 2 5 4" xfId="10347" xr:uid="{00000000-0005-0000-0000-0000C77A0000}"/>
    <cellStyle name="Percent 2 2 2 5 5" xfId="32428" xr:uid="{00000000-0005-0000-0000-0000C87A0000}"/>
    <cellStyle name="Percent 2 2 2 6" xfId="8171" xr:uid="{00000000-0005-0000-0000-0000C97A0000}"/>
    <cellStyle name="Percent 2 2 2 6 2" xfId="8172" xr:uid="{00000000-0005-0000-0000-0000CA7A0000}"/>
    <cellStyle name="Percent 2 2 2 6 2 2" xfId="13326" xr:uid="{00000000-0005-0000-0000-0000CB7A0000}"/>
    <cellStyle name="Percent 2 2 2 6 2 3" xfId="32432" xr:uid="{00000000-0005-0000-0000-0000CC7A0000}"/>
    <cellStyle name="Percent 2 2 2 6 3" xfId="8173" xr:uid="{00000000-0005-0000-0000-0000CD7A0000}"/>
    <cellStyle name="Percent 2 2 2 6 3 2" xfId="16534" xr:uid="{00000000-0005-0000-0000-0000CE7A0000}"/>
    <cellStyle name="Percent 2 2 2 6 3 2 2" xfId="29941" xr:uid="{00000000-0005-0000-0000-0000CF7A0000}"/>
    <cellStyle name="Percent 2 2 2 6 3 3" xfId="32433" xr:uid="{00000000-0005-0000-0000-0000D07A0000}"/>
    <cellStyle name="Percent 2 2 2 6 4" xfId="11909" xr:uid="{00000000-0005-0000-0000-0000D17A0000}"/>
    <cellStyle name="Percent 2 2 2 6 4 2" xfId="25624" xr:uid="{00000000-0005-0000-0000-0000D27A0000}"/>
    <cellStyle name="Percent 2 2 2 6 5" xfId="32431" xr:uid="{00000000-0005-0000-0000-0000D37A0000}"/>
    <cellStyle name="Percent 2 2 2 7" xfId="8174" xr:uid="{00000000-0005-0000-0000-0000D47A0000}"/>
    <cellStyle name="Percent 2 2 2 7 2" xfId="8175" xr:uid="{00000000-0005-0000-0000-0000D57A0000}"/>
    <cellStyle name="Percent 2 2 2 7 2 2" xfId="15756" xr:uid="{00000000-0005-0000-0000-0000D67A0000}"/>
    <cellStyle name="Percent 2 2 2 7 2 3" xfId="32435" xr:uid="{00000000-0005-0000-0000-0000D77A0000}"/>
    <cellStyle name="Percent 2 2 2 7 3" xfId="13486" xr:uid="{00000000-0005-0000-0000-0000D87A0000}"/>
    <cellStyle name="Percent 2 2 2 7 3 2" xfId="27035" xr:uid="{00000000-0005-0000-0000-0000D97A0000}"/>
    <cellStyle name="Percent 2 2 2 7 4" xfId="32434" xr:uid="{00000000-0005-0000-0000-0000DA7A0000}"/>
    <cellStyle name="Percent 2 2 2 8" xfId="8176" xr:uid="{00000000-0005-0000-0000-0000DB7A0000}"/>
    <cellStyle name="Percent 2 2 2 8 2" xfId="14067" xr:uid="{00000000-0005-0000-0000-0000DC7A0000}"/>
    <cellStyle name="Percent 2 2 2 8 2 2" xfId="27616" xr:uid="{00000000-0005-0000-0000-0000DD7A0000}"/>
    <cellStyle name="Percent 2 2 2 8 3" xfId="32436" xr:uid="{00000000-0005-0000-0000-0000DE7A0000}"/>
    <cellStyle name="Percent 2 2 2 9" xfId="8177" xr:uid="{00000000-0005-0000-0000-0000DF7A0000}"/>
    <cellStyle name="Percent 2 2 2 9 2" xfId="15953" xr:uid="{00000000-0005-0000-0000-0000E07A0000}"/>
    <cellStyle name="Percent 2 2 2 9 2 2" xfId="29360" xr:uid="{00000000-0005-0000-0000-0000E17A0000}"/>
    <cellStyle name="Percent 2 2 2 9 3" xfId="32437" xr:uid="{00000000-0005-0000-0000-0000E27A0000}"/>
    <cellStyle name="Percent 2 2 3" xfId="8178" xr:uid="{00000000-0005-0000-0000-0000E37A0000}"/>
    <cellStyle name="Percent 2 2 3 2" xfId="8179" xr:uid="{00000000-0005-0000-0000-0000E47A0000}"/>
    <cellStyle name="Percent 2 2 3 2 2" xfId="8180" xr:uid="{00000000-0005-0000-0000-0000E57A0000}"/>
    <cellStyle name="Percent 2 2 3 2 2 2" xfId="8181" xr:uid="{00000000-0005-0000-0000-0000E67A0000}"/>
    <cellStyle name="Percent 2 2 3 2 2 2 2" xfId="11651" xr:uid="{00000000-0005-0000-0000-0000E77A0000}"/>
    <cellStyle name="Percent 2 2 3 2 2 2 3" xfId="32441" xr:uid="{00000000-0005-0000-0000-0000E87A0000}"/>
    <cellStyle name="Percent 2 2 3 2 2 3" xfId="8182" xr:uid="{00000000-0005-0000-0000-0000E97A0000}"/>
    <cellStyle name="Percent 2 2 3 2 2 3 2" xfId="16920" xr:uid="{00000000-0005-0000-0000-0000EA7A0000}"/>
    <cellStyle name="Percent 2 2 3 2 2 3 2 2" xfId="30327" xr:uid="{00000000-0005-0000-0000-0000EB7A0000}"/>
    <cellStyle name="Percent 2 2 3 2 2 3 3" xfId="32442" xr:uid="{00000000-0005-0000-0000-0000EC7A0000}"/>
    <cellStyle name="Percent 2 2 3 2 2 4" xfId="10350" xr:uid="{00000000-0005-0000-0000-0000ED7A0000}"/>
    <cellStyle name="Percent 2 2 3 2 2 5" xfId="32440" xr:uid="{00000000-0005-0000-0000-0000EE7A0000}"/>
    <cellStyle name="Percent 2 2 3 2 3" xfId="8183" xr:uid="{00000000-0005-0000-0000-0000EF7A0000}"/>
    <cellStyle name="Percent 2 2 3 2 3 2" xfId="8184" xr:uid="{00000000-0005-0000-0000-0000F07A0000}"/>
    <cellStyle name="Percent 2 2 3 2 3 2 2" xfId="13327" xr:uid="{00000000-0005-0000-0000-0000F17A0000}"/>
    <cellStyle name="Percent 2 2 3 2 3 2 3" xfId="32444" xr:uid="{00000000-0005-0000-0000-0000F27A0000}"/>
    <cellStyle name="Percent 2 2 3 2 3 3" xfId="12308" xr:uid="{00000000-0005-0000-0000-0000F37A0000}"/>
    <cellStyle name="Percent 2 2 3 2 3 3 2" xfId="26020" xr:uid="{00000000-0005-0000-0000-0000F47A0000}"/>
    <cellStyle name="Percent 2 2 3 2 3 4" xfId="32443" xr:uid="{00000000-0005-0000-0000-0000F57A0000}"/>
    <cellStyle name="Percent 2 2 3 2 4" xfId="8185" xr:uid="{00000000-0005-0000-0000-0000F67A0000}"/>
    <cellStyle name="Percent 2 2 3 2 4 2" xfId="8186" xr:uid="{00000000-0005-0000-0000-0000F77A0000}"/>
    <cellStyle name="Percent 2 2 3 2 4 2 2" xfId="15757" xr:uid="{00000000-0005-0000-0000-0000F87A0000}"/>
    <cellStyle name="Percent 2 2 3 2 4 2 3" xfId="32446" xr:uid="{00000000-0005-0000-0000-0000F97A0000}"/>
    <cellStyle name="Percent 2 2 3 2 4 3" xfId="13872" xr:uid="{00000000-0005-0000-0000-0000FA7A0000}"/>
    <cellStyle name="Percent 2 2 3 2 4 3 2" xfId="27421" xr:uid="{00000000-0005-0000-0000-0000FB7A0000}"/>
    <cellStyle name="Percent 2 2 3 2 4 4" xfId="32445" xr:uid="{00000000-0005-0000-0000-0000FC7A0000}"/>
    <cellStyle name="Percent 2 2 3 2 5" xfId="8187" xr:uid="{00000000-0005-0000-0000-0000FD7A0000}"/>
    <cellStyle name="Percent 2 2 3 2 5 2" xfId="14453" xr:uid="{00000000-0005-0000-0000-0000FE7A0000}"/>
    <cellStyle name="Percent 2 2 3 2 5 2 2" xfId="28002" xr:uid="{00000000-0005-0000-0000-0000FF7A0000}"/>
    <cellStyle name="Percent 2 2 3 2 5 3" xfId="32447" xr:uid="{00000000-0005-0000-0000-0000007B0000}"/>
    <cellStyle name="Percent 2 2 3 2 6" xfId="8188" xr:uid="{00000000-0005-0000-0000-0000017B0000}"/>
    <cellStyle name="Percent 2 2 3 2 6 2" xfId="16339" xr:uid="{00000000-0005-0000-0000-0000027B0000}"/>
    <cellStyle name="Percent 2 2 3 2 6 2 2" xfId="29746" xr:uid="{00000000-0005-0000-0000-0000037B0000}"/>
    <cellStyle name="Percent 2 2 3 2 6 3" xfId="32448" xr:uid="{00000000-0005-0000-0000-0000047B0000}"/>
    <cellStyle name="Percent 2 2 3 2 7" xfId="10349" xr:uid="{00000000-0005-0000-0000-0000057B0000}"/>
    <cellStyle name="Percent 2 2 3 2 8" xfId="32439" xr:uid="{00000000-0005-0000-0000-0000067B0000}"/>
    <cellStyle name="Percent 2 2 3 3" xfId="8189" xr:uid="{00000000-0005-0000-0000-0000077B0000}"/>
    <cellStyle name="Percent 2 2 3 3 2" xfId="8190" xr:uid="{00000000-0005-0000-0000-0000087B0000}"/>
    <cellStyle name="Percent 2 2 3 3 2 2" xfId="11652" xr:uid="{00000000-0005-0000-0000-0000097B0000}"/>
    <cellStyle name="Percent 2 2 3 3 2 3" xfId="32450" xr:uid="{00000000-0005-0000-0000-00000A7B0000}"/>
    <cellStyle name="Percent 2 2 3 3 3" xfId="8191" xr:uid="{00000000-0005-0000-0000-00000B7B0000}"/>
    <cellStyle name="Percent 2 2 3 3 3 2" xfId="16631" xr:uid="{00000000-0005-0000-0000-00000C7B0000}"/>
    <cellStyle name="Percent 2 2 3 3 3 2 2" xfId="30038" xr:uid="{00000000-0005-0000-0000-00000D7B0000}"/>
    <cellStyle name="Percent 2 2 3 3 3 3" xfId="32451" xr:uid="{00000000-0005-0000-0000-00000E7B0000}"/>
    <cellStyle name="Percent 2 2 3 3 4" xfId="10351" xr:uid="{00000000-0005-0000-0000-00000F7B0000}"/>
    <cellStyle name="Percent 2 2 3 3 5" xfId="32449" xr:uid="{00000000-0005-0000-0000-0000107B0000}"/>
    <cellStyle name="Percent 2 2 3 4" xfId="8192" xr:uid="{00000000-0005-0000-0000-0000117B0000}"/>
    <cellStyle name="Percent 2 2 3 4 2" xfId="8193" xr:uid="{00000000-0005-0000-0000-0000127B0000}"/>
    <cellStyle name="Percent 2 2 3 4 2 2" xfId="13328" xr:uid="{00000000-0005-0000-0000-0000137B0000}"/>
    <cellStyle name="Percent 2 2 3 4 2 3" xfId="32453" xr:uid="{00000000-0005-0000-0000-0000147B0000}"/>
    <cellStyle name="Percent 2 2 3 4 3" xfId="12008" xr:uid="{00000000-0005-0000-0000-0000157B0000}"/>
    <cellStyle name="Percent 2 2 3 4 3 2" xfId="25723" xr:uid="{00000000-0005-0000-0000-0000167B0000}"/>
    <cellStyle name="Percent 2 2 3 4 4" xfId="32452" xr:uid="{00000000-0005-0000-0000-0000177B0000}"/>
    <cellStyle name="Percent 2 2 3 5" xfId="8194" xr:uid="{00000000-0005-0000-0000-0000187B0000}"/>
    <cellStyle name="Percent 2 2 3 5 2" xfId="8195" xr:uid="{00000000-0005-0000-0000-0000197B0000}"/>
    <cellStyle name="Percent 2 2 3 5 2 2" xfId="15758" xr:uid="{00000000-0005-0000-0000-00001A7B0000}"/>
    <cellStyle name="Percent 2 2 3 5 2 3" xfId="32455" xr:uid="{00000000-0005-0000-0000-00001B7B0000}"/>
    <cellStyle name="Percent 2 2 3 5 3" xfId="13583" xr:uid="{00000000-0005-0000-0000-00001C7B0000}"/>
    <cellStyle name="Percent 2 2 3 5 3 2" xfId="27132" xr:uid="{00000000-0005-0000-0000-00001D7B0000}"/>
    <cellStyle name="Percent 2 2 3 5 4" xfId="32454" xr:uid="{00000000-0005-0000-0000-00001E7B0000}"/>
    <cellStyle name="Percent 2 2 3 6" xfId="8196" xr:uid="{00000000-0005-0000-0000-00001F7B0000}"/>
    <cellStyle name="Percent 2 2 3 6 2" xfId="14164" xr:uid="{00000000-0005-0000-0000-0000207B0000}"/>
    <cellStyle name="Percent 2 2 3 6 2 2" xfId="27713" xr:uid="{00000000-0005-0000-0000-0000217B0000}"/>
    <cellStyle name="Percent 2 2 3 6 3" xfId="32456" xr:uid="{00000000-0005-0000-0000-0000227B0000}"/>
    <cellStyle name="Percent 2 2 3 7" xfId="8197" xr:uid="{00000000-0005-0000-0000-0000237B0000}"/>
    <cellStyle name="Percent 2 2 3 7 2" xfId="16050" xr:uid="{00000000-0005-0000-0000-0000247B0000}"/>
    <cellStyle name="Percent 2 2 3 7 2 2" xfId="29457" xr:uid="{00000000-0005-0000-0000-0000257B0000}"/>
    <cellStyle name="Percent 2 2 3 7 3" xfId="32457" xr:uid="{00000000-0005-0000-0000-0000267B0000}"/>
    <cellStyle name="Percent 2 2 3 8" xfId="10348" xr:uid="{00000000-0005-0000-0000-0000277B0000}"/>
    <cellStyle name="Percent 2 2 3 9" xfId="32438" xr:uid="{00000000-0005-0000-0000-0000287B0000}"/>
    <cellStyle name="Percent 2 2 4" xfId="8198" xr:uid="{00000000-0005-0000-0000-0000297B0000}"/>
    <cellStyle name="Percent 2 2 4 2" xfId="8199" xr:uid="{00000000-0005-0000-0000-00002A7B0000}"/>
    <cellStyle name="Percent 2 2 4 2 2" xfId="8200" xr:uid="{00000000-0005-0000-0000-00002B7B0000}"/>
    <cellStyle name="Percent 2 2 4 2 2 2" xfId="11654" xr:uid="{00000000-0005-0000-0000-00002C7B0000}"/>
    <cellStyle name="Percent 2 2 4 2 2 3" xfId="32460" xr:uid="{00000000-0005-0000-0000-00002D7B0000}"/>
    <cellStyle name="Percent 2 2 4 2 3" xfId="8201" xr:uid="{00000000-0005-0000-0000-00002E7B0000}"/>
    <cellStyle name="Percent 2 2 4 2 3 2" xfId="16777" xr:uid="{00000000-0005-0000-0000-00002F7B0000}"/>
    <cellStyle name="Percent 2 2 4 2 3 2 2" xfId="30184" xr:uid="{00000000-0005-0000-0000-0000307B0000}"/>
    <cellStyle name="Percent 2 2 4 2 3 3" xfId="32461" xr:uid="{00000000-0005-0000-0000-0000317B0000}"/>
    <cellStyle name="Percent 2 2 4 2 4" xfId="10353" xr:uid="{00000000-0005-0000-0000-0000327B0000}"/>
    <cellStyle name="Percent 2 2 4 2 5" xfId="32459" xr:uid="{00000000-0005-0000-0000-0000337B0000}"/>
    <cellStyle name="Percent 2 2 4 3" xfId="8202" xr:uid="{00000000-0005-0000-0000-0000347B0000}"/>
    <cellStyle name="Percent 2 2 4 3 2" xfId="8203" xr:uid="{00000000-0005-0000-0000-0000357B0000}"/>
    <cellStyle name="Percent 2 2 4 3 2 2" xfId="13329" xr:uid="{00000000-0005-0000-0000-0000367B0000}"/>
    <cellStyle name="Percent 2 2 4 3 2 3" xfId="32463" xr:uid="{00000000-0005-0000-0000-0000377B0000}"/>
    <cellStyle name="Percent 2 2 4 3 3" xfId="12165" xr:uid="{00000000-0005-0000-0000-0000387B0000}"/>
    <cellStyle name="Percent 2 2 4 3 3 2" xfId="25877" xr:uid="{00000000-0005-0000-0000-0000397B0000}"/>
    <cellStyle name="Percent 2 2 4 3 4" xfId="32462" xr:uid="{00000000-0005-0000-0000-00003A7B0000}"/>
    <cellStyle name="Percent 2 2 4 4" xfId="8204" xr:uid="{00000000-0005-0000-0000-00003B7B0000}"/>
    <cellStyle name="Percent 2 2 4 4 2" xfId="8205" xr:uid="{00000000-0005-0000-0000-00003C7B0000}"/>
    <cellStyle name="Percent 2 2 4 4 2 2" xfId="15759" xr:uid="{00000000-0005-0000-0000-00003D7B0000}"/>
    <cellStyle name="Percent 2 2 4 4 2 3" xfId="32465" xr:uid="{00000000-0005-0000-0000-00003E7B0000}"/>
    <cellStyle name="Percent 2 2 4 4 3" xfId="13729" xr:uid="{00000000-0005-0000-0000-00003F7B0000}"/>
    <cellStyle name="Percent 2 2 4 4 3 2" xfId="27278" xr:uid="{00000000-0005-0000-0000-0000407B0000}"/>
    <cellStyle name="Percent 2 2 4 4 4" xfId="32464" xr:uid="{00000000-0005-0000-0000-0000417B0000}"/>
    <cellStyle name="Percent 2 2 4 5" xfId="8206" xr:uid="{00000000-0005-0000-0000-0000427B0000}"/>
    <cellStyle name="Percent 2 2 4 5 2" xfId="14310" xr:uid="{00000000-0005-0000-0000-0000437B0000}"/>
    <cellStyle name="Percent 2 2 4 5 2 2" xfId="27859" xr:uid="{00000000-0005-0000-0000-0000447B0000}"/>
    <cellStyle name="Percent 2 2 4 5 3" xfId="32466" xr:uid="{00000000-0005-0000-0000-0000457B0000}"/>
    <cellStyle name="Percent 2 2 4 6" xfId="8207" xr:uid="{00000000-0005-0000-0000-0000467B0000}"/>
    <cellStyle name="Percent 2 2 4 6 2" xfId="16196" xr:uid="{00000000-0005-0000-0000-0000477B0000}"/>
    <cellStyle name="Percent 2 2 4 6 2 2" xfId="29603" xr:uid="{00000000-0005-0000-0000-0000487B0000}"/>
    <cellStyle name="Percent 2 2 4 6 3" xfId="32467" xr:uid="{00000000-0005-0000-0000-0000497B0000}"/>
    <cellStyle name="Percent 2 2 4 7" xfId="10352" xr:uid="{00000000-0005-0000-0000-00004A7B0000}"/>
    <cellStyle name="Percent 2 2 4 8" xfId="32458" xr:uid="{00000000-0005-0000-0000-00004B7B0000}"/>
    <cellStyle name="Percent 2 2 5" xfId="8208" xr:uid="{00000000-0005-0000-0000-00004C7B0000}"/>
    <cellStyle name="Percent 2 2 5 2" xfId="8209" xr:uid="{00000000-0005-0000-0000-00004D7B0000}"/>
    <cellStyle name="Percent 2 2 5 2 2" xfId="8210" xr:uid="{00000000-0005-0000-0000-00004E7B0000}"/>
    <cellStyle name="Percent 2 2 5 2 2 2" xfId="11656" xr:uid="{00000000-0005-0000-0000-00004F7B0000}"/>
    <cellStyle name="Percent 2 2 5 2 2 3" xfId="32470" xr:uid="{00000000-0005-0000-0000-0000507B0000}"/>
    <cellStyle name="Percent 2 2 5 2 3" xfId="10355" xr:uid="{00000000-0005-0000-0000-0000517B0000}"/>
    <cellStyle name="Percent 2 2 5 2 4" xfId="32469" xr:uid="{00000000-0005-0000-0000-0000527B0000}"/>
    <cellStyle name="Percent 2 2 5 3" xfId="8211" xr:uid="{00000000-0005-0000-0000-0000537B0000}"/>
    <cellStyle name="Percent 2 2 5 3 2" xfId="11655" xr:uid="{00000000-0005-0000-0000-0000547B0000}"/>
    <cellStyle name="Percent 2 2 5 3 3" xfId="32471" xr:uid="{00000000-0005-0000-0000-0000557B0000}"/>
    <cellStyle name="Percent 2 2 5 4" xfId="8212" xr:uid="{00000000-0005-0000-0000-0000567B0000}"/>
    <cellStyle name="Percent 2 2 5 4 2" xfId="17044" xr:uid="{00000000-0005-0000-0000-0000577B0000}"/>
    <cellStyle name="Percent 2 2 5 4 2 2" xfId="30443" xr:uid="{00000000-0005-0000-0000-0000587B0000}"/>
    <cellStyle name="Percent 2 2 5 4 3" xfId="32472" xr:uid="{00000000-0005-0000-0000-0000597B0000}"/>
    <cellStyle name="Percent 2 2 5 5" xfId="10354" xr:uid="{00000000-0005-0000-0000-00005A7B0000}"/>
    <cellStyle name="Percent 2 2 5 6" xfId="32468" xr:uid="{00000000-0005-0000-0000-00005B7B0000}"/>
    <cellStyle name="Percent 2 2 6" xfId="8213" xr:uid="{00000000-0005-0000-0000-00005C7B0000}"/>
    <cellStyle name="Percent 2 2 6 2" xfId="8214" xr:uid="{00000000-0005-0000-0000-00005D7B0000}"/>
    <cellStyle name="Percent 2 2 6 2 2" xfId="17124" xr:uid="{00000000-0005-0000-0000-00005E7B0000}"/>
    <cellStyle name="Percent 2 2 6 2 2 2" xfId="30483" xr:uid="{00000000-0005-0000-0000-00005F7B0000}"/>
    <cellStyle name="Percent 2 2 6 2 3" xfId="32474" xr:uid="{00000000-0005-0000-0000-0000607B0000}"/>
    <cellStyle name="Percent 2 2 6 3" xfId="10356" xr:uid="{00000000-0005-0000-0000-0000617B0000}"/>
    <cellStyle name="Percent 2 2 6 4" xfId="32473" xr:uid="{00000000-0005-0000-0000-0000627B0000}"/>
    <cellStyle name="Percent 2 2 7" xfId="8215" xr:uid="{00000000-0005-0000-0000-0000637B0000}"/>
    <cellStyle name="Percent 2 2 7 2" xfId="8216" xr:uid="{00000000-0005-0000-0000-0000647B0000}"/>
    <cellStyle name="Percent 2 2 7 2 2" xfId="11657" xr:uid="{00000000-0005-0000-0000-0000657B0000}"/>
    <cellStyle name="Percent 2 2 7 2 3" xfId="32476" xr:uid="{00000000-0005-0000-0000-0000667B0000}"/>
    <cellStyle name="Percent 2 2 7 3" xfId="8217" xr:uid="{00000000-0005-0000-0000-0000677B0000}"/>
    <cellStyle name="Percent 2 2 7 3 2" xfId="17213" xr:uid="{00000000-0005-0000-0000-0000687B0000}"/>
    <cellStyle name="Percent 2 2 7 3 2 2" xfId="30572" xr:uid="{00000000-0005-0000-0000-0000697B0000}"/>
    <cellStyle name="Percent 2 2 7 3 3" xfId="32477" xr:uid="{00000000-0005-0000-0000-00006A7B0000}"/>
    <cellStyle name="Percent 2 2 7 4" xfId="10357" xr:uid="{00000000-0005-0000-0000-00006B7B0000}"/>
    <cellStyle name="Percent 2 2 7 5" xfId="32475" xr:uid="{00000000-0005-0000-0000-00006C7B0000}"/>
    <cellStyle name="Percent 2 2 8" xfId="8218" xr:uid="{00000000-0005-0000-0000-00006D7B0000}"/>
    <cellStyle name="Percent 2 2 8 2" xfId="8219" xr:uid="{00000000-0005-0000-0000-00006E7B0000}"/>
    <cellStyle name="Percent 2 2 8 2 2" xfId="11658" xr:uid="{00000000-0005-0000-0000-00006F7B0000}"/>
    <cellStyle name="Percent 2 2 8 2 3" xfId="32479" xr:uid="{00000000-0005-0000-0000-0000707B0000}"/>
    <cellStyle name="Percent 2 2 8 3" xfId="8220" xr:uid="{00000000-0005-0000-0000-0000717B0000}"/>
    <cellStyle name="Percent 2 2 8 3 2" xfId="16488" xr:uid="{00000000-0005-0000-0000-0000727B0000}"/>
    <cellStyle name="Percent 2 2 8 3 2 2" xfId="29895" xr:uid="{00000000-0005-0000-0000-0000737B0000}"/>
    <cellStyle name="Percent 2 2 8 3 3" xfId="32480" xr:uid="{00000000-0005-0000-0000-0000747B0000}"/>
    <cellStyle name="Percent 2 2 8 4" xfId="10358" xr:uid="{00000000-0005-0000-0000-0000757B0000}"/>
    <cellStyle name="Percent 2 2 8 5" xfId="32478" xr:uid="{00000000-0005-0000-0000-0000767B0000}"/>
    <cellStyle name="Percent 2 2 9" xfId="8221" xr:uid="{00000000-0005-0000-0000-0000777B0000}"/>
    <cellStyle name="Percent 2 2 9 2" xfId="8222" xr:uid="{00000000-0005-0000-0000-0000787B0000}"/>
    <cellStyle name="Percent 2 2 9 2 2" xfId="13330" xr:uid="{00000000-0005-0000-0000-0000797B0000}"/>
    <cellStyle name="Percent 2 2 9 2 2 2" xfId="26913" xr:uid="{00000000-0005-0000-0000-00007A7B0000}"/>
    <cellStyle name="Percent 2 2 9 2 3" xfId="32482" xr:uid="{00000000-0005-0000-0000-00007B7B0000}"/>
    <cellStyle name="Percent 2 2 9 3" xfId="8223" xr:uid="{00000000-0005-0000-0000-00007C7B0000}"/>
    <cellStyle name="Percent 2 2 9 3 2" xfId="15760" xr:uid="{00000000-0005-0000-0000-00007D7B0000}"/>
    <cellStyle name="Percent 2 2 9 3 3" xfId="32483" xr:uid="{00000000-0005-0000-0000-00007E7B0000}"/>
    <cellStyle name="Percent 2 2 9 4" xfId="10533" xr:uid="{00000000-0005-0000-0000-00007F7B0000}"/>
    <cellStyle name="Percent 2 2 9 4 2" xfId="24475" xr:uid="{00000000-0005-0000-0000-0000807B0000}"/>
    <cellStyle name="Percent 2 2 9 5" xfId="32481" xr:uid="{00000000-0005-0000-0000-0000817B0000}"/>
    <cellStyle name="Percent 2 20" xfId="8224" xr:uid="{00000000-0005-0000-0000-0000827B0000}"/>
    <cellStyle name="Percent 2 20 2" xfId="8225" xr:uid="{00000000-0005-0000-0000-0000837B0000}"/>
    <cellStyle name="Percent 2 20 2 2" xfId="11659" xr:uid="{00000000-0005-0000-0000-0000847B0000}"/>
    <cellStyle name="Percent 2 20 2 3" xfId="32485" xr:uid="{00000000-0005-0000-0000-0000857B0000}"/>
    <cellStyle name="Percent 2 20 3" xfId="10359" xr:uid="{00000000-0005-0000-0000-0000867B0000}"/>
    <cellStyle name="Percent 2 20 4" xfId="32484" xr:uid="{00000000-0005-0000-0000-0000877B0000}"/>
    <cellStyle name="Percent 2 21" xfId="8226" xr:uid="{00000000-0005-0000-0000-0000887B0000}"/>
    <cellStyle name="Percent 2 21 2" xfId="8227" xr:uid="{00000000-0005-0000-0000-0000897B0000}"/>
    <cellStyle name="Percent 2 21 2 2" xfId="11715" xr:uid="{00000000-0005-0000-0000-00008A7B0000}"/>
    <cellStyle name="Percent 2 21 2 2 2" xfId="25435" xr:uid="{00000000-0005-0000-0000-00008B7B0000}"/>
    <cellStyle name="Percent 2 21 2 3" xfId="32487" xr:uid="{00000000-0005-0000-0000-00008C7B0000}"/>
    <cellStyle name="Percent 2 21 3" xfId="8228" xr:uid="{00000000-0005-0000-0000-00008D7B0000}"/>
    <cellStyle name="Percent 2 21 3 2" xfId="13331" xr:uid="{00000000-0005-0000-0000-00008E7B0000}"/>
    <cellStyle name="Percent 2 21 3 2 2" xfId="26914" xr:uid="{00000000-0005-0000-0000-00008F7B0000}"/>
    <cellStyle name="Percent 2 21 3 3" xfId="32488" xr:uid="{00000000-0005-0000-0000-0000907B0000}"/>
    <cellStyle name="Percent 2 21 4" xfId="8229" xr:uid="{00000000-0005-0000-0000-0000917B0000}"/>
    <cellStyle name="Percent 2 21 4 2" xfId="15761" xr:uid="{00000000-0005-0000-0000-0000927B0000}"/>
    <cellStyle name="Percent 2 21 4 3" xfId="32489" xr:uid="{00000000-0005-0000-0000-0000937B0000}"/>
    <cellStyle name="Percent 2 21 5" xfId="10489" xr:uid="{00000000-0005-0000-0000-0000947B0000}"/>
    <cellStyle name="Percent 2 21 5 2" xfId="24439" xr:uid="{00000000-0005-0000-0000-0000957B0000}"/>
    <cellStyle name="Percent 2 21 6" xfId="32486" xr:uid="{00000000-0005-0000-0000-0000967B0000}"/>
    <cellStyle name="Percent 2 22" xfId="8230" xr:uid="{00000000-0005-0000-0000-0000977B0000}"/>
    <cellStyle name="Percent 2 22 2" xfId="8231" xr:uid="{00000000-0005-0000-0000-0000987B0000}"/>
    <cellStyle name="Percent 2 22 2 2" xfId="13332" xr:uid="{00000000-0005-0000-0000-0000997B0000}"/>
    <cellStyle name="Percent 2 22 2 2 2" xfId="26915" xr:uid="{00000000-0005-0000-0000-00009A7B0000}"/>
    <cellStyle name="Percent 2 22 2 3" xfId="32491" xr:uid="{00000000-0005-0000-0000-00009B7B0000}"/>
    <cellStyle name="Percent 2 22 3" xfId="8232" xr:uid="{00000000-0005-0000-0000-00009C7B0000}"/>
    <cellStyle name="Percent 2 22 3 2" xfId="15762" xr:uid="{00000000-0005-0000-0000-00009D7B0000}"/>
    <cellStyle name="Percent 2 22 3 3" xfId="32492" xr:uid="{00000000-0005-0000-0000-00009E7B0000}"/>
    <cellStyle name="Percent 2 22 4" xfId="10516" xr:uid="{00000000-0005-0000-0000-00009F7B0000}"/>
    <cellStyle name="Percent 2 22 4 2" xfId="24458" xr:uid="{00000000-0005-0000-0000-0000A07B0000}"/>
    <cellStyle name="Percent 2 22 5" xfId="32490" xr:uid="{00000000-0005-0000-0000-0000A17B0000}"/>
    <cellStyle name="Percent 2 23" xfId="8233" xr:uid="{00000000-0005-0000-0000-0000A27B0000}"/>
    <cellStyle name="Percent 2 23 2" xfId="11638" xr:uid="{00000000-0005-0000-0000-0000A37B0000}"/>
    <cellStyle name="Percent 2 23 3" xfId="32493" xr:uid="{00000000-0005-0000-0000-0000A47B0000}"/>
    <cellStyle name="Percent 2 24" xfId="8234" xr:uid="{00000000-0005-0000-0000-0000A57B0000}"/>
    <cellStyle name="Percent 2 24 2" xfId="11780" xr:uid="{00000000-0005-0000-0000-0000A67B0000}"/>
    <cellStyle name="Percent 2 24 2 2" xfId="25495" xr:uid="{00000000-0005-0000-0000-0000A77B0000}"/>
    <cellStyle name="Percent 2 24 3" xfId="32494" xr:uid="{00000000-0005-0000-0000-0000A87B0000}"/>
    <cellStyle name="Percent 2 25" xfId="8235" xr:uid="{00000000-0005-0000-0000-0000A97B0000}"/>
    <cellStyle name="Percent 2 25 2" xfId="13383" xr:uid="{00000000-0005-0000-0000-0000AA7B0000}"/>
    <cellStyle name="Percent 2 25 2 2" xfId="26932" xr:uid="{00000000-0005-0000-0000-0000AB7B0000}"/>
    <cellStyle name="Percent 2 25 3" xfId="32495" xr:uid="{00000000-0005-0000-0000-0000AC7B0000}"/>
    <cellStyle name="Percent 2 26" xfId="8236" xr:uid="{00000000-0005-0000-0000-0000AD7B0000}"/>
    <cellStyle name="Percent 2 26 2" xfId="13964" xr:uid="{00000000-0005-0000-0000-0000AE7B0000}"/>
    <cellStyle name="Percent 2 26 2 2" xfId="27513" xr:uid="{00000000-0005-0000-0000-0000AF7B0000}"/>
    <cellStyle name="Percent 2 26 3" xfId="32496" xr:uid="{00000000-0005-0000-0000-0000B07B0000}"/>
    <cellStyle name="Percent 2 27" xfId="8237" xr:uid="{00000000-0005-0000-0000-0000B17B0000}"/>
    <cellStyle name="Percent 2 27 2" xfId="15833" xr:uid="{00000000-0005-0000-0000-0000B27B0000}"/>
    <cellStyle name="Percent 2 27 2 2" xfId="29240" xr:uid="{00000000-0005-0000-0000-0000B37B0000}"/>
    <cellStyle name="Percent 2 27 3" xfId="32497" xr:uid="{00000000-0005-0000-0000-0000B47B0000}"/>
    <cellStyle name="Percent 2 28" xfId="8238" xr:uid="{00000000-0005-0000-0000-0000B57B0000}"/>
    <cellStyle name="Percent 2 28 2" xfId="15850" xr:uid="{00000000-0005-0000-0000-0000B67B0000}"/>
    <cellStyle name="Percent 2 28 2 2" xfId="29257" xr:uid="{00000000-0005-0000-0000-0000B77B0000}"/>
    <cellStyle name="Percent 2 28 3" xfId="32498" xr:uid="{00000000-0005-0000-0000-0000B87B0000}"/>
    <cellStyle name="Percent 2 29" xfId="8643" xr:uid="{00000000-0005-0000-0000-0000B97B0000}"/>
    <cellStyle name="Percent 2 29 2" xfId="10326" xr:uid="{00000000-0005-0000-0000-0000BA7B0000}"/>
    <cellStyle name="Percent 2 3" xfId="8239" xr:uid="{00000000-0005-0000-0000-0000BB7B0000}"/>
    <cellStyle name="Percent 2 3 10" xfId="8240" xr:uid="{00000000-0005-0000-0000-0000BC7B0000}"/>
    <cellStyle name="Percent 2 3 10 2" xfId="17340" xr:uid="{00000000-0005-0000-0000-0000BD7B0000}"/>
    <cellStyle name="Percent 2 3 10 3" xfId="32499" xr:uid="{00000000-0005-0000-0000-0000BE7B0000}"/>
    <cellStyle name="Percent 2 3 11" xfId="8737" xr:uid="{00000000-0005-0000-0000-0000BF7B0000}"/>
    <cellStyle name="Percent 2 3 12" xfId="10360" xr:uid="{00000000-0005-0000-0000-0000C07B0000}"/>
    <cellStyle name="Percent 2 3 2" xfId="8241" xr:uid="{00000000-0005-0000-0000-0000C17B0000}"/>
    <cellStyle name="Percent 2 3 2 2" xfId="8242" xr:uid="{00000000-0005-0000-0000-0000C27B0000}"/>
    <cellStyle name="Percent 2 3 2 2 2" xfId="8243" xr:uid="{00000000-0005-0000-0000-0000C37B0000}"/>
    <cellStyle name="Percent 2 3 2 2 2 2" xfId="8244" xr:uid="{00000000-0005-0000-0000-0000C47B0000}"/>
    <cellStyle name="Percent 2 3 2 2 2 2 2" xfId="11660" xr:uid="{00000000-0005-0000-0000-0000C57B0000}"/>
    <cellStyle name="Percent 2 3 2 2 2 2 3" xfId="32503" xr:uid="{00000000-0005-0000-0000-0000C67B0000}"/>
    <cellStyle name="Percent 2 3 2 2 2 3" xfId="8245" xr:uid="{00000000-0005-0000-0000-0000C77B0000}"/>
    <cellStyle name="Percent 2 3 2 2 2 3 2" xfId="16943" xr:uid="{00000000-0005-0000-0000-0000C87B0000}"/>
    <cellStyle name="Percent 2 3 2 2 2 3 2 2" xfId="30350" xr:uid="{00000000-0005-0000-0000-0000C97B0000}"/>
    <cellStyle name="Percent 2 3 2 2 2 3 3" xfId="32504" xr:uid="{00000000-0005-0000-0000-0000CA7B0000}"/>
    <cellStyle name="Percent 2 3 2 2 2 4" xfId="10363" xr:uid="{00000000-0005-0000-0000-0000CB7B0000}"/>
    <cellStyle name="Percent 2 3 2 2 2 5" xfId="32502" xr:uid="{00000000-0005-0000-0000-0000CC7B0000}"/>
    <cellStyle name="Percent 2 3 2 2 3" xfId="8246" xr:uid="{00000000-0005-0000-0000-0000CD7B0000}"/>
    <cellStyle name="Percent 2 3 2 2 3 2" xfId="8247" xr:uid="{00000000-0005-0000-0000-0000CE7B0000}"/>
    <cellStyle name="Percent 2 3 2 2 3 2 2" xfId="13333" xr:uid="{00000000-0005-0000-0000-0000CF7B0000}"/>
    <cellStyle name="Percent 2 3 2 2 3 2 3" xfId="32506" xr:uid="{00000000-0005-0000-0000-0000D07B0000}"/>
    <cellStyle name="Percent 2 3 2 2 3 3" xfId="12331" xr:uid="{00000000-0005-0000-0000-0000D17B0000}"/>
    <cellStyle name="Percent 2 3 2 2 3 3 2" xfId="26043" xr:uid="{00000000-0005-0000-0000-0000D27B0000}"/>
    <cellStyle name="Percent 2 3 2 2 3 4" xfId="32505" xr:uid="{00000000-0005-0000-0000-0000D37B0000}"/>
    <cellStyle name="Percent 2 3 2 2 4" xfId="8248" xr:uid="{00000000-0005-0000-0000-0000D47B0000}"/>
    <cellStyle name="Percent 2 3 2 2 4 2" xfId="8249" xr:uid="{00000000-0005-0000-0000-0000D57B0000}"/>
    <cellStyle name="Percent 2 3 2 2 4 2 2" xfId="15763" xr:uid="{00000000-0005-0000-0000-0000D67B0000}"/>
    <cellStyle name="Percent 2 3 2 2 4 2 3" xfId="32508" xr:uid="{00000000-0005-0000-0000-0000D77B0000}"/>
    <cellStyle name="Percent 2 3 2 2 4 3" xfId="13895" xr:uid="{00000000-0005-0000-0000-0000D87B0000}"/>
    <cellStyle name="Percent 2 3 2 2 4 3 2" xfId="27444" xr:uid="{00000000-0005-0000-0000-0000D97B0000}"/>
    <cellStyle name="Percent 2 3 2 2 4 4" xfId="32507" xr:uid="{00000000-0005-0000-0000-0000DA7B0000}"/>
    <cellStyle name="Percent 2 3 2 2 5" xfId="8250" xr:uid="{00000000-0005-0000-0000-0000DB7B0000}"/>
    <cellStyle name="Percent 2 3 2 2 5 2" xfId="14476" xr:uid="{00000000-0005-0000-0000-0000DC7B0000}"/>
    <cellStyle name="Percent 2 3 2 2 5 2 2" xfId="28025" xr:uid="{00000000-0005-0000-0000-0000DD7B0000}"/>
    <cellStyle name="Percent 2 3 2 2 5 3" xfId="32509" xr:uid="{00000000-0005-0000-0000-0000DE7B0000}"/>
    <cellStyle name="Percent 2 3 2 2 6" xfId="8251" xr:uid="{00000000-0005-0000-0000-0000DF7B0000}"/>
    <cellStyle name="Percent 2 3 2 2 6 2" xfId="16362" xr:uid="{00000000-0005-0000-0000-0000E07B0000}"/>
    <cellStyle name="Percent 2 3 2 2 6 2 2" xfId="29769" xr:uid="{00000000-0005-0000-0000-0000E17B0000}"/>
    <cellStyle name="Percent 2 3 2 2 6 3" xfId="32510" xr:uid="{00000000-0005-0000-0000-0000E27B0000}"/>
    <cellStyle name="Percent 2 3 2 2 7" xfId="10362" xr:uid="{00000000-0005-0000-0000-0000E37B0000}"/>
    <cellStyle name="Percent 2 3 2 2 8" xfId="32501" xr:uid="{00000000-0005-0000-0000-0000E47B0000}"/>
    <cellStyle name="Percent 2 3 2 3" xfId="8252" xr:uid="{00000000-0005-0000-0000-0000E57B0000}"/>
    <cellStyle name="Percent 2 3 2 3 2" xfId="8253" xr:uid="{00000000-0005-0000-0000-0000E67B0000}"/>
    <cellStyle name="Percent 2 3 2 3 2 2" xfId="11661" xr:uid="{00000000-0005-0000-0000-0000E77B0000}"/>
    <cellStyle name="Percent 2 3 2 3 2 3" xfId="32512" xr:uid="{00000000-0005-0000-0000-0000E87B0000}"/>
    <cellStyle name="Percent 2 3 2 3 3" xfId="8254" xr:uid="{00000000-0005-0000-0000-0000E97B0000}"/>
    <cellStyle name="Percent 2 3 2 3 3 2" xfId="16654" xr:uid="{00000000-0005-0000-0000-0000EA7B0000}"/>
    <cellStyle name="Percent 2 3 2 3 3 2 2" xfId="30061" xr:uid="{00000000-0005-0000-0000-0000EB7B0000}"/>
    <cellStyle name="Percent 2 3 2 3 3 3" xfId="32513" xr:uid="{00000000-0005-0000-0000-0000EC7B0000}"/>
    <cellStyle name="Percent 2 3 2 3 4" xfId="10364" xr:uid="{00000000-0005-0000-0000-0000ED7B0000}"/>
    <cellStyle name="Percent 2 3 2 3 5" xfId="32511" xr:uid="{00000000-0005-0000-0000-0000EE7B0000}"/>
    <cellStyle name="Percent 2 3 2 4" xfId="8255" xr:uid="{00000000-0005-0000-0000-0000EF7B0000}"/>
    <cellStyle name="Percent 2 3 2 4 2" xfId="8256" xr:uid="{00000000-0005-0000-0000-0000F07B0000}"/>
    <cellStyle name="Percent 2 3 2 4 2 2" xfId="13334" xr:uid="{00000000-0005-0000-0000-0000F17B0000}"/>
    <cellStyle name="Percent 2 3 2 4 2 3" xfId="32515" xr:uid="{00000000-0005-0000-0000-0000F27B0000}"/>
    <cellStyle name="Percent 2 3 2 4 3" xfId="12031" xr:uid="{00000000-0005-0000-0000-0000F37B0000}"/>
    <cellStyle name="Percent 2 3 2 4 3 2" xfId="25746" xr:uid="{00000000-0005-0000-0000-0000F47B0000}"/>
    <cellStyle name="Percent 2 3 2 4 4" xfId="32514" xr:uid="{00000000-0005-0000-0000-0000F57B0000}"/>
    <cellStyle name="Percent 2 3 2 5" xfId="8257" xr:uid="{00000000-0005-0000-0000-0000F67B0000}"/>
    <cellStyle name="Percent 2 3 2 5 2" xfId="8258" xr:uid="{00000000-0005-0000-0000-0000F77B0000}"/>
    <cellStyle name="Percent 2 3 2 5 2 2" xfId="15764" xr:uid="{00000000-0005-0000-0000-0000F87B0000}"/>
    <cellStyle name="Percent 2 3 2 5 2 3" xfId="32517" xr:uid="{00000000-0005-0000-0000-0000F97B0000}"/>
    <cellStyle name="Percent 2 3 2 5 3" xfId="13606" xr:uid="{00000000-0005-0000-0000-0000FA7B0000}"/>
    <cellStyle name="Percent 2 3 2 5 3 2" xfId="27155" xr:uid="{00000000-0005-0000-0000-0000FB7B0000}"/>
    <cellStyle name="Percent 2 3 2 5 4" xfId="32516" xr:uid="{00000000-0005-0000-0000-0000FC7B0000}"/>
    <cellStyle name="Percent 2 3 2 6" xfId="8259" xr:uid="{00000000-0005-0000-0000-0000FD7B0000}"/>
    <cellStyle name="Percent 2 3 2 6 2" xfId="14187" xr:uid="{00000000-0005-0000-0000-0000FE7B0000}"/>
    <cellStyle name="Percent 2 3 2 6 2 2" xfId="27736" xr:uid="{00000000-0005-0000-0000-0000FF7B0000}"/>
    <cellStyle name="Percent 2 3 2 6 3" xfId="32518" xr:uid="{00000000-0005-0000-0000-0000007C0000}"/>
    <cellStyle name="Percent 2 3 2 7" xfId="8260" xr:uid="{00000000-0005-0000-0000-0000017C0000}"/>
    <cellStyle name="Percent 2 3 2 7 2" xfId="16073" xr:uid="{00000000-0005-0000-0000-0000027C0000}"/>
    <cellStyle name="Percent 2 3 2 7 2 2" xfId="29480" xr:uid="{00000000-0005-0000-0000-0000037C0000}"/>
    <cellStyle name="Percent 2 3 2 7 3" xfId="32519" xr:uid="{00000000-0005-0000-0000-0000047C0000}"/>
    <cellStyle name="Percent 2 3 2 8" xfId="10361" xr:uid="{00000000-0005-0000-0000-0000057C0000}"/>
    <cellStyle name="Percent 2 3 2 9" xfId="32500" xr:uid="{00000000-0005-0000-0000-0000067C0000}"/>
    <cellStyle name="Percent 2 3 3" xfId="8261" xr:uid="{00000000-0005-0000-0000-0000077C0000}"/>
    <cellStyle name="Percent 2 3 3 2" xfId="8262" xr:uid="{00000000-0005-0000-0000-0000087C0000}"/>
    <cellStyle name="Percent 2 3 3 2 2" xfId="8263" xr:uid="{00000000-0005-0000-0000-0000097C0000}"/>
    <cellStyle name="Percent 2 3 3 2 2 2" xfId="11662" xr:uid="{00000000-0005-0000-0000-00000A7C0000}"/>
    <cellStyle name="Percent 2 3 3 2 2 3" xfId="32522" xr:uid="{00000000-0005-0000-0000-00000B7C0000}"/>
    <cellStyle name="Percent 2 3 3 2 3" xfId="8264" xr:uid="{00000000-0005-0000-0000-00000C7C0000}"/>
    <cellStyle name="Percent 2 3 3 2 3 2" xfId="16800" xr:uid="{00000000-0005-0000-0000-00000D7C0000}"/>
    <cellStyle name="Percent 2 3 3 2 3 2 2" xfId="30207" xr:uid="{00000000-0005-0000-0000-00000E7C0000}"/>
    <cellStyle name="Percent 2 3 3 2 3 3" xfId="32523" xr:uid="{00000000-0005-0000-0000-00000F7C0000}"/>
    <cellStyle name="Percent 2 3 3 2 4" xfId="10366" xr:uid="{00000000-0005-0000-0000-0000107C0000}"/>
    <cellStyle name="Percent 2 3 3 2 5" xfId="32521" xr:uid="{00000000-0005-0000-0000-0000117C0000}"/>
    <cellStyle name="Percent 2 3 3 3" xfId="8265" xr:uid="{00000000-0005-0000-0000-0000127C0000}"/>
    <cellStyle name="Percent 2 3 3 3 2" xfId="8266" xr:uid="{00000000-0005-0000-0000-0000137C0000}"/>
    <cellStyle name="Percent 2 3 3 3 2 2" xfId="13335" xr:uid="{00000000-0005-0000-0000-0000147C0000}"/>
    <cellStyle name="Percent 2 3 3 3 2 3" xfId="32525" xr:uid="{00000000-0005-0000-0000-0000157C0000}"/>
    <cellStyle name="Percent 2 3 3 3 3" xfId="12188" xr:uid="{00000000-0005-0000-0000-0000167C0000}"/>
    <cellStyle name="Percent 2 3 3 3 3 2" xfId="25900" xr:uid="{00000000-0005-0000-0000-0000177C0000}"/>
    <cellStyle name="Percent 2 3 3 3 4" xfId="32524" xr:uid="{00000000-0005-0000-0000-0000187C0000}"/>
    <cellStyle name="Percent 2 3 3 4" xfId="8267" xr:uid="{00000000-0005-0000-0000-0000197C0000}"/>
    <cellStyle name="Percent 2 3 3 4 2" xfId="8268" xr:uid="{00000000-0005-0000-0000-00001A7C0000}"/>
    <cellStyle name="Percent 2 3 3 4 2 2" xfId="15765" xr:uid="{00000000-0005-0000-0000-00001B7C0000}"/>
    <cellStyle name="Percent 2 3 3 4 2 3" xfId="32527" xr:uid="{00000000-0005-0000-0000-00001C7C0000}"/>
    <cellStyle name="Percent 2 3 3 4 3" xfId="13752" xr:uid="{00000000-0005-0000-0000-00001D7C0000}"/>
    <cellStyle name="Percent 2 3 3 4 3 2" xfId="27301" xr:uid="{00000000-0005-0000-0000-00001E7C0000}"/>
    <cellStyle name="Percent 2 3 3 4 4" xfId="32526" xr:uid="{00000000-0005-0000-0000-00001F7C0000}"/>
    <cellStyle name="Percent 2 3 3 5" xfId="8269" xr:uid="{00000000-0005-0000-0000-0000207C0000}"/>
    <cellStyle name="Percent 2 3 3 5 2" xfId="14333" xr:uid="{00000000-0005-0000-0000-0000217C0000}"/>
    <cellStyle name="Percent 2 3 3 5 2 2" xfId="27882" xr:uid="{00000000-0005-0000-0000-0000227C0000}"/>
    <cellStyle name="Percent 2 3 3 5 3" xfId="32528" xr:uid="{00000000-0005-0000-0000-0000237C0000}"/>
    <cellStyle name="Percent 2 3 3 6" xfId="8270" xr:uid="{00000000-0005-0000-0000-0000247C0000}"/>
    <cellStyle name="Percent 2 3 3 6 2" xfId="16219" xr:uid="{00000000-0005-0000-0000-0000257C0000}"/>
    <cellStyle name="Percent 2 3 3 6 2 2" xfId="29626" xr:uid="{00000000-0005-0000-0000-0000267C0000}"/>
    <cellStyle name="Percent 2 3 3 6 3" xfId="32529" xr:uid="{00000000-0005-0000-0000-0000277C0000}"/>
    <cellStyle name="Percent 2 3 3 7" xfId="10365" xr:uid="{00000000-0005-0000-0000-0000287C0000}"/>
    <cellStyle name="Percent 2 3 3 8" xfId="32520" xr:uid="{00000000-0005-0000-0000-0000297C0000}"/>
    <cellStyle name="Percent 2 3 4" xfId="8271" xr:uid="{00000000-0005-0000-0000-00002A7C0000}"/>
    <cellStyle name="Percent 2 3 4 2" xfId="8272" xr:uid="{00000000-0005-0000-0000-00002B7C0000}"/>
    <cellStyle name="Percent 2 3 4 2 2" xfId="13336" xr:uid="{00000000-0005-0000-0000-00002C7C0000}"/>
    <cellStyle name="Percent 2 3 4 2 3" xfId="32531" xr:uid="{00000000-0005-0000-0000-00002D7C0000}"/>
    <cellStyle name="Percent 2 3 4 3" xfId="8273" xr:uid="{00000000-0005-0000-0000-00002E7C0000}"/>
    <cellStyle name="Percent 2 3 4 3 2" xfId="17147" xr:uid="{00000000-0005-0000-0000-00002F7C0000}"/>
    <cellStyle name="Percent 2 3 4 3 2 2" xfId="30506" xr:uid="{00000000-0005-0000-0000-0000307C0000}"/>
    <cellStyle name="Percent 2 3 4 3 3" xfId="32532" xr:uid="{00000000-0005-0000-0000-0000317C0000}"/>
    <cellStyle name="Percent 2 3 4 4" xfId="10367" xr:uid="{00000000-0005-0000-0000-0000327C0000}"/>
    <cellStyle name="Percent 2 3 4 5" xfId="32530" xr:uid="{00000000-0005-0000-0000-0000337C0000}"/>
    <cellStyle name="Percent 2 3 5" xfId="8274" xr:uid="{00000000-0005-0000-0000-0000347C0000}"/>
    <cellStyle name="Percent 2 3 5 2" xfId="8275" xr:uid="{00000000-0005-0000-0000-0000357C0000}"/>
    <cellStyle name="Percent 2 3 5 2 2" xfId="11663" xr:uid="{00000000-0005-0000-0000-0000367C0000}"/>
    <cellStyle name="Percent 2 3 5 2 3" xfId="32534" xr:uid="{00000000-0005-0000-0000-0000377C0000}"/>
    <cellStyle name="Percent 2 3 5 3" xfId="8276" xr:uid="{00000000-0005-0000-0000-0000387C0000}"/>
    <cellStyle name="Percent 2 3 5 3 2" xfId="17236" xr:uid="{00000000-0005-0000-0000-0000397C0000}"/>
    <cellStyle name="Percent 2 3 5 3 2 2" xfId="30595" xr:uid="{00000000-0005-0000-0000-00003A7C0000}"/>
    <cellStyle name="Percent 2 3 5 3 3" xfId="32535" xr:uid="{00000000-0005-0000-0000-00003B7C0000}"/>
    <cellStyle name="Percent 2 3 5 4" xfId="10368" xr:uid="{00000000-0005-0000-0000-00003C7C0000}"/>
    <cellStyle name="Percent 2 3 5 5" xfId="32533" xr:uid="{00000000-0005-0000-0000-00003D7C0000}"/>
    <cellStyle name="Percent 2 3 6" xfId="8277" xr:uid="{00000000-0005-0000-0000-00003E7C0000}"/>
    <cellStyle name="Percent 2 3 6 2" xfId="8278" xr:uid="{00000000-0005-0000-0000-00003F7C0000}"/>
    <cellStyle name="Percent 2 3 6 2 2" xfId="15766" xr:uid="{00000000-0005-0000-0000-0000407C0000}"/>
    <cellStyle name="Percent 2 3 6 2 3" xfId="32537" xr:uid="{00000000-0005-0000-0000-0000417C0000}"/>
    <cellStyle name="Percent 2 3 6 3" xfId="8279" xr:uid="{00000000-0005-0000-0000-0000427C0000}"/>
    <cellStyle name="Percent 2 3 6 3 2" xfId="16511" xr:uid="{00000000-0005-0000-0000-0000437C0000}"/>
    <cellStyle name="Percent 2 3 6 3 2 2" xfId="29918" xr:uid="{00000000-0005-0000-0000-0000447C0000}"/>
    <cellStyle name="Percent 2 3 6 3 3" xfId="32538" xr:uid="{00000000-0005-0000-0000-0000457C0000}"/>
    <cellStyle name="Percent 2 3 6 4" xfId="11886" xr:uid="{00000000-0005-0000-0000-0000467C0000}"/>
    <cellStyle name="Percent 2 3 6 4 2" xfId="25601" xr:uid="{00000000-0005-0000-0000-0000477C0000}"/>
    <cellStyle name="Percent 2 3 6 5" xfId="32536" xr:uid="{00000000-0005-0000-0000-0000487C0000}"/>
    <cellStyle name="Percent 2 3 7" xfId="8280" xr:uid="{00000000-0005-0000-0000-0000497C0000}"/>
    <cellStyle name="Percent 2 3 7 2" xfId="13463" xr:uid="{00000000-0005-0000-0000-00004A7C0000}"/>
    <cellStyle name="Percent 2 3 7 2 2" xfId="27012" xr:uid="{00000000-0005-0000-0000-00004B7C0000}"/>
    <cellStyle name="Percent 2 3 7 3" xfId="32539" xr:uid="{00000000-0005-0000-0000-00004C7C0000}"/>
    <cellStyle name="Percent 2 3 8" xfId="8281" xr:uid="{00000000-0005-0000-0000-00004D7C0000}"/>
    <cellStyle name="Percent 2 3 8 2" xfId="14044" xr:uid="{00000000-0005-0000-0000-00004E7C0000}"/>
    <cellStyle name="Percent 2 3 8 2 2" xfId="27593" xr:uid="{00000000-0005-0000-0000-00004F7C0000}"/>
    <cellStyle name="Percent 2 3 8 3" xfId="32540" xr:uid="{00000000-0005-0000-0000-0000507C0000}"/>
    <cellStyle name="Percent 2 3 9" xfId="8282" xr:uid="{00000000-0005-0000-0000-0000517C0000}"/>
    <cellStyle name="Percent 2 3 9 2" xfId="15930" xr:uid="{00000000-0005-0000-0000-0000527C0000}"/>
    <cellStyle name="Percent 2 3 9 2 2" xfId="29337" xr:uid="{00000000-0005-0000-0000-0000537C0000}"/>
    <cellStyle name="Percent 2 3 9 3" xfId="32541" xr:uid="{00000000-0005-0000-0000-0000547C0000}"/>
    <cellStyle name="Percent 2 30" xfId="33019" xr:uid="{00000000-0005-0000-0000-0000557C0000}"/>
    <cellStyle name="Percent 2 4" xfId="8283" xr:uid="{00000000-0005-0000-0000-0000567C0000}"/>
    <cellStyle name="Percent 2 4 10" xfId="10369" xr:uid="{00000000-0005-0000-0000-0000577C0000}"/>
    <cellStyle name="Percent 2 4 11" xfId="32542" xr:uid="{00000000-0005-0000-0000-0000587C0000}"/>
    <cellStyle name="Percent 2 4 2" xfId="8284" xr:uid="{00000000-0005-0000-0000-0000597C0000}"/>
    <cellStyle name="Percent 2 4 2 2" xfId="8285" xr:uid="{00000000-0005-0000-0000-00005A7C0000}"/>
    <cellStyle name="Percent 2 4 2 2 2" xfId="8286" xr:uid="{00000000-0005-0000-0000-00005B7C0000}"/>
    <cellStyle name="Percent 2 4 2 2 2 2" xfId="8287" xr:uid="{00000000-0005-0000-0000-00005C7C0000}"/>
    <cellStyle name="Percent 2 4 2 2 2 2 2" xfId="11664" xr:uid="{00000000-0005-0000-0000-00005D7C0000}"/>
    <cellStyle name="Percent 2 4 2 2 2 2 3" xfId="32546" xr:uid="{00000000-0005-0000-0000-00005E7C0000}"/>
    <cellStyle name="Percent 2 4 2 2 2 3" xfId="8288" xr:uid="{00000000-0005-0000-0000-00005F7C0000}"/>
    <cellStyle name="Percent 2 4 2 2 2 3 2" xfId="16897" xr:uid="{00000000-0005-0000-0000-0000607C0000}"/>
    <cellStyle name="Percent 2 4 2 2 2 3 2 2" xfId="30304" xr:uid="{00000000-0005-0000-0000-0000617C0000}"/>
    <cellStyle name="Percent 2 4 2 2 2 3 3" xfId="32547" xr:uid="{00000000-0005-0000-0000-0000627C0000}"/>
    <cellStyle name="Percent 2 4 2 2 2 4" xfId="10372" xr:uid="{00000000-0005-0000-0000-0000637C0000}"/>
    <cellStyle name="Percent 2 4 2 2 2 5" xfId="32545" xr:uid="{00000000-0005-0000-0000-0000647C0000}"/>
    <cellStyle name="Percent 2 4 2 2 3" xfId="8289" xr:uid="{00000000-0005-0000-0000-0000657C0000}"/>
    <cellStyle name="Percent 2 4 2 2 3 2" xfId="8290" xr:uid="{00000000-0005-0000-0000-0000667C0000}"/>
    <cellStyle name="Percent 2 4 2 2 3 2 2" xfId="13337" xr:uid="{00000000-0005-0000-0000-0000677C0000}"/>
    <cellStyle name="Percent 2 4 2 2 3 2 3" xfId="32549" xr:uid="{00000000-0005-0000-0000-0000687C0000}"/>
    <cellStyle name="Percent 2 4 2 2 3 3" xfId="12285" xr:uid="{00000000-0005-0000-0000-0000697C0000}"/>
    <cellStyle name="Percent 2 4 2 2 3 3 2" xfId="25997" xr:uid="{00000000-0005-0000-0000-00006A7C0000}"/>
    <cellStyle name="Percent 2 4 2 2 3 4" xfId="32548" xr:uid="{00000000-0005-0000-0000-00006B7C0000}"/>
    <cellStyle name="Percent 2 4 2 2 4" xfId="8291" xr:uid="{00000000-0005-0000-0000-00006C7C0000}"/>
    <cellStyle name="Percent 2 4 2 2 4 2" xfId="8292" xr:uid="{00000000-0005-0000-0000-00006D7C0000}"/>
    <cellStyle name="Percent 2 4 2 2 4 2 2" xfId="15767" xr:uid="{00000000-0005-0000-0000-00006E7C0000}"/>
    <cellStyle name="Percent 2 4 2 2 4 2 3" xfId="32551" xr:uid="{00000000-0005-0000-0000-00006F7C0000}"/>
    <cellStyle name="Percent 2 4 2 2 4 3" xfId="13849" xr:uid="{00000000-0005-0000-0000-0000707C0000}"/>
    <cellStyle name="Percent 2 4 2 2 4 3 2" xfId="27398" xr:uid="{00000000-0005-0000-0000-0000717C0000}"/>
    <cellStyle name="Percent 2 4 2 2 4 4" xfId="32550" xr:uid="{00000000-0005-0000-0000-0000727C0000}"/>
    <cellStyle name="Percent 2 4 2 2 5" xfId="8293" xr:uid="{00000000-0005-0000-0000-0000737C0000}"/>
    <cellStyle name="Percent 2 4 2 2 5 2" xfId="14430" xr:uid="{00000000-0005-0000-0000-0000747C0000}"/>
    <cellStyle name="Percent 2 4 2 2 5 2 2" xfId="27979" xr:uid="{00000000-0005-0000-0000-0000757C0000}"/>
    <cellStyle name="Percent 2 4 2 2 5 3" xfId="32552" xr:uid="{00000000-0005-0000-0000-0000767C0000}"/>
    <cellStyle name="Percent 2 4 2 2 6" xfId="8294" xr:uid="{00000000-0005-0000-0000-0000777C0000}"/>
    <cellStyle name="Percent 2 4 2 2 6 2" xfId="16316" xr:uid="{00000000-0005-0000-0000-0000787C0000}"/>
    <cellStyle name="Percent 2 4 2 2 6 2 2" xfId="29723" xr:uid="{00000000-0005-0000-0000-0000797C0000}"/>
    <cellStyle name="Percent 2 4 2 2 6 3" xfId="32553" xr:uid="{00000000-0005-0000-0000-00007A7C0000}"/>
    <cellStyle name="Percent 2 4 2 2 7" xfId="10371" xr:uid="{00000000-0005-0000-0000-00007B7C0000}"/>
    <cellStyle name="Percent 2 4 2 2 8" xfId="32544" xr:uid="{00000000-0005-0000-0000-00007C7C0000}"/>
    <cellStyle name="Percent 2 4 2 3" xfId="8295" xr:uid="{00000000-0005-0000-0000-00007D7C0000}"/>
    <cellStyle name="Percent 2 4 2 3 2" xfId="8296" xr:uid="{00000000-0005-0000-0000-00007E7C0000}"/>
    <cellStyle name="Percent 2 4 2 3 2 2" xfId="11665" xr:uid="{00000000-0005-0000-0000-00007F7C0000}"/>
    <cellStyle name="Percent 2 4 2 3 2 3" xfId="32555" xr:uid="{00000000-0005-0000-0000-0000807C0000}"/>
    <cellStyle name="Percent 2 4 2 3 3" xfId="8297" xr:uid="{00000000-0005-0000-0000-0000817C0000}"/>
    <cellStyle name="Percent 2 4 2 3 3 2" xfId="16608" xr:uid="{00000000-0005-0000-0000-0000827C0000}"/>
    <cellStyle name="Percent 2 4 2 3 3 2 2" xfId="30015" xr:uid="{00000000-0005-0000-0000-0000837C0000}"/>
    <cellStyle name="Percent 2 4 2 3 3 3" xfId="32556" xr:uid="{00000000-0005-0000-0000-0000847C0000}"/>
    <cellStyle name="Percent 2 4 2 3 4" xfId="10373" xr:uid="{00000000-0005-0000-0000-0000857C0000}"/>
    <cellStyle name="Percent 2 4 2 3 5" xfId="32554" xr:uid="{00000000-0005-0000-0000-0000867C0000}"/>
    <cellStyle name="Percent 2 4 2 4" xfId="8298" xr:uid="{00000000-0005-0000-0000-0000877C0000}"/>
    <cellStyle name="Percent 2 4 2 4 2" xfId="8299" xr:uid="{00000000-0005-0000-0000-0000887C0000}"/>
    <cellStyle name="Percent 2 4 2 4 2 2" xfId="13338" xr:uid="{00000000-0005-0000-0000-0000897C0000}"/>
    <cellStyle name="Percent 2 4 2 4 2 3" xfId="32558" xr:uid="{00000000-0005-0000-0000-00008A7C0000}"/>
    <cellStyle name="Percent 2 4 2 4 3" xfId="11985" xr:uid="{00000000-0005-0000-0000-00008B7C0000}"/>
    <cellStyle name="Percent 2 4 2 4 3 2" xfId="25700" xr:uid="{00000000-0005-0000-0000-00008C7C0000}"/>
    <cellStyle name="Percent 2 4 2 4 4" xfId="32557" xr:uid="{00000000-0005-0000-0000-00008D7C0000}"/>
    <cellStyle name="Percent 2 4 2 5" xfId="8300" xr:uid="{00000000-0005-0000-0000-00008E7C0000}"/>
    <cellStyle name="Percent 2 4 2 5 2" xfId="8301" xr:uid="{00000000-0005-0000-0000-00008F7C0000}"/>
    <cellStyle name="Percent 2 4 2 5 2 2" xfId="15768" xr:uid="{00000000-0005-0000-0000-0000907C0000}"/>
    <cellStyle name="Percent 2 4 2 5 2 3" xfId="32560" xr:uid="{00000000-0005-0000-0000-0000917C0000}"/>
    <cellStyle name="Percent 2 4 2 5 3" xfId="13560" xr:uid="{00000000-0005-0000-0000-0000927C0000}"/>
    <cellStyle name="Percent 2 4 2 5 3 2" xfId="27109" xr:uid="{00000000-0005-0000-0000-0000937C0000}"/>
    <cellStyle name="Percent 2 4 2 5 4" xfId="32559" xr:uid="{00000000-0005-0000-0000-0000947C0000}"/>
    <cellStyle name="Percent 2 4 2 6" xfId="8302" xr:uid="{00000000-0005-0000-0000-0000957C0000}"/>
    <cellStyle name="Percent 2 4 2 6 2" xfId="14141" xr:uid="{00000000-0005-0000-0000-0000967C0000}"/>
    <cellStyle name="Percent 2 4 2 6 2 2" xfId="27690" xr:uid="{00000000-0005-0000-0000-0000977C0000}"/>
    <cellStyle name="Percent 2 4 2 6 3" xfId="32561" xr:uid="{00000000-0005-0000-0000-0000987C0000}"/>
    <cellStyle name="Percent 2 4 2 7" xfId="8303" xr:uid="{00000000-0005-0000-0000-0000997C0000}"/>
    <cellStyle name="Percent 2 4 2 7 2" xfId="16027" xr:uid="{00000000-0005-0000-0000-00009A7C0000}"/>
    <cellStyle name="Percent 2 4 2 7 2 2" xfId="29434" xr:uid="{00000000-0005-0000-0000-00009B7C0000}"/>
    <cellStyle name="Percent 2 4 2 7 3" xfId="32562" xr:uid="{00000000-0005-0000-0000-00009C7C0000}"/>
    <cellStyle name="Percent 2 4 2 8" xfId="10370" xr:uid="{00000000-0005-0000-0000-00009D7C0000}"/>
    <cellStyle name="Percent 2 4 2 9" xfId="32543" xr:uid="{00000000-0005-0000-0000-00009E7C0000}"/>
    <cellStyle name="Percent 2 4 3" xfId="8304" xr:uid="{00000000-0005-0000-0000-00009F7C0000}"/>
    <cellStyle name="Percent 2 4 3 2" xfId="8305" xr:uid="{00000000-0005-0000-0000-0000A07C0000}"/>
    <cellStyle name="Percent 2 4 3 2 2" xfId="8306" xr:uid="{00000000-0005-0000-0000-0000A17C0000}"/>
    <cellStyle name="Percent 2 4 3 2 2 2" xfId="11666" xr:uid="{00000000-0005-0000-0000-0000A27C0000}"/>
    <cellStyle name="Percent 2 4 3 2 2 3" xfId="32565" xr:uid="{00000000-0005-0000-0000-0000A37C0000}"/>
    <cellStyle name="Percent 2 4 3 2 3" xfId="8307" xr:uid="{00000000-0005-0000-0000-0000A47C0000}"/>
    <cellStyle name="Percent 2 4 3 2 3 2" xfId="16757" xr:uid="{00000000-0005-0000-0000-0000A57C0000}"/>
    <cellStyle name="Percent 2 4 3 2 3 2 2" xfId="30164" xr:uid="{00000000-0005-0000-0000-0000A67C0000}"/>
    <cellStyle name="Percent 2 4 3 2 3 3" xfId="32566" xr:uid="{00000000-0005-0000-0000-0000A77C0000}"/>
    <cellStyle name="Percent 2 4 3 2 4" xfId="10375" xr:uid="{00000000-0005-0000-0000-0000A87C0000}"/>
    <cellStyle name="Percent 2 4 3 2 5" xfId="32564" xr:uid="{00000000-0005-0000-0000-0000A97C0000}"/>
    <cellStyle name="Percent 2 4 3 3" xfId="8308" xr:uid="{00000000-0005-0000-0000-0000AA7C0000}"/>
    <cellStyle name="Percent 2 4 3 3 2" xfId="8309" xr:uid="{00000000-0005-0000-0000-0000AB7C0000}"/>
    <cellStyle name="Percent 2 4 3 3 2 2" xfId="13339" xr:uid="{00000000-0005-0000-0000-0000AC7C0000}"/>
    <cellStyle name="Percent 2 4 3 3 2 3" xfId="32568" xr:uid="{00000000-0005-0000-0000-0000AD7C0000}"/>
    <cellStyle name="Percent 2 4 3 3 3" xfId="12145" xr:uid="{00000000-0005-0000-0000-0000AE7C0000}"/>
    <cellStyle name="Percent 2 4 3 3 3 2" xfId="25857" xr:uid="{00000000-0005-0000-0000-0000AF7C0000}"/>
    <cellStyle name="Percent 2 4 3 3 4" xfId="32567" xr:uid="{00000000-0005-0000-0000-0000B07C0000}"/>
    <cellStyle name="Percent 2 4 3 4" xfId="8310" xr:uid="{00000000-0005-0000-0000-0000B17C0000}"/>
    <cellStyle name="Percent 2 4 3 4 2" xfId="8311" xr:uid="{00000000-0005-0000-0000-0000B27C0000}"/>
    <cellStyle name="Percent 2 4 3 4 2 2" xfId="15769" xr:uid="{00000000-0005-0000-0000-0000B37C0000}"/>
    <cellStyle name="Percent 2 4 3 4 2 3" xfId="32570" xr:uid="{00000000-0005-0000-0000-0000B47C0000}"/>
    <cellStyle name="Percent 2 4 3 4 3" xfId="13709" xr:uid="{00000000-0005-0000-0000-0000B57C0000}"/>
    <cellStyle name="Percent 2 4 3 4 3 2" xfId="27258" xr:uid="{00000000-0005-0000-0000-0000B67C0000}"/>
    <cellStyle name="Percent 2 4 3 4 4" xfId="32569" xr:uid="{00000000-0005-0000-0000-0000B77C0000}"/>
    <cellStyle name="Percent 2 4 3 5" xfId="8312" xr:uid="{00000000-0005-0000-0000-0000B87C0000}"/>
    <cellStyle name="Percent 2 4 3 5 2" xfId="14290" xr:uid="{00000000-0005-0000-0000-0000B97C0000}"/>
    <cellStyle name="Percent 2 4 3 5 2 2" xfId="27839" xr:uid="{00000000-0005-0000-0000-0000BA7C0000}"/>
    <cellStyle name="Percent 2 4 3 5 3" xfId="32571" xr:uid="{00000000-0005-0000-0000-0000BB7C0000}"/>
    <cellStyle name="Percent 2 4 3 6" xfId="8313" xr:uid="{00000000-0005-0000-0000-0000BC7C0000}"/>
    <cellStyle name="Percent 2 4 3 6 2" xfId="16176" xr:uid="{00000000-0005-0000-0000-0000BD7C0000}"/>
    <cellStyle name="Percent 2 4 3 6 2 2" xfId="29583" xr:uid="{00000000-0005-0000-0000-0000BE7C0000}"/>
    <cellStyle name="Percent 2 4 3 6 3" xfId="32572" xr:uid="{00000000-0005-0000-0000-0000BF7C0000}"/>
    <cellStyle name="Percent 2 4 3 7" xfId="10374" xr:uid="{00000000-0005-0000-0000-0000C07C0000}"/>
    <cellStyle name="Percent 2 4 3 8" xfId="32563" xr:uid="{00000000-0005-0000-0000-0000C17C0000}"/>
    <cellStyle name="Percent 2 4 4" xfId="8314" xr:uid="{00000000-0005-0000-0000-0000C27C0000}"/>
    <cellStyle name="Percent 2 4 4 2" xfId="8315" xr:uid="{00000000-0005-0000-0000-0000C37C0000}"/>
    <cellStyle name="Percent 2 4 4 2 2" xfId="16465" xr:uid="{00000000-0005-0000-0000-0000C47C0000}"/>
    <cellStyle name="Percent 2 4 4 2 2 2" xfId="29872" xr:uid="{00000000-0005-0000-0000-0000C57C0000}"/>
    <cellStyle name="Percent 2 4 4 2 3" xfId="32574" xr:uid="{00000000-0005-0000-0000-0000C67C0000}"/>
    <cellStyle name="Percent 2 4 4 3" xfId="10376" xr:uid="{00000000-0005-0000-0000-0000C77C0000}"/>
    <cellStyle name="Percent 2 4 4 4" xfId="32573" xr:uid="{00000000-0005-0000-0000-0000C87C0000}"/>
    <cellStyle name="Percent 2 4 5" xfId="8316" xr:uid="{00000000-0005-0000-0000-0000C97C0000}"/>
    <cellStyle name="Percent 2 4 5 2" xfId="8317" xr:uid="{00000000-0005-0000-0000-0000CA7C0000}"/>
    <cellStyle name="Percent 2 4 5 2 2" xfId="11667" xr:uid="{00000000-0005-0000-0000-0000CB7C0000}"/>
    <cellStyle name="Percent 2 4 5 2 3" xfId="32576" xr:uid="{00000000-0005-0000-0000-0000CC7C0000}"/>
    <cellStyle name="Percent 2 4 5 3" xfId="10377" xr:uid="{00000000-0005-0000-0000-0000CD7C0000}"/>
    <cellStyle name="Percent 2 4 5 4" xfId="32575" xr:uid="{00000000-0005-0000-0000-0000CE7C0000}"/>
    <cellStyle name="Percent 2 4 6" xfId="8318" xr:uid="{00000000-0005-0000-0000-0000CF7C0000}"/>
    <cellStyle name="Percent 2 4 6 2" xfId="8319" xr:uid="{00000000-0005-0000-0000-0000D07C0000}"/>
    <cellStyle name="Percent 2 4 6 2 2" xfId="13340" xr:uid="{00000000-0005-0000-0000-0000D17C0000}"/>
    <cellStyle name="Percent 2 4 6 2 3" xfId="32578" xr:uid="{00000000-0005-0000-0000-0000D27C0000}"/>
    <cellStyle name="Percent 2 4 6 3" xfId="11816" xr:uid="{00000000-0005-0000-0000-0000D37C0000}"/>
    <cellStyle name="Percent 2 4 6 3 2" xfId="25531" xr:uid="{00000000-0005-0000-0000-0000D47C0000}"/>
    <cellStyle name="Percent 2 4 6 4" xfId="32577" xr:uid="{00000000-0005-0000-0000-0000D57C0000}"/>
    <cellStyle name="Percent 2 4 7" xfId="8320" xr:uid="{00000000-0005-0000-0000-0000D67C0000}"/>
    <cellStyle name="Percent 2 4 7 2" xfId="8321" xr:uid="{00000000-0005-0000-0000-0000D77C0000}"/>
    <cellStyle name="Percent 2 4 7 2 2" xfId="15770" xr:uid="{00000000-0005-0000-0000-0000D87C0000}"/>
    <cellStyle name="Percent 2 4 7 2 3" xfId="32580" xr:uid="{00000000-0005-0000-0000-0000D97C0000}"/>
    <cellStyle name="Percent 2 4 7 3" xfId="13417" xr:uid="{00000000-0005-0000-0000-0000DA7C0000}"/>
    <cellStyle name="Percent 2 4 7 3 2" xfId="26966" xr:uid="{00000000-0005-0000-0000-0000DB7C0000}"/>
    <cellStyle name="Percent 2 4 7 4" xfId="32579" xr:uid="{00000000-0005-0000-0000-0000DC7C0000}"/>
    <cellStyle name="Percent 2 4 8" xfId="8322" xr:uid="{00000000-0005-0000-0000-0000DD7C0000}"/>
    <cellStyle name="Percent 2 4 8 2" xfId="13998" xr:uid="{00000000-0005-0000-0000-0000DE7C0000}"/>
    <cellStyle name="Percent 2 4 8 2 2" xfId="27547" xr:uid="{00000000-0005-0000-0000-0000DF7C0000}"/>
    <cellStyle name="Percent 2 4 8 3" xfId="32581" xr:uid="{00000000-0005-0000-0000-0000E07C0000}"/>
    <cellStyle name="Percent 2 4 9" xfId="8323" xr:uid="{00000000-0005-0000-0000-0000E17C0000}"/>
    <cellStyle name="Percent 2 4 9 2" xfId="15884" xr:uid="{00000000-0005-0000-0000-0000E27C0000}"/>
    <cellStyle name="Percent 2 4 9 2 2" xfId="29291" xr:uid="{00000000-0005-0000-0000-0000E37C0000}"/>
    <cellStyle name="Percent 2 4 9 3" xfId="32582" xr:uid="{00000000-0005-0000-0000-0000E47C0000}"/>
    <cellStyle name="Percent 2 5" xfId="8324" xr:uid="{00000000-0005-0000-0000-0000E57C0000}"/>
    <cellStyle name="Percent 2 5 10" xfId="10378" xr:uid="{00000000-0005-0000-0000-0000E67C0000}"/>
    <cellStyle name="Percent 2 5 11" xfId="32583" xr:uid="{00000000-0005-0000-0000-0000E77C0000}"/>
    <cellStyle name="Percent 2 5 2" xfId="8325" xr:uid="{00000000-0005-0000-0000-0000E87C0000}"/>
    <cellStyle name="Percent 2 5 2 2" xfId="8326" xr:uid="{00000000-0005-0000-0000-0000E97C0000}"/>
    <cellStyle name="Percent 2 5 2 2 2" xfId="8327" xr:uid="{00000000-0005-0000-0000-0000EA7C0000}"/>
    <cellStyle name="Percent 2 5 2 2 2 2" xfId="8328" xr:uid="{00000000-0005-0000-0000-0000EB7C0000}"/>
    <cellStyle name="Percent 2 5 2 2 2 2 2" xfId="11668" xr:uid="{00000000-0005-0000-0000-0000EC7C0000}"/>
    <cellStyle name="Percent 2 5 2 2 2 2 3" xfId="32587" xr:uid="{00000000-0005-0000-0000-0000ED7C0000}"/>
    <cellStyle name="Percent 2 5 2 2 2 3" xfId="8329" xr:uid="{00000000-0005-0000-0000-0000EE7C0000}"/>
    <cellStyle name="Percent 2 5 2 2 2 3 2" xfId="16880" xr:uid="{00000000-0005-0000-0000-0000EF7C0000}"/>
    <cellStyle name="Percent 2 5 2 2 2 3 2 2" xfId="30287" xr:uid="{00000000-0005-0000-0000-0000F07C0000}"/>
    <cellStyle name="Percent 2 5 2 2 2 3 3" xfId="32588" xr:uid="{00000000-0005-0000-0000-0000F17C0000}"/>
    <cellStyle name="Percent 2 5 2 2 2 4" xfId="10381" xr:uid="{00000000-0005-0000-0000-0000F27C0000}"/>
    <cellStyle name="Percent 2 5 2 2 2 5" xfId="32586" xr:uid="{00000000-0005-0000-0000-0000F37C0000}"/>
    <cellStyle name="Percent 2 5 2 2 3" xfId="8330" xr:uid="{00000000-0005-0000-0000-0000F47C0000}"/>
    <cellStyle name="Percent 2 5 2 2 3 2" xfId="8331" xr:uid="{00000000-0005-0000-0000-0000F57C0000}"/>
    <cellStyle name="Percent 2 5 2 2 3 2 2" xfId="13341" xr:uid="{00000000-0005-0000-0000-0000F67C0000}"/>
    <cellStyle name="Percent 2 5 2 2 3 2 3" xfId="32590" xr:uid="{00000000-0005-0000-0000-0000F77C0000}"/>
    <cellStyle name="Percent 2 5 2 2 3 3" xfId="12268" xr:uid="{00000000-0005-0000-0000-0000F87C0000}"/>
    <cellStyle name="Percent 2 5 2 2 3 3 2" xfId="25980" xr:uid="{00000000-0005-0000-0000-0000F97C0000}"/>
    <cellStyle name="Percent 2 5 2 2 3 4" xfId="32589" xr:uid="{00000000-0005-0000-0000-0000FA7C0000}"/>
    <cellStyle name="Percent 2 5 2 2 4" xfId="8332" xr:uid="{00000000-0005-0000-0000-0000FB7C0000}"/>
    <cellStyle name="Percent 2 5 2 2 4 2" xfId="8333" xr:uid="{00000000-0005-0000-0000-0000FC7C0000}"/>
    <cellStyle name="Percent 2 5 2 2 4 2 2" xfId="15771" xr:uid="{00000000-0005-0000-0000-0000FD7C0000}"/>
    <cellStyle name="Percent 2 5 2 2 4 2 3" xfId="32592" xr:uid="{00000000-0005-0000-0000-0000FE7C0000}"/>
    <cellStyle name="Percent 2 5 2 2 4 3" xfId="13832" xr:uid="{00000000-0005-0000-0000-0000FF7C0000}"/>
    <cellStyle name="Percent 2 5 2 2 4 3 2" xfId="27381" xr:uid="{00000000-0005-0000-0000-0000007D0000}"/>
    <cellStyle name="Percent 2 5 2 2 4 4" xfId="32591" xr:uid="{00000000-0005-0000-0000-0000017D0000}"/>
    <cellStyle name="Percent 2 5 2 2 5" xfId="8334" xr:uid="{00000000-0005-0000-0000-0000027D0000}"/>
    <cellStyle name="Percent 2 5 2 2 5 2" xfId="14413" xr:uid="{00000000-0005-0000-0000-0000037D0000}"/>
    <cellStyle name="Percent 2 5 2 2 5 2 2" xfId="27962" xr:uid="{00000000-0005-0000-0000-0000047D0000}"/>
    <cellStyle name="Percent 2 5 2 2 5 3" xfId="32593" xr:uid="{00000000-0005-0000-0000-0000057D0000}"/>
    <cellStyle name="Percent 2 5 2 2 6" xfId="8335" xr:uid="{00000000-0005-0000-0000-0000067D0000}"/>
    <cellStyle name="Percent 2 5 2 2 6 2" xfId="16299" xr:uid="{00000000-0005-0000-0000-0000077D0000}"/>
    <cellStyle name="Percent 2 5 2 2 6 2 2" xfId="29706" xr:uid="{00000000-0005-0000-0000-0000087D0000}"/>
    <cellStyle name="Percent 2 5 2 2 6 3" xfId="32594" xr:uid="{00000000-0005-0000-0000-0000097D0000}"/>
    <cellStyle name="Percent 2 5 2 2 7" xfId="10380" xr:uid="{00000000-0005-0000-0000-00000A7D0000}"/>
    <cellStyle name="Percent 2 5 2 2 8" xfId="32585" xr:uid="{00000000-0005-0000-0000-00000B7D0000}"/>
    <cellStyle name="Percent 2 5 2 3" xfId="8336" xr:uid="{00000000-0005-0000-0000-00000C7D0000}"/>
    <cellStyle name="Percent 2 5 2 3 2" xfId="8337" xr:uid="{00000000-0005-0000-0000-00000D7D0000}"/>
    <cellStyle name="Percent 2 5 2 3 2 2" xfId="11669" xr:uid="{00000000-0005-0000-0000-00000E7D0000}"/>
    <cellStyle name="Percent 2 5 2 3 2 3" xfId="32596" xr:uid="{00000000-0005-0000-0000-00000F7D0000}"/>
    <cellStyle name="Percent 2 5 2 3 3" xfId="8338" xr:uid="{00000000-0005-0000-0000-0000107D0000}"/>
    <cellStyle name="Percent 2 5 2 3 3 2" xfId="16591" xr:uid="{00000000-0005-0000-0000-0000117D0000}"/>
    <cellStyle name="Percent 2 5 2 3 3 2 2" xfId="29998" xr:uid="{00000000-0005-0000-0000-0000127D0000}"/>
    <cellStyle name="Percent 2 5 2 3 3 3" xfId="32597" xr:uid="{00000000-0005-0000-0000-0000137D0000}"/>
    <cellStyle name="Percent 2 5 2 3 4" xfId="10382" xr:uid="{00000000-0005-0000-0000-0000147D0000}"/>
    <cellStyle name="Percent 2 5 2 3 5" xfId="32595" xr:uid="{00000000-0005-0000-0000-0000157D0000}"/>
    <cellStyle name="Percent 2 5 2 4" xfId="8339" xr:uid="{00000000-0005-0000-0000-0000167D0000}"/>
    <cellStyle name="Percent 2 5 2 4 2" xfId="8340" xr:uid="{00000000-0005-0000-0000-0000177D0000}"/>
    <cellStyle name="Percent 2 5 2 4 2 2" xfId="13342" xr:uid="{00000000-0005-0000-0000-0000187D0000}"/>
    <cellStyle name="Percent 2 5 2 4 2 3" xfId="32599" xr:uid="{00000000-0005-0000-0000-0000197D0000}"/>
    <cellStyle name="Percent 2 5 2 4 3" xfId="11968" xr:uid="{00000000-0005-0000-0000-00001A7D0000}"/>
    <cellStyle name="Percent 2 5 2 4 3 2" xfId="25683" xr:uid="{00000000-0005-0000-0000-00001B7D0000}"/>
    <cellStyle name="Percent 2 5 2 4 4" xfId="32598" xr:uid="{00000000-0005-0000-0000-00001C7D0000}"/>
    <cellStyle name="Percent 2 5 2 5" xfId="8341" xr:uid="{00000000-0005-0000-0000-00001D7D0000}"/>
    <cellStyle name="Percent 2 5 2 5 2" xfId="8342" xr:uid="{00000000-0005-0000-0000-00001E7D0000}"/>
    <cellStyle name="Percent 2 5 2 5 2 2" xfId="15772" xr:uid="{00000000-0005-0000-0000-00001F7D0000}"/>
    <cellStyle name="Percent 2 5 2 5 2 3" xfId="32601" xr:uid="{00000000-0005-0000-0000-0000207D0000}"/>
    <cellStyle name="Percent 2 5 2 5 3" xfId="13543" xr:uid="{00000000-0005-0000-0000-0000217D0000}"/>
    <cellStyle name="Percent 2 5 2 5 3 2" xfId="27092" xr:uid="{00000000-0005-0000-0000-0000227D0000}"/>
    <cellStyle name="Percent 2 5 2 5 4" xfId="32600" xr:uid="{00000000-0005-0000-0000-0000237D0000}"/>
    <cellStyle name="Percent 2 5 2 6" xfId="8343" xr:uid="{00000000-0005-0000-0000-0000247D0000}"/>
    <cellStyle name="Percent 2 5 2 6 2" xfId="14124" xr:uid="{00000000-0005-0000-0000-0000257D0000}"/>
    <cellStyle name="Percent 2 5 2 6 2 2" xfId="27673" xr:uid="{00000000-0005-0000-0000-0000267D0000}"/>
    <cellStyle name="Percent 2 5 2 6 3" xfId="32602" xr:uid="{00000000-0005-0000-0000-0000277D0000}"/>
    <cellStyle name="Percent 2 5 2 7" xfId="8344" xr:uid="{00000000-0005-0000-0000-0000287D0000}"/>
    <cellStyle name="Percent 2 5 2 7 2" xfId="16010" xr:uid="{00000000-0005-0000-0000-0000297D0000}"/>
    <cellStyle name="Percent 2 5 2 7 2 2" xfId="29417" xr:uid="{00000000-0005-0000-0000-00002A7D0000}"/>
    <cellStyle name="Percent 2 5 2 7 3" xfId="32603" xr:uid="{00000000-0005-0000-0000-00002B7D0000}"/>
    <cellStyle name="Percent 2 5 2 8" xfId="10379" xr:uid="{00000000-0005-0000-0000-00002C7D0000}"/>
    <cellStyle name="Percent 2 5 2 9" xfId="32584" xr:uid="{00000000-0005-0000-0000-00002D7D0000}"/>
    <cellStyle name="Percent 2 5 3" xfId="8345" xr:uid="{00000000-0005-0000-0000-00002E7D0000}"/>
    <cellStyle name="Percent 2 5 3 2" xfId="8346" xr:uid="{00000000-0005-0000-0000-00002F7D0000}"/>
    <cellStyle name="Percent 2 5 3 2 2" xfId="8347" xr:uid="{00000000-0005-0000-0000-0000307D0000}"/>
    <cellStyle name="Percent 2 5 3 2 2 2" xfId="11670" xr:uid="{00000000-0005-0000-0000-0000317D0000}"/>
    <cellStyle name="Percent 2 5 3 2 2 3" xfId="32606" xr:uid="{00000000-0005-0000-0000-0000327D0000}"/>
    <cellStyle name="Percent 2 5 3 2 3" xfId="8348" xr:uid="{00000000-0005-0000-0000-0000337D0000}"/>
    <cellStyle name="Percent 2 5 3 2 3 2" xfId="16740" xr:uid="{00000000-0005-0000-0000-0000347D0000}"/>
    <cellStyle name="Percent 2 5 3 2 3 2 2" xfId="30147" xr:uid="{00000000-0005-0000-0000-0000357D0000}"/>
    <cellStyle name="Percent 2 5 3 2 3 3" xfId="32607" xr:uid="{00000000-0005-0000-0000-0000367D0000}"/>
    <cellStyle name="Percent 2 5 3 2 4" xfId="10384" xr:uid="{00000000-0005-0000-0000-0000377D0000}"/>
    <cellStyle name="Percent 2 5 3 2 5" xfId="32605" xr:uid="{00000000-0005-0000-0000-0000387D0000}"/>
    <cellStyle name="Percent 2 5 3 3" xfId="8349" xr:uid="{00000000-0005-0000-0000-0000397D0000}"/>
    <cellStyle name="Percent 2 5 3 3 2" xfId="8350" xr:uid="{00000000-0005-0000-0000-00003A7D0000}"/>
    <cellStyle name="Percent 2 5 3 3 2 2" xfId="13343" xr:uid="{00000000-0005-0000-0000-00003B7D0000}"/>
    <cellStyle name="Percent 2 5 3 3 2 3" xfId="32609" xr:uid="{00000000-0005-0000-0000-00003C7D0000}"/>
    <cellStyle name="Percent 2 5 3 3 3" xfId="12128" xr:uid="{00000000-0005-0000-0000-00003D7D0000}"/>
    <cellStyle name="Percent 2 5 3 3 3 2" xfId="25840" xr:uid="{00000000-0005-0000-0000-00003E7D0000}"/>
    <cellStyle name="Percent 2 5 3 3 4" xfId="32608" xr:uid="{00000000-0005-0000-0000-00003F7D0000}"/>
    <cellStyle name="Percent 2 5 3 4" xfId="8351" xr:uid="{00000000-0005-0000-0000-0000407D0000}"/>
    <cellStyle name="Percent 2 5 3 4 2" xfId="8352" xr:uid="{00000000-0005-0000-0000-0000417D0000}"/>
    <cellStyle name="Percent 2 5 3 4 2 2" xfId="15773" xr:uid="{00000000-0005-0000-0000-0000427D0000}"/>
    <cellStyle name="Percent 2 5 3 4 2 3" xfId="32611" xr:uid="{00000000-0005-0000-0000-0000437D0000}"/>
    <cellStyle name="Percent 2 5 3 4 3" xfId="13692" xr:uid="{00000000-0005-0000-0000-0000447D0000}"/>
    <cellStyle name="Percent 2 5 3 4 3 2" xfId="27241" xr:uid="{00000000-0005-0000-0000-0000457D0000}"/>
    <cellStyle name="Percent 2 5 3 4 4" xfId="32610" xr:uid="{00000000-0005-0000-0000-0000467D0000}"/>
    <cellStyle name="Percent 2 5 3 5" xfId="8353" xr:uid="{00000000-0005-0000-0000-0000477D0000}"/>
    <cellStyle name="Percent 2 5 3 5 2" xfId="14273" xr:uid="{00000000-0005-0000-0000-0000487D0000}"/>
    <cellStyle name="Percent 2 5 3 5 2 2" xfId="27822" xr:uid="{00000000-0005-0000-0000-0000497D0000}"/>
    <cellStyle name="Percent 2 5 3 5 3" xfId="32612" xr:uid="{00000000-0005-0000-0000-00004A7D0000}"/>
    <cellStyle name="Percent 2 5 3 6" xfId="8354" xr:uid="{00000000-0005-0000-0000-00004B7D0000}"/>
    <cellStyle name="Percent 2 5 3 6 2" xfId="16159" xr:uid="{00000000-0005-0000-0000-00004C7D0000}"/>
    <cellStyle name="Percent 2 5 3 6 2 2" xfId="29566" xr:uid="{00000000-0005-0000-0000-00004D7D0000}"/>
    <cellStyle name="Percent 2 5 3 6 3" xfId="32613" xr:uid="{00000000-0005-0000-0000-00004E7D0000}"/>
    <cellStyle name="Percent 2 5 3 7" xfId="10383" xr:uid="{00000000-0005-0000-0000-00004F7D0000}"/>
    <cellStyle name="Percent 2 5 3 8" xfId="32604" xr:uid="{00000000-0005-0000-0000-0000507D0000}"/>
    <cellStyle name="Percent 2 5 4" xfId="8355" xr:uid="{00000000-0005-0000-0000-0000517D0000}"/>
    <cellStyle name="Percent 2 5 4 2" xfId="8356" xr:uid="{00000000-0005-0000-0000-0000527D0000}"/>
    <cellStyle name="Percent 2 5 4 2 2" xfId="16448" xr:uid="{00000000-0005-0000-0000-0000537D0000}"/>
    <cellStyle name="Percent 2 5 4 2 2 2" xfId="29855" xr:uid="{00000000-0005-0000-0000-0000547D0000}"/>
    <cellStyle name="Percent 2 5 4 2 3" xfId="32615" xr:uid="{00000000-0005-0000-0000-0000557D0000}"/>
    <cellStyle name="Percent 2 5 4 3" xfId="10385" xr:uid="{00000000-0005-0000-0000-0000567D0000}"/>
    <cellStyle name="Percent 2 5 4 4" xfId="32614" xr:uid="{00000000-0005-0000-0000-0000577D0000}"/>
    <cellStyle name="Percent 2 5 5" xfId="8357" xr:uid="{00000000-0005-0000-0000-0000587D0000}"/>
    <cellStyle name="Percent 2 5 5 2" xfId="8358" xr:uid="{00000000-0005-0000-0000-0000597D0000}"/>
    <cellStyle name="Percent 2 5 5 2 2" xfId="11671" xr:uid="{00000000-0005-0000-0000-00005A7D0000}"/>
    <cellStyle name="Percent 2 5 5 2 3" xfId="32617" xr:uid="{00000000-0005-0000-0000-00005B7D0000}"/>
    <cellStyle name="Percent 2 5 5 3" xfId="10386" xr:uid="{00000000-0005-0000-0000-00005C7D0000}"/>
    <cellStyle name="Percent 2 5 5 4" xfId="32616" xr:uid="{00000000-0005-0000-0000-00005D7D0000}"/>
    <cellStyle name="Percent 2 5 6" xfId="8359" xr:uid="{00000000-0005-0000-0000-00005E7D0000}"/>
    <cellStyle name="Percent 2 5 6 2" xfId="8360" xr:uid="{00000000-0005-0000-0000-00005F7D0000}"/>
    <cellStyle name="Percent 2 5 6 2 2" xfId="13344" xr:uid="{00000000-0005-0000-0000-0000607D0000}"/>
    <cellStyle name="Percent 2 5 6 2 3" xfId="32619" xr:uid="{00000000-0005-0000-0000-0000617D0000}"/>
    <cellStyle name="Percent 2 5 6 3" xfId="11799" xr:uid="{00000000-0005-0000-0000-0000627D0000}"/>
    <cellStyle name="Percent 2 5 6 3 2" xfId="25514" xr:uid="{00000000-0005-0000-0000-0000637D0000}"/>
    <cellStyle name="Percent 2 5 6 4" xfId="32618" xr:uid="{00000000-0005-0000-0000-0000647D0000}"/>
    <cellStyle name="Percent 2 5 7" xfId="8361" xr:uid="{00000000-0005-0000-0000-0000657D0000}"/>
    <cellStyle name="Percent 2 5 7 2" xfId="8362" xr:uid="{00000000-0005-0000-0000-0000667D0000}"/>
    <cellStyle name="Percent 2 5 7 2 2" xfId="15774" xr:uid="{00000000-0005-0000-0000-0000677D0000}"/>
    <cellStyle name="Percent 2 5 7 2 3" xfId="32621" xr:uid="{00000000-0005-0000-0000-0000687D0000}"/>
    <cellStyle name="Percent 2 5 7 3" xfId="13400" xr:uid="{00000000-0005-0000-0000-0000697D0000}"/>
    <cellStyle name="Percent 2 5 7 3 2" xfId="26949" xr:uid="{00000000-0005-0000-0000-00006A7D0000}"/>
    <cellStyle name="Percent 2 5 7 4" xfId="32620" xr:uid="{00000000-0005-0000-0000-00006B7D0000}"/>
    <cellStyle name="Percent 2 5 8" xfId="8363" xr:uid="{00000000-0005-0000-0000-00006C7D0000}"/>
    <cellStyle name="Percent 2 5 8 2" xfId="13981" xr:uid="{00000000-0005-0000-0000-00006D7D0000}"/>
    <cellStyle name="Percent 2 5 8 2 2" xfId="27530" xr:uid="{00000000-0005-0000-0000-00006E7D0000}"/>
    <cellStyle name="Percent 2 5 8 3" xfId="32622" xr:uid="{00000000-0005-0000-0000-00006F7D0000}"/>
    <cellStyle name="Percent 2 5 9" xfId="8364" xr:uid="{00000000-0005-0000-0000-0000707D0000}"/>
    <cellStyle name="Percent 2 5 9 2" xfId="15867" xr:uid="{00000000-0005-0000-0000-0000717D0000}"/>
    <cellStyle name="Percent 2 5 9 2 2" xfId="29274" xr:uid="{00000000-0005-0000-0000-0000727D0000}"/>
    <cellStyle name="Percent 2 5 9 3" xfId="32623" xr:uid="{00000000-0005-0000-0000-0000737D0000}"/>
    <cellStyle name="Percent 2 6" xfId="8365" xr:uid="{00000000-0005-0000-0000-0000747D0000}"/>
    <cellStyle name="Percent 2 6 10" xfId="10387" xr:uid="{00000000-0005-0000-0000-0000757D0000}"/>
    <cellStyle name="Percent 2 6 11" xfId="32624" xr:uid="{00000000-0005-0000-0000-0000767D0000}"/>
    <cellStyle name="Percent 2 6 2" xfId="8366" xr:uid="{00000000-0005-0000-0000-0000777D0000}"/>
    <cellStyle name="Percent 2 6 2 2" xfId="8367" xr:uid="{00000000-0005-0000-0000-0000787D0000}"/>
    <cellStyle name="Percent 2 6 2 2 2" xfId="8368" xr:uid="{00000000-0005-0000-0000-0000797D0000}"/>
    <cellStyle name="Percent 2 6 2 2 2 2" xfId="8369" xr:uid="{00000000-0005-0000-0000-00007A7D0000}"/>
    <cellStyle name="Percent 2 6 2 2 2 2 2" xfId="11672" xr:uid="{00000000-0005-0000-0000-00007B7D0000}"/>
    <cellStyle name="Percent 2 6 2 2 2 2 3" xfId="32628" xr:uid="{00000000-0005-0000-0000-00007C7D0000}"/>
    <cellStyle name="Percent 2 6 2 2 2 3" xfId="8370" xr:uid="{00000000-0005-0000-0000-00007D7D0000}"/>
    <cellStyle name="Percent 2 6 2 2 2 3 2" xfId="16986" xr:uid="{00000000-0005-0000-0000-00007E7D0000}"/>
    <cellStyle name="Percent 2 6 2 2 2 3 2 2" xfId="30393" xr:uid="{00000000-0005-0000-0000-00007F7D0000}"/>
    <cellStyle name="Percent 2 6 2 2 2 3 3" xfId="32629" xr:uid="{00000000-0005-0000-0000-0000807D0000}"/>
    <cellStyle name="Percent 2 6 2 2 2 4" xfId="10390" xr:uid="{00000000-0005-0000-0000-0000817D0000}"/>
    <cellStyle name="Percent 2 6 2 2 2 5" xfId="32627" xr:uid="{00000000-0005-0000-0000-0000827D0000}"/>
    <cellStyle name="Percent 2 6 2 2 3" xfId="8371" xr:uid="{00000000-0005-0000-0000-0000837D0000}"/>
    <cellStyle name="Percent 2 6 2 2 3 2" xfId="8372" xr:uid="{00000000-0005-0000-0000-0000847D0000}"/>
    <cellStyle name="Percent 2 6 2 2 3 2 2" xfId="13345" xr:uid="{00000000-0005-0000-0000-0000857D0000}"/>
    <cellStyle name="Percent 2 6 2 2 3 2 3" xfId="32631" xr:uid="{00000000-0005-0000-0000-0000867D0000}"/>
    <cellStyle name="Percent 2 6 2 2 3 3" xfId="12374" xr:uid="{00000000-0005-0000-0000-0000877D0000}"/>
    <cellStyle name="Percent 2 6 2 2 3 3 2" xfId="26086" xr:uid="{00000000-0005-0000-0000-0000887D0000}"/>
    <cellStyle name="Percent 2 6 2 2 3 4" xfId="32630" xr:uid="{00000000-0005-0000-0000-0000897D0000}"/>
    <cellStyle name="Percent 2 6 2 2 4" xfId="8373" xr:uid="{00000000-0005-0000-0000-00008A7D0000}"/>
    <cellStyle name="Percent 2 6 2 2 4 2" xfId="8374" xr:uid="{00000000-0005-0000-0000-00008B7D0000}"/>
    <cellStyle name="Percent 2 6 2 2 4 2 2" xfId="15775" xr:uid="{00000000-0005-0000-0000-00008C7D0000}"/>
    <cellStyle name="Percent 2 6 2 2 4 2 3" xfId="32633" xr:uid="{00000000-0005-0000-0000-00008D7D0000}"/>
    <cellStyle name="Percent 2 6 2 2 4 3" xfId="13938" xr:uid="{00000000-0005-0000-0000-00008E7D0000}"/>
    <cellStyle name="Percent 2 6 2 2 4 3 2" xfId="27487" xr:uid="{00000000-0005-0000-0000-00008F7D0000}"/>
    <cellStyle name="Percent 2 6 2 2 4 4" xfId="32632" xr:uid="{00000000-0005-0000-0000-0000907D0000}"/>
    <cellStyle name="Percent 2 6 2 2 5" xfId="8375" xr:uid="{00000000-0005-0000-0000-0000917D0000}"/>
    <cellStyle name="Percent 2 6 2 2 5 2" xfId="14519" xr:uid="{00000000-0005-0000-0000-0000927D0000}"/>
    <cellStyle name="Percent 2 6 2 2 5 2 2" xfId="28068" xr:uid="{00000000-0005-0000-0000-0000937D0000}"/>
    <cellStyle name="Percent 2 6 2 2 5 3" xfId="32634" xr:uid="{00000000-0005-0000-0000-0000947D0000}"/>
    <cellStyle name="Percent 2 6 2 2 6" xfId="8376" xr:uid="{00000000-0005-0000-0000-0000957D0000}"/>
    <cellStyle name="Percent 2 6 2 2 6 2" xfId="16405" xr:uid="{00000000-0005-0000-0000-0000967D0000}"/>
    <cellStyle name="Percent 2 6 2 2 6 2 2" xfId="29812" xr:uid="{00000000-0005-0000-0000-0000977D0000}"/>
    <cellStyle name="Percent 2 6 2 2 6 3" xfId="32635" xr:uid="{00000000-0005-0000-0000-0000987D0000}"/>
    <cellStyle name="Percent 2 6 2 2 7" xfId="10389" xr:uid="{00000000-0005-0000-0000-0000997D0000}"/>
    <cellStyle name="Percent 2 6 2 2 8" xfId="32626" xr:uid="{00000000-0005-0000-0000-00009A7D0000}"/>
    <cellStyle name="Percent 2 6 2 3" xfId="8377" xr:uid="{00000000-0005-0000-0000-00009B7D0000}"/>
    <cellStyle name="Percent 2 6 2 3 2" xfId="8378" xr:uid="{00000000-0005-0000-0000-00009C7D0000}"/>
    <cellStyle name="Percent 2 6 2 3 2 2" xfId="11673" xr:uid="{00000000-0005-0000-0000-00009D7D0000}"/>
    <cellStyle name="Percent 2 6 2 3 2 3" xfId="32637" xr:uid="{00000000-0005-0000-0000-00009E7D0000}"/>
    <cellStyle name="Percent 2 6 2 3 3" xfId="8379" xr:uid="{00000000-0005-0000-0000-00009F7D0000}"/>
    <cellStyle name="Percent 2 6 2 3 3 2" xfId="16697" xr:uid="{00000000-0005-0000-0000-0000A07D0000}"/>
    <cellStyle name="Percent 2 6 2 3 3 2 2" xfId="30104" xr:uid="{00000000-0005-0000-0000-0000A17D0000}"/>
    <cellStyle name="Percent 2 6 2 3 3 3" xfId="32638" xr:uid="{00000000-0005-0000-0000-0000A27D0000}"/>
    <cellStyle name="Percent 2 6 2 3 4" xfId="10391" xr:uid="{00000000-0005-0000-0000-0000A37D0000}"/>
    <cellStyle name="Percent 2 6 2 3 5" xfId="32636" xr:uid="{00000000-0005-0000-0000-0000A47D0000}"/>
    <cellStyle name="Percent 2 6 2 4" xfId="8380" xr:uid="{00000000-0005-0000-0000-0000A57D0000}"/>
    <cellStyle name="Percent 2 6 2 4 2" xfId="8381" xr:uid="{00000000-0005-0000-0000-0000A67D0000}"/>
    <cellStyle name="Percent 2 6 2 4 2 2" xfId="13346" xr:uid="{00000000-0005-0000-0000-0000A77D0000}"/>
    <cellStyle name="Percent 2 6 2 4 2 3" xfId="32640" xr:uid="{00000000-0005-0000-0000-0000A87D0000}"/>
    <cellStyle name="Percent 2 6 2 4 3" xfId="12074" xr:uid="{00000000-0005-0000-0000-0000A97D0000}"/>
    <cellStyle name="Percent 2 6 2 4 3 2" xfId="25789" xr:uid="{00000000-0005-0000-0000-0000AA7D0000}"/>
    <cellStyle name="Percent 2 6 2 4 4" xfId="32639" xr:uid="{00000000-0005-0000-0000-0000AB7D0000}"/>
    <cellStyle name="Percent 2 6 2 5" xfId="8382" xr:uid="{00000000-0005-0000-0000-0000AC7D0000}"/>
    <cellStyle name="Percent 2 6 2 5 2" xfId="8383" xr:uid="{00000000-0005-0000-0000-0000AD7D0000}"/>
    <cellStyle name="Percent 2 6 2 5 2 2" xfId="15776" xr:uid="{00000000-0005-0000-0000-0000AE7D0000}"/>
    <cellStyle name="Percent 2 6 2 5 2 3" xfId="32642" xr:uid="{00000000-0005-0000-0000-0000AF7D0000}"/>
    <cellStyle name="Percent 2 6 2 5 3" xfId="13649" xr:uid="{00000000-0005-0000-0000-0000B07D0000}"/>
    <cellStyle name="Percent 2 6 2 5 3 2" xfId="27198" xr:uid="{00000000-0005-0000-0000-0000B17D0000}"/>
    <cellStyle name="Percent 2 6 2 5 4" xfId="32641" xr:uid="{00000000-0005-0000-0000-0000B27D0000}"/>
    <cellStyle name="Percent 2 6 2 6" xfId="8384" xr:uid="{00000000-0005-0000-0000-0000B37D0000}"/>
    <cellStyle name="Percent 2 6 2 6 2" xfId="14230" xr:uid="{00000000-0005-0000-0000-0000B47D0000}"/>
    <cellStyle name="Percent 2 6 2 6 2 2" xfId="27779" xr:uid="{00000000-0005-0000-0000-0000B57D0000}"/>
    <cellStyle name="Percent 2 6 2 6 3" xfId="32643" xr:uid="{00000000-0005-0000-0000-0000B67D0000}"/>
    <cellStyle name="Percent 2 6 2 7" xfId="8385" xr:uid="{00000000-0005-0000-0000-0000B77D0000}"/>
    <cellStyle name="Percent 2 6 2 7 2" xfId="16116" xr:uid="{00000000-0005-0000-0000-0000B87D0000}"/>
    <cellStyle name="Percent 2 6 2 7 2 2" xfId="29523" xr:uid="{00000000-0005-0000-0000-0000B97D0000}"/>
    <cellStyle name="Percent 2 6 2 7 3" xfId="32644" xr:uid="{00000000-0005-0000-0000-0000BA7D0000}"/>
    <cellStyle name="Percent 2 6 2 8" xfId="10388" xr:uid="{00000000-0005-0000-0000-0000BB7D0000}"/>
    <cellStyle name="Percent 2 6 2 9" xfId="32625" xr:uid="{00000000-0005-0000-0000-0000BC7D0000}"/>
    <cellStyle name="Percent 2 6 3" xfId="8386" xr:uid="{00000000-0005-0000-0000-0000BD7D0000}"/>
    <cellStyle name="Percent 2 6 3 2" xfId="8387" xr:uid="{00000000-0005-0000-0000-0000BE7D0000}"/>
    <cellStyle name="Percent 2 6 3 2 2" xfId="8388" xr:uid="{00000000-0005-0000-0000-0000BF7D0000}"/>
    <cellStyle name="Percent 2 6 3 2 2 2" xfId="11674" xr:uid="{00000000-0005-0000-0000-0000C07D0000}"/>
    <cellStyle name="Percent 2 6 3 2 2 3" xfId="32647" xr:uid="{00000000-0005-0000-0000-0000C17D0000}"/>
    <cellStyle name="Percent 2 6 3 2 3" xfId="8389" xr:uid="{00000000-0005-0000-0000-0000C27D0000}"/>
    <cellStyle name="Percent 2 6 3 2 3 2" xfId="16843" xr:uid="{00000000-0005-0000-0000-0000C37D0000}"/>
    <cellStyle name="Percent 2 6 3 2 3 2 2" xfId="30250" xr:uid="{00000000-0005-0000-0000-0000C47D0000}"/>
    <cellStyle name="Percent 2 6 3 2 3 3" xfId="32648" xr:uid="{00000000-0005-0000-0000-0000C57D0000}"/>
    <cellStyle name="Percent 2 6 3 2 4" xfId="10393" xr:uid="{00000000-0005-0000-0000-0000C67D0000}"/>
    <cellStyle name="Percent 2 6 3 2 5" xfId="32646" xr:uid="{00000000-0005-0000-0000-0000C77D0000}"/>
    <cellStyle name="Percent 2 6 3 3" xfId="8390" xr:uid="{00000000-0005-0000-0000-0000C87D0000}"/>
    <cellStyle name="Percent 2 6 3 3 2" xfId="8391" xr:uid="{00000000-0005-0000-0000-0000C97D0000}"/>
    <cellStyle name="Percent 2 6 3 3 2 2" xfId="13347" xr:uid="{00000000-0005-0000-0000-0000CA7D0000}"/>
    <cellStyle name="Percent 2 6 3 3 2 3" xfId="32650" xr:uid="{00000000-0005-0000-0000-0000CB7D0000}"/>
    <cellStyle name="Percent 2 6 3 3 3" xfId="12231" xr:uid="{00000000-0005-0000-0000-0000CC7D0000}"/>
    <cellStyle name="Percent 2 6 3 3 3 2" xfId="25943" xr:uid="{00000000-0005-0000-0000-0000CD7D0000}"/>
    <cellStyle name="Percent 2 6 3 3 4" xfId="32649" xr:uid="{00000000-0005-0000-0000-0000CE7D0000}"/>
    <cellStyle name="Percent 2 6 3 4" xfId="8392" xr:uid="{00000000-0005-0000-0000-0000CF7D0000}"/>
    <cellStyle name="Percent 2 6 3 4 2" xfId="8393" xr:uid="{00000000-0005-0000-0000-0000D07D0000}"/>
    <cellStyle name="Percent 2 6 3 4 2 2" xfId="15777" xr:uid="{00000000-0005-0000-0000-0000D17D0000}"/>
    <cellStyle name="Percent 2 6 3 4 2 3" xfId="32652" xr:uid="{00000000-0005-0000-0000-0000D27D0000}"/>
    <cellStyle name="Percent 2 6 3 4 3" xfId="13795" xr:uid="{00000000-0005-0000-0000-0000D37D0000}"/>
    <cellStyle name="Percent 2 6 3 4 3 2" xfId="27344" xr:uid="{00000000-0005-0000-0000-0000D47D0000}"/>
    <cellStyle name="Percent 2 6 3 4 4" xfId="32651" xr:uid="{00000000-0005-0000-0000-0000D57D0000}"/>
    <cellStyle name="Percent 2 6 3 5" xfId="8394" xr:uid="{00000000-0005-0000-0000-0000D67D0000}"/>
    <cellStyle name="Percent 2 6 3 5 2" xfId="14376" xr:uid="{00000000-0005-0000-0000-0000D77D0000}"/>
    <cellStyle name="Percent 2 6 3 5 2 2" xfId="27925" xr:uid="{00000000-0005-0000-0000-0000D87D0000}"/>
    <cellStyle name="Percent 2 6 3 5 3" xfId="32653" xr:uid="{00000000-0005-0000-0000-0000D97D0000}"/>
    <cellStyle name="Percent 2 6 3 6" xfId="8395" xr:uid="{00000000-0005-0000-0000-0000DA7D0000}"/>
    <cellStyle name="Percent 2 6 3 6 2" xfId="16262" xr:uid="{00000000-0005-0000-0000-0000DB7D0000}"/>
    <cellStyle name="Percent 2 6 3 6 2 2" xfId="29669" xr:uid="{00000000-0005-0000-0000-0000DC7D0000}"/>
    <cellStyle name="Percent 2 6 3 6 3" xfId="32654" xr:uid="{00000000-0005-0000-0000-0000DD7D0000}"/>
    <cellStyle name="Percent 2 6 3 7" xfId="10392" xr:uid="{00000000-0005-0000-0000-0000DE7D0000}"/>
    <cellStyle name="Percent 2 6 3 8" xfId="32645" xr:uid="{00000000-0005-0000-0000-0000DF7D0000}"/>
    <cellStyle name="Percent 2 6 4" xfId="8396" xr:uid="{00000000-0005-0000-0000-0000E07D0000}"/>
    <cellStyle name="Percent 2 6 4 2" xfId="8397" xr:uid="{00000000-0005-0000-0000-0000E17D0000}"/>
    <cellStyle name="Percent 2 6 4 2 2" xfId="16554" xr:uid="{00000000-0005-0000-0000-0000E27D0000}"/>
    <cellStyle name="Percent 2 6 4 2 2 2" xfId="29961" xr:uid="{00000000-0005-0000-0000-0000E37D0000}"/>
    <cellStyle name="Percent 2 6 4 2 3" xfId="32656" xr:uid="{00000000-0005-0000-0000-0000E47D0000}"/>
    <cellStyle name="Percent 2 6 4 3" xfId="10394" xr:uid="{00000000-0005-0000-0000-0000E57D0000}"/>
    <cellStyle name="Percent 2 6 4 4" xfId="32655" xr:uid="{00000000-0005-0000-0000-0000E67D0000}"/>
    <cellStyle name="Percent 2 6 5" xfId="8398" xr:uid="{00000000-0005-0000-0000-0000E77D0000}"/>
    <cellStyle name="Percent 2 6 5 2" xfId="8399" xr:uid="{00000000-0005-0000-0000-0000E87D0000}"/>
    <cellStyle name="Percent 2 6 5 2 2" xfId="11675" xr:uid="{00000000-0005-0000-0000-0000E97D0000}"/>
    <cellStyle name="Percent 2 6 5 2 3" xfId="32658" xr:uid="{00000000-0005-0000-0000-0000EA7D0000}"/>
    <cellStyle name="Percent 2 6 5 3" xfId="10395" xr:uid="{00000000-0005-0000-0000-0000EB7D0000}"/>
    <cellStyle name="Percent 2 6 5 4" xfId="32657" xr:uid="{00000000-0005-0000-0000-0000EC7D0000}"/>
    <cellStyle name="Percent 2 6 6" xfId="8400" xr:uid="{00000000-0005-0000-0000-0000ED7D0000}"/>
    <cellStyle name="Percent 2 6 6 2" xfId="8401" xr:uid="{00000000-0005-0000-0000-0000EE7D0000}"/>
    <cellStyle name="Percent 2 6 6 2 2" xfId="13348" xr:uid="{00000000-0005-0000-0000-0000EF7D0000}"/>
    <cellStyle name="Percent 2 6 6 2 3" xfId="32660" xr:uid="{00000000-0005-0000-0000-0000F07D0000}"/>
    <cellStyle name="Percent 2 6 6 3" xfId="11929" xr:uid="{00000000-0005-0000-0000-0000F17D0000}"/>
    <cellStyle name="Percent 2 6 6 3 2" xfId="25644" xr:uid="{00000000-0005-0000-0000-0000F27D0000}"/>
    <cellStyle name="Percent 2 6 6 4" xfId="32659" xr:uid="{00000000-0005-0000-0000-0000F37D0000}"/>
    <cellStyle name="Percent 2 6 7" xfId="8402" xr:uid="{00000000-0005-0000-0000-0000F47D0000}"/>
    <cellStyle name="Percent 2 6 7 2" xfId="8403" xr:uid="{00000000-0005-0000-0000-0000F57D0000}"/>
    <cellStyle name="Percent 2 6 7 2 2" xfId="15778" xr:uid="{00000000-0005-0000-0000-0000F67D0000}"/>
    <cellStyle name="Percent 2 6 7 2 3" xfId="32662" xr:uid="{00000000-0005-0000-0000-0000F77D0000}"/>
    <cellStyle name="Percent 2 6 7 3" xfId="13506" xr:uid="{00000000-0005-0000-0000-0000F87D0000}"/>
    <cellStyle name="Percent 2 6 7 3 2" xfId="27055" xr:uid="{00000000-0005-0000-0000-0000F97D0000}"/>
    <cellStyle name="Percent 2 6 7 4" xfId="32661" xr:uid="{00000000-0005-0000-0000-0000FA7D0000}"/>
    <cellStyle name="Percent 2 6 8" xfId="8404" xr:uid="{00000000-0005-0000-0000-0000FB7D0000}"/>
    <cellStyle name="Percent 2 6 8 2" xfId="14087" xr:uid="{00000000-0005-0000-0000-0000FC7D0000}"/>
    <cellStyle name="Percent 2 6 8 2 2" xfId="27636" xr:uid="{00000000-0005-0000-0000-0000FD7D0000}"/>
    <cellStyle name="Percent 2 6 8 3" xfId="32663" xr:uid="{00000000-0005-0000-0000-0000FE7D0000}"/>
    <cellStyle name="Percent 2 6 9" xfId="8405" xr:uid="{00000000-0005-0000-0000-0000FF7D0000}"/>
    <cellStyle name="Percent 2 6 9 2" xfId="15973" xr:uid="{00000000-0005-0000-0000-0000007E0000}"/>
    <cellStyle name="Percent 2 6 9 2 2" xfId="29380" xr:uid="{00000000-0005-0000-0000-0000017E0000}"/>
    <cellStyle name="Percent 2 6 9 3" xfId="32664" xr:uid="{00000000-0005-0000-0000-0000027E0000}"/>
    <cellStyle name="Percent 2 7" xfId="8406" xr:uid="{00000000-0005-0000-0000-0000037E0000}"/>
    <cellStyle name="Percent 2 7 2" xfId="8407" xr:uid="{00000000-0005-0000-0000-0000047E0000}"/>
    <cellStyle name="Percent 2 7 2 2" xfId="8408" xr:uid="{00000000-0005-0000-0000-0000057E0000}"/>
    <cellStyle name="Percent 2 7 2 2 2" xfId="8409" xr:uid="{00000000-0005-0000-0000-0000067E0000}"/>
    <cellStyle name="Percent 2 7 2 2 2 2" xfId="11676" xr:uid="{00000000-0005-0000-0000-0000077E0000}"/>
    <cellStyle name="Percent 2 7 2 2 2 3" xfId="32668" xr:uid="{00000000-0005-0000-0000-0000087E0000}"/>
    <cellStyle name="Percent 2 7 2 2 3" xfId="8410" xr:uid="{00000000-0005-0000-0000-0000097E0000}"/>
    <cellStyle name="Percent 2 7 2 2 3 2" xfId="16863" xr:uid="{00000000-0005-0000-0000-00000A7E0000}"/>
    <cellStyle name="Percent 2 7 2 2 3 2 2" xfId="30270" xr:uid="{00000000-0005-0000-0000-00000B7E0000}"/>
    <cellStyle name="Percent 2 7 2 2 3 3" xfId="32669" xr:uid="{00000000-0005-0000-0000-00000C7E0000}"/>
    <cellStyle name="Percent 2 7 2 2 4" xfId="10398" xr:uid="{00000000-0005-0000-0000-00000D7E0000}"/>
    <cellStyle name="Percent 2 7 2 2 5" xfId="32667" xr:uid="{00000000-0005-0000-0000-00000E7E0000}"/>
    <cellStyle name="Percent 2 7 2 3" xfId="8411" xr:uid="{00000000-0005-0000-0000-00000F7E0000}"/>
    <cellStyle name="Percent 2 7 2 3 2" xfId="8412" xr:uid="{00000000-0005-0000-0000-0000107E0000}"/>
    <cellStyle name="Percent 2 7 2 3 2 2" xfId="13349" xr:uid="{00000000-0005-0000-0000-0000117E0000}"/>
    <cellStyle name="Percent 2 7 2 3 2 3" xfId="32671" xr:uid="{00000000-0005-0000-0000-0000127E0000}"/>
    <cellStyle name="Percent 2 7 2 3 3" xfId="12251" xr:uid="{00000000-0005-0000-0000-0000137E0000}"/>
    <cellStyle name="Percent 2 7 2 3 3 2" xfId="25963" xr:uid="{00000000-0005-0000-0000-0000147E0000}"/>
    <cellStyle name="Percent 2 7 2 3 4" xfId="32670" xr:uid="{00000000-0005-0000-0000-0000157E0000}"/>
    <cellStyle name="Percent 2 7 2 4" xfId="8413" xr:uid="{00000000-0005-0000-0000-0000167E0000}"/>
    <cellStyle name="Percent 2 7 2 4 2" xfId="8414" xr:uid="{00000000-0005-0000-0000-0000177E0000}"/>
    <cellStyle name="Percent 2 7 2 4 2 2" xfId="15779" xr:uid="{00000000-0005-0000-0000-0000187E0000}"/>
    <cellStyle name="Percent 2 7 2 4 2 3" xfId="32673" xr:uid="{00000000-0005-0000-0000-0000197E0000}"/>
    <cellStyle name="Percent 2 7 2 4 3" xfId="13815" xr:uid="{00000000-0005-0000-0000-00001A7E0000}"/>
    <cellStyle name="Percent 2 7 2 4 3 2" xfId="27364" xr:uid="{00000000-0005-0000-0000-00001B7E0000}"/>
    <cellStyle name="Percent 2 7 2 4 4" xfId="32672" xr:uid="{00000000-0005-0000-0000-00001C7E0000}"/>
    <cellStyle name="Percent 2 7 2 5" xfId="8415" xr:uid="{00000000-0005-0000-0000-00001D7E0000}"/>
    <cellStyle name="Percent 2 7 2 5 2" xfId="14396" xr:uid="{00000000-0005-0000-0000-00001E7E0000}"/>
    <cellStyle name="Percent 2 7 2 5 2 2" xfId="27945" xr:uid="{00000000-0005-0000-0000-00001F7E0000}"/>
    <cellStyle name="Percent 2 7 2 5 3" xfId="32674" xr:uid="{00000000-0005-0000-0000-0000207E0000}"/>
    <cellStyle name="Percent 2 7 2 6" xfId="8416" xr:uid="{00000000-0005-0000-0000-0000217E0000}"/>
    <cellStyle name="Percent 2 7 2 6 2" xfId="16282" xr:uid="{00000000-0005-0000-0000-0000227E0000}"/>
    <cellStyle name="Percent 2 7 2 6 2 2" xfId="29689" xr:uid="{00000000-0005-0000-0000-0000237E0000}"/>
    <cellStyle name="Percent 2 7 2 6 3" xfId="32675" xr:uid="{00000000-0005-0000-0000-0000247E0000}"/>
    <cellStyle name="Percent 2 7 2 7" xfId="10397" xr:uid="{00000000-0005-0000-0000-0000257E0000}"/>
    <cellStyle name="Percent 2 7 2 8" xfId="32666" xr:uid="{00000000-0005-0000-0000-0000267E0000}"/>
    <cellStyle name="Percent 2 7 3" xfId="8417" xr:uid="{00000000-0005-0000-0000-0000277E0000}"/>
    <cellStyle name="Percent 2 7 3 2" xfId="8418" xr:uid="{00000000-0005-0000-0000-0000287E0000}"/>
    <cellStyle name="Percent 2 7 3 2 2" xfId="11677" xr:uid="{00000000-0005-0000-0000-0000297E0000}"/>
    <cellStyle name="Percent 2 7 3 2 3" xfId="32677" xr:uid="{00000000-0005-0000-0000-00002A7E0000}"/>
    <cellStyle name="Percent 2 7 3 3" xfId="8419" xr:uid="{00000000-0005-0000-0000-00002B7E0000}"/>
    <cellStyle name="Percent 2 7 3 3 2" xfId="16574" xr:uid="{00000000-0005-0000-0000-00002C7E0000}"/>
    <cellStyle name="Percent 2 7 3 3 2 2" xfId="29981" xr:uid="{00000000-0005-0000-0000-00002D7E0000}"/>
    <cellStyle name="Percent 2 7 3 3 3" xfId="32678" xr:uid="{00000000-0005-0000-0000-00002E7E0000}"/>
    <cellStyle name="Percent 2 7 3 4" xfId="10399" xr:uid="{00000000-0005-0000-0000-00002F7E0000}"/>
    <cellStyle name="Percent 2 7 3 5" xfId="32676" xr:uid="{00000000-0005-0000-0000-0000307E0000}"/>
    <cellStyle name="Percent 2 7 4" xfId="8420" xr:uid="{00000000-0005-0000-0000-0000317E0000}"/>
    <cellStyle name="Percent 2 7 4 2" xfId="8421" xr:uid="{00000000-0005-0000-0000-0000327E0000}"/>
    <cellStyle name="Percent 2 7 4 2 2" xfId="13350" xr:uid="{00000000-0005-0000-0000-0000337E0000}"/>
    <cellStyle name="Percent 2 7 4 2 3" xfId="32680" xr:uid="{00000000-0005-0000-0000-0000347E0000}"/>
    <cellStyle name="Percent 2 7 4 3" xfId="11951" xr:uid="{00000000-0005-0000-0000-0000357E0000}"/>
    <cellStyle name="Percent 2 7 4 3 2" xfId="25666" xr:uid="{00000000-0005-0000-0000-0000367E0000}"/>
    <cellStyle name="Percent 2 7 4 4" xfId="32679" xr:uid="{00000000-0005-0000-0000-0000377E0000}"/>
    <cellStyle name="Percent 2 7 5" xfId="8422" xr:uid="{00000000-0005-0000-0000-0000387E0000}"/>
    <cellStyle name="Percent 2 7 5 2" xfId="8423" xr:uid="{00000000-0005-0000-0000-0000397E0000}"/>
    <cellStyle name="Percent 2 7 5 2 2" xfId="15780" xr:uid="{00000000-0005-0000-0000-00003A7E0000}"/>
    <cellStyle name="Percent 2 7 5 2 3" xfId="32682" xr:uid="{00000000-0005-0000-0000-00003B7E0000}"/>
    <cellStyle name="Percent 2 7 5 3" xfId="13526" xr:uid="{00000000-0005-0000-0000-00003C7E0000}"/>
    <cellStyle name="Percent 2 7 5 3 2" xfId="27075" xr:uid="{00000000-0005-0000-0000-00003D7E0000}"/>
    <cellStyle name="Percent 2 7 5 4" xfId="32681" xr:uid="{00000000-0005-0000-0000-00003E7E0000}"/>
    <cellStyle name="Percent 2 7 6" xfId="8424" xr:uid="{00000000-0005-0000-0000-00003F7E0000}"/>
    <cellStyle name="Percent 2 7 6 2" xfId="14107" xr:uid="{00000000-0005-0000-0000-0000407E0000}"/>
    <cellStyle name="Percent 2 7 6 2 2" xfId="27656" xr:uid="{00000000-0005-0000-0000-0000417E0000}"/>
    <cellStyle name="Percent 2 7 6 3" xfId="32683" xr:uid="{00000000-0005-0000-0000-0000427E0000}"/>
    <cellStyle name="Percent 2 7 7" xfId="8425" xr:uid="{00000000-0005-0000-0000-0000437E0000}"/>
    <cellStyle name="Percent 2 7 7 2" xfId="15993" xr:uid="{00000000-0005-0000-0000-0000447E0000}"/>
    <cellStyle name="Percent 2 7 7 2 2" xfId="29400" xr:uid="{00000000-0005-0000-0000-0000457E0000}"/>
    <cellStyle name="Percent 2 7 7 3" xfId="32684" xr:uid="{00000000-0005-0000-0000-0000467E0000}"/>
    <cellStyle name="Percent 2 7 8" xfId="10396" xr:uid="{00000000-0005-0000-0000-0000477E0000}"/>
    <cellStyle name="Percent 2 7 9" xfId="32665" xr:uid="{00000000-0005-0000-0000-0000487E0000}"/>
    <cellStyle name="Percent 2 8" xfId="8426" xr:uid="{00000000-0005-0000-0000-0000497E0000}"/>
    <cellStyle name="Percent 2 8 2" xfId="8427" xr:uid="{00000000-0005-0000-0000-00004A7E0000}"/>
    <cellStyle name="Percent 2 8 2 2" xfId="8428" xr:uid="{00000000-0005-0000-0000-00004B7E0000}"/>
    <cellStyle name="Percent 2 8 2 2 2" xfId="11678" xr:uid="{00000000-0005-0000-0000-00004C7E0000}"/>
    <cellStyle name="Percent 2 8 2 2 3" xfId="32687" xr:uid="{00000000-0005-0000-0000-00004D7E0000}"/>
    <cellStyle name="Percent 2 8 2 3" xfId="8429" xr:uid="{00000000-0005-0000-0000-00004E7E0000}"/>
    <cellStyle name="Percent 2 8 2 3 2" xfId="16720" xr:uid="{00000000-0005-0000-0000-00004F7E0000}"/>
    <cellStyle name="Percent 2 8 2 3 2 2" xfId="30127" xr:uid="{00000000-0005-0000-0000-0000507E0000}"/>
    <cellStyle name="Percent 2 8 2 3 3" xfId="32688" xr:uid="{00000000-0005-0000-0000-0000517E0000}"/>
    <cellStyle name="Percent 2 8 2 4" xfId="10401" xr:uid="{00000000-0005-0000-0000-0000527E0000}"/>
    <cellStyle name="Percent 2 8 2 5" xfId="32686" xr:uid="{00000000-0005-0000-0000-0000537E0000}"/>
    <cellStyle name="Percent 2 8 3" xfId="8430" xr:uid="{00000000-0005-0000-0000-0000547E0000}"/>
    <cellStyle name="Percent 2 8 3 2" xfId="8431" xr:uid="{00000000-0005-0000-0000-0000557E0000}"/>
    <cellStyle name="Percent 2 8 3 2 2" xfId="13351" xr:uid="{00000000-0005-0000-0000-0000567E0000}"/>
    <cellStyle name="Percent 2 8 3 2 3" xfId="32690" xr:uid="{00000000-0005-0000-0000-0000577E0000}"/>
    <cellStyle name="Percent 2 8 3 3" xfId="12108" xr:uid="{00000000-0005-0000-0000-0000587E0000}"/>
    <cellStyle name="Percent 2 8 3 3 2" xfId="25820" xr:uid="{00000000-0005-0000-0000-0000597E0000}"/>
    <cellStyle name="Percent 2 8 3 4" xfId="32689" xr:uid="{00000000-0005-0000-0000-00005A7E0000}"/>
    <cellStyle name="Percent 2 8 4" xfId="8432" xr:uid="{00000000-0005-0000-0000-00005B7E0000}"/>
    <cellStyle name="Percent 2 8 4 2" xfId="8433" xr:uid="{00000000-0005-0000-0000-00005C7E0000}"/>
    <cellStyle name="Percent 2 8 4 2 2" xfId="15781" xr:uid="{00000000-0005-0000-0000-00005D7E0000}"/>
    <cellStyle name="Percent 2 8 4 2 3" xfId="32692" xr:uid="{00000000-0005-0000-0000-00005E7E0000}"/>
    <cellStyle name="Percent 2 8 4 3" xfId="13672" xr:uid="{00000000-0005-0000-0000-00005F7E0000}"/>
    <cellStyle name="Percent 2 8 4 3 2" xfId="27221" xr:uid="{00000000-0005-0000-0000-0000607E0000}"/>
    <cellStyle name="Percent 2 8 4 4" xfId="32691" xr:uid="{00000000-0005-0000-0000-0000617E0000}"/>
    <cellStyle name="Percent 2 8 5" xfId="8434" xr:uid="{00000000-0005-0000-0000-0000627E0000}"/>
    <cellStyle name="Percent 2 8 5 2" xfId="14253" xr:uid="{00000000-0005-0000-0000-0000637E0000}"/>
    <cellStyle name="Percent 2 8 5 2 2" xfId="27802" xr:uid="{00000000-0005-0000-0000-0000647E0000}"/>
    <cellStyle name="Percent 2 8 5 3" xfId="32693" xr:uid="{00000000-0005-0000-0000-0000657E0000}"/>
    <cellStyle name="Percent 2 8 6" xfId="8435" xr:uid="{00000000-0005-0000-0000-0000667E0000}"/>
    <cellStyle name="Percent 2 8 6 2" xfId="16139" xr:uid="{00000000-0005-0000-0000-0000677E0000}"/>
    <cellStyle name="Percent 2 8 6 2 2" xfId="29546" xr:uid="{00000000-0005-0000-0000-0000687E0000}"/>
    <cellStyle name="Percent 2 8 6 3" xfId="32694" xr:uid="{00000000-0005-0000-0000-0000697E0000}"/>
    <cellStyle name="Percent 2 8 7" xfId="10400" xr:uid="{00000000-0005-0000-0000-00006A7E0000}"/>
    <cellStyle name="Percent 2 8 8" xfId="32685" xr:uid="{00000000-0005-0000-0000-00006B7E0000}"/>
    <cellStyle name="Percent 2 9" xfId="8436" xr:uid="{00000000-0005-0000-0000-00006C7E0000}"/>
    <cellStyle name="Percent 2 9 2" xfId="8437" xr:uid="{00000000-0005-0000-0000-00006D7E0000}"/>
    <cellStyle name="Percent 2 9 2 2" xfId="8438" xr:uid="{00000000-0005-0000-0000-00006E7E0000}"/>
    <cellStyle name="Percent 2 9 2 2 2" xfId="11679" xr:uid="{00000000-0005-0000-0000-00006F7E0000}"/>
    <cellStyle name="Percent 2 9 2 2 3" xfId="32697" xr:uid="{00000000-0005-0000-0000-0000707E0000}"/>
    <cellStyle name="Percent 2 9 2 3" xfId="8439" xr:uid="{00000000-0005-0000-0000-0000717E0000}"/>
    <cellStyle name="Percent 2 9 2 3 2" xfId="16725" xr:uid="{00000000-0005-0000-0000-0000727E0000}"/>
    <cellStyle name="Percent 2 9 2 3 2 2" xfId="30132" xr:uid="{00000000-0005-0000-0000-0000737E0000}"/>
    <cellStyle name="Percent 2 9 2 3 3" xfId="32698" xr:uid="{00000000-0005-0000-0000-0000747E0000}"/>
    <cellStyle name="Percent 2 9 2 4" xfId="10403" xr:uid="{00000000-0005-0000-0000-0000757E0000}"/>
    <cellStyle name="Percent 2 9 2 5" xfId="32696" xr:uid="{00000000-0005-0000-0000-0000767E0000}"/>
    <cellStyle name="Percent 2 9 3" xfId="8440" xr:uid="{00000000-0005-0000-0000-0000777E0000}"/>
    <cellStyle name="Percent 2 9 3 2" xfId="8441" xr:uid="{00000000-0005-0000-0000-0000787E0000}"/>
    <cellStyle name="Percent 2 9 3 2 2" xfId="13352" xr:uid="{00000000-0005-0000-0000-0000797E0000}"/>
    <cellStyle name="Percent 2 9 3 2 3" xfId="32700" xr:uid="{00000000-0005-0000-0000-00007A7E0000}"/>
    <cellStyle name="Percent 2 9 3 3" xfId="12113" xr:uid="{00000000-0005-0000-0000-00007B7E0000}"/>
    <cellStyle name="Percent 2 9 3 3 2" xfId="25825" xr:uid="{00000000-0005-0000-0000-00007C7E0000}"/>
    <cellStyle name="Percent 2 9 3 4" xfId="32699" xr:uid="{00000000-0005-0000-0000-00007D7E0000}"/>
    <cellStyle name="Percent 2 9 4" xfId="8442" xr:uid="{00000000-0005-0000-0000-00007E7E0000}"/>
    <cellStyle name="Percent 2 9 4 2" xfId="8443" xr:uid="{00000000-0005-0000-0000-00007F7E0000}"/>
    <cellStyle name="Percent 2 9 4 2 2" xfId="15782" xr:uid="{00000000-0005-0000-0000-0000807E0000}"/>
    <cellStyle name="Percent 2 9 4 2 3" xfId="32702" xr:uid="{00000000-0005-0000-0000-0000817E0000}"/>
    <cellStyle name="Percent 2 9 4 3" xfId="13677" xr:uid="{00000000-0005-0000-0000-0000827E0000}"/>
    <cellStyle name="Percent 2 9 4 3 2" xfId="27226" xr:uid="{00000000-0005-0000-0000-0000837E0000}"/>
    <cellStyle name="Percent 2 9 4 4" xfId="32701" xr:uid="{00000000-0005-0000-0000-0000847E0000}"/>
    <cellStyle name="Percent 2 9 5" xfId="8444" xr:uid="{00000000-0005-0000-0000-0000857E0000}"/>
    <cellStyle name="Percent 2 9 5 2" xfId="14258" xr:uid="{00000000-0005-0000-0000-0000867E0000}"/>
    <cellStyle name="Percent 2 9 5 2 2" xfId="27807" xr:uid="{00000000-0005-0000-0000-0000877E0000}"/>
    <cellStyle name="Percent 2 9 5 3" xfId="32703" xr:uid="{00000000-0005-0000-0000-0000887E0000}"/>
    <cellStyle name="Percent 2 9 6" xfId="8445" xr:uid="{00000000-0005-0000-0000-0000897E0000}"/>
    <cellStyle name="Percent 2 9 6 2" xfId="16144" xr:uid="{00000000-0005-0000-0000-00008A7E0000}"/>
    <cellStyle name="Percent 2 9 6 2 2" xfId="29551" xr:uid="{00000000-0005-0000-0000-00008B7E0000}"/>
    <cellStyle name="Percent 2 9 6 3" xfId="32704" xr:uid="{00000000-0005-0000-0000-00008C7E0000}"/>
    <cellStyle name="Percent 2 9 7" xfId="10402" xr:uid="{00000000-0005-0000-0000-00008D7E0000}"/>
    <cellStyle name="Percent 2 9 8" xfId="32695" xr:uid="{00000000-0005-0000-0000-00008E7E0000}"/>
    <cellStyle name="Percent 3" xfId="8446" xr:uid="{00000000-0005-0000-0000-00008F7E0000}"/>
    <cellStyle name="Percent 3 2" xfId="8447" xr:uid="{00000000-0005-0000-0000-0000907E0000}"/>
    <cellStyle name="Percent 3 2 2" xfId="8708" xr:uid="{00000000-0005-0000-0000-0000917E0000}"/>
    <cellStyle name="Percent 3 2 3" xfId="32706" xr:uid="{00000000-0005-0000-0000-0000927E0000}"/>
    <cellStyle name="Percent 3 2 4" xfId="32903" xr:uid="{00000000-0005-0000-0000-0000937E0000}"/>
    <cellStyle name="Percent 3 3" xfId="8448" xr:uid="{00000000-0005-0000-0000-0000947E0000}"/>
    <cellStyle name="Percent 3 3 2" xfId="8449" xr:uid="{00000000-0005-0000-0000-0000957E0000}"/>
    <cellStyle name="Percent 3 3 2 2" xfId="17341" xr:uid="{00000000-0005-0000-0000-0000967E0000}"/>
    <cellStyle name="Percent 3 3 2 3" xfId="32708" xr:uid="{00000000-0005-0000-0000-0000977E0000}"/>
    <cellStyle name="Percent 3 3 3" xfId="8738" xr:uid="{00000000-0005-0000-0000-0000987E0000}"/>
    <cellStyle name="Percent 3 3 4" xfId="10405" xr:uid="{00000000-0005-0000-0000-0000997E0000}"/>
    <cellStyle name="Percent 3 3 5" xfId="32707" xr:uid="{00000000-0005-0000-0000-00009A7E0000}"/>
    <cellStyle name="Percent 3 4" xfId="8646" xr:uid="{00000000-0005-0000-0000-00009B7E0000}"/>
    <cellStyle name="Percent 3 4 2" xfId="10404" xr:uid="{00000000-0005-0000-0000-00009C7E0000}"/>
    <cellStyle name="Percent 3 5" xfId="32705" xr:uid="{00000000-0005-0000-0000-00009D7E0000}"/>
    <cellStyle name="Percent 3 6" xfId="32902" xr:uid="{00000000-0005-0000-0000-00009E7E0000}"/>
    <cellStyle name="Percent 4" xfId="8450" xr:uid="{00000000-0005-0000-0000-00009F7E0000}"/>
    <cellStyle name="Percent 4 2" xfId="8451" xr:uid="{00000000-0005-0000-0000-0000A07E0000}"/>
    <cellStyle name="Percent 4 2 2" xfId="10407" xr:uid="{00000000-0005-0000-0000-0000A17E0000}"/>
    <cellStyle name="Percent 4 2 3" xfId="32710" xr:uid="{00000000-0005-0000-0000-0000A27E0000}"/>
    <cellStyle name="Percent 4 3" xfId="8452" xr:uid="{00000000-0005-0000-0000-0000A37E0000}"/>
    <cellStyle name="Percent 4 3 2" xfId="13353" xr:uid="{00000000-0005-0000-0000-0000A47E0000}"/>
    <cellStyle name="Percent 4 3 3" xfId="32711" xr:uid="{00000000-0005-0000-0000-0000A57E0000}"/>
    <cellStyle name="Percent 4 4" xfId="8453" xr:uid="{00000000-0005-0000-0000-0000A67E0000}"/>
    <cellStyle name="Percent 4 4 2" xfId="10406" xr:uid="{00000000-0005-0000-0000-0000A77E0000}"/>
    <cellStyle name="Percent 4 4 3" xfId="32712" xr:uid="{00000000-0005-0000-0000-0000A87E0000}"/>
    <cellStyle name="Percent 4 5" xfId="8663" xr:uid="{00000000-0005-0000-0000-0000A97E0000}"/>
    <cellStyle name="Percent 4 6" xfId="32709" xr:uid="{00000000-0005-0000-0000-0000AA7E0000}"/>
    <cellStyle name="Percent 4 7" xfId="32904" xr:uid="{00000000-0005-0000-0000-0000AB7E0000}"/>
    <cellStyle name="Percent 5" xfId="8454" xr:uid="{00000000-0005-0000-0000-0000AC7E0000}"/>
    <cellStyle name="Percent 5 2" xfId="8455" xr:uid="{00000000-0005-0000-0000-0000AD7E0000}"/>
    <cellStyle name="Percent 5 2 2" xfId="17342" xr:uid="{00000000-0005-0000-0000-0000AE7E0000}"/>
    <cellStyle name="Percent 5 2 3" xfId="32714" xr:uid="{00000000-0005-0000-0000-0000AF7E0000}"/>
    <cellStyle name="Percent 5 2 4" xfId="32934" xr:uid="{00000000-0005-0000-0000-0000B07E0000}"/>
    <cellStyle name="Percent 5 2 5" xfId="32992" xr:uid="{00000000-0005-0000-0000-0000B17E0000}"/>
    <cellStyle name="Percent 5 3" xfId="8739" xr:uid="{00000000-0005-0000-0000-0000B27E0000}"/>
    <cellStyle name="Percent 5 4" xfId="32713" xr:uid="{00000000-0005-0000-0000-0000B37E0000}"/>
    <cellStyle name="Percent 5 5" xfId="32905" xr:uid="{00000000-0005-0000-0000-0000B47E0000}"/>
    <cellStyle name="Percent 5 6" xfId="32965" xr:uid="{00000000-0005-0000-0000-0000B57E0000}"/>
    <cellStyle name="Percent 6" xfId="8456" xr:uid="{00000000-0005-0000-0000-0000B67E0000}"/>
    <cellStyle name="Percent 6 10" xfId="8740" xr:uid="{00000000-0005-0000-0000-0000B77E0000}"/>
    <cellStyle name="Percent 6 11" xfId="10408" xr:uid="{00000000-0005-0000-0000-0000B87E0000}"/>
    <cellStyle name="Percent 6 12" xfId="32715" xr:uid="{00000000-0005-0000-0000-0000B97E0000}"/>
    <cellStyle name="Percent 6 2" xfId="8457" xr:uid="{00000000-0005-0000-0000-0000BA7E0000}"/>
    <cellStyle name="Percent 6 2 2" xfId="8458" xr:uid="{00000000-0005-0000-0000-0000BB7E0000}"/>
    <cellStyle name="Percent 6 2 2 2" xfId="8459" xr:uid="{00000000-0005-0000-0000-0000BC7E0000}"/>
    <cellStyle name="Percent 6 2 2 2 2" xfId="8460" xr:uid="{00000000-0005-0000-0000-0000BD7E0000}"/>
    <cellStyle name="Percent 6 2 2 2 2 2" xfId="11684" xr:uid="{00000000-0005-0000-0000-0000BE7E0000}"/>
    <cellStyle name="Percent 6 2 2 2 2 3" xfId="32719" xr:uid="{00000000-0005-0000-0000-0000BF7E0000}"/>
    <cellStyle name="Percent 6 2 2 2 3" xfId="8461" xr:uid="{00000000-0005-0000-0000-0000C07E0000}"/>
    <cellStyle name="Percent 6 2 2 2 3 2" xfId="16926" xr:uid="{00000000-0005-0000-0000-0000C17E0000}"/>
    <cellStyle name="Percent 6 2 2 2 3 2 2" xfId="30333" xr:uid="{00000000-0005-0000-0000-0000C27E0000}"/>
    <cellStyle name="Percent 6 2 2 2 3 3" xfId="32720" xr:uid="{00000000-0005-0000-0000-0000C37E0000}"/>
    <cellStyle name="Percent 6 2 2 2 4" xfId="10411" xr:uid="{00000000-0005-0000-0000-0000C47E0000}"/>
    <cellStyle name="Percent 6 2 2 2 5" xfId="32718" xr:uid="{00000000-0005-0000-0000-0000C57E0000}"/>
    <cellStyle name="Percent 6 2 2 3" xfId="8462" xr:uid="{00000000-0005-0000-0000-0000C67E0000}"/>
    <cellStyle name="Percent 6 2 2 3 2" xfId="8463" xr:uid="{00000000-0005-0000-0000-0000C77E0000}"/>
    <cellStyle name="Percent 6 2 2 3 2 2" xfId="13354" xr:uid="{00000000-0005-0000-0000-0000C87E0000}"/>
    <cellStyle name="Percent 6 2 2 3 2 3" xfId="32722" xr:uid="{00000000-0005-0000-0000-0000C97E0000}"/>
    <cellStyle name="Percent 6 2 2 3 3" xfId="12314" xr:uid="{00000000-0005-0000-0000-0000CA7E0000}"/>
    <cellStyle name="Percent 6 2 2 3 3 2" xfId="26026" xr:uid="{00000000-0005-0000-0000-0000CB7E0000}"/>
    <cellStyle name="Percent 6 2 2 3 4" xfId="32721" xr:uid="{00000000-0005-0000-0000-0000CC7E0000}"/>
    <cellStyle name="Percent 6 2 2 4" xfId="8464" xr:uid="{00000000-0005-0000-0000-0000CD7E0000}"/>
    <cellStyle name="Percent 6 2 2 4 2" xfId="8465" xr:uid="{00000000-0005-0000-0000-0000CE7E0000}"/>
    <cellStyle name="Percent 6 2 2 4 2 2" xfId="15783" xr:uid="{00000000-0005-0000-0000-0000CF7E0000}"/>
    <cellStyle name="Percent 6 2 2 4 2 3" xfId="32724" xr:uid="{00000000-0005-0000-0000-0000D07E0000}"/>
    <cellStyle name="Percent 6 2 2 4 3" xfId="13878" xr:uid="{00000000-0005-0000-0000-0000D17E0000}"/>
    <cellStyle name="Percent 6 2 2 4 3 2" xfId="27427" xr:uid="{00000000-0005-0000-0000-0000D27E0000}"/>
    <cellStyle name="Percent 6 2 2 4 4" xfId="32723" xr:uid="{00000000-0005-0000-0000-0000D37E0000}"/>
    <cellStyle name="Percent 6 2 2 5" xfId="8466" xr:uid="{00000000-0005-0000-0000-0000D47E0000}"/>
    <cellStyle name="Percent 6 2 2 5 2" xfId="14459" xr:uid="{00000000-0005-0000-0000-0000D57E0000}"/>
    <cellStyle name="Percent 6 2 2 5 2 2" xfId="28008" xr:uid="{00000000-0005-0000-0000-0000D67E0000}"/>
    <cellStyle name="Percent 6 2 2 5 3" xfId="32725" xr:uid="{00000000-0005-0000-0000-0000D77E0000}"/>
    <cellStyle name="Percent 6 2 2 6" xfId="8467" xr:uid="{00000000-0005-0000-0000-0000D87E0000}"/>
    <cellStyle name="Percent 6 2 2 6 2" xfId="16345" xr:uid="{00000000-0005-0000-0000-0000D97E0000}"/>
    <cellStyle name="Percent 6 2 2 6 2 2" xfId="29752" xr:uid="{00000000-0005-0000-0000-0000DA7E0000}"/>
    <cellStyle name="Percent 6 2 2 6 3" xfId="32726" xr:uid="{00000000-0005-0000-0000-0000DB7E0000}"/>
    <cellStyle name="Percent 6 2 2 7" xfId="10410" xr:uid="{00000000-0005-0000-0000-0000DC7E0000}"/>
    <cellStyle name="Percent 6 2 2 8" xfId="32717" xr:uid="{00000000-0005-0000-0000-0000DD7E0000}"/>
    <cellStyle name="Percent 6 2 3" xfId="8468" xr:uid="{00000000-0005-0000-0000-0000DE7E0000}"/>
    <cellStyle name="Percent 6 2 3 2" xfId="8469" xr:uid="{00000000-0005-0000-0000-0000DF7E0000}"/>
    <cellStyle name="Percent 6 2 3 2 2" xfId="11685" xr:uid="{00000000-0005-0000-0000-0000E07E0000}"/>
    <cellStyle name="Percent 6 2 3 2 3" xfId="32728" xr:uid="{00000000-0005-0000-0000-0000E17E0000}"/>
    <cellStyle name="Percent 6 2 3 3" xfId="8470" xr:uid="{00000000-0005-0000-0000-0000E27E0000}"/>
    <cellStyle name="Percent 6 2 3 3 2" xfId="16637" xr:uid="{00000000-0005-0000-0000-0000E37E0000}"/>
    <cellStyle name="Percent 6 2 3 3 2 2" xfId="30044" xr:uid="{00000000-0005-0000-0000-0000E47E0000}"/>
    <cellStyle name="Percent 6 2 3 3 3" xfId="32729" xr:uid="{00000000-0005-0000-0000-0000E57E0000}"/>
    <cellStyle name="Percent 6 2 3 4" xfId="10412" xr:uid="{00000000-0005-0000-0000-0000E67E0000}"/>
    <cellStyle name="Percent 6 2 3 5" xfId="32727" xr:uid="{00000000-0005-0000-0000-0000E77E0000}"/>
    <cellStyle name="Percent 6 2 4" xfId="8471" xr:uid="{00000000-0005-0000-0000-0000E87E0000}"/>
    <cellStyle name="Percent 6 2 4 2" xfId="8472" xr:uid="{00000000-0005-0000-0000-0000E97E0000}"/>
    <cellStyle name="Percent 6 2 4 2 2" xfId="13355" xr:uid="{00000000-0005-0000-0000-0000EA7E0000}"/>
    <cellStyle name="Percent 6 2 4 2 3" xfId="32731" xr:uid="{00000000-0005-0000-0000-0000EB7E0000}"/>
    <cellStyle name="Percent 6 2 4 3" xfId="12014" xr:uid="{00000000-0005-0000-0000-0000EC7E0000}"/>
    <cellStyle name="Percent 6 2 4 3 2" xfId="25729" xr:uid="{00000000-0005-0000-0000-0000ED7E0000}"/>
    <cellStyle name="Percent 6 2 4 4" xfId="32730" xr:uid="{00000000-0005-0000-0000-0000EE7E0000}"/>
    <cellStyle name="Percent 6 2 5" xfId="8473" xr:uid="{00000000-0005-0000-0000-0000EF7E0000}"/>
    <cellStyle name="Percent 6 2 5 2" xfId="8474" xr:uid="{00000000-0005-0000-0000-0000F07E0000}"/>
    <cellStyle name="Percent 6 2 5 2 2" xfId="15784" xr:uid="{00000000-0005-0000-0000-0000F17E0000}"/>
    <cellStyle name="Percent 6 2 5 2 3" xfId="32733" xr:uid="{00000000-0005-0000-0000-0000F27E0000}"/>
    <cellStyle name="Percent 6 2 5 3" xfId="13589" xr:uid="{00000000-0005-0000-0000-0000F37E0000}"/>
    <cellStyle name="Percent 6 2 5 3 2" xfId="27138" xr:uid="{00000000-0005-0000-0000-0000F47E0000}"/>
    <cellStyle name="Percent 6 2 5 4" xfId="32732" xr:uid="{00000000-0005-0000-0000-0000F57E0000}"/>
    <cellStyle name="Percent 6 2 6" xfId="8475" xr:uid="{00000000-0005-0000-0000-0000F67E0000}"/>
    <cellStyle name="Percent 6 2 6 2" xfId="14170" xr:uid="{00000000-0005-0000-0000-0000F77E0000}"/>
    <cellStyle name="Percent 6 2 6 2 2" xfId="27719" xr:uid="{00000000-0005-0000-0000-0000F87E0000}"/>
    <cellStyle name="Percent 6 2 6 3" xfId="32734" xr:uid="{00000000-0005-0000-0000-0000F97E0000}"/>
    <cellStyle name="Percent 6 2 7" xfId="8476" xr:uid="{00000000-0005-0000-0000-0000FA7E0000}"/>
    <cellStyle name="Percent 6 2 7 2" xfId="16056" xr:uid="{00000000-0005-0000-0000-0000FB7E0000}"/>
    <cellStyle name="Percent 6 2 7 2 2" xfId="29463" xr:uid="{00000000-0005-0000-0000-0000FC7E0000}"/>
    <cellStyle name="Percent 6 2 7 3" xfId="32735" xr:uid="{00000000-0005-0000-0000-0000FD7E0000}"/>
    <cellStyle name="Percent 6 2 8" xfId="10409" xr:uid="{00000000-0005-0000-0000-0000FE7E0000}"/>
    <cellStyle name="Percent 6 2 9" xfId="32716" xr:uid="{00000000-0005-0000-0000-0000FF7E0000}"/>
    <cellStyle name="Percent 6 3" xfId="8477" xr:uid="{00000000-0005-0000-0000-0000007F0000}"/>
    <cellStyle name="Percent 6 3 2" xfId="8478" xr:uid="{00000000-0005-0000-0000-0000017F0000}"/>
    <cellStyle name="Percent 6 3 2 2" xfId="8479" xr:uid="{00000000-0005-0000-0000-0000027F0000}"/>
    <cellStyle name="Percent 6 3 2 2 2" xfId="11686" xr:uid="{00000000-0005-0000-0000-0000037F0000}"/>
    <cellStyle name="Percent 6 3 2 2 3" xfId="32738" xr:uid="{00000000-0005-0000-0000-0000047F0000}"/>
    <cellStyle name="Percent 6 3 2 3" xfId="8480" xr:uid="{00000000-0005-0000-0000-0000057F0000}"/>
    <cellStyle name="Percent 6 3 2 3 2" xfId="16783" xr:uid="{00000000-0005-0000-0000-0000067F0000}"/>
    <cellStyle name="Percent 6 3 2 3 2 2" xfId="30190" xr:uid="{00000000-0005-0000-0000-0000077F0000}"/>
    <cellStyle name="Percent 6 3 2 3 3" xfId="32739" xr:uid="{00000000-0005-0000-0000-0000087F0000}"/>
    <cellStyle name="Percent 6 3 2 4" xfId="10414" xr:uid="{00000000-0005-0000-0000-0000097F0000}"/>
    <cellStyle name="Percent 6 3 2 5" xfId="32737" xr:uid="{00000000-0005-0000-0000-00000A7F0000}"/>
    <cellStyle name="Percent 6 3 3" xfId="8481" xr:uid="{00000000-0005-0000-0000-00000B7F0000}"/>
    <cellStyle name="Percent 6 3 3 2" xfId="8482" xr:uid="{00000000-0005-0000-0000-00000C7F0000}"/>
    <cellStyle name="Percent 6 3 3 2 2" xfId="13356" xr:uid="{00000000-0005-0000-0000-00000D7F0000}"/>
    <cellStyle name="Percent 6 3 3 2 3" xfId="32741" xr:uid="{00000000-0005-0000-0000-00000E7F0000}"/>
    <cellStyle name="Percent 6 3 3 3" xfId="12171" xr:uid="{00000000-0005-0000-0000-00000F7F0000}"/>
    <cellStyle name="Percent 6 3 3 3 2" xfId="25883" xr:uid="{00000000-0005-0000-0000-0000107F0000}"/>
    <cellStyle name="Percent 6 3 3 4" xfId="32740" xr:uid="{00000000-0005-0000-0000-0000117F0000}"/>
    <cellStyle name="Percent 6 3 4" xfId="8483" xr:uid="{00000000-0005-0000-0000-0000127F0000}"/>
    <cellStyle name="Percent 6 3 4 2" xfId="8484" xr:uid="{00000000-0005-0000-0000-0000137F0000}"/>
    <cellStyle name="Percent 6 3 4 2 2" xfId="15785" xr:uid="{00000000-0005-0000-0000-0000147F0000}"/>
    <cellStyle name="Percent 6 3 4 2 3" xfId="32743" xr:uid="{00000000-0005-0000-0000-0000157F0000}"/>
    <cellStyle name="Percent 6 3 4 3" xfId="13735" xr:uid="{00000000-0005-0000-0000-0000167F0000}"/>
    <cellStyle name="Percent 6 3 4 3 2" xfId="27284" xr:uid="{00000000-0005-0000-0000-0000177F0000}"/>
    <cellStyle name="Percent 6 3 4 4" xfId="32742" xr:uid="{00000000-0005-0000-0000-0000187F0000}"/>
    <cellStyle name="Percent 6 3 5" xfId="8485" xr:uid="{00000000-0005-0000-0000-0000197F0000}"/>
    <cellStyle name="Percent 6 3 5 2" xfId="14316" xr:uid="{00000000-0005-0000-0000-00001A7F0000}"/>
    <cellStyle name="Percent 6 3 5 2 2" xfId="27865" xr:uid="{00000000-0005-0000-0000-00001B7F0000}"/>
    <cellStyle name="Percent 6 3 5 3" xfId="32744" xr:uid="{00000000-0005-0000-0000-00001C7F0000}"/>
    <cellStyle name="Percent 6 3 6" xfId="8486" xr:uid="{00000000-0005-0000-0000-00001D7F0000}"/>
    <cellStyle name="Percent 6 3 6 2" xfId="16202" xr:uid="{00000000-0005-0000-0000-00001E7F0000}"/>
    <cellStyle name="Percent 6 3 6 2 2" xfId="29609" xr:uid="{00000000-0005-0000-0000-00001F7F0000}"/>
    <cellStyle name="Percent 6 3 6 3" xfId="32745" xr:uid="{00000000-0005-0000-0000-0000207F0000}"/>
    <cellStyle name="Percent 6 3 7" xfId="10413" xr:uid="{00000000-0005-0000-0000-0000217F0000}"/>
    <cellStyle name="Percent 6 3 8" xfId="32736" xr:uid="{00000000-0005-0000-0000-0000227F0000}"/>
    <cellStyle name="Percent 6 4" xfId="8487" xr:uid="{00000000-0005-0000-0000-0000237F0000}"/>
    <cellStyle name="Percent 6 4 2" xfId="8488" xr:uid="{00000000-0005-0000-0000-0000247F0000}"/>
    <cellStyle name="Percent 6 4 2 2" xfId="11687" xr:uid="{00000000-0005-0000-0000-0000257F0000}"/>
    <cellStyle name="Percent 6 4 2 3" xfId="32747" xr:uid="{00000000-0005-0000-0000-0000267F0000}"/>
    <cellStyle name="Percent 6 4 3" xfId="8489" xr:uid="{00000000-0005-0000-0000-0000277F0000}"/>
    <cellStyle name="Percent 6 4 3 2" xfId="17130" xr:uid="{00000000-0005-0000-0000-0000287F0000}"/>
    <cellStyle name="Percent 6 4 3 2 2" xfId="30489" xr:uid="{00000000-0005-0000-0000-0000297F0000}"/>
    <cellStyle name="Percent 6 4 3 3" xfId="32748" xr:uid="{00000000-0005-0000-0000-00002A7F0000}"/>
    <cellStyle name="Percent 6 4 4" xfId="10415" xr:uid="{00000000-0005-0000-0000-00002B7F0000}"/>
    <cellStyle name="Percent 6 4 5" xfId="32746" xr:uid="{00000000-0005-0000-0000-00002C7F0000}"/>
    <cellStyle name="Percent 6 5" xfId="8490" xr:uid="{00000000-0005-0000-0000-00002D7F0000}"/>
    <cellStyle name="Percent 6 5 2" xfId="8491" xr:uid="{00000000-0005-0000-0000-00002E7F0000}"/>
    <cellStyle name="Percent 6 5 2 2" xfId="13357" xr:uid="{00000000-0005-0000-0000-00002F7F0000}"/>
    <cellStyle name="Percent 6 5 2 3" xfId="32750" xr:uid="{00000000-0005-0000-0000-0000307F0000}"/>
    <cellStyle name="Percent 6 5 3" xfId="8492" xr:uid="{00000000-0005-0000-0000-0000317F0000}"/>
    <cellStyle name="Percent 6 5 3 2" xfId="17219" xr:uid="{00000000-0005-0000-0000-0000327F0000}"/>
    <cellStyle name="Percent 6 5 3 2 2" xfId="30578" xr:uid="{00000000-0005-0000-0000-0000337F0000}"/>
    <cellStyle name="Percent 6 5 3 3" xfId="32751" xr:uid="{00000000-0005-0000-0000-0000347F0000}"/>
    <cellStyle name="Percent 6 5 4" xfId="11866" xr:uid="{00000000-0005-0000-0000-0000357F0000}"/>
    <cellStyle name="Percent 6 5 4 2" xfId="25581" xr:uid="{00000000-0005-0000-0000-0000367F0000}"/>
    <cellStyle name="Percent 6 5 5" xfId="32749" xr:uid="{00000000-0005-0000-0000-0000377F0000}"/>
    <cellStyle name="Percent 6 6" xfId="8493" xr:uid="{00000000-0005-0000-0000-0000387F0000}"/>
    <cellStyle name="Percent 6 6 2" xfId="8494" xr:uid="{00000000-0005-0000-0000-0000397F0000}"/>
    <cellStyle name="Percent 6 6 2 2" xfId="15786" xr:uid="{00000000-0005-0000-0000-00003A7F0000}"/>
    <cellStyle name="Percent 6 6 2 3" xfId="32753" xr:uid="{00000000-0005-0000-0000-00003B7F0000}"/>
    <cellStyle name="Percent 6 6 3" xfId="8495" xr:uid="{00000000-0005-0000-0000-00003C7F0000}"/>
    <cellStyle name="Percent 6 6 3 2" xfId="16494" xr:uid="{00000000-0005-0000-0000-00003D7F0000}"/>
    <cellStyle name="Percent 6 6 3 2 2" xfId="29901" xr:uid="{00000000-0005-0000-0000-00003E7F0000}"/>
    <cellStyle name="Percent 6 6 3 3" xfId="32754" xr:uid="{00000000-0005-0000-0000-00003F7F0000}"/>
    <cellStyle name="Percent 6 6 4" xfId="13446" xr:uid="{00000000-0005-0000-0000-0000407F0000}"/>
    <cellStyle name="Percent 6 6 4 2" xfId="26995" xr:uid="{00000000-0005-0000-0000-0000417F0000}"/>
    <cellStyle name="Percent 6 6 5" xfId="32752" xr:uid="{00000000-0005-0000-0000-0000427F0000}"/>
    <cellStyle name="Percent 6 7" xfId="8496" xr:uid="{00000000-0005-0000-0000-0000437F0000}"/>
    <cellStyle name="Percent 6 7 2" xfId="14027" xr:uid="{00000000-0005-0000-0000-0000447F0000}"/>
    <cellStyle name="Percent 6 7 2 2" xfId="27576" xr:uid="{00000000-0005-0000-0000-0000457F0000}"/>
    <cellStyle name="Percent 6 7 3" xfId="32755" xr:uid="{00000000-0005-0000-0000-0000467F0000}"/>
    <cellStyle name="Percent 6 8" xfId="8497" xr:uid="{00000000-0005-0000-0000-0000477F0000}"/>
    <cellStyle name="Percent 6 8 2" xfId="15913" xr:uid="{00000000-0005-0000-0000-0000487F0000}"/>
    <cellStyle name="Percent 6 8 2 2" xfId="29320" xr:uid="{00000000-0005-0000-0000-0000497F0000}"/>
    <cellStyle name="Percent 6 8 3" xfId="32756" xr:uid="{00000000-0005-0000-0000-00004A7F0000}"/>
    <cellStyle name="Percent 6 9" xfId="8498" xr:uid="{00000000-0005-0000-0000-00004B7F0000}"/>
    <cellStyle name="Percent 6 9 2" xfId="17343" xr:uid="{00000000-0005-0000-0000-00004C7F0000}"/>
    <cellStyle name="Percent 6 9 3" xfId="32757" xr:uid="{00000000-0005-0000-0000-00004D7F0000}"/>
    <cellStyle name="Percent 7" xfId="8499" xr:uid="{00000000-0005-0000-0000-00004E7F0000}"/>
    <cellStyle name="Percent 7 2" xfId="10416" xr:uid="{00000000-0005-0000-0000-00004F7F0000}"/>
    <cellStyle name="Percent 7 3" xfId="32758" xr:uid="{00000000-0005-0000-0000-0000507F0000}"/>
    <cellStyle name="Percent 8" xfId="8500" xr:uid="{00000000-0005-0000-0000-0000517F0000}"/>
    <cellStyle name="Percent 8 2" xfId="8501" xr:uid="{00000000-0005-0000-0000-0000527F0000}"/>
    <cellStyle name="Percent 8 2 2" xfId="10418" xr:uid="{00000000-0005-0000-0000-0000537F0000}"/>
    <cellStyle name="Percent 8 2 3" xfId="32760" xr:uid="{00000000-0005-0000-0000-0000547F0000}"/>
    <cellStyle name="Percent 8 3" xfId="8502" xr:uid="{00000000-0005-0000-0000-0000557F0000}"/>
    <cellStyle name="Percent 8 3 2" xfId="13358" xr:uid="{00000000-0005-0000-0000-0000567F0000}"/>
    <cellStyle name="Percent 8 3 3" xfId="32761" xr:uid="{00000000-0005-0000-0000-0000577F0000}"/>
    <cellStyle name="Percent 8 4" xfId="10417" xr:uid="{00000000-0005-0000-0000-0000587F0000}"/>
    <cellStyle name="Percent 8 5" xfId="32759" xr:uid="{00000000-0005-0000-0000-0000597F0000}"/>
    <cellStyle name="Percent 9" xfId="8503" xr:uid="{00000000-0005-0000-0000-00005A7F0000}"/>
    <cellStyle name="Percent 9 2" xfId="8504" xr:uid="{00000000-0005-0000-0000-00005B7F0000}"/>
    <cellStyle name="Percent 9 2 2" xfId="13360" xr:uid="{00000000-0005-0000-0000-00005C7F0000}"/>
    <cellStyle name="Percent 9 2 3" xfId="32763" xr:uid="{00000000-0005-0000-0000-00005D7F0000}"/>
    <cellStyle name="Percent 9 3" xfId="8505" xr:uid="{00000000-0005-0000-0000-00005E7F0000}"/>
    <cellStyle name="Percent 9 3 2" xfId="13359" xr:uid="{00000000-0005-0000-0000-00005F7F0000}"/>
    <cellStyle name="Percent 9 3 3" xfId="32764" xr:uid="{00000000-0005-0000-0000-0000607F0000}"/>
    <cellStyle name="Percent 9 4" xfId="10514" xr:uid="{00000000-0005-0000-0000-0000617F0000}"/>
    <cellStyle name="Percent 9 5" xfId="32762" xr:uid="{00000000-0005-0000-0000-0000627F0000}"/>
    <cellStyle name="SAPBEXaggData" xfId="8506" xr:uid="{00000000-0005-0000-0000-0000637F0000}"/>
    <cellStyle name="SAPBEXaggData 2" xfId="17045" xr:uid="{00000000-0005-0000-0000-0000647F0000}"/>
    <cellStyle name="SAPBEXaggData 3" xfId="32765" xr:uid="{00000000-0005-0000-0000-0000657F0000}"/>
    <cellStyle name="SAPBEXaggDataEmph" xfId="8507" xr:uid="{00000000-0005-0000-0000-0000667F0000}"/>
    <cellStyle name="SAPBEXaggDataEmph 2" xfId="17046" xr:uid="{00000000-0005-0000-0000-0000677F0000}"/>
    <cellStyle name="SAPBEXaggDataEmph 3" xfId="32766" xr:uid="{00000000-0005-0000-0000-0000687F0000}"/>
    <cellStyle name="SAPBEXaggItem" xfId="8508" xr:uid="{00000000-0005-0000-0000-0000697F0000}"/>
    <cellStyle name="SAPBEXaggItem 2" xfId="17047" xr:uid="{00000000-0005-0000-0000-00006A7F0000}"/>
    <cellStyle name="SAPBEXaggItem 3" xfId="32767" xr:uid="{00000000-0005-0000-0000-00006B7F0000}"/>
    <cellStyle name="SAPBEXaggItemX" xfId="8509" xr:uid="{00000000-0005-0000-0000-00006C7F0000}"/>
    <cellStyle name="SAPBEXaggItemX 2" xfId="17048" xr:uid="{00000000-0005-0000-0000-00006D7F0000}"/>
    <cellStyle name="SAPBEXaggItemX 3" xfId="32768" xr:uid="{00000000-0005-0000-0000-00006E7F0000}"/>
    <cellStyle name="SAPBEXchaText" xfId="8510" xr:uid="{00000000-0005-0000-0000-00006F7F0000}"/>
    <cellStyle name="SAPBEXchaText 2" xfId="17049" xr:uid="{00000000-0005-0000-0000-0000707F0000}"/>
    <cellStyle name="SAPBEXchaText 3" xfId="32769" xr:uid="{00000000-0005-0000-0000-0000717F0000}"/>
    <cellStyle name="SAPBEXexcBad7" xfId="8511" xr:uid="{00000000-0005-0000-0000-0000727F0000}"/>
    <cellStyle name="SAPBEXexcBad7 2" xfId="17050" xr:uid="{00000000-0005-0000-0000-0000737F0000}"/>
    <cellStyle name="SAPBEXexcBad7 3" xfId="32770" xr:uid="{00000000-0005-0000-0000-0000747F0000}"/>
    <cellStyle name="SAPBEXexcBad8" xfId="8512" xr:uid="{00000000-0005-0000-0000-0000757F0000}"/>
    <cellStyle name="SAPBEXexcBad8 2" xfId="17051" xr:uid="{00000000-0005-0000-0000-0000767F0000}"/>
    <cellStyle name="SAPBEXexcBad8 3" xfId="32771" xr:uid="{00000000-0005-0000-0000-0000777F0000}"/>
    <cellStyle name="SAPBEXexcBad9" xfId="8513" xr:uid="{00000000-0005-0000-0000-0000787F0000}"/>
    <cellStyle name="SAPBEXexcBad9 2" xfId="17052" xr:uid="{00000000-0005-0000-0000-0000797F0000}"/>
    <cellStyle name="SAPBEXexcBad9 3" xfId="32772" xr:uid="{00000000-0005-0000-0000-00007A7F0000}"/>
    <cellStyle name="SAPBEXexcCritical4" xfId="8514" xr:uid="{00000000-0005-0000-0000-00007B7F0000}"/>
    <cellStyle name="SAPBEXexcCritical4 2" xfId="17053" xr:uid="{00000000-0005-0000-0000-00007C7F0000}"/>
    <cellStyle name="SAPBEXexcCritical4 3" xfId="32773" xr:uid="{00000000-0005-0000-0000-00007D7F0000}"/>
    <cellStyle name="SAPBEXexcCritical5" xfId="8515" xr:uid="{00000000-0005-0000-0000-00007E7F0000}"/>
    <cellStyle name="SAPBEXexcCritical5 2" xfId="17054" xr:uid="{00000000-0005-0000-0000-00007F7F0000}"/>
    <cellStyle name="SAPBEXexcCritical5 3" xfId="32774" xr:uid="{00000000-0005-0000-0000-0000807F0000}"/>
    <cellStyle name="SAPBEXexcCritical6" xfId="8516" xr:uid="{00000000-0005-0000-0000-0000817F0000}"/>
    <cellStyle name="SAPBEXexcCritical6 2" xfId="17055" xr:uid="{00000000-0005-0000-0000-0000827F0000}"/>
    <cellStyle name="SAPBEXexcCritical6 3" xfId="32775" xr:uid="{00000000-0005-0000-0000-0000837F0000}"/>
    <cellStyle name="SAPBEXexcGood1" xfId="8517" xr:uid="{00000000-0005-0000-0000-0000847F0000}"/>
    <cellStyle name="SAPBEXexcGood1 2" xfId="17056" xr:uid="{00000000-0005-0000-0000-0000857F0000}"/>
    <cellStyle name="SAPBEXexcGood1 3" xfId="32776" xr:uid="{00000000-0005-0000-0000-0000867F0000}"/>
    <cellStyle name="SAPBEXexcGood2" xfId="8518" xr:uid="{00000000-0005-0000-0000-0000877F0000}"/>
    <cellStyle name="SAPBEXexcGood2 2" xfId="17057" xr:uid="{00000000-0005-0000-0000-0000887F0000}"/>
    <cellStyle name="SAPBEXexcGood2 3" xfId="32777" xr:uid="{00000000-0005-0000-0000-0000897F0000}"/>
    <cellStyle name="SAPBEXexcGood3" xfId="8519" xr:uid="{00000000-0005-0000-0000-00008A7F0000}"/>
    <cellStyle name="SAPBEXexcGood3 2" xfId="17058" xr:uid="{00000000-0005-0000-0000-00008B7F0000}"/>
    <cellStyle name="SAPBEXexcGood3 3" xfId="32778" xr:uid="{00000000-0005-0000-0000-00008C7F0000}"/>
    <cellStyle name="SAPBEXfilterDrill" xfId="8520" xr:uid="{00000000-0005-0000-0000-00008D7F0000}"/>
    <cellStyle name="SAPBEXfilterDrill 2" xfId="17059" xr:uid="{00000000-0005-0000-0000-00008E7F0000}"/>
    <cellStyle name="SAPBEXfilterDrill 3" xfId="32779" xr:uid="{00000000-0005-0000-0000-00008F7F0000}"/>
    <cellStyle name="SAPBEXfilterItem" xfId="8521" xr:uid="{00000000-0005-0000-0000-0000907F0000}"/>
    <cellStyle name="SAPBEXfilterItem 2" xfId="17060" xr:uid="{00000000-0005-0000-0000-0000917F0000}"/>
    <cellStyle name="SAPBEXfilterItem 3" xfId="32780" xr:uid="{00000000-0005-0000-0000-0000927F0000}"/>
    <cellStyle name="SAPBEXfilterText" xfId="8522" xr:uid="{00000000-0005-0000-0000-0000937F0000}"/>
    <cellStyle name="SAPBEXfilterText 2" xfId="17061" xr:uid="{00000000-0005-0000-0000-0000947F0000}"/>
    <cellStyle name="SAPBEXfilterText 3" xfId="32781" xr:uid="{00000000-0005-0000-0000-0000957F0000}"/>
    <cellStyle name="SAPBEXformats" xfId="8523" xr:uid="{00000000-0005-0000-0000-0000967F0000}"/>
    <cellStyle name="SAPBEXformats 2" xfId="17062" xr:uid="{00000000-0005-0000-0000-0000977F0000}"/>
    <cellStyle name="SAPBEXformats 3" xfId="32782" xr:uid="{00000000-0005-0000-0000-0000987F0000}"/>
    <cellStyle name="SAPBEXheaderItem" xfId="8524" xr:uid="{00000000-0005-0000-0000-0000997F0000}"/>
    <cellStyle name="SAPBEXheaderItem 2" xfId="17063" xr:uid="{00000000-0005-0000-0000-00009A7F0000}"/>
    <cellStyle name="SAPBEXheaderItem 3" xfId="32783" xr:uid="{00000000-0005-0000-0000-00009B7F0000}"/>
    <cellStyle name="SAPBEXheaderText" xfId="8525" xr:uid="{00000000-0005-0000-0000-00009C7F0000}"/>
    <cellStyle name="SAPBEXheaderText 2" xfId="17064" xr:uid="{00000000-0005-0000-0000-00009D7F0000}"/>
    <cellStyle name="SAPBEXheaderText 3" xfId="32784" xr:uid="{00000000-0005-0000-0000-00009E7F0000}"/>
    <cellStyle name="SAPBEXHLevel0" xfId="8526" xr:uid="{00000000-0005-0000-0000-00009F7F0000}"/>
    <cellStyle name="SAPBEXHLevel0 2" xfId="17065" xr:uid="{00000000-0005-0000-0000-0000A07F0000}"/>
    <cellStyle name="SAPBEXHLevel0 3" xfId="32785" xr:uid="{00000000-0005-0000-0000-0000A17F0000}"/>
    <cellStyle name="SAPBEXHLevel0X" xfId="8527" xr:uid="{00000000-0005-0000-0000-0000A27F0000}"/>
    <cellStyle name="SAPBEXHLevel0X 2" xfId="17066" xr:uid="{00000000-0005-0000-0000-0000A37F0000}"/>
    <cellStyle name="SAPBEXHLevel0X 3" xfId="32786" xr:uid="{00000000-0005-0000-0000-0000A47F0000}"/>
    <cellStyle name="SAPBEXHLevel1" xfId="8528" xr:uid="{00000000-0005-0000-0000-0000A57F0000}"/>
    <cellStyle name="SAPBEXHLevel1 2" xfId="17067" xr:uid="{00000000-0005-0000-0000-0000A67F0000}"/>
    <cellStyle name="SAPBEXHLevel1 3" xfId="32787" xr:uid="{00000000-0005-0000-0000-0000A77F0000}"/>
    <cellStyle name="SAPBEXHLevel1X" xfId="8529" xr:uid="{00000000-0005-0000-0000-0000A87F0000}"/>
    <cellStyle name="SAPBEXHLevel1X 2" xfId="17068" xr:uid="{00000000-0005-0000-0000-0000A97F0000}"/>
    <cellStyle name="SAPBEXHLevel1X 3" xfId="32788" xr:uid="{00000000-0005-0000-0000-0000AA7F0000}"/>
    <cellStyle name="SAPBEXHLevel2" xfId="8530" xr:uid="{00000000-0005-0000-0000-0000AB7F0000}"/>
    <cellStyle name="SAPBEXHLevel2 2" xfId="17069" xr:uid="{00000000-0005-0000-0000-0000AC7F0000}"/>
    <cellStyle name="SAPBEXHLevel2 3" xfId="32789" xr:uid="{00000000-0005-0000-0000-0000AD7F0000}"/>
    <cellStyle name="SAPBEXHLevel2X" xfId="8531" xr:uid="{00000000-0005-0000-0000-0000AE7F0000}"/>
    <cellStyle name="SAPBEXHLevel2X 2" xfId="17070" xr:uid="{00000000-0005-0000-0000-0000AF7F0000}"/>
    <cellStyle name="SAPBEXHLevel2X 3" xfId="32790" xr:uid="{00000000-0005-0000-0000-0000B07F0000}"/>
    <cellStyle name="SAPBEXHLevel3" xfId="8532" xr:uid="{00000000-0005-0000-0000-0000B17F0000}"/>
    <cellStyle name="SAPBEXHLevel3 2" xfId="17071" xr:uid="{00000000-0005-0000-0000-0000B27F0000}"/>
    <cellStyle name="SAPBEXHLevel3 3" xfId="32791" xr:uid="{00000000-0005-0000-0000-0000B37F0000}"/>
    <cellStyle name="SAPBEXHLevel3X" xfId="8533" xr:uid="{00000000-0005-0000-0000-0000B47F0000}"/>
    <cellStyle name="SAPBEXHLevel3X 2" xfId="17072" xr:uid="{00000000-0005-0000-0000-0000B57F0000}"/>
    <cellStyle name="SAPBEXHLevel3X 3" xfId="32792" xr:uid="{00000000-0005-0000-0000-0000B67F0000}"/>
    <cellStyle name="SAPBEXinputData" xfId="8534" xr:uid="{00000000-0005-0000-0000-0000B77F0000}"/>
    <cellStyle name="SAPBEXinputData 2" xfId="17073" xr:uid="{00000000-0005-0000-0000-0000B87F0000}"/>
    <cellStyle name="SAPBEXinputData 3" xfId="32793" xr:uid="{00000000-0005-0000-0000-0000B97F0000}"/>
    <cellStyle name="SAPBEXresData" xfId="8535" xr:uid="{00000000-0005-0000-0000-0000BA7F0000}"/>
    <cellStyle name="SAPBEXresData 2" xfId="17074" xr:uid="{00000000-0005-0000-0000-0000BB7F0000}"/>
    <cellStyle name="SAPBEXresData 3" xfId="32794" xr:uid="{00000000-0005-0000-0000-0000BC7F0000}"/>
    <cellStyle name="SAPBEXresDataEmph" xfId="8536" xr:uid="{00000000-0005-0000-0000-0000BD7F0000}"/>
    <cellStyle name="SAPBEXresDataEmph 2" xfId="17075" xr:uid="{00000000-0005-0000-0000-0000BE7F0000}"/>
    <cellStyle name="SAPBEXresDataEmph 3" xfId="32795" xr:uid="{00000000-0005-0000-0000-0000BF7F0000}"/>
    <cellStyle name="SAPBEXresItem" xfId="8537" xr:uid="{00000000-0005-0000-0000-0000C07F0000}"/>
    <cellStyle name="SAPBEXresItem 2" xfId="17076" xr:uid="{00000000-0005-0000-0000-0000C17F0000}"/>
    <cellStyle name="SAPBEXresItem 3" xfId="32796" xr:uid="{00000000-0005-0000-0000-0000C27F0000}"/>
    <cellStyle name="SAPBEXresItemX" xfId="8538" xr:uid="{00000000-0005-0000-0000-0000C37F0000}"/>
    <cellStyle name="SAPBEXresItemX 2" xfId="17077" xr:uid="{00000000-0005-0000-0000-0000C47F0000}"/>
    <cellStyle name="SAPBEXresItemX 3" xfId="32797" xr:uid="{00000000-0005-0000-0000-0000C57F0000}"/>
    <cellStyle name="SAPBEXstdData" xfId="8539" xr:uid="{00000000-0005-0000-0000-0000C67F0000}"/>
    <cellStyle name="SAPBEXstdData 2" xfId="17078" xr:uid="{00000000-0005-0000-0000-0000C77F0000}"/>
    <cellStyle name="SAPBEXstdData 3" xfId="32798" xr:uid="{00000000-0005-0000-0000-0000C87F0000}"/>
    <cellStyle name="SAPBEXstdDataEmph" xfId="8540" xr:uid="{00000000-0005-0000-0000-0000C97F0000}"/>
    <cellStyle name="SAPBEXstdDataEmph 2" xfId="17079" xr:uid="{00000000-0005-0000-0000-0000CA7F0000}"/>
    <cellStyle name="SAPBEXstdDataEmph 3" xfId="32799" xr:uid="{00000000-0005-0000-0000-0000CB7F0000}"/>
    <cellStyle name="SAPBEXstdItem" xfId="8541" xr:uid="{00000000-0005-0000-0000-0000CC7F0000}"/>
    <cellStyle name="SAPBEXstdItem 2" xfId="17080" xr:uid="{00000000-0005-0000-0000-0000CD7F0000}"/>
    <cellStyle name="SAPBEXstdItem 3" xfId="32800" xr:uid="{00000000-0005-0000-0000-0000CE7F0000}"/>
    <cellStyle name="SAPBEXstdItemX" xfId="8542" xr:uid="{00000000-0005-0000-0000-0000CF7F0000}"/>
    <cellStyle name="SAPBEXstdItemX 2" xfId="17081" xr:uid="{00000000-0005-0000-0000-0000D07F0000}"/>
    <cellStyle name="SAPBEXstdItemX 3" xfId="32801" xr:uid="{00000000-0005-0000-0000-0000D17F0000}"/>
    <cellStyle name="SAPBEXtitle" xfId="8543" xr:uid="{00000000-0005-0000-0000-0000D27F0000}"/>
    <cellStyle name="SAPBEXtitle 2" xfId="17082" xr:uid="{00000000-0005-0000-0000-0000D37F0000}"/>
    <cellStyle name="SAPBEXtitle 3" xfId="32802" xr:uid="{00000000-0005-0000-0000-0000D47F0000}"/>
    <cellStyle name="SAPBEXundefined" xfId="8544" xr:uid="{00000000-0005-0000-0000-0000D57F0000}"/>
    <cellStyle name="SAPBEXundefined 2" xfId="17083" xr:uid="{00000000-0005-0000-0000-0000D67F0000}"/>
    <cellStyle name="SAPBEXundefined 3" xfId="32803" xr:uid="{00000000-0005-0000-0000-0000D77F0000}"/>
    <cellStyle name="Sheet Title" xfId="8545" xr:uid="{00000000-0005-0000-0000-0000D87F0000}"/>
    <cellStyle name="Sheet Title 2" xfId="17084" xr:uid="{00000000-0005-0000-0000-0000D97F0000}"/>
    <cellStyle name="Sheet Title 3" xfId="32804" xr:uid="{00000000-0005-0000-0000-0000DA7F0000}"/>
    <cellStyle name="TableStyleLight1" xfId="8546" xr:uid="{00000000-0005-0000-0000-0000DB7F0000}"/>
    <cellStyle name="TableStyleLight1 2" xfId="10419" xr:uid="{00000000-0005-0000-0000-0000DC7F0000}"/>
    <cellStyle name="TableStyleLight1 3" xfId="32805" xr:uid="{00000000-0005-0000-0000-0000DD7F0000}"/>
    <cellStyle name="Title" xfId="4" builtinId="15" customBuiltin="1"/>
    <cellStyle name="Title 10" xfId="8547" xr:uid="{00000000-0005-0000-0000-0000DF7F0000}"/>
    <cellStyle name="Title 10 2" xfId="8548" xr:uid="{00000000-0005-0000-0000-0000E07F0000}"/>
    <cellStyle name="Title 10 2 2" xfId="11690" xr:uid="{00000000-0005-0000-0000-0000E17F0000}"/>
    <cellStyle name="Title 10 2 3" xfId="32807" xr:uid="{00000000-0005-0000-0000-0000E27F0000}"/>
    <cellStyle name="Title 10 3" xfId="10421" xr:uid="{00000000-0005-0000-0000-0000E37F0000}"/>
    <cellStyle name="Title 10 4" xfId="32806" xr:uid="{00000000-0005-0000-0000-0000E47F0000}"/>
    <cellStyle name="Title 11" xfId="8549" xr:uid="{00000000-0005-0000-0000-0000E57F0000}"/>
    <cellStyle name="Title 11 2" xfId="8550" xr:uid="{00000000-0005-0000-0000-0000E67F0000}"/>
    <cellStyle name="Title 11 2 2" xfId="15787" xr:uid="{00000000-0005-0000-0000-0000E77F0000}"/>
    <cellStyle name="Title 11 2 3" xfId="32809" xr:uid="{00000000-0005-0000-0000-0000E87F0000}"/>
    <cellStyle name="Title 11 3" xfId="10422" xr:uid="{00000000-0005-0000-0000-0000E97F0000}"/>
    <cellStyle name="Title 11 4" xfId="32808" xr:uid="{00000000-0005-0000-0000-0000EA7F0000}"/>
    <cellStyle name="Title 12" xfId="8551" xr:uid="{00000000-0005-0000-0000-0000EB7F0000}"/>
    <cellStyle name="Title 12 2" xfId="8552" xr:uid="{00000000-0005-0000-0000-0000EC7F0000}"/>
    <cellStyle name="Title 12 2 2" xfId="15788" xr:uid="{00000000-0005-0000-0000-0000ED7F0000}"/>
    <cellStyle name="Title 12 2 3" xfId="32811" xr:uid="{00000000-0005-0000-0000-0000EE7F0000}"/>
    <cellStyle name="Title 12 3" xfId="10490" xr:uid="{00000000-0005-0000-0000-0000EF7F0000}"/>
    <cellStyle name="Title 12 4" xfId="32810" xr:uid="{00000000-0005-0000-0000-0000F07F0000}"/>
    <cellStyle name="Title 13" xfId="8553" xr:uid="{00000000-0005-0000-0000-0000F17F0000}"/>
    <cellStyle name="Title 13 2" xfId="11689" xr:uid="{00000000-0005-0000-0000-0000F27F0000}"/>
    <cellStyle name="Title 13 3" xfId="32812" xr:uid="{00000000-0005-0000-0000-0000F37F0000}"/>
    <cellStyle name="Title 14" xfId="8554" xr:uid="{00000000-0005-0000-0000-0000F47F0000}"/>
    <cellStyle name="Title 14 2" xfId="10420" xr:uid="{00000000-0005-0000-0000-0000F57F0000}"/>
    <cellStyle name="Title 14 3" xfId="32813" xr:uid="{00000000-0005-0000-0000-0000F67F0000}"/>
    <cellStyle name="Title 2" xfId="8555" xr:uid="{00000000-0005-0000-0000-0000F77F0000}"/>
    <cellStyle name="Title 2 2" xfId="8556" xr:uid="{00000000-0005-0000-0000-0000F87F0000}"/>
    <cellStyle name="Title 2 2 2" xfId="10424" xr:uid="{00000000-0005-0000-0000-0000F97F0000}"/>
    <cellStyle name="Title 2 2 3" xfId="32815" xr:uid="{00000000-0005-0000-0000-0000FA7F0000}"/>
    <cellStyle name="Title 2 3" xfId="8557" xr:uid="{00000000-0005-0000-0000-0000FB7F0000}"/>
    <cellStyle name="Title 2 3 2" xfId="13361" xr:uid="{00000000-0005-0000-0000-0000FC7F0000}"/>
    <cellStyle name="Title 2 3 3" xfId="32816" xr:uid="{00000000-0005-0000-0000-0000FD7F0000}"/>
    <cellStyle name="Title 2 4" xfId="10423" xr:uid="{00000000-0005-0000-0000-0000FE7F0000}"/>
    <cellStyle name="Title 2 5" xfId="32814" xr:uid="{00000000-0005-0000-0000-0000FF7F0000}"/>
    <cellStyle name="Title 3" xfId="8558" xr:uid="{00000000-0005-0000-0000-000000800000}"/>
    <cellStyle name="Title 3 2" xfId="8559" xr:uid="{00000000-0005-0000-0000-000001800000}"/>
    <cellStyle name="Title 3 2 2" xfId="10426" xr:uid="{00000000-0005-0000-0000-000002800000}"/>
    <cellStyle name="Title 3 2 3" xfId="32818" xr:uid="{00000000-0005-0000-0000-000003800000}"/>
    <cellStyle name="Title 3 3" xfId="8560" xr:uid="{00000000-0005-0000-0000-000004800000}"/>
    <cellStyle name="Title 3 3 2" xfId="13363" xr:uid="{00000000-0005-0000-0000-000005800000}"/>
    <cellStyle name="Title 3 3 3" xfId="32819" xr:uid="{00000000-0005-0000-0000-000006800000}"/>
    <cellStyle name="Title 3 4" xfId="8561" xr:uid="{00000000-0005-0000-0000-000007800000}"/>
    <cellStyle name="Title 3 4 2" xfId="13362" xr:uid="{00000000-0005-0000-0000-000008800000}"/>
    <cellStyle name="Title 3 4 3" xfId="32820" xr:uid="{00000000-0005-0000-0000-000009800000}"/>
    <cellStyle name="Title 3 5" xfId="10425" xr:uid="{00000000-0005-0000-0000-00000A800000}"/>
    <cellStyle name="Title 3 6" xfId="32817" xr:uid="{00000000-0005-0000-0000-00000B800000}"/>
    <cellStyle name="Title 4" xfId="8562" xr:uid="{00000000-0005-0000-0000-00000C800000}"/>
    <cellStyle name="Title 4 2" xfId="8563" xr:uid="{00000000-0005-0000-0000-00000D800000}"/>
    <cellStyle name="Title 4 2 2" xfId="8564" xr:uid="{00000000-0005-0000-0000-00000E800000}"/>
    <cellStyle name="Title 4 2 2 2" xfId="11692" xr:uid="{00000000-0005-0000-0000-00000F800000}"/>
    <cellStyle name="Title 4 2 2 3" xfId="32823" xr:uid="{00000000-0005-0000-0000-000010800000}"/>
    <cellStyle name="Title 4 2 3" xfId="10428" xr:uid="{00000000-0005-0000-0000-000011800000}"/>
    <cellStyle name="Title 4 2 4" xfId="32822" xr:uid="{00000000-0005-0000-0000-000012800000}"/>
    <cellStyle name="Title 4 3" xfId="8565" xr:uid="{00000000-0005-0000-0000-000013800000}"/>
    <cellStyle name="Title 4 3 2" xfId="11691" xr:uid="{00000000-0005-0000-0000-000014800000}"/>
    <cellStyle name="Title 4 3 3" xfId="32824" xr:uid="{00000000-0005-0000-0000-000015800000}"/>
    <cellStyle name="Title 4 4" xfId="8566" xr:uid="{00000000-0005-0000-0000-000016800000}"/>
    <cellStyle name="Title 4 4 2" xfId="13364" xr:uid="{00000000-0005-0000-0000-000017800000}"/>
    <cellStyle name="Title 4 4 3" xfId="32825" xr:uid="{00000000-0005-0000-0000-000018800000}"/>
    <cellStyle name="Title 4 5" xfId="8567" xr:uid="{00000000-0005-0000-0000-000019800000}"/>
    <cellStyle name="Title 4 5 2" xfId="15789" xr:uid="{00000000-0005-0000-0000-00001A800000}"/>
    <cellStyle name="Title 4 5 3" xfId="32826" xr:uid="{00000000-0005-0000-0000-00001B800000}"/>
    <cellStyle name="Title 4 6" xfId="10427" xr:uid="{00000000-0005-0000-0000-00001C800000}"/>
    <cellStyle name="Title 4 7" xfId="32821" xr:uid="{00000000-0005-0000-0000-00001D800000}"/>
    <cellStyle name="Title 5" xfId="8568" xr:uid="{00000000-0005-0000-0000-00001E800000}"/>
    <cellStyle name="Title 5 2" xfId="8569" xr:uid="{00000000-0005-0000-0000-00001F800000}"/>
    <cellStyle name="Title 5 2 2" xfId="8570" xr:uid="{00000000-0005-0000-0000-000020800000}"/>
    <cellStyle name="Title 5 2 2 2" xfId="11694" xr:uid="{00000000-0005-0000-0000-000021800000}"/>
    <cellStyle name="Title 5 2 2 3" xfId="32829" xr:uid="{00000000-0005-0000-0000-000022800000}"/>
    <cellStyle name="Title 5 2 3" xfId="10430" xr:uid="{00000000-0005-0000-0000-000023800000}"/>
    <cellStyle name="Title 5 2 4" xfId="32828" xr:uid="{00000000-0005-0000-0000-000024800000}"/>
    <cellStyle name="Title 5 3" xfId="8571" xr:uid="{00000000-0005-0000-0000-000025800000}"/>
    <cellStyle name="Title 5 3 2" xfId="11693" xr:uid="{00000000-0005-0000-0000-000026800000}"/>
    <cellStyle name="Title 5 3 3" xfId="32830" xr:uid="{00000000-0005-0000-0000-000027800000}"/>
    <cellStyle name="Title 5 4" xfId="10429" xr:uid="{00000000-0005-0000-0000-000028800000}"/>
    <cellStyle name="Title 5 5" xfId="32827" xr:uid="{00000000-0005-0000-0000-000029800000}"/>
    <cellStyle name="Title 6" xfId="8572" xr:uid="{00000000-0005-0000-0000-00002A800000}"/>
    <cellStyle name="Title 6 2" xfId="8573" xr:uid="{00000000-0005-0000-0000-00002B800000}"/>
    <cellStyle name="Title 6 2 2" xfId="11695" xr:uid="{00000000-0005-0000-0000-00002C800000}"/>
    <cellStyle name="Title 6 2 3" xfId="32832" xr:uid="{00000000-0005-0000-0000-00002D800000}"/>
    <cellStyle name="Title 6 3" xfId="10431" xr:uid="{00000000-0005-0000-0000-00002E800000}"/>
    <cellStyle name="Title 6 4" xfId="32831" xr:uid="{00000000-0005-0000-0000-00002F800000}"/>
    <cellStyle name="Title 7" xfId="8574" xr:uid="{00000000-0005-0000-0000-000030800000}"/>
    <cellStyle name="Title 7 2" xfId="8575" xr:uid="{00000000-0005-0000-0000-000031800000}"/>
    <cellStyle name="Title 7 2 2" xfId="11696" xr:uid="{00000000-0005-0000-0000-000032800000}"/>
    <cellStyle name="Title 7 2 3" xfId="32834" xr:uid="{00000000-0005-0000-0000-000033800000}"/>
    <cellStyle name="Title 7 3" xfId="10432" xr:uid="{00000000-0005-0000-0000-000034800000}"/>
    <cellStyle name="Title 7 4" xfId="32833" xr:uid="{00000000-0005-0000-0000-000035800000}"/>
    <cellStyle name="Title 8" xfId="8576" xr:uid="{00000000-0005-0000-0000-000036800000}"/>
    <cellStyle name="Title 8 2" xfId="8577" xr:uid="{00000000-0005-0000-0000-000037800000}"/>
    <cellStyle name="Title 8 2 2" xfId="11697" xr:uid="{00000000-0005-0000-0000-000038800000}"/>
    <cellStyle name="Title 8 2 3" xfId="32836" xr:uid="{00000000-0005-0000-0000-000039800000}"/>
    <cellStyle name="Title 8 3" xfId="10433" xr:uid="{00000000-0005-0000-0000-00003A800000}"/>
    <cellStyle name="Title 8 4" xfId="32835" xr:uid="{00000000-0005-0000-0000-00003B800000}"/>
    <cellStyle name="Title 9" xfId="8578" xr:uid="{00000000-0005-0000-0000-00003C800000}"/>
    <cellStyle name="Title 9 2" xfId="8579" xr:uid="{00000000-0005-0000-0000-00003D800000}"/>
    <cellStyle name="Title 9 2 2" xfId="11698" xr:uid="{00000000-0005-0000-0000-00003E800000}"/>
    <cellStyle name="Title 9 2 3" xfId="32838" xr:uid="{00000000-0005-0000-0000-00003F800000}"/>
    <cellStyle name="Title 9 3" xfId="10434" xr:uid="{00000000-0005-0000-0000-000040800000}"/>
    <cellStyle name="Title 9 4" xfId="32837" xr:uid="{00000000-0005-0000-0000-000041800000}"/>
    <cellStyle name="Total" xfId="16" builtinId="25" customBuiltin="1"/>
    <cellStyle name="Total 10" xfId="8580" xr:uid="{00000000-0005-0000-0000-000043800000}"/>
    <cellStyle name="Total 10 2" xfId="8741" xr:uid="{00000000-0005-0000-0000-000044800000}"/>
    <cellStyle name="Total 10 3" xfId="32839" xr:uid="{00000000-0005-0000-0000-000045800000}"/>
    <cellStyle name="Total 11" xfId="8581" xr:uid="{00000000-0005-0000-0000-000046800000}"/>
    <cellStyle name="Total 11 2" xfId="8742" xr:uid="{00000000-0005-0000-0000-000047800000}"/>
    <cellStyle name="Total 11 3" xfId="32840" xr:uid="{00000000-0005-0000-0000-000048800000}"/>
    <cellStyle name="Total 12" xfId="8582" xr:uid="{00000000-0005-0000-0000-000049800000}"/>
    <cellStyle name="Total 12 2" xfId="8743" xr:uid="{00000000-0005-0000-0000-00004A800000}"/>
    <cellStyle name="Total 12 3" xfId="32841" xr:uid="{00000000-0005-0000-0000-00004B800000}"/>
    <cellStyle name="Total 13" xfId="8583" xr:uid="{00000000-0005-0000-0000-00004C800000}"/>
    <cellStyle name="Total 13 2" xfId="8744" xr:uid="{00000000-0005-0000-0000-00004D800000}"/>
    <cellStyle name="Total 13 3" xfId="32842" xr:uid="{00000000-0005-0000-0000-00004E800000}"/>
    <cellStyle name="Total 14" xfId="8584" xr:uid="{00000000-0005-0000-0000-00004F800000}"/>
    <cellStyle name="Total 14 2" xfId="8745" xr:uid="{00000000-0005-0000-0000-000050800000}"/>
    <cellStyle name="Total 14 3" xfId="32843" xr:uid="{00000000-0005-0000-0000-000051800000}"/>
    <cellStyle name="Total 15" xfId="8585" xr:uid="{00000000-0005-0000-0000-000052800000}"/>
    <cellStyle name="Total 15 2" xfId="8746" xr:uid="{00000000-0005-0000-0000-000053800000}"/>
    <cellStyle name="Total 15 3" xfId="32844" xr:uid="{00000000-0005-0000-0000-000054800000}"/>
    <cellStyle name="Total 16" xfId="8586" xr:uid="{00000000-0005-0000-0000-000055800000}"/>
    <cellStyle name="Total 16 2" xfId="8747" xr:uid="{00000000-0005-0000-0000-000056800000}"/>
    <cellStyle name="Total 16 3" xfId="32845" xr:uid="{00000000-0005-0000-0000-000057800000}"/>
    <cellStyle name="Total 17" xfId="8587" xr:uid="{00000000-0005-0000-0000-000058800000}"/>
    <cellStyle name="Total 17 2" xfId="8748" xr:uid="{00000000-0005-0000-0000-000059800000}"/>
    <cellStyle name="Total 17 3" xfId="32846" xr:uid="{00000000-0005-0000-0000-00005A800000}"/>
    <cellStyle name="Total 18" xfId="8588" xr:uid="{00000000-0005-0000-0000-00005B800000}"/>
    <cellStyle name="Total 18 2" xfId="8749" xr:uid="{00000000-0005-0000-0000-00005C800000}"/>
    <cellStyle name="Total 18 3" xfId="32847" xr:uid="{00000000-0005-0000-0000-00005D800000}"/>
    <cellStyle name="Total 19" xfId="8589" xr:uid="{00000000-0005-0000-0000-00005E800000}"/>
    <cellStyle name="Total 19 2" xfId="8750" xr:uid="{00000000-0005-0000-0000-00005F800000}"/>
    <cellStyle name="Total 19 3" xfId="32848" xr:uid="{00000000-0005-0000-0000-000060800000}"/>
    <cellStyle name="Total 2" xfId="8590" xr:uid="{00000000-0005-0000-0000-000061800000}"/>
    <cellStyle name="Total 2 10" xfId="8591" xr:uid="{00000000-0005-0000-0000-000062800000}"/>
    <cellStyle name="Total 2 10 2" xfId="8592" xr:uid="{00000000-0005-0000-0000-000063800000}"/>
    <cellStyle name="Total 2 10 2 2" xfId="17344" xr:uid="{00000000-0005-0000-0000-000064800000}"/>
    <cellStyle name="Total 2 10 2 3" xfId="32851" xr:uid="{00000000-0005-0000-0000-000065800000}"/>
    <cellStyle name="Total 2 10 3" xfId="8751" xr:uid="{00000000-0005-0000-0000-000066800000}"/>
    <cellStyle name="Total 2 10 4" xfId="10435" xr:uid="{00000000-0005-0000-0000-000067800000}"/>
    <cellStyle name="Total 2 10 5" xfId="32850" xr:uid="{00000000-0005-0000-0000-000068800000}"/>
    <cellStyle name="Total 2 11" xfId="8593" xr:uid="{00000000-0005-0000-0000-000069800000}"/>
    <cellStyle name="Total 2 11 2" xfId="8594" xr:uid="{00000000-0005-0000-0000-00006A800000}"/>
    <cellStyle name="Total 2 11 2 2" xfId="17345" xr:uid="{00000000-0005-0000-0000-00006B800000}"/>
    <cellStyle name="Total 2 11 2 3" xfId="32853" xr:uid="{00000000-0005-0000-0000-00006C800000}"/>
    <cellStyle name="Total 2 11 3" xfId="8752" xr:uid="{00000000-0005-0000-0000-00006D800000}"/>
    <cellStyle name="Total 2 11 4" xfId="10436" xr:uid="{00000000-0005-0000-0000-00006E800000}"/>
    <cellStyle name="Total 2 11 5" xfId="32852" xr:uid="{00000000-0005-0000-0000-00006F800000}"/>
    <cellStyle name="Total 2 12" xfId="8595" xr:uid="{00000000-0005-0000-0000-000070800000}"/>
    <cellStyle name="Total 2 12 2" xfId="8596" xr:uid="{00000000-0005-0000-0000-000071800000}"/>
    <cellStyle name="Total 2 12 2 2" xfId="17346" xr:uid="{00000000-0005-0000-0000-000072800000}"/>
    <cellStyle name="Total 2 12 2 3" xfId="32855" xr:uid="{00000000-0005-0000-0000-000073800000}"/>
    <cellStyle name="Total 2 12 3" xfId="8753" xr:uid="{00000000-0005-0000-0000-000074800000}"/>
    <cellStyle name="Total 2 12 4" xfId="10437" xr:uid="{00000000-0005-0000-0000-000075800000}"/>
    <cellStyle name="Total 2 12 5" xfId="32854" xr:uid="{00000000-0005-0000-0000-000076800000}"/>
    <cellStyle name="Total 2 13" xfId="8597" xr:uid="{00000000-0005-0000-0000-000077800000}"/>
    <cellStyle name="Total 2 13 2" xfId="8598" xr:uid="{00000000-0005-0000-0000-000078800000}"/>
    <cellStyle name="Total 2 13 2 2" xfId="17347" xr:uid="{00000000-0005-0000-0000-000079800000}"/>
    <cellStyle name="Total 2 13 2 3" xfId="32857" xr:uid="{00000000-0005-0000-0000-00007A800000}"/>
    <cellStyle name="Total 2 13 3" xfId="8754" xr:uid="{00000000-0005-0000-0000-00007B800000}"/>
    <cellStyle name="Total 2 13 4" xfId="10438" xr:uid="{00000000-0005-0000-0000-00007C800000}"/>
    <cellStyle name="Total 2 13 5" xfId="32856" xr:uid="{00000000-0005-0000-0000-00007D800000}"/>
    <cellStyle name="Total 2 14" xfId="8599" xr:uid="{00000000-0005-0000-0000-00007E800000}"/>
    <cellStyle name="Total 2 14 2" xfId="8600" xr:uid="{00000000-0005-0000-0000-00007F800000}"/>
    <cellStyle name="Total 2 14 2 2" xfId="15790" xr:uid="{00000000-0005-0000-0000-000080800000}"/>
    <cellStyle name="Total 2 14 2 3" xfId="32859" xr:uid="{00000000-0005-0000-0000-000081800000}"/>
    <cellStyle name="Total 2 14 3" xfId="8601" xr:uid="{00000000-0005-0000-0000-000082800000}"/>
    <cellStyle name="Total 2 14 3 2" xfId="17356" xr:uid="{00000000-0005-0000-0000-000083800000}"/>
    <cellStyle name="Total 2 14 3 3" xfId="32860" xr:uid="{00000000-0005-0000-0000-000084800000}"/>
    <cellStyle name="Total 2 14 4" xfId="8755" xr:uid="{00000000-0005-0000-0000-000085800000}"/>
    <cellStyle name="Total 2 14 5" xfId="10491" xr:uid="{00000000-0005-0000-0000-000086800000}"/>
    <cellStyle name="Total 2 14 6" xfId="32858" xr:uid="{00000000-0005-0000-0000-000087800000}"/>
    <cellStyle name="Total 2 15" xfId="8602" xr:uid="{00000000-0005-0000-0000-000088800000}"/>
    <cellStyle name="Total 2 15 2" xfId="8756" xr:uid="{00000000-0005-0000-0000-000089800000}"/>
    <cellStyle name="Total 2 15 3" xfId="32861" xr:uid="{00000000-0005-0000-0000-00008A800000}"/>
    <cellStyle name="Total 2 16" xfId="8603" xr:uid="{00000000-0005-0000-0000-00008B800000}"/>
    <cellStyle name="Total 2 16 2" xfId="8757" xr:uid="{00000000-0005-0000-0000-00008C800000}"/>
    <cellStyle name="Total 2 16 3" xfId="32862" xr:uid="{00000000-0005-0000-0000-00008D800000}"/>
    <cellStyle name="Total 2 17" xfId="8604" xr:uid="{00000000-0005-0000-0000-00008E800000}"/>
    <cellStyle name="Total 2 17 2" xfId="8758" xr:uid="{00000000-0005-0000-0000-00008F800000}"/>
    <cellStyle name="Total 2 17 3" xfId="32863" xr:uid="{00000000-0005-0000-0000-000090800000}"/>
    <cellStyle name="Total 2 18" xfId="8605" xr:uid="{00000000-0005-0000-0000-000091800000}"/>
    <cellStyle name="Total 2 18 2" xfId="8759" xr:uid="{00000000-0005-0000-0000-000092800000}"/>
    <cellStyle name="Total 2 18 3" xfId="32864" xr:uid="{00000000-0005-0000-0000-000093800000}"/>
    <cellStyle name="Total 2 19" xfId="8689" xr:uid="{00000000-0005-0000-0000-000094800000}"/>
    <cellStyle name="Total 2 2" xfId="8606" xr:uid="{00000000-0005-0000-0000-000095800000}"/>
    <cellStyle name="Total 2 2 2" xfId="8607" xr:uid="{00000000-0005-0000-0000-000096800000}"/>
    <cellStyle name="Total 2 2 2 2" xfId="10440" xr:uid="{00000000-0005-0000-0000-000097800000}"/>
    <cellStyle name="Total 2 2 2 3" xfId="32866" xr:uid="{00000000-0005-0000-0000-000098800000}"/>
    <cellStyle name="Total 2 2 3" xfId="8608" xr:uid="{00000000-0005-0000-0000-000099800000}"/>
    <cellStyle name="Total 2 2 3 2" xfId="8609" xr:uid="{00000000-0005-0000-0000-00009A800000}"/>
    <cellStyle name="Total 2 2 3 2 2" xfId="15791" xr:uid="{00000000-0005-0000-0000-00009B800000}"/>
    <cellStyle name="Total 2 2 3 2 3" xfId="32868" xr:uid="{00000000-0005-0000-0000-00009C800000}"/>
    <cellStyle name="Total 2 2 3 3" xfId="11723" xr:uid="{00000000-0005-0000-0000-00009D800000}"/>
    <cellStyle name="Total 2 2 3 4" xfId="32867" xr:uid="{00000000-0005-0000-0000-00009E800000}"/>
    <cellStyle name="Total 2 2 4" xfId="8610" xr:uid="{00000000-0005-0000-0000-00009F800000}"/>
    <cellStyle name="Total 2 2 4 2" xfId="12091" xr:uid="{00000000-0005-0000-0000-0000A0800000}"/>
    <cellStyle name="Total 2 2 4 3" xfId="32869" xr:uid="{00000000-0005-0000-0000-0000A1800000}"/>
    <cellStyle name="Total 2 2 5" xfId="8611" xr:uid="{00000000-0005-0000-0000-0000A2800000}"/>
    <cellStyle name="Total 2 2 5 2" xfId="17348" xr:uid="{00000000-0005-0000-0000-0000A3800000}"/>
    <cellStyle name="Total 2 2 5 3" xfId="32870" xr:uid="{00000000-0005-0000-0000-0000A4800000}"/>
    <cellStyle name="Total 2 2 6" xfId="8760" xr:uid="{00000000-0005-0000-0000-0000A5800000}"/>
    <cellStyle name="Total 2 2 7" xfId="10439" xr:uid="{00000000-0005-0000-0000-0000A6800000}"/>
    <cellStyle name="Total 2 2 8" xfId="32865" xr:uid="{00000000-0005-0000-0000-0000A7800000}"/>
    <cellStyle name="Total 2 20" xfId="32849" xr:uid="{00000000-0005-0000-0000-0000A8800000}"/>
    <cellStyle name="Total 2 3" xfId="8612" xr:uid="{00000000-0005-0000-0000-0000A9800000}"/>
    <cellStyle name="Total 2 3 2" xfId="8613" xr:uid="{00000000-0005-0000-0000-0000AA800000}"/>
    <cellStyle name="Total 2 3 2 2" xfId="10442" xr:uid="{00000000-0005-0000-0000-0000AB800000}"/>
    <cellStyle name="Total 2 3 2 3" xfId="32872" xr:uid="{00000000-0005-0000-0000-0000AC800000}"/>
    <cellStyle name="Total 2 3 3" xfId="8614" xr:uid="{00000000-0005-0000-0000-0000AD800000}"/>
    <cellStyle name="Total 2 3 3 2" xfId="17349" xr:uid="{00000000-0005-0000-0000-0000AE800000}"/>
    <cellStyle name="Total 2 3 3 3" xfId="32873" xr:uid="{00000000-0005-0000-0000-0000AF800000}"/>
    <cellStyle name="Total 2 3 4" xfId="8761" xr:uid="{00000000-0005-0000-0000-0000B0800000}"/>
    <cellStyle name="Total 2 3 5" xfId="10441" xr:uid="{00000000-0005-0000-0000-0000B1800000}"/>
    <cellStyle name="Total 2 3 6" xfId="32871" xr:uid="{00000000-0005-0000-0000-0000B2800000}"/>
    <cellStyle name="Total 2 4" xfId="8615" xr:uid="{00000000-0005-0000-0000-0000B3800000}"/>
    <cellStyle name="Total 2 4 2" xfId="8616" xr:uid="{00000000-0005-0000-0000-0000B4800000}"/>
    <cellStyle name="Total 2 4 2 2" xfId="10444" xr:uid="{00000000-0005-0000-0000-0000B5800000}"/>
    <cellStyle name="Total 2 4 2 3" xfId="32875" xr:uid="{00000000-0005-0000-0000-0000B6800000}"/>
    <cellStyle name="Total 2 4 3" xfId="8617" xr:uid="{00000000-0005-0000-0000-0000B7800000}"/>
    <cellStyle name="Total 2 4 3 2" xfId="17350" xr:uid="{00000000-0005-0000-0000-0000B8800000}"/>
    <cellStyle name="Total 2 4 3 3" xfId="32876" xr:uid="{00000000-0005-0000-0000-0000B9800000}"/>
    <cellStyle name="Total 2 4 4" xfId="8762" xr:uid="{00000000-0005-0000-0000-0000BA800000}"/>
    <cellStyle name="Total 2 4 5" xfId="10443" xr:uid="{00000000-0005-0000-0000-0000BB800000}"/>
    <cellStyle name="Total 2 4 6" xfId="32874" xr:uid="{00000000-0005-0000-0000-0000BC800000}"/>
    <cellStyle name="Total 2 5" xfId="8618" xr:uid="{00000000-0005-0000-0000-0000BD800000}"/>
    <cellStyle name="Total 2 5 2" xfId="8619" xr:uid="{00000000-0005-0000-0000-0000BE800000}"/>
    <cellStyle name="Total 2 5 2 2" xfId="13366" xr:uid="{00000000-0005-0000-0000-0000BF800000}"/>
    <cellStyle name="Total 2 5 2 3" xfId="32878" xr:uid="{00000000-0005-0000-0000-0000C0800000}"/>
    <cellStyle name="Total 2 5 3" xfId="8620" xr:uid="{00000000-0005-0000-0000-0000C1800000}"/>
    <cellStyle name="Total 2 5 3 2" xfId="13365" xr:uid="{00000000-0005-0000-0000-0000C2800000}"/>
    <cellStyle name="Total 2 5 3 3" xfId="32879" xr:uid="{00000000-0005-0000-0000-0000C3800000}"/>
    <cellStyle name="Total 2 5 4" xfId="8621" xr:uid="{00000000-0005-0000-0000-0000C4800000}"/>
    <cellStyle name="Total 2 5 4 2" xfId="17351" xr:uid="{00000000-0005-0000-0000-0000C5800000}"/>
    <cellStyle name="Total 2 5 4 3" xfId="32880" xr:uid="{00000000-0005-0000-0000-0000C6800000}"/>
    <cellStyle name="Total 2 5 5" xfId="8763" xr:uid="{00000000-0005-0000-0000-0000C7800000}"/>
    <cellStyle name="Total 2 5 6" xfId="10445" xr:uid="{00000000-0005-0000-0000-0000C8800000}"/>
    <cellStyle name="Total 2 5 7" xfId="32877" xr:uid="{00000000-0005-0000-0000-0000C9800000}"/>
    <cellStyle name="Total 2 6" xfId="8622" xr:uid="{00000000-0005-0000-0000-0000CA800000}"/>
    <cellStyle name="Total 2 6 2" xfId="8623" xr:uid="{00000000-0005-0000-0000-0000CB800000}"/>
    <cellStyle name="Total 2 6 2 2" xfId="17352" xr:uid="{00000000-0005-0000-0000-0000CC800000}"/>
    <cellStyle name="Total 2 6 2 3" xfId="32882" xr:uid="{00000000-0005-0000-0000-0000CD800000}"/>
    <cellStyle name="Total 2 6 3" xfId="8764" xr:uid="{00000000-0005-0000-0000-0000CE800000}"/>
    <cellStyle name="Total 2 6 4" xfId="10446" xr:uid="{00000000-0005-0000-0000-0000CF800000}"/>
    <cellStyle name="Total 2 6 5" xfId="32881" xr:uid="{00000000-0005-0000-0000-0000D0800000}"/>
    <cellStyle name="Total 2 7" xfId="8624" xr:uid="{00000000-0005-0000-0000-0000D1800000}"/>
    <cellStyle name="Total 2 7 2" xfId="8625" xr:uid="{00000000-0005-0000-0000-0000D2800000}"/>
    <cellStyle name="Total 2 7 2 2" xfId="10448" xr:uid="{00000000-0005-0000-0000-0000D3800000}"/>
    <cellStyle name="Total 2 7 2 3" xfId="32884" xr:uid="{00000000-0005-0000-0000-0000D4800000}"/>
    <cellStyle name="Total 2 7 3" xfId="8626" xr:uid="{00000000-0005-0000-0000-0000D5800000}"/>
    <cellStyle name="Total 2 7 3 2" xfId="17353" xr:uid="{00000000-0005-0000-0000-0000D6800000}"/>
    <cellStyle name="Total 2 7 3 3" xfId="32885" xr:uid="{00000000-0005-0000-0000-0000D7800000}"/>
    <cellStyle name="Total 2 7 4" xfId="8765" xr:uid="{00000000-0005-0000-0000-0000D8800000}"/>
    <cellStyle name="Total 2 7 5" xfId="10447" xr:uid="{00000000-0005-0000-0000-0000D9800000}"/>
    <cellStyle name="Total 2 7 6" xfId="32883" xr:uid="{00000000-0005-0000-0000-0000DA800000}"/>
    <cellStyle name="Total 2 8" xfId="8627" xr:uid="{00000000-0005-0000-0000-0000DB800000}"/>
    <cellStyle name="Total 2 8 2" xfId="8628" xr:uid="{00000000-0005-0000-0000-0000DC800000}"/>
    <cellStyle name="Total 2 8 2 2" xfId="17354" xr:uid="{00000000-0005-0000-0000-0000DD800000}"/>
    <cellStyle name="Total 2 8 2 3" xfId="32887" xr:uid="{00000000-0005-0000-0000-0000DE800000}"/>
    <cellStyle name="Total 2 8 3" xfId="8766" xr:uid="{00000000-0005-0000-0000-0000DF800000}"/>
    <cellStyle name="Total 2 8 4" xfId="10449" xr:uid="{00000000-0005-0000-0000-0000E0800000}"/>
    <cellStyle name="Total 2 8 5" xfId="32886" xr:uid="{00000000-0005-0000-0000-0000E1800000}"/>
    <cellStyle name="Total 2 9" xfId="8629" xr:uid="{00000000-0005-0000-0000-0000E2800000}"/>
    <cellStyle name="Total 2 9 2" xfId="8630" xr:uid="{00000000-0005-0000-0000-0000E3800000}"/>
    <cellStyle name="Total 2 9 2 2" xfId="17355" xr:uid="{00000000-0005-0000-0000-0000E4800000}"/>
    <cellStyle name="Total 2 9 2 3" xfId="32889" xr:uid="{00000000-0005-0000-0000-0000E5800000}"/>
    <cellStyle name="Total 2 9 3" xfId="8767" xr:uid="{00000000-0005-0000-0000-0000E6800000}"/>
    <cellStyle name="Total 2 9 4" xfId="10450" xr:uid="{00000000-0005-0000-0000-0000E7800000}"/>
    <cellStyle name="Total 2 9 5" xfId="32888" xr:uid="{00000000-0005-0000-0000-0000E8800000}"/>
    <cellStyle name="Total 20" xfId="8631" xr:uid="{00000000-0005-0000-0000-0000E9800000}"/>
    <cellStyle name="Total 20 2" xfId="8768" xr:uid="{00000000-0005-0000-0000-0000EA800000}"/>
    <cellStyle name="Total 20 3" xfId="32890" xr:uid="{00000000-0005-0000-0000-0000EB800000}"/>
    <cellStyle name="Total 3" xfId="8632" xr:uid="{00000000-0005-0000-0000-0000EC800000}"/>
    <cellStyle name="Total 3 2" xfId="8664" xr:uid="{00000000-0005-0000-0000-0000ED800000}"/>
    <cellStyle name="Total 3 3" xfId="32891" xr:uid="{00000000-0005-0000-0000-0000EE800000}"/>
    <cellStyle name="Total 4" xfId="8633" xr:uid="{00000000-0005-0000-0000-0000EF800000}"/>
    <cellStyle name="Total 4 2" xfId="8769" xr:uid="{00000000-0005-0000-0000-0000F0800000}"/>
    <cellStyle name="Total 4 3" xfId="32892" xr:uid="{00000000-0005-0000-0000-0000F1800000}"/>
    <cellStyle name="Total 5" xfId="8634" xr:uid="{00000000-0005-0000-0000-0000F2800000}"/>
    <cellStyle name="Total 5 2" xfId="8770" xr:uid="{00000000-0005-0000-0000-0000F3800000}"/>
    <cellStyle name="Total 5 3" xfId="32893" xr:uid="{00000000-0005-0000-0000-0000F4800000}"/>
    <cellStyle name="Total 6" xfId="8635" xr:uid="{00000000-0005-0000-0000-0000F5800000}"/>
    <cellStyle name="Total 6 2" xfId="8771" xr:uid="{00000000-0005-0000-0000-0000F6800000}"/>
    <cellStyle name="Total 6 3" xfId="32894" xr:uid="{00000000-0005-0000-0000-0000F7800000}"/>
    <cellStyle name="Total 7" xfId="8636" xr:uid="{00000000-0005-0000-0000-0000F8800000}"/>
    <cellStyle name="Total 7 2" xfId="8772" xr:uid="{00000000-0005-0000-0000-0000F9800000}"/>
    <cellStyle name="Total 7 3" xfId="32895" xr:uid="{00000000-0005-0000-0000-0000FA800000}"/>
    <cellStyle name="Total 8" xfId="8637" xr:uid="{00000000-0005-0000-0000-0000FB800000}"/>
    <cellStyle name="Total 8 2" xfId="8773" xr:uid="{00000000-0005-0000-0000-0000FC800000}"/>
    <cellStyle name="Total 8 3" xfId="32896" xr:uid="{00000000-0005-0000-0000-0000FD800000}"/>
    <cellStyle name="Total 9" xfId="8638" xr:uid="{00000000-0005-0000-0000-0000FE800000}"/>
    <cellStyle name="Total 9 2" xfId="8774" xr:uid="{00000000-0005-0000-0000-0000FF800000}"/>
    <cellStyle name="Total 9 3" xfId="32897" xr:uid="{00000000-0005-0000-0000-000000810000}"/>
    <cellStyle name="Warning Text" xfId="33023" builtinId="11" customBuiltin="1"/>
    <cellStyle name="Warning Text 2" xfId="8803" xr:uid="{00000000-0005-0000-0000-000002810000}"/>
    <cellStyle name="Warning Text 3" xfId="32898" xr:uid="{00000000-0005-0000-0000-000003810000}"/>
    <cellStyle name="Warning Text 4" xfId="8639" xr:uid="{00000000-0005-0000-0000-000004810000}"/>
  </cellStyles>
  <dxfs count="36">
    <dxf>
      <font>
        <b/>
        <i val="0"/>
      </font>
      <fill>
        <patternFill>
          <fgColor indexed="64"/>
          <bgColor rgb="FFFF0000"/>
        </patternFill>
      </fill>
    </dxf>
    <dxf>
      <fill>
        <patternFill>
          <bgColor rgb="FFFCD4DD"/>
        </patternFill>
      </fill>
    </dxf>
    <dxf>
      <fill>
        <patternFill>
          <bgColor theme="6" tint="0.79998168889431442"/>
        </patternFill>
      </fill>
    </dxf>
    <dxf>
      <fill>
        <patternFill>
          <bgColor rgb="FFFCD4DD"/>
        </patternFill>
      </fill>
    </dxf>
    <dxf>
      <fill>
        <patternFill>
          <bgColor theme="6" tint="0.7999816888943144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strike val="0"/>
        <color theme="0"/>
      </font>
      <fill>
        <patternFill>
          <bgColor theme="6"/>
        </patternFill>
      </fill>
    </dxf>
    <dxf>
      <font>
        <b/>
        <i val="0"/>
        <color theme="0"/>
      </font>
      <fill>
        <patternFill>
          <bgColor rgb="FFFF0000"/>
        </patternFill>
      </fill>
    </dxf>
    <dxf>
      <font>
        <b/>
        <i val="0"/>
        <color theme="6" tint="-0.24994659260841701"/>
      </font>
    </dxf>
    <dxf>
      <font>
        <b/>
        <i val="0"/>
        <color rgb="FFFF0000"/>
      </font>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strike val="0"/>
        <color theme="0"/>
      </font>
      <fill>
        <patternFill>
          <bgColor theme="6"/>
        </patternFill>
      </fill>
    </dxf>
    <dxf>
      <font>
        <b/>
        <i val="0"/>
        <color theme="0"/>
      </font>
      <fill>
        <patternFill>
          <bgColor rgb="FFFF0000"/>
        </patternFill>
      </fill>
    </dxf>
    <dxf>
      <font>
        <b/>
        <i val="0"/>
        <color theme="6" tint="-0.24994659260841701"/>
      </font>
    </dxf>
    <dxf>
      <font>
        <b/>
        <i val="0"/>
        <color rgb="FFFF0000"/>
      </font>
    </dxf>
    <dxf>
      <fill>
        <patternFill>
          <bgColor rgb="FFFCD4DD"/>
        </patternFill>
      </fill>
    </dxf>
    <dxf>
      <fill>
        <patternFill>
          <bgColor theme="6" tint="0.79998168889431442"/>
        </patternFill>
      </fill>
    </dxf>
    <dxf>
      <fill>
        <patternFill>
          <bgColor rgb="FFFCD4DD"/>
        </patternFill>
      </fill>
    </dxf>
    <dxf>
      <fill>
        <patternFill>
          <bgColor theme="6" tint="0.79998168889431442"/>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FFCC"/>
      <color rgb="FFFFB7B7"/>
      <color rgb="FFFFCDCD"/>
      <color rgb="FFFCD4DD"/>
      <color rgb="FFFFB3B3"/>
      <color rgb="FFFFB9B9"/>
      <color rgb="FFE2A7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42334</xdr:colOff>
      <xdr:row>16</xdr:row>
      <xdr:rowOff>19050</xdr:rowOff>
    </xdr:from>
    <xdr:to>
      <xdr:col>5</xdr:col>
      <xdr:colOff>0</xdr:colOff>
      <xdr:row>28</xdr:row>
      <xdr:rowOff>222250</xdr:rowOff>
    </xdr:to>
    <xdr:cxnSp macro="">
      <xdr:nvCxnSpPr>
        <xdr:cNvPr id="3" name="Straight Arrow Connector 2" descr="Upper marker to show an expanded data set for the Net Proceeds of Minerals revenue contribution by county.">
          <a:extLst>
            <a:ext uri="{FF2B5EF4-FFF2-40B4-BE49-F238E27FC236}">
              <a16:creationId xmlns:a16="http://schemas.microsoft.com/office/drawing/2014/main" id="{00000000-0008-0000-0600-000003000000}"/>
            </a:ext>
          </a:extLst>
        </xdr:cNvPr>
        <xdr:cNvCxnSpPr/>
      </xdr:nvCxnSpPr>
      <xdr:spPr>
        <a:xfrm flipV="1">
          <a:off x="9355667" y="3807883"/>
          <a:ext cx="1936750" cy="29972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30</xdr:row>
      <xdr:rowOff>10583</xdr:rowOff>
    </xdr:from>
    <xdr:to>
      <xdr:col>5</xdr:col>
      <xdr:colOff>47625</xdr:colOff>
      <xdr:row>33</xdr:row>
      <xdr:rowOff>9525</xdr:rowOff>
    </xdr:to>
    <xdr:cxnSp macro="">
      <xdr:nvCxnSpPr>
        <xdr:cNvPr id="5" name="Straight Arrow Connector 4" descr="Lower marker to show an expanded data set for the Net Proceeds of Minerals revenue contribution by county.">
          <a:extLst>
            <a:ext uri="{FF2B5EF4-FFF2-40B4-BE49-F238E27FC236}">
              <a16:creationId xmlns:a16="http://schemas.microsoft.com/office/drawing/2014/main" id="{00000000-0008-0000-0600-000005000000}"/>
            </a:ext>
          </a:extLst>
        </xdr:cNvPr>
        <xdr:cNvCxnSpPr/>
      </xdr:nvCxnSpPr>
      <xdr:spPr>
        <a:xfrm>
          <a:off x="9313333" y="7059083"/>
          <a:ext cx="2026709" cy="697442"/>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21167</xdr:colOff>
      <xdr:row>14</xdr:row>
      <xdr:rowOff>0</xdr:rowOff>
    </xdr:from>
    <xdr:to>
      <xdr:col>5</xdr:col>
      <xdr:colOff>9525</xdr:colOff>
      <xdr:row>28</xdr:row>
      <xdr:rowOff>211667</xdr:rowOff>
    </xdr:to>
    <xdr:cxnSp macro="">
      <xdr:nvCxnSpPr>
        <xdr:cNvPr id="2" name="Straight Arrow Connector 1" descr="Upper marker to show an expanded data set for the Net Proceeds of Minerals revenue contribution by county.">
          <a:extLst>
            <a:ext uri="{FF2B5EF4-FFF2-40B4-BE49-F238E27FC236}">
              <a16:creationId xmlns:a16="http://schemas.microsoft.com/office/drawing/2014/main" id="{8A4A3A2C-87C8-4349-9F6F-3C025E1B4A98}"/>
            </a:ext>
          </a:extLst>
        </xdr:cNvPr>
        <xdr:cNvCxnSpPr/>
      </xdr:nvCxnSpPr>
      <xdr:spPr>
        <a:xfrm flipV="1">
          <a:off x="8699500" y="3323167"/>
          <a:ext cx="1724025" cy="3471333"/>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xdr:colOff>
      <xdr:row>30</xdr:row>
      <xdr:rowOff>19050</xdr:rowOff>
    </xdr:from>
    <xdr:to>
      <xdr:col>4</xdr:col>
      <xdr:colOff>1714500</xdr:colOff>
      <xdr:row>31</xdr:row>
      <xdr:rowOff>9525</xdr:rowOff>
    </xdr:to>
    <xdr:cxnSp macro="">
      <xdr:nvCxnSpPr>
        <xdr:cNvPr id="3" name="Straight Arrow Connector 2" descr="Lower marker to show an expanded data set for the Net Proceeds of Minerals revenue contribution by county.">
          <a:extLst>
            <a:ext uri="{FF2B5EF4-FFF2-40B4-BE49-F238E27FC236}">
              <a16:creationId xmlns:a16="http://schemas.microsoft.com/office/drawing/2014/main" id="{8F72D15D-43EA-471A-9534-F570C23F2A1E}"/>
            </a:ext>
          </a:extLst>
        </xdr:cNvPr>
        <xdr:cNvCxnSpPr/>
      </xdr:nvCxnSpPr>
      <xdr:spPr>
        <a:xfrm>
          <a:off x="9115425" y="6753225"/>
          <a:ext cx="1695450" cy="2190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7" Type="http://schemas.openxmlformats.org/officeDocument/2006/relationships/comments" Target="../comments3.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vmlDrawing" Target="../drawings/vmlDrawing3.vml"/><Relationship Id="rId5" Type="http://schemas.openxmlformats.org/officeDocument/2006/relationships/drawing" Target="../drawings/drawing1.xml"/><Relationship Id="rId4" Type="http://schemas.openxmlformats.org/officeDocument/2006/relationships/printerSettings" Target="../printerSettings/printerSettings1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8.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2.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4" Type="http://schemas.openxmlformats.org/officeDocument/2006/relationships/printerSettings" Target="../printerSettings/printerSettings2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4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4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 Id="rId4" Type="http://schemas.openxmlformats.org/officeDocument/2006/relationships/printerSettings" Target="../printerSettings/printerSettings5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53.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xml"/><Relationship Id="rId1" Type="http://schemas.openxmlformats.org/officeDocument/2006/relationships/printerSettings" Target="../printerSettings/printerSettings54.bin"/><Relationship Id="rId4" Type="http://schemas.openxmlformats.org/officeDocument/2006/relationships/comments" Target="../comments11.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5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5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6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6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C44F-636D-4330-B45B-03B194C9C4BD}">
  <sheetPr>
    <pageSetUpPr autoPageBreaks="0" fitToPage="1"/>
  </sheetPr>
  <dimension ref="A9:X55"/>
  <sheetViews>
    <sheetView topLeftCell="F1" workbookViewId="0">
      <selection activeCell="H52" sqref="H52"/>
    </sheetView>
  </sheetViews>
  <sheetFormatPr defaultColWidth="8.85546875" defaultRowHeight="16.5" x14ac:dyDescent="0.3"/>
  <cols>
    <col min="1" max="6" width="8.85546875" style="34"/>
    <col min="7" max="7" width="21" style="34" bestFit="1" customWidth="1"/>
    <col min="8" max="8" width="21.7109375" style="34" customWidth="1"/>
    <col min="9" max="22" width="8.85546875" style="34"/>
    <col min="23" max="23" width="16" style="34" bestFit="1" customWidth="1"/>
    <col min="24" max="24" width="15.140625" style="34" bestFit="1" customWidth="1"/>
    <col min="25" max="16384" width="8.85546875" style="34"/>
  </cols>
  <sheetData>
    <row r="9" spans="1:24" x14ac:dyDescent="0.3">
      <c r="W9" s="78"/>
      <c r="X9" s="78"/>
    </row>
    <row r="10" spans="1:24" s="47" customFormat="1" ht="49.5" x14ac:dyDescent="0.65">
      <c r="A10" s="45" t="str">
        <f>CONCATENATE("Pupil Center Funding Plan | FY",'1.1 Assumption Control YR1'!D5)</f>
        <v>Pupil Center Funding Plan | FY2024</v>
      </c>
      <c r="B10" s="45"/>
      <c r="C10" s="45"/>
      <c r="D10" s="45"/>
      <c r="E10" s="45"/>
      <c r="F10" s="45"/>
      <c r="G10" s="45"/>
      <c r="H10" s="45"/>
      <c r="I10" s="45"/>
      <c r="J10" s="45"/>
      <c r="K10" s="45"/>
      <c r="L10" s="45"/>
      <c r="M10" s="45"/>
      <c r="N10" s="45"/>
      <c r="O10" s="45"/>
      <c r="P10" s="45"/>
      <c r="Q10" s="46"/>
      <c r="R10" s="46"/>
      <c r="S10" s="46"/>
      <c r="T10" s="46"/>
      <c r="U10" s="46"/>
    </row>
    <row r="11" spans="1:24" s="37" customFormat="1" ht="40.5" x14ac:dyDescent="0.55000000000000004">
      <c r="A11" s="35" t="s">
        <v>1136</v>
      </c>
      <c r="B11" s="35"/>
      <c r="C11" s="35"/>
      <c r="D11" s="35"/>
      <c r="E11" s="35"/>
      <c r="F11" s="35"/>
      <c r="G11" s="35"/>
      <c r="H11" s="35"/>
      <c r="I11" s="35"/>
      <c r="J11" s="35"/>
      <c r="K11" s="35"/>
      <c r="L11" s="35"/>
      <c r="M11" s="35"/>
      <c r="N11" s="35"/>
      <c r="O11" s="35"/>
      <c r="P11" s="35"/>
      <c r="Q11" s="36"/>
      <c r="R11" s="36"/>
      <c r="S11" s="36"/>
      <c r="T11" s="36"/>
      <c r="U11" s="36"/>
    </row>
    <row r="13" spans="1:24" s="229" customFormat="1" ht="30" x14ac:dyDescent="0.4"/>
    <row r="14" spans="1:24" s="229" customFormat="1" ht="30" x14ac:dyDescent="0.4">
      <c r="H14" s="258"/>
      <c r="I14" s="258"/>
      <c r="J14" s="258"/>
      <c r="K14" s="258"/>
      <c r="L14" s="258"/>
      <c r="M14" s="258"/>
      <c r="N14" s="258"/>
      <c r="O14" s="258"/>
      <c r="P14" s="258"/>
      <c r="Q14" s="258"/>
      <c r="R14" s="258"/>
      <c r="S14" s="258"/>
    </row>
    <row r="15" spans="1:24" s="229" customFormat="1" ht="30" hidden="1" x14ac:dyDescent="0.4">
      <c r="H15" s="299" t="s">
        <v>1189</v>
      </c>
    </row>
    <row r="16" spans="1:24" s="229" customFormat="1" ht="30" hidden="1" x14ac:dyDescent="0.4">
      <c r="G16" s="1172">
        <v>44883</v>
      </c>
      <c r="H16" s="229" t="s">
        <v>1804</v>
      </c>
    </row>
    <row r="17" spans="7:8" s="229" customFormat="1" ht="30" hidden="1" x14ac:dyDescent="0.4">
      <c r="G17" s="1172">
        <v>44883</v>
      </c>
      <c r="H17" s="229" t="s">
        <v>1366</v>
      </c>
    </row>
    <row r="18" spans="7:8" s="229" customFormat="1" ht="30" hidden="1" x14ac:dyDescent="0.4">
      <c r="G18" s="1172">
        <v>44883</v>
      </c>
      <c r="H18" s="229" t="s">
        <v>1805</v>
      </c>
    </row>
    <row r="19" spans="7:8" s="229" customFormat="1" ht="30" hidden="1" x14ac:dyDescent="0.4">
      <c r="G19" s="1172">
        <v>44883</v>
      </c>
      <c r="H19" s="229" t="s">
        <v>1370</v>
      </c>
    </row>
    <row r="20" spans="7:8" s="229" customFormat="1" ht="30" hidden="1" x14ac:dyDescent="0.4">
      <c r="G20" s="1172">
        <v>44883</v>
      </c>
      <c r="H20" s="229" t="s">
        <v>1367</v>
      </c>
    </row>
    <row r="21" spans="7:8" s="229" customFormat="1" ht="30" hidden="1" x14ac:dyDescent="0.4">
      <c r="G21" s="1172">
        <v>44883</v>
      </c>
      <c r="H21" s="229" t="s">
        <v>1368</v>
      </c>
    </row>
    <row r="22" spans="7:8" s="229" customFormat="1" ht="30" hidden="1" x14ac:dyDescent="0.4">
      <c r="G22" s="1172">
        <v>44883</v>
      </c>
      <c r="H22" s="229" t="s">
        <v>1377</v>
      </c>
    </row>
    <row r="23" spans="7:8" s="229" customFormat="1" ht="30" hidden="1" x14ac:dyDescent="0.4">
      <c r="G23" s="1195">
        <v>44896</v>
      </c>
      <c r="H23" s="229" t="s">
        <v>1387</v>
      </c>
    </row>
    <row r="24" spans="7:8" s="229" customFormat="1" ht="30" hidden="1" x14ac:dyDescent="0.4">
      <c r="G24" s="1195">
        <v>44896</v>
      </c>
      <c r="H24" s="229" t="s">
        <v>1459</v>
      </c>
    </row>
    <row r="25" spans="7:8" s="229" customFormat="1" ht="30" hidden="1" x14ac:dyDescent="0.4">
      <c r="G25" s="1195">
        <v>44896</v>
      </c>
      <c r="H25" s="229" t="s">
        <v>1386</v>
      </c>
    </row>
    <row r="26" spans="7:8" s="229" customFormat="1" ht="30" hidden="1" x14ac:dyDescent="0.4">
      <c r="G26" s="1195">
        <v>44909</v>
      </c>
      <c r="H26" s="229" t="s">
        <v>1401</v>
      </c>
    </row>
    <row r="27" spans="7:8" s="229" customFormat="1" ht="30" hidden="1" x14ac:dyDescent="0.4">
      <c r="G27" s="1195">
        <v>44910</v>
      </c>
      <c r="H27" s="229" t="s">
        <v>1455</v>
      </c>
    </row>
    <row r="28" spans="7:8" s="229" customFormat="1" ht="30" hidden="1" x14ac:dyDescent="0.4">
      <c r="G28" s="1195">
        <v>44910</v>
      </c>
      <c r="H28" s="229" t="s">
        <v>1456</v>
      </c>
    </row>
    <row r="29" spans="7:8" s="229" customFormat="1" ht="30" hidden="1" x14ac:dyDescent="0.4">
      <c r="G29" s="1195">
        <v>44914</v>
      </c>
      <c r="H29" s="229" t="s">
        <v>1457</v>
      </c>
    </row>
    <row r="30" spans="7:8" s="229" customFormat="1" ht="30" hidden="1" x14ac:dyDescent="0.4">
      <c r="G30" s="1195">
        <v>44914</v>
      </c>
      <c r="H30" s="229" t="s">
        <v>1458</v>
      </c>
    </row>
    <row r="31" spans="7:8" s="229" customFormat="1" ht="30" hidden="1" x14ac:dyDescent="0.4">
      <c r="G31" s="1195">
        <v>44914</v>
      </c>
      <c r="H31" s="229" t="s">
        <v>1806</v>
      </c>
    </row>
    <row r="32" spans="7:8" s="229" customFormat="1" ht="30" hidden="1" x14ac:dyDescent="0.4">
      <c r="G32" s="1195">
        <v>44914</v>
      </c>
      <c r="H32" s="229" t="s">
        <v>1854</v>
      </c>
    </row>
    <row r="33" spans="7:8" s="229" customFormat="1" ht="30" hidden="1" x14ac:dyDescent="0.4">
      <c r="H33" s="299" t="s">
        <v>1011</v>
      </c>
    </row>
    <row r="34" spans="7:8" ht="30" hidden="1" x14ac:dyDescent="0.4">
      <c r="G34" s="1195">
        <v>45027</v>
      </c>
      <c r="H34" s="298" t="s">
        <v>1831</v>
      </c>
    </row>
    <row r="35" spans="7:8" ht="30" hidden="1" x14ac:dyDescent="0.4">
      <c r="G35" s="1195">
        <v>45027</v>
      </c>
      <c r="H35" s="298" t="s">
        <v>1822</v>
      </c>
    </row>
    <row r="36" spans="7:8" s="229" customFormat="1" ht="30" hidden="1" x14ac:dyDescent="0.4">
      <c r="G36" s="1195">
        <v>45027</v>
      </c>
      <c r="H36" s="298" t="s">
        <v>1821</v>
      </c>
    </row>
    <row r="37" spans="7:8" ht="30" hidden="1" x14ac:dyDescent="0.4">
      <c r="G37" s="1195">
        <v>45027</v>
      </c>
      <c r="H37" s="298" t="s">
        <v>1828</v>
      </c>
    </row>
    <row r="38" spans="7:8" ht="30" hidden="1" x14ac:dyDescent="0.4">
      <c r="G38" s="1195">
        <v>45027</v>
      </c>
      <c r="H38" s="298" t="s">
        <v>1835</v>
      </c>
    </row>
    <row r="39" spans="7:8" ht="30" hidden="1" x14ac:dyDescent="0.4">
      <c r="G39" s="1195">
        <v>45027</v>
      </c>
      <c r="H39" s="298" t="s">
        <v>1829</v>
      </c>
    </row>
    <row r="40" spans="7:8" ht="30" hidden="1" x14ac:dyDescent="0.4">
      <c r="G40" s="1195">
        <v>45027</v>
      </c>
      <c r="H40" s="298" t="s">
        <v>1833</v>
      </c>
    </row>
    <row r="41" spans="7:8" ht="30" hidden="1" x14ac:dyDescent="0.4">
      <c r="G41" s="1195">
        <v>45027</v>
      </c>
      <c r="H41" s="298" t="s">
        <v>1834</v>
      </c>
    </row>
    <row r="42" spans="7:8" ht="30" hidden="1" x14ac:dyDescent="0.4">
      <c r="G42" s="1195">
        <v>45027</v>
      </c>
      <c r="H42" s="298" t="s">
        <v>1855</v>
      </c>
    </row>
    <row r="43" spans="7:8" ht="30" hidden="1" x14ac:dyDescent="0.4">
      <c r="G43" s="1195">
        <v>45029</v>
      </c>
      <c r="H43" s="298" t="s">
        <v>1830</v>
      </c>
    </row>
    <row r="44" spans="7:8" ht="30" hidden="1" x14ac:dyDescent="0.4">
      <c r="G44" s="1195">
        <v>45029</v>
      </c>
      <c r="H44" s="298" t="s">
        <v>1832</v>
      </c>
    </row>
    <row r="45" spans="7:8" ht="30" hidden="1" x14ac:dyDescent="0.4">
      <c r="G45" s="1195">
        <v>45029</v>
      </c>
      <c r="H45" s="298" t="s">
        <v>1836</v>
      </c>
    </row>
    <row r="46" spans="7:8" ht="30" hidden="1" x14ac:dyDescent="0.4">
      <c r="G46" s="1195">
        <v>45029</v>
      </c>
      <c r="H46" s="298" t="s">
        <v>1856</v>
      </c>
    </row>
    <row r="47" spans="7:8" ht="30" hidden="1" x14ac:dyDescent="0.4">
      <c r="G47" s="1195">
        <v>45050</v>
      </c>
      <c r="H47" s="298" t="s">
        <v>1850</v>
      </c>
    </row>
    <row r="48" spans="7:8" ht="30" hidden="1" x14ac:dyDescent="0.4">
      <c r="G48" s="1195">
        <v>45050</v>
      </c>
      <c r="H48" s="298" t="s">
        <v>1851</v>
      </c>
    </row>
    <row r="49" spans="7:8" ht="30" hidden="1" x14ac:dyDescent="0.4">
      <c r="G49" s="1195">
        <v>45051</v>
      </c>
      <c r="H49" s="298" t="s">
        <v>1876</v>
      </c>
    </row>
    <row r="50" spans="7:8" ht="30" hidden="1" x14ac:dyDescent="0.4">
      <c r="G50" s="1195">
        <v>45051</v>
      </c>
      <c r="H50" s="298" t="s">
        <v>1877</v>
      </c>
    </row>
    <row r="51" spans="7:8" ht="30" x14ac:dyDescent="0.4">
      <c r="H51" s="298"/>
    </row>
    <row r="52" spans="7:8" ht="30" x14ac:dyDescent="0.4">
      <c r="H52" s="298"/>
    </row>
    <row r="53" spans="7:8" ht="30" x14ac:dyDescent="0.4">
      <c r="H53" s="298"/>
    </row>
    <row r="54" spans="7:8" ht="30" x14ac:dyDescent="0.4">
      <c r="H54" s="298"/>
    </row>
    <row r="55" spans="7:8" ht="30" x14ac:dyDescent="0.4">
      <c r="H55" s="298"/>
    </row>
  </sheetData>
  <sheetProtection algorithmName="SHA-512" hashValue="bikDiI0swUUeSDR8JkTTWtxoSb6m7GJo6XpYvMX8B88H8fgtqwnELqQG2UzwSH/8GxqkSG9HTlEBR7eo/KKKiA==" saltValue="/xsHP6u+sVGWLSEo9nqeVA==" spinCount="100000" sheet="1" objects="1" scenarios="1"/>
  <customSheetViews>
    <customSheetView guid="{92EB2B16-3546-4CC6-AF3A-0019867B62A7}" scale="80" fitToPage="1">
      <selection activeCell="D15" sqref="D15"/>
      <pageMargins left="0.7" right="0.7" top="0.75" bottom="0.75" header="0.3" footer="0.3"/>
      <printOptions horizontalCentered="1" verticalCentered="1"/>
      <pageSetup paperSize="3"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80" showPageBreaks="1" fitToPage="1" printArea="1">
      <selection activeCell="D15" sqref="D15"/>
      <pageMargins left="0.7" right="0.7" top="0.75" bottom="0.75" header="0.3" footer="0.3"/>
      <printOptions horizontalCentered="1" verticalCentered="1"/>
      <pageSetup paperSize="3"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80" showPageBreaks="1" fitToPage="1" printArea="1">
      <selection activeCell="D15" sqref="D15"/>
      <pageMargins left="0.7" right="0.7" top="0.75" bottom="0.75" header="0.3" footer="0.3"/>
      <printOptions horizontalCentered="1" verticalCentered="1"/>
      <pageSetup paperSize="3" orientation="landscape" r:id="rId3"/>
      <headerFooter>
        <oddHeader>&amp;R&amp;"Arial Narrow,Regular"&amp;10&amp;A
&amp;P</oddHeader>
        <oddFooter>&amp;L&amp;"Arial Narrow,Regular"&amp;10This is a draft document. It is intended for discussion purposes only.&amp;R&amp;G</oddFooter>
      </headerFooter>
    </customSheetView>
  </customSheetViews>
  <phoneticPr fontId="79" type="noConversion"/>
  <printOptions horizontalCentered="1" verticalCentered="1"/>
  <pageMargins left="0.7" right="0.7" top="0.75" bottom="0.75" header="0.3" footer="0.3"/>
  <pageSetup paperSize="3" scale="65" orientation="landscape" r:id="rId4"/>
  <headerFooter>
    <oddHeader>&amp;R&amp;"Arial Narrow,Regular"&amp;10&amp;A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41713-2488-4065-AA7E-4683904E0006}">
  <sheetPr>
    <tabColor theme="1"/>
    <pageSetUpPr autoPageBreaks="0" fitToPage="1"/>
  </sheetPr>
  <dimension ref="A1:R56"/>
  <sheetViews>
    <sheetView topLeftCell="A36" workbookViewId="0">
      <selection activeCell="H20" sqref="H20"/>
    </sheetView>
  </sheetViews>
  <sheetFormatPr defaultColWidth="8.85546875" defaultRowHeight="16.5" x14ac:dyDescent="0.3"/>
  <cols>
    <col min="1" max="1" width="2.85546875" style="10" customWidth="1"/>
    <col min="2" max="2" width="4.5703125" style="13" customWidth="1"/>
    <col min="3" max="3" width="4" style="10" customWidth="1"/>
    <col min="4" max="4" width="90.28515625" style="10" bestFit="1" customWidth="1"/>
    <col min="5" max="5" width="8.85546875" style="10"/>
    <col min="6" max="6" width="7.28515625" style="10" customWidth="1"/>
    <col min="7" max="7" width="7.5703125" style="10" customWidth="1"/>
    <col min="8" max="8" width="7" style="10" customWidth="1"/>
    <col min="9" max="10" width="7.85546875" style="10" customWidth="1"/>
    <col min="11" max="11" width="2.42578125" style="10" customWidth="1"/>
    <col min="12" max="12" width="2.85546875" style="10" customWidth="1"/>
    <col min="13" max="15" width="8.85546875" style="10"/>
    <col min="16" max="16" width="8.7109375" style="10" customWidth="1"/>
    <col min="17" max="17" width="8.85546875" style="10"/>
    <col min="18" max="18" width="4.5703125" style="10" customWidth="1"/>
    <col min="19" max="16384" width="8.85546875" style="10"/>
  </cols>
  <sheetData>
    <row r="1" spans="1:18" s="4" customFormat="1" x14ac:dyDescent="0.3">
      <c r="A1" s="4" t="s">
        <v>602</v>
      </c>
      <c r="B1" s="17"/>
    </row>
    <row r="2" spans="1:18" x14ac:dyDescent="0.3">
      <c r="A2" s="10" t="str">
        <f>CONCATENATE("Pupil Center Funding Plan | FY",'1.1 Assumption Control YR1'!D5)</f>
        <v>Pupil Center Funding Plan | FY2024</v>
      </c>
    </row>
    <row r="3" spans="1:18" ht="17.25" thickBot="1" x14ac:dyDescent="0.35">
      <c r="A3" s="10" t="s">
        <v>77</v>
      </c>
    </row>
    <row r="4" spans="1:18" ht="17.25" thickTop="1" x14ac:dyDescent="0.3">
      <c r="K4" s="58"/>
      <c r="L4" s="59"/>
      <c r="M4" s="59"/>
      <c r="N4" s="59"/>
      <c r="O4" s="59"/>
      <c r="P4" s="59"/>
      <c r="Q4" s="59"/>
      <c r="R4" s="60"/>
    </row>
    <row r="5" spans="1:18" ht="17.25" thickBot="1" x14ac:dyDescent="0.35">
      <c r="A5" s="4" t="s">
        <v>712</v>
      </c>
      <c r="K5" s="61"/>
      <c r="L5" s="4" t="s">
        <v>711</v>
      </c>
      <c r="R5" s="62"/>
    </row>
    <row r="6" spans="1:18" ht="18" thickTop="1" thickBot="1" x14ac:dyDescent="0.35">
      <c r="B6" s="38" t="s">
        <v>920</v>
      </c>
      <c r="H6" s="55"/>
      <c r="K6" s="61"/>
      <c r="M6" s="10" t="s">
        <v>1146</v>
      </c>
      <c r="Q6" s="48"/>
      <c r="R6" s="62"/>
    </row>
    <row r="7" spans="1:18" ht="18" thickTop="1" thickBot="1" x14ac:dyDescent="0.35">
      <c r="B7" s="38" t="s">
        <v>921</v>
      </c>
      <c r="H7" s="56"/>
      <c r="K7" s="61"/>
      <c r="M7" s="10" t="s">
        <v>1147</v>
      </c>
      <c r="Q7" s="53"/>
      <c r="R7" s="62"/>
    </row>
    <row r="8" spans="1:18" ht="18" thickTop="1" thickBot="1" x14ac:dyDescent="0.35">
      <c r="B8" s="38" t="s">
        <v>922</v>
      </c>
      <c r="H8" s="57"/>
      <c r="K8" s="61"/>
      <c r="M8" s="10" t="s">
        <v>1145</v>
      </c>
      <c r="Q8" s="518"/>
      <c r="R8" s="62"/>
    </row>
    <row r="9" spans="1:18" ht="18" thickTop="1" thickBot="1" x14ac:dyDescent="0.35">
      <c r="B9" s="38" t="s">
        <v>1279</v>
      </c>
      <c r="H9" s="859"/>
      <c r="K9" s="61"/>
      <c r="M9" s="10" t="s">
        <v>713</v>
      </c>
      <c r="Q9" s="49"/>
      <c r="R9" s="62"/>
    </row>
    <row r="10" spans="1:18" ht="18" thickTop="1" thickBot="1" x14ac:dyDescent="0.35">
      <c r="B10" s="38" t="s">
        <v>1296</v>
      </c>
      <c r="H10" s="860"/>
      <c r="K10" s="61"/>
      <c r="M10" s="10" t="s">
        <v>714</v>
      </c>
      <c r="Q10" s="51"/>
      <c r="R10" s="62"/>
    </row>
    <row r="11" spans="1:18" ht="18" thickTop="1" thickBot="1" x14ac:dyDescent="0.35">
      <c r="K11" s="61"/>
      <c r="M11" s="10" t="s">
        <v>715</v>
      </c>
      <c r="Q11" s="52"/>
      <c r="R11" s="62"/>
    </row>
    <row r="12" spans="1:18" ht="18" thickTop="1" thickBot="1" x14ac:dyDescent="0.35">
      <c r="A12" s="4" t="s">
        <v>77</v>
      </c>
      <c r="K12" s="63"/>
      <c r="L12" s="14"/>
      <c r="M12" s="14"/>
      <c r="N12" s="14"/>
      <c r="O12" s="14"/>
      <c r="P12" s="14"/>
      <c r="Q12" s="14"/>
      <c r="R12" s="64"/>
    </row>
    <row r="13" spans="1:18" ht="17.25" thickTop="1" x14ac:dyDescent="0.3">
      <c r="B13" s="658" t="s">
        <v>1164</v>
      </c>
      <c r="C13" s="10" t="s">
        <v>1274</v>
      </c>
    </row>
    <row r="14" spans="1:18" x14ac:dyDescent="0.3">
      <c r="C14" s="658" t="s">
        <v>1160</v>
      </c>
      <c r="D14" s="10" t="str">
        <f>'1.1 Assumption Control YR1'!A3</f>
        <v>Assumptions Controls (Year 1)</v>
      </c>
    </row>
    <row r="15" spans="1:18" x14ac:dyDescent="0.3">
      <c r="C15" s="658" t="s">
        <v>1161</v>
      </c>
      <c r="D15" s="10" t="str">
        <f>'1.2 Budgeted Enrollment YR1'!A3</f>
        <v>Budgeted Enrollment Projections (Year 1)</v>
      </c>
    </row>
    <row r="16" spans="1:18" x14ac:dyDescent="0.3">
      <c r="C16" s="658" t="s">
        <v>1162</v>
      </c>
      <c r="D16" s="10" t="str">
        <f>'1.3 Budgeted Revenues YR1'!A3</f>
        <v>Budgeted Revenue Projections (Year 1)</v>
      </c>
    </row>
    <row r="17" spans="2:4" x14ac:dyDescent="0.3">
      <c r="C17" s="658" t="s">
        <v>1163</v>
      </c>
      <c r="D17" s="10" t="str">
        <f>'1.4 FY 2020 Revenue Received'!A3</f>
        <v>FY 2020 Baseline Revenue Received (All Years)</v>
      </c>
    </row>
    <row r="19" spans="2:4" x14ac:dyDescent="0.3">
      <c r="B19" s="658" t="s">
        <v>1165</v>
      </c>
      <c r="C19" s="10" t="s">
        <v>1166</v>
      </c>
    </row>
    <row r="20" spans="2:4" x14ac:dyDescent="0.3">
      <c r="C20" s="658" t="s">
        <v>1167</v>
      </c>
      <c r="D20" s="10" t="str">
        <f>'2.1 Auxiliary Services YR1'!A3</f>
        <v>Auxiliary Services Calculations (Transportation and Food Service) (Year 1)</v>
      </c>
    </row>
    <row r="21" spans="2:4" x14ac:dyDescent="0.3">
      <c r="C21" s="658" t="s">
        <v>1168</v>
      </c>
      <c r="D21" s="10" t="str">
        <f>'2.2 Spec Ed Local YR1'!A3</f>
        <v>Local Special Education Funding Calculations (Year 1)</v>
      </c>
    </row>
    <row r="22" spans="2:4" x14ac:dyDescent="0.3">
      <c r="C22" s="658" t="s">
        <v>1169</v>
      </c>
      <c r="D22" s="10" t="str">
        <f>'2.3 Statewide Base Funding YR1'!A3</f>
        <v>Statewide Base Per Pupil Funding Calculations for School Districts and Charter Schools (Year 1)</v>
      </c>
    </row>
    <row r="23" spans="2:4" x14ac:dyDescent="0.3">
      <c r="C23" s="658" t="s">
        <v>1170</v>
      </c>
      <c r="D23" s="10" t="str">
        <f>'2.4 District Size Adj. YR1'!A3</f>
        <v>District Size Adjustment by Attendance Area Calculations (Year 1)</v>
      </c>
    </row>
    <row r="24" spans="2:4" x14ac:dyDescent="0.3">
      <c r="C24" s="658" t="s">
        <v>1171</v>
      </c>
      <c r="D24" s="10" t="str">
        <f>'2.5 NCEI Adj. YR1'!B3</f>
        <v>Nevada Cost of Education Index (NCEI) Calculations for School Districts and Charter Schools (Year 1)</v>
      </c>
    </row>
    <row r="25" spans="2:4" x14ac:dyDescent="0.3">
      <c r="C25" s="658" t="s">
        <v>1172</v>
      </c>
      <c r="D25" s="10" t="str">
        <f>'2.6 Adj. Base Summary YR1'!A3</f>
        <v>Adjusted Base Funding Summary for School Districts and Charter Schools (Year 1)</v>
      </c>
    </row>
    <row r="26" spans="2:4" x14ac:dyDescent="0.3">
      <c r="C26" s="658" t="s">
        <v>1173</v>
      </c>
      <c r="D26" s="10" t="str">
        <f>'2.7 Weighted Funding YR1'!A3</f>
        <v>Weighted Funding Calculations for School Districts and Charter Schools (Year 1)</v>
      </c>
    </row>
    <row r="27" spans="2:4" x14ac:dyDescent="0.3">
      <c r="C27" s="658" t="s">
        <v>1174</v>
      </c>
      <c r="D27" s="10" t="str">
        <f>'2.8 Alloc of Residual Rev. YR1'!A3</f>
        <v>Allocation of Residual Revenue (Year 1)</v>
      </c>
    </row>
    <row r="28" spans="2:4" x14ac:dyDescent="0.3">
      <c r="C28" s="658" t="s">
        <v>1175</v>
      </c>
      <c r="D28" s="10" t="str">
        <f>'2.9 PCFP Funding Comparison YR1'!A3</f>
        <v>Comparison of PCFP allocations with FY 2020 Baseline (Year 1)</v>
      </c>
    </row>
    <row r="30" spans="2:4" x14ac:dyDescent="0.3">
      <c r="B30" s="658" t="s">
        <v>1176</v>
      </c>
      <c r="C30" s="10" t="s">
        <v>1273</v>
      </c>
    </row>
    <row r="31" spans="2:4" x14ac:dyDescent="0.3">
      <c r="C31" s="658" t="s">
        <v>1178</v>
      </c>
      <c r="D31" s="10" t="str">
        <f>'3.1a Initial Allocations YR1'!A3</f>
        <v>Initial Results, Allocation of K12 Education Funding, Prior to Proportional FY 2020 Baseline Reductions (Year 1)</v>
      </c>
    </row>
    <row r="32" spans="2:4" x14ac:dyDescent="0.3">
      <c r="C32" s="658" t="s">
        <v>1276</v>
      </c>
      <c r="D32" s="10" t="str">
        <f>'3.1b Allocation Adj. YR1 '!A3</f>
        <v>Final Results, Allocation of K12 Education Funding, After Proportional FY 2020 Baseline Reductions (Year 1)</v>
      </c>
    </row>
    <row r="33" spans="2:4" x14ac:dyDescent="0.3">
      <c r="C33" s="658"/>
    </row>
    <row r="34" spans="2:4" x14ac:dyDescent="0.3">
      <c r="B34" s="658" t="s">
        <v>1277</v>
      </c>
      <c r="C34" s="10" t="str">
        <f>'4.0 PCFP Allocation Summary'!A3</f>
        <v>Pupil-Centered Funding Plan Allocation Summary for Year 1 and Year 2</v>
      </c>
    </row>
    <row r="36" spans="2:4" x14ac:dyDescent="0.3">
      <c r="B36" s="658" t="s">
        <v>1280</v>
      </c>
      <c r="C36" s="10" t="s">
        <v>1275</v>
      </c>
    </row>
    <row r="37" spans="2:4" x14ac:dyDescent="0.3">
      <c r="C37" s="10">
        <v>5.0999999999999996</v>
      </c>
      <c r="D37" s="10" t="str">
        <f>'5.1 Assumption Control YR2'!A3</f>
        <v>Assumption Control (Year 2)</v>
      </c>
    </row>
    <row r="38" spans="2:4" x14ac:dyDescent="0.3">
      <c r="C38" s="10">
        <v>5.2</v>
      </c>
      <c r="D38" s="10" t="str">
        <f>'5.2 Budgeted Enrollment YR2'!A3</f>
        <v>Budgeted Enrollment Projections (Year 2)</v>
      </c>
    </row>
    <row r="39" spans="2:4" x14ac:dyDescent="0.3">
      <c r="C39" s="10">
        <v>5.3</v>
      </c>
      <c r="D39" s="10" t="str">
        <f>'5.3 Budgeted Revenues YR2'!A3</f>
        <v>Budgeted Revenue Projections  (Year 2)</v>
      </c>
    </row>
    <row r="41" spans="2:4" x14ac:dyDescent="0.3">
      <c r="B41" s="658" t="s">
        <v>1281</v>
      </c>
      <c r="C41" s="10" t="s">
        <v>1166</v>
      </c>
    </row>
    <row r="42" spans="2:4" x14ac:dyDescent="0.3">
      <c r="C42" s="10">
        <v>6.1</v>
      </c>
      <c r="D42" s="10" t="s">
        <v>1150</v>
      </c>
    </row>
    <row r="43" spans="2:4" x14ac:dyDescent="0.3">
      <c r="C43" s="10">
        <v>6.2</v>
      </c>
      <c r="D43" s="10" t="s">
        <v>1190</v>
      </c>
    </row>
    <row r="44" spans="2:4" x14ac:dyDescent="0.3">
      <c r="C44" s="10">
        <v>6.3</v>
      </c>
      <c r="D44" s="10" t="s">
        <v>1151</v>
      </c>
    </row>
    <row r="45" spans="2:4" x14ac:dyDescent="0.3">
      <c r="C45" s="10">
        <v>6.4</v>
      </c>
      <c r="D45" s="10" t="s">
        <v>1152</v>
      </c>
    </row>
    <row r="46" spans="2:4" x14ac:dyDescent="0.3">
      <c r="C46" s="10">
        <v>6.5</v>
      </c>
      <c r="D46" s="10" t="s">
        <v>1153</v>
      </c>
    </row>
    <row r="47" spans="2:4" x14ac:dyDescent="0.3">
      <c r="C47" s="10">
        <v>6.6</v>
      </c>
      <c r="D47" s="10" t="s">
        <v>1154</v>
      </c>
    </row>
    <row r="48" spans="2:4" x14ac:dyDescent="0.3">
      <c r="C48" s="10">
        <v>6.7</v>
      </c>
      <c r="D48" s="10" t="s">
        <v>1155</v>
      </c>
    </row>
    <row r="49" spans="2:4" x14ac:dyDescent="0.3">
      <c r="C49" s="10">
        <v>6.8</v>
      </c>
      <c r="D49" s="10" t="s">
        <v>1156</v>
      </c>
    </row>
    <row r="50" spans="2:4" x14ac:dyDescent="0.3">
      <c r="C50" s="10">
        <v>6.9</v>
      </c>
      <c r="D50" s="10" t="s">
        <v>1157</v>
      </c>
    </row>
    <row r="52" spans="2:4" x14ac:dyDescent="0.3">
      <c r="B52" s="658" t="s">
        <v>1282</v>
      </c>
      <c r="C52" s="10" t="s">
        <v>1177</v>
      </c>
    </row>
    <row r="53" spans="2:4" x14ac:dyDescent="0.3">
      <c r="C53" s="10" t="s">
        <v>1283</v>
      </c>
      <c r="D53" s="10" t="s">
        <v>1179</v>
      </c>
    </row>
    <row r="54" spans="2:4" x14ac:dyDescent="0.3">
      <c r="C54" s="10" t="s">
        <v>1284</v>
      </c>
      <c r="D54" s="10" t="s">
        <v>1158</v>
      </c>
    </row>
    <row r="56" spans="2:4" x14ac:dyDescent="0.3">
      <c r="B56" s="658" t="s">
        <v>1285</v>
      </c>
      <c r="C56" s="10" t="s">
        <v>1159</v>
      </c>
    </row>
  </sheetData>
  <sheetProtection algorithmName="SHA-512" hashValue="IF//QtqCTzNPXdGSlClZniyKiDKo0bT53vKqeoQXyDn9F7ZzbVoF6ImsK+Q0kIHDajJKmipLK8Z5oHcOWlUhLg==" saltValue="fgLKhminoBfIX5AZLvG42A==" spinCount="100000" sheet="1" objects="1" scenarios="1"/>
  <customSheetViews>
    <customSheetView guid="{92EB2B16-3546-4CC6-AF3A-0019867B62A7}" scale="80" showGridLines="0" fitToPage="1">
      <selection activeCell="A7" sqref="A7:A8"/>
      <pageMargins left="0.7" right="0.7" top="0.75" bottom="0.75" header="0.3" footer="0.3"/>
      <pageSetup paperSize="3" fitToHeight="0" orientation="landscape" verticalDpi="1200"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80" showPageBreaks="1" showGridLines="0" fitToPage="1" printArea="1">
      <selection activeCell="C18" sqref="C18"/>
      <pageMargins left="0.7" right="0.7" top="0.75" bottom="0.75" header="0.3" footer="0.3"/>
      <pageSetup paperSize="3" fitToHeight="0" orientation="landscape" verticalDpi="1200"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80" showPageBreaks="1" showGridLines="0" fitToPage="1" printArea="1">
      <selection activeCell="C18" sqref="C18"/>
      <pageMargins left="0.7" right="0.7" top="0.75" bottom="0.75" header="0.3" footer="0.3"/>
      <pageSetup paperSize="3" fitToHeight="0" orientation="landscape" verticalDpi="1200" r:id="rId3"/>
      <headerFooter>
        <oddHeader>&amp;R&amp;"Arial Narrow,Regular"&amp;10&amp;A
&amp;P</oddHeader>
        <oddFooter>&amp;L&amp;"Arial Narrow,Regular"&amp;10This is a draft document. It is intended for discussion purposes only.&amp;R&amp;G</oddFooter>
      </headerFooter>
    </customSheetView>
  </customSheetViews>
  <phoneticPr fontId="79" type="noConversion"/>
  <pageMargins left="0.7" right="0.7" top="0.75" bottom="0.75" header="0.3" footer="0.3"/>
  <pageSetup paperSize="3" fitToHeight="0" orientation="landscape" verticalDpi="1200" r:id="rId4"/>
  <headerFooter>
    <oddHeader>&amp;R&amp;"Arial Narrow,Regular"&amp;10&amp;A
&amp;P</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14C1A-77B6-46EE-9646-6C4881B523E5}">
  <sheetPr>
    <tabColor rgb="FFFF0000"/>
  </sheetPr>
  <dimension ref="A1:P117"/>
  <sheetViews>
    <sheetView topLeftCell="A21" zoomScale="85" zoomScaleNormal="85" workbookViewId="0"/>
  </sheetViews>
  <sheetFormatPr defaultColWidth="8.85546875" defaultRowHeight="16.5" x14ac:dyDescent="0.3"/>
  <cols>
    <col min="1" max="1" width="57.28515625" style="10" customWidth="1"/>
    <col min="2" max="2" width="7.140625" style="10" bestFit="1" customWidth="1"/>
    <col min="3" max="3" width="2.7109375" style="10" customWidth="1"/>
    <col min="4" max="4" width="18.28515625" style="10" bestFit="1" customWidth="1"/>
    <col min="5" max="5" width="29.140625" style="10" customWidth="1"/>
    <col min="6" max="6" width="12.28515625" style="10" customWidth="1"/>
    <col min="7" max="7" width="49.5703125" style="10" bestFit="1" customWidth="1"/>
    <col min="8" max="8" width="16.28515625" style="10" bestFit="1" customWidth="1"/>
    <col min="9" max="9" width="19.7109375" style="10" bestFit="1" customWidth="1"/>
    <col min="10" max="10" width="3" style="10" bestFit="1" customWidth="1"/>
    <col min="11" max="11" width="49.5703125" style="10" bestFit="1" customWidth="1"/>
    <col min="12" max="12" width="7.140625" style="13" bestFit="1" customWidth="1"/>
    <col min="13" max="13" width="15.5703125" style="10" bestFit="1" customWidth="1"/>
    <col min="14" max="14" width="19.7109375" style="10" bestFit="1" customWidth="1"/>
    <col min="15" max="15" width="11.42578125" style="10" bestFit="1" customWidth="1"/>
    <col min="16" max="16384" width="8.85546875" style="10"/>
  </cols>
  <sheetData>
    <row r="1" spans="1:15" s="4" customFormat="1" x14ac:dyDescent="0.3">
      <c r="A1" s="4" t="s">
        <v>602</v>
      </c>
      <c r="L1" s="17"/>
    </row>
    <row r="2" spans="1:15" x14ac:dyDescent="0.3">
      <c r="A2" s="10" t="str">
        <f>CONCATENATE("Pupil Center Funding Plan | FY",'1.1 Assumption Control YR1'!D5)</f>
        <v>Pupil Center Funding Plan | FY2024</v>
      </c>
    </row>
    <row r="3" spans="1:15" x14ac:dyDescent="0.3">
      <c r="A3" s="10" t="s">
        <v>1271</v>
      </c>
      <c r="G3" s="1577" t="s">
        <v>963</v>
      </c>
      <c r="H3" s="1578"/>
      <c r="I3" s="1578"/>
      <c r="J3" s="1578"/>
      <c r="K3" s="1578"/>
      <c r="L3" s="1578"/>
      <c r="M3" s="1578"/>
      <c r="N3" s="1578"/>
      <c r="O3" s="1579"/>
    </row>
    <row r="4" spans="1:15" ht="17.25" thickBot="1" x14ac:dyDescent="0.35">
      <c r="B4" s="21" t="s">
        <v>79</v>
      </c>
      <c r="G4" s="132"/>
      <c r="O4" s="143"/>
    </row>
    <row r="5" spans="1:15" ht="18" thickTop="1" thickBot="1" x14ac:dyDescent="0.35">
      <c r="A5" s="10" t="s">
        <v>708</v>
      </c>
      <c r="B5" s="40"/>
      <c r="C5" s="40"/>
      <c r="D5" s="157">
        <v>2024</v>
      </c>
      <c r="G5" s="375" t="str">
        <f>CONCATENATE("Pupil Center Funding Plan Prior Year Outputs | FY ", D5-1)</f>
        <v>Pupil Center Funding Plan Prior Year Outputs | FY 2023</v>
      </c>
      <c r="H5" s="434"/>
      <c r="I5" s="441"/>
      <c r="J5" s="4"/>
      <c r="K5" s="443" t="str">
        <f>CONCATENATE("Pupil Center Funding Plan Current Year Outputs | FY ",D5)</f>
        <v>Pupil Center Funding Plan Current Year Outputs | FY 2024</v>
      </c>
      <c r="L5" s="366"/>
      <c r="M5" s="444"/>
      <c r="N5" s="445"/>
      <c r="O5" s="444"/>
    </row>
    <row r="6" spans="1:15" ht="18" thickTop="1" thickBot="1" x14ac:dyDescent="0.35">
      <c r="B6" s="40"/>
      <c r="C6" s="40"/>
      <c r="D6" s="40"/>
      <c r="G6" s="123" t="s">
        <v>1133</v>
      </c>
      <c r="H6" s="17" t="s">
        <v>878</v>
      </c>
      <c r="I6" s="150" t="s">
        <v>0</v>
      </c>
      <c r="J6" s="4"/>
      <c r="K6" s="123" t="s">
        <v>1134</v>
      </c>
      <c r="L6" s="17" t="s">
        <v>878</v>
      </c>
      <c r="M6" s="150" t="s">
        <v>86</v>
      </c>
      <c r="N6" s="124" t="s">
        <v>876</v>
      </c>
      <c r="O6" s="150" t="s">
        <v>877</v>
      </c>
    </row>
    <row r="7" spans="1:15" ht="18" thickTop="1" thickBot="1" x14ac:dyDescent="0.35">
      <c r="A7" s="4" t="s">
        <v>1122</v>
      </c>
      <c r="D7" s="17" t="s">
        <v>1130</v>
      </c>
      <c r="E7" s="17" t="s">
        <v>1128</v>
      </c>
      <c r="G7" s="191" t="s">
        <v>1140</v>
      </c>
      <c r="H7" s="38" t="s">
        <v>1409</v>
      </c>
      <c r="I7" s="442">
        <v>0.23127956599999999</v>
      </c>
      <c r="J7" s="4"/>
      <c r="K7" s="123" t="s">
        <v>1140</v>
      </c>
      <c r="L7" s="13" t="s">
        <v>897</v>
      </c>
      <c r="M7" s="520">
        <f>D41</f>
        <v>0.45</v>
      </c>
      <c r="N7" s="634">
        <f>M7-I7</f>
        <v>0.21872043400000002</v>
      </c>
      <c r="O7" s="992">
        <f>IF(I7=0,"",(M7-'1.1 Assumption Control YR1'!I7)/'1.1 Assumption Control YR1'!I7)</f>
        <v>0.94569718277662296</v>
      </c>
    </row>
    <row r="8" spans="1:15" ht="18" thickTop="1" thickBot="1" x14ac:dyDescent="0.35">
      <c r="A8" s="4" t="s">
        <v>1125</v>
      </c>
      <c r="E8" s="20"/>
      <c r="G8" s="191"/>
      <c r="H8" s="38"/>
      <c r="I8" s="1467"/>
      <c r="K8" s="191"/>
      <c r="M8" s="521"/>
      <c r="N8" s="446"/>
      <c r="O8" s="128"/>
    </row>
    <row r="9" spans="1:15" ht="18" thickTop="1" thickBot="1" x14ac:dyDescent="0.35">
      <c r="A9" s="13" t="str">
        <f>CONCATENATE("Prior Year Revenue | FY ",D5-1)</f>
        <v>Prior Year Revenue | FY 2023</v>
      </c>
      <c r="B9" s="40"/>
      <c r="E9" s="519">
        <f>I13</f>
        <v>4463364280</v>
      </c>
      <c r="G9" s="191" t="s">
        <v>1141</v>
      </c>
      <c r="H9" s="38" t="s">
        <v>1409</v>
      </c>
      <c r="I9" s="442">
        <v>3.4080542999999998E-2</v>
      </c>
      <c r="K9" s="191" t="s">
        <v>1141</v>
      </c>
      <c r="L9" s="13" t="s">
        <v>897</v>
      </c>
      <c r="M9" s="520">
        <f>D42</f>
        <v>0.35</v>
      </c>
      <c r="N9" s="634">
        <f>M9-I9</f>
        <v>0.31591945699999996</v>
      </c>
      <c r="O9" s="992">
        <f>IF(I9=0,"",(M9-'1.1 Assumption Control YR1'!I9)/'1.1 Assumption Control YR1'!I9)</f>
        <v>9.2697894220758155</v>
      </c>
    </row>
    <row r="10" spans="1:15" ht="18" thickTop="1" thickBot="1" x14ac:dyDescent="0.35">
      <c r="A10" s="13" t="str">
        <f>CONCATENATE("Projected Revenue | FY ",D5)</f>
        <v>Projected Revenue | FY 2024</v>
      </c>
      <c r="B10" s="40"/>
      <c r="E10" s="519">
        <f>'1.3 Budgeted Revenues YR1'!C35</f>
        <v>5476921809.4808378</v>
      </c>
      <c r="G10" s="191"/>
      <c r="H10" s="38"/>
      <c r="I10" s="1468"/>
      <c r="K10" s="191"/>
      <c r="M10" s="522"/>
      <c r="N10" s="446"/>
      <c r="O10" s="128"/>
    </row>
    <row r="11" spans="1:15" ht="18" thickTop="1" thickBot="1" x14ac:dyDescent="0.35">
      <c r="A11" s="13" t="s">
        <v>1123</v>
      </c>
      <c r="E11" s="638">
        <f>E10-E9</f>
        <v>1013557529.4808378</v>
      </c>
      <c r="G11" s="191" t="s">
        <v>1142</v>
      </c>
      <c r="H11" s="38" t="s">
        <v>1409</v>
      </c>
      <c r="I11" s="442">
        <v>0.12</v>
      </c>
      <c r="K11" s="191" t="s">
        <v>1142</v>
      </c>
      <c r="L11" s="13" t="s">
        <v>897</v>
      </c>
      <c r="M11" s="520">
        <f>D43</f>
        <v>0.12</v>
      </c>
      <c r="N11" s="634">
        <f>M11-I11</f>
        <v>0</v>
      </c>
      <c r="O11" s="992">
        <f>IF(I11=0,"",(M11-'1.1 Assumption Control YR1'!I11)/'1.1 Assumption Control YR1'!I11)</f>
        <v>0</v>
      </c>
    </row>
    <row r="12" spans="1:15" ht="18" thickTop="1" thickBot="1" x14ac:dyDescent="0.35">
      <c r="A12" s="13" t="s">
        <v>1124</v>
      </c>
      <c r="E12" s="639">
        <f>(E10-E9)/E9</f>
        <v>0.22708375698181593</v>
      </c>
      <c r="G12" s="132"/>
      <c r="H12" s="38"/>
      <c r="I12" s="128"/>
      <c r="K12" s="420"/>
      <c r="L12" s="5"/>
      <c r="M12" s="523"/>
      <c r="N12" s="421"/>
      <c r="O12" s="523"/>
    </row>
    <row r="13" spans="1:15" ht="18" thickTop="1" thickBot="1" x14ac:dyDescent="0.35">
      <c r="D13" s="319"/>
      <c r="G13" s="191" t="s">
        <v>965</v>
      </c>
      <c r="H13" s="38" t="s">
        <v>1409</v>
      </c>
      <c r="I13" s="255">
        <v>4463364280</v>
      </c>
      <c r="K13" s="191" t="s">
        <v>966</v>
      </c>
      <c r="L13" s="13" t="s">
        <v>881</v>
      </c>
      <c r="M13" s="1238">
        <f>'1.3 Budgeted Revenues YR1'!C35</f>
        <v>5476921809.4808378</v>
      </c>
      <c r="N13" s="635">
        <f>M13-'1.1 Assumption Control YR1'!I13</f>
        <v>1013557529.4808378</v>
      </c>
      <c r="O13" s="992">
        <f>IF(I13=0,"",(M13-'1.1 Assumption Control YR1'!I13)/'1.1 Assumption Control YR1'!I13)</f>
        <v>0.22708375698181593</v>
      </c>
    </row>
    <row r="14" spans="1:15" ht="17.25" customHeight="1" thickTop="1" thickBot="1" x14ac:dyDescent="0.35">
      <c r="A14" s="4" t="s">
        <v>1126</v>
      </c>
      <c r="D14" s="319"/>
      <c r="E14" s="228"/>
      <c r="F14" s="40"/>
      <c r="G14" s="191"/>
      <c r="H14" s="38"/>
      <c r="I14" s="148"/>
      <c r="K14" s="191"/>
      <c r="N14" s="147"/>
      <c r="O14" s="128"/>
    </row>
    <row r="15" spans="1:15" ht="17.25" customHeight="1" thickTop="1" thickBot="1" x14ac:dyDescent="0.35">
      <c r="A15" s="13" t="str">
        <f>CONCATENATE("Consumer Price Index | Most Recent Available")</f>
        <v>Consumer Price Index | Most Recent Available</v>
      </c>
      <c r="B15" s="40" t="s">
        <v>734</v>
      </c>
      <c r="D15" s="158">
        <v>287.49400000000003</v>
      </c>
      <c r="E15" s="228"/>
      <c r="F15" s="40"/>
      <c r="G15" s="191" t="s">
        <v>905</v>
      </c>
      <c r="H15" s="38" t="s">
        <v>1714</v>
      </c>
      <c r="I15" s="255">
        <v>7074</v>
      </c>
      <c r="K15" s="191" t="s">
        <v>904</v>
      </c>
      <c r="L15" s="13" t="s">
        <v>897</v>
      </c>
      <c r="M15" s="524">
        <f>E55</f>
        <v>8981</v>
      </c>
      <c r="N15" s="636">
        <f>M15-'1.1 Assumption Control YR1'!I15</f>
        <v>1907</v>
      </c>
      <c r="O15" s="992">
        <f>(M15-'1.1 Assumption Control YR1'!I15)/'1.1 Assumption Control YR1'!I15</f>
        <v>0.26957873904438789</v>
      </c>
    </row>
    <row r="16" spans="1:15" ht="18" thickTop="1" thickBot="1" x14ac:dyDescent="0.35">
      <c r="A16" s="13" t="str">
        <f>CONCATENATE("Consumer Price Index | One Year Prior")</f>
        <v>Consumer Price Index | One Year Prior</v>
      </c>
      <c r="B16" s="40"/>
      <c r="D16" s="158">
        <v>275.05700000000002</v>
      </c>
      <c r="E16" s="228"/>
      <c r="F16" s="40"/>
      <c r="G16" s="191"/>
      <c r="H16" s="38"/>
      <c r="I16" s="148"/>
      <c r="K16" s="191"/>
      <c r="M16" s="525"/>
      <c r="N16" s="126"/>
      <c r="O16" s="128"/>
    </row>
    <row r="17" spans="1:15" ht="18" thickTop="1" thickBot="1" x14ac:dyDescent="0.35">
      <c r="A17" s="13" t="str">
        <f>CONCATENATE("Calculated Inflation Factor")</f>
        <v>Calculated Inflation Factor</v>
      </c>
      <c r="B17" s="40"/>
      <c r="D17" s="640">
        <f>((D15-D16)/D16)</f>
        <v>4.5216082484721386E-2</v>
      </c>
      <c r="E17" s="15"/>
      <c r="G17" s="191" t="s">
        <v>1388</v>
      </c>
      <c r="H17" s="38" t="s">
        <v>1410</v>
      </c>
      <c r="I17" s="255">
        <v>85618565.636567339</v>
      </c>
      <c r="K17" s="191" t="s">
        <v>906</v>
      </c>
      <c r="L17" s="13" t="s">
        <v>1411</v>
      </c>
      <c r="M17" s="524">
        <f>'2.7 Weighted Funding YR1'!E37</f>
        <v>212895503.10000002</v>
      </c>
      <c r="N17" s="636">
        <f>M17-'1.1 Assumption Control YR1'!I17</f>
        <v>127276937.46343268</v>
      </c>
      <c r="O17" s="992">
        <f>(M17-'1.1 Assumption Control YR1'!I17)/'1.1 Assumption Control YR1'!I17</f>
        <v>1.4865576936163156</v>
      </c>
    </row>
    <row r="18" spans="1:15" ht="18" thickTop="1" thickBot="1" x14ac:dyDescent="0.35">
      <c r="A18" s="191" t="s">
        <v>1695</v>
      </c>
      <c r="B18" s="40"/>
      <c r="D18" s="519">
        <f>(D21*D17)</f>
        <v>319.85856749691908</v>
      </c>
      <c r="E18" s="641">
        <f>ROUND(I23*D18,2)</f>
        <v>152014839.81999999</v>
      </c>
      <c r="G18" s="191"/>
      <c r="H18" s="38"/>
      <c r="I18" s="130"/>
      <c r="K18" s="191"/>
      <c r="M18" s="525"/>
      <c r="N18" s="126"/>
      <c r="O18" s="128"/>
    </row>
    <row r="19" spans="1:15" ht="18" thickTop="1" thickBot="1" x14ac:dyDescent="0.35">
      <c r="E19" s="1266"/>
      <c r="F19" s="17"/>
      <c r="G19" s="191" t="s">
        <v>1389</v>
      </c>
      <c r="H19" s="38" t="s">
        <v>1410</v>
      </c>
      <c r="I19" s="255">
        <v>60744420.208512574</v>
      </c>
      <c r="K19" s="191" t="s">
        <v>903</v>
      </c>
      <c r="L19" s="13" t="s">
        <v>1411</v>
      </c>
      <c r="M19" s="524">
        <f>'2.7 Weighted Funding YR1'!I37</f>
        <v>199052638.75</v>
      </c>
      <c r="N19" s="636">
        <f>M19-'1.1 Assumption Control YR1'!I19</f>
        <v>138308218.54148743</v>
      </c>
      <c r="O19" s="992">
        <f>(M19-'1.1 Assumption Control YR1'!I19)/'1.1 Assumption Control YR1'!I19</f>
        <v>2.2768876230397415</v>
      </c>
    </row>
    <row r="20" spans="1:15" ht="18" thickTop="1" thickBot="1" x14ac:dyDescent="0.35">
      <c r="A20" s="443" t="s">
        <v>1694</v>
      </c>
      <c r="B20" s="307"/>
      <c r="C20" s="307"/>
      <c r="D20" s="307"/>
      <c r="E20" s="305" t="s">
        <v>1129</v>
      </c>
      <c r="G20" s="191"/>
      <c r="H20" s="38"/>
      <c r="I20" s="130"/>
      <c r="K20" s="191"/>
      <c r="M20" s="525"/>
      <c r="N20" s="126"/>
      <c r="O20" s="128"/>
    </row>
    <row r="21" spans="1:15" ht="18" thickTop="1" thickBot="1" x14ac:dyDescent="0.35">
      <c r="A21" s="191" t="str">
        <f>CONCATENATE("Statewide Base Per Pupil Funding from the preceding Fiscal Year | FY",D5-1)</f>
        <v>Statewide Base Per Pupil Funding from the preceding Fiscal Year | FY2023</v>
      </c>
      <c r="B21" s="40"/>
      <c r="D21" s="519">
        <f>ROUND('1.1 Assumption Control YR1'!I15,2)</f>
        <v>7074</v>
      </c>
      <c r="E21" s="641">
        <f>ROUND(I23*D21,0)</f>
        <v>3361963962</v>
      </c>
      <c r="G21" s="191" t="s">
        <v>1390</v>
      </c>
      <c r="H21" s="38" t="s">
        <v>1410</v>
      </c>
      <c r="I21" s="255">
        <v>6795110.1200000001</v>
      </c>
      <c r="K21" s="191" t="s">
        <v>875</v>
      </c>
      <c r="L21" s="13" t="s">
        <v>1411</v>
      </c>
      <c r="M21" s="524">
        <f>'2.7 Weighted Funding YR1'!M37</f>
        <v>8011770</v>
      </c>
      <c r="N21" s="636">
        <f>M21-'1.1 Assumption Control YR1'!I21</f>
        <v>1216659.8799999999</v>
      </c>
      <c r="O21" s="992">
        <f>(M21-'1.1 Assumption Control YR1'!I21)/'1.1 Assumption Control YR1'!I21</f>
        <v>0.17904932495781245</v>
      </c>
    </row>
    <row r="22" spans="1:15" ht="17.25" customHeight="1" thickTop="1" thickBot="1" x14ac:dyDescent="0.35">
      <c r="A22" s="191" t="s">
        <v>1696</v>
      </c>
      <c r="D22" s="519">
        <f>D18</f>
        <v>319.85856749691908</v>
      </c>
      <c r="E22" s="641">
        <f>ROUND(I23*D22,2)</f>
        <v>152014839.81999999</v>
      </c>
      <c r="F22" s="1237"/>
      <c r="G22" s="191"/>
      <c r="H22" s="40"/>
      <c r="I22" s="148"/>
      <c r="K22" s="132"/>
      <c r="M22" s="526"/>
      <c r="N22" s="147"/>
      <c r="O22" s="128"/>
    </row>
    <row r="23" spans="1:15" ht="18" thickTop="1" thickBot="1" x14ac:dyDescent="0.35">
      <c r="A23" s="191" t="str">
        <f>CONCATENATE("Statewide Base Funding including Inflation for | FY",D5)</f>
        <v>Statewide Base Funding including Inflation for | FY2024</v>
      </c>
      <c r="B23" s="40"/>
      <c r="D23" s="642">
        <f>(D21+D22)</f>
        <v>7393.858567496919</v>
      </c>
      <c r="E23" s="642">
        <f>ROUND(I23*D23,2)</f>
        <v>3513978801.9099998</v>
      </c>
      <c r="F23" s="1005"/>
      <c r="G23" s="191" t="s">
        <v>1391</v>
      </c>
      <c r="H23" s="38" t="s">
        <v>739</v>
      </c>
      <c r="I23" s="1097">
        <v>475256.42664500017</v>
      </c>
      <c r="K23" s="191" t="s">
        <v>874</v>
      </c>
      <c r="L23" s="13" t="s">
        <v>856</v>
      </c>
      <c r="M23" s="527">
        <f>'1.2 Budgeted Enrollment YR1'!G28</f>
        <v>471282.96592185041</v>
      </c>
      <c r="N23" s="637">
        <f>M23-'1.1 Assumption Control YR1'!I23</f>
        <v>-3973.4607231497648</v>
      </c>
      <c r="O23" s="992">
        <f>(M23-'1.1 Assumption Control YR1'!I23)/'1.1 Assumption Control YR1'!I23</f>
        <v>-8.3606670007595717E-3</v>
      </c>
    </row>
    <row r="24" spans="1:15" ht="18" thickTop="1" thickBot="1" x14ac:dyDescent="0.35">
      <c r="A24" s="123" t="str">
        <f>CONCATENATE("Inflation Adjustment For | FY ",D5)</f>
        <v>Inflation Adjustment For | FY 2024</v>
      </c>
      <c r="B24" s="5"/>
      <c r="C24" s="4"/>
      <c r="D24" s="1319"/>
      <c r="E24" s="642">
        <f>E23-E21</f>
        <v>152014839.90999985</v>
      </c>
      <c r="F24" s="184"/>
      <c r="G24" s="132"/>
      <c r="H24" s="40"/>
      <c r="I24" s="1098"/>
      <c r="K24" s="191"/>
      <c r="M24" s="528"/>
      <c r="N24" s="297"/>
      <c r="O24" s="128"/>
    </row>
    <row r="25" spans="1:15" ht="18" thickTop="1" thickBot="1" x14ac:dyDescent="0.35">
      <c r="A25" s="241" t="str">
        <f>CONCATENATE("Statewide Base Inflationary Growth % For | FY ",D5)</f>
        <v>Statewide Base Inflationary Growth % For | FY 2024</v>
      </c>
      <c r="B25" s="436"/>
      <c r="C25" s="181"/>
      <c r="D25" s="437"/>
      <c r="E25" s="639">
        <f>E24/E21</f>
        <v>4.5216082512546531E-2</v>
      </c>
      <c r="F25" s="184"/>
      <c r="G25" s="191" t="s">
        <v>902</v>
      </c>
      <c r="H25" s="40"/>
      <c r="I25" s="1097">
        <v>51597</v>
      </c>
      <c r="K25" s="191" t="s">
        <v>910</v>
      </c>
      <c r="L25" s="13" t="s">
        <v>856</v>
      </c>
      <c r="M25" s="527">
        <f>'1.2 Budgeted Enrollment YR1'!H28</f>
        <v>52678</v>
      </c>
      <c r="N25" s="637">
        <f>M25-'1.1 Assumption Control YR1'!I25</f>
        <v>1081</v>
      </c>
      <c r="O25" s="992">
        <f>(M25-'1.1 Assumption Control YR1'!I25)/'1.1 Assumption Control YR1'!I25</f>
        <v>2.0950830474639998E-2</v>
      </c>
    </row>
    <row r="26" spans="1:15" ht="18" thickTop="1" thickBot="1" x14ac:dyDescent="0.35">
      <c r="A26" s="132"/>
      <c r="B26" s="40"/>
      <c r="D26" s="1322"/>
      <c r="E26" s="15"/>
      <c r="F26" s="184"/>
      <c r="G26" s="132"/>
      <c r="H26" s="40"/>
      <c r="I26" s="1098"/>
      <c r="K26" s="191"/>
      <c r="M26" s="528"/>
      <c r="N26" s="297"/>
      <c r="O26" s="128"/>
    </row>
    <row r="27" spans="1:15" ht="18" thickTop="1" thickBot="1" x14ac:dyDescent="0.35">
      <c r="A27" s="443" t="s">
        <v>1697</v>
      </c>
      <c r="B27" s="747"/>
      <c r="C27" s="307"/>
      <c r="D27" s="1322"/>
      <c r="E27" s="1327"/>
      <c r="F27" s="184"/>
      <c r="G27" s="191" t="s">
        <v>901</v>
      </c>
      <c r="H27" s="38" t="s">
        <v>81</v>
      </c>
      <c r="I27" s="1097">
        <v>247286</v>
      </c>
      <c r="K27" s="191" t="s">
        <v>909</v>
      </c>
      <c r="L27" s="13" t="s">
        <v>856</v>
      </c>
      <c r="M27" s="527">
        <f>'1.2 Budgeted Enrollment YR1'!I28</f>
        <v>63325</v>
      </c>
      <c r="N27" s="637">
        <f>M27-'1.1 Assumption Control YR1'!I27</f>
        <v>-183961</v>
      </c>
      <c r="O27" s="992">
        <f>(M27-'1.1 Assumption Control YR1'!I27)/'1.1 Assumption Control YR1'!I27</f>
        <v>-0.74391999547083132</v>
      </c>
    </row>
    <row r="28" spans="1:15" ht="18" thickTop="1" thickBot="1" x14ac:dyDescent="0.35">
      <c r="A28" s="191" t="str">
        <f>CONCATENATE("Statewide Base Funding including Inflation for | FY",D5)</f>
        <v>Statewide Base Funding including Inflation for | FY2024</v>
      </c>
      <c r="B28" s="40"/>
      <c r="D28" s="642">
        <f>D23</f>
        <v>7393.858567496919</v>
      </c>
      <c r="E28" s="1274"/>
      <c r="F28" s="184"/>
      <c r="G28" s="132"/>
      <c r="H28" s="40"/>
      <c r="I28" s="1098"/>
      <c r="K28" s="191"/>
      <c r="M28" s="528"/>
      <c r="N28" s="297"/>
      <c r="O28" s="128"/>
    </row>
    <row r="29" spans="1:15" ht="18" thickTop="1" thickBot="1" x14ac:dyDescent="0.35">
      <c r="A29" s="191" t="s">
        <v>1688</v>
      </c>
      <c r="B29" s="40" t="s">
        <v>1453</v>
      </c>
      <c r="D29" s="519">
        <f>'2.8 Alloc of Residual Rev. YR1'!H6</f>
        <v>1587</v>
      </c>
      <c r="E29" s="1334" t="s">
        <v>1798</v>
      </c>
      <c r="F29" s="1326"/>
      <c r="G29" s="191" t="s">
        <v>900</v>
      </c>
      <c r="H29" s="40"/>
      <c r="I29" s="1097">
        <v>7838</v>
      </c>
      <c r="K29" s="191" t="s">
        <v>907</v>
      </c>
      <c r="L29" s="13" t="s">
        <v>856</v>
      </c>
      <c r="M29" s="527">
        <f>'1.2 Budgeted Enrollment YR1'!J28</f>
        <v>7434</v>
      </c>
      <c r="N29" s="637">
        <f>M29-'1.1 Assumption Control YR1'!I29</f>
        <v>-404</v>
      </c>
      <c r="O29" s="992">
        <f>(M29-'1.1 Assumption Control YR1'!I29)/'1.1 Assumption Control YR1'!I29</f>
        <v>-5.1543761163562136E-2</v>
      </c>
    </row>
    <row r="30" spans="1:15" ht="18" thickTop="1" thickBot="1" x14ac:dyDescent="0.35">
      <c r="A30" s="166" t="str">
        <f>CONCATENATE("Modified Statewide Base Funding for | FY",D5)</f>
        <v>Modified Statewide Base Funding for | FY2024</v>
      </c>
      <c r="B30" s="449"/>
      <c r="C30" s="183"/>
      <c r="D30" s="642">
        <f>ROUND(D28+D29,0)</f>
        <v>8981</v>
      </c>
      <c r="E30" s="1263">
        <f>(D30-D21)/D21</f>
        <v>0.26957873904438789</v>
      </c>
      <c r="F30" s="1335"/>
      <c r="G30" s="191"/>
      <c r="H30" s="40"/>
      <c r="I30" s="1098"/>
      <c r="K30" s="191"/>
      <c r="M30" s="528"/>
      <c r="N30" s="297"/>
      <c r="O30" s="128"/>
    </row>
    <row r="31" spans="1:15" ht="18" thickTop="1" thickBot="1" x14ac:dyDescent="0.35">
      <c r="A31" s="38"/>
      <c r="B31" s="40"/>
      <c r="D31" s="1004"/>
      <c r="F31" s="1237"/>
      <c r="G31" s="191" t="s">
        <v>873</v>
      </c>
      <c r="H31" s="40"/>
      <c r="I31" s="1097">
        <v>4481.0087743978866</v>
      </c>
      <c r="K31" s="191" t="s">
        <v>908</v>
      </c>
      <c r="L31" s="13" t="s">
        <v>856</v>
      </c>
      <c r="M31" s="527">
        <f>'1.2 Budgeted Enrollment YR1'!K28</f>
        <v>4300.2357256803443</v>
      </c>
      <c r="N31" s="637">
        <f>M31-'1.1 Assumption Control YR1'!I31</f>
        <v>-180.77304871754222</v>
      </c>
      <c r="O31" s="992">
        <f>(M31-'1.1 Assumption Control YR1'!I31)/'1.1 Assumption Control YR1'!I31</f>
        <v>-4.0342043012810816E-2</v>
      </c>
    </row>
    <row r="32" spans="1:15" ht="18" thickTop="1" thickBot="1" x14ac:dyDescent="0.35">
      <c r="A32" s="443" t="s">
        <v>1693</v>
      </c>
      <c r="B32" s="747"/>
      <c r="C32" s="307"/>
      <c r="D32" s="1322"/>
      <c r="E32" s="1323" t="s">
        <v>1253</v>
      </c>
      <c r="F32" s="1237"/>
      <c r="G32" s="195"/>
      <c r="H32" s="183"/>
      <c r="I32" s="224"/>
      <c r="K32" s="195"/>
      <c r="L32" s="197"/>
      <c r="M32" s="196"/>
      <c r="N32" s="168"/>
      <c r="O32" s="196"/>
    </row>
    <row r="33" spans="1:16" ht="18" thickTop="1" thickBot="1" x14ac:dyDescent="0.35">
      <c r="A33" s="191" t="str">
        <f>CONCATENATE("Prior Year Enrollment | FY ",D5-1)</f>
        <v>Prior Year Enrollment | FY 2023</v>
      </c>
      <c r="B33" s="40"/>
      <c r="D33" s="438">
        <f>I23</f>
        <v>475256.42664500017</v>
      </c>
      <c r="E33" s="1324">
        <f>D33*D30</f>
        <v>4268277967.6987467</v>
      </c>
      <c r="F33" s="1237"/>
      <c r="G33" s="132"/>
      <c r="N33" s="40" t="s">
        <v>1449</v>
      </c>
      <c r="O33" s="671"/>
      <c r="P33"/>
    </row>
    <row r="34" spans="1:16" ht="18" thickTop="1" thickBot="1" x14ac:dyDescent="0.35">
      <c r="A34" s="191" t="str">
        <f>CONCATENATE("Projected Enrollment | FY ",D5)</f>
        <v>Projected Enrollment | FY 2024</v>
      </c>
      <c r="B34" s="40"/>
      <c r="D34" s="438">
        <f>M23</f>
        <v>471282.96592185041</v>
      </c>
      <c r="E34" s="1324">
        <f>D34*D30</f>
        <v>4232592316.9441385</v>
      </c>
      <c r="F34" s="1237"/>
      <c r="G34" s="123" t="str">
        <f>CONCATENATE("District Prior Year Inputs | FY",D5-1)</f>
        <v>District Prior Year Inputs | FY2023</v>
      </c>
      <c r="H34" s="5" t="str">
        <f>CONCATENATE("NCEI | FY ",D5-1)</f>
        <v>NCEI | FY 2023</v>
      </c>
      <c r="I34" s="17" t="s">
        <v>1112</v>
      </c>
      <c r="K34" s="17" t="str">
        <f>CONCATENATE("District Current Year Outputs | FY",D5)</f>
        <v>District Current Year Outputs | FY2024</v>
      </c>
      <c r="L34" s="17" t="s">
        <v>736</v>
      </c>
      <c r="M34" s="5" t="str">
        <f>CONCATENATE("NCEI | FY ",D5)</f>
        <v>NCEI | FY 2024</v>
      </c>
      <c r="N34" s="17" t="s">
        <v>1112</v>
      </c>
      <c r="O34" s="684"/>
      <c r="P34"/>
    </row>
    <row r="35" spans="1:16" ht="18" thickTop="1" thickBot="1" x14ac:dyDescent="0.35">
      <c r="A35" s="191" t="s">
        <v>1692</v>
      </c>
      <c r="B35" s="40"/>
      <c r="D35" s="1329"/>
      <c r="E35" s="1324">
        <f>E34-E33</f>
        <v>-35685650.754608154</v>
      </c>
      <c r="F35" s="1237"/>
      <c r="G35" s="191" t="str">
        <f>'2.5 NCEI Adj. YR1'!B7</f>
        <v>Carson City</v>
      </c>
      <c r="H35" s="207">
        <v>1</v>
      </c>
      <c r="I35" s="207" t="s">
        <v>1114</v>
      </c>
      <c r="K35" s="13" t="str">
        <f>'3.1b Allocation Adj. YR1 '!B11</f>
        <v>Carson City</v>
      </c>
      <c r="L35" s="40"/>
      <c r="M35" s="207">
        <v>1</v>
      </c>
      <c r="N35" s="686" t="str">
        <f>'3.1b Allocation Adj. YR1 '!E11</f>
        <v>PCFP</v>
      </c>
      <c r="O35" s="143"/>
      <c r="P35"/>
    </row>
    <row r="36" spans="1:16" ht="18" thickTop="1" thickBot="1" x14ac:dyDescent="0.35">
      <c r="A36" s="123" t="str">
        <f>CONCATENATE("Enrollment Change For | FY ",D5)</f>
        <v>Enrollment Change For | FY 2024</v>
      </c>
      <c r="B36" s="5"/>
      <c r="C36" s="4"/>
      <c r="D36" s="1328"/>
      <c r="E36" s="1552">
        <f>D34-D33</f>
        <v>-3973.4607231497648</v>
      </c>
      <c r="F36" s="1237"/>
      <c r="G36" s="191" t="str">
        <f>'2.5 NCEI Adj. YR1'!B8</f>
        <v>Churchill</v>
      </c>
      <c r="H36" s="207">
        <v>1.0269999999999999</v>
      </c>
      <c r="I36" s="207" t="s">
        <v>1115</v>
      </c>
      <c r="K36" s="13" t="str">
        <f>'3.1b Allocation Adj. YR1 '!B12</f>
        <v>Churchill</v>
      </c>
      <c r="L36" s="40"/>
      <c r="M36" s="207">
        <v>1</v>
      </c>
      <c r="N36" s="686" t="str">
        <f>'3.1b Allocation Adj. YR1 '!E12</f>
        <v>PCFP</v>
      </c>
      <c r="O36" s="143"/>
      <c r="P36"/>
    </row>
    <row r="37" spans="1:16" ht="18" thickTop="1" thickBot="1" x14ac:dyDescent="0.35">
      <c r="A37" s="241" t="str">
        <f>CONCATENATE("Enrollment Growth % For | FY ",D5)</f>
        <v>Enrollment Growth % For | FY 2024</v>
      </c>
      <c r="B37" s="436"/>
      <c r="C37" s="181"/>
      <c r="D37" s="437"/>
      <c r="E37" s="1325">
        <f>E35/E33</f>
        <v>-8.3606670007595977E-3</v>
      </c>
      <c r="F37" s="1237"/>
      <c r="G37" s="191" t="str">
        <f>'2.5 NCEI Adj. YR1'!B9</f>
        <v>Clark</v>
      </c>
      <c r="H37" s="207">
        <v>1.0309999999999999</v>
      </c>
      <c r="I37" s="207" t="s">
        <v>1115</v>
      </c>
      <c r="K37" s="13" t="str">
        <f>'3.1b Allocation Adj. YR1 '!B13</f>
        <v>Clark</v>
      </c>
      <c r="L37" s="40"/>
      <c r="M37" s="207">
        <v>1</v>
      </c>
      <c r="N37" s="686" t="str">
        <f>'3.1b Allocation Adj. YR1 '!E13</f>
        <v>PCFP</v>
      </c>
      <c r="O37" s="143"/>
      <c r="P37"/>
    </row>
    <row r="38" spans="1:16" ht="18" thickTop="1" thickBot="1" x14ac:dyDescent="0.35">
      <c r="A38" s="38"/>
      <c r="B38" s="40"/>
      <c r="D38" s="1004"/>
      <c r="F38" s="1237"/>
      <c r="G38" s="191" t="str">
        <f>'2.5 NCEI Adj. YR1'!B10</f>
        <v>Douglas</v>
      </c>
      <c r="H38" s="207">
        <v>1</v>
      </c>
      <c r="I38" s="207" t="s">
        <v>1114</v>
      </c>
      <c r="K38" s="13" t="str">
        <f>'3.1b Allocation Adj. YR1 '!B14</f>
        <v>Douglas</v>
      </c>
      <c r="L38" s="40"/>
      <c r="M38" s="207">
        <v>1</v>
      </c>
      <c r="N38" s="686" t="str">
        <f>'3.1b Allocation Adj. YR1 '!E14</f>
        <v>PCFP</v>
      </c>
      <c r="O38" s="143"/>
      <c r="P38"/>
    </row>
    <row r="39" spans="1:16" ht="18" thickTop="1" thickBot="1" x14ac:dyDescent="0.35">
      <c r="B39" s="40"/>
      <c r="D39" s="107"/>
      <c r="E39" s="15"/>
      <c r="F39" s="184"/>
      <c r="G39" s="191" t="str">
        <f>'2.5 NCEI Adj. YR1'!B11</f>
        <v>Elko</v>
      </c>
      <c r="H39" s="207">
        <v>1.0269999999999999</v>
      </c>
      <c r="I39" s="207" t="s">
        <v>1114</v>
      </c>
      <c r="K39" s="13" t="str">
        <f>'3.1b Allocation Adj. YR1 '!B15</f>
        <v>Elko</v>
      </c>
      <c r="L39" s="40"/>
      <c r="M39" s="207">
        <v>1</v>
      </c>
      <c r="N39" s="686" t="str">
        <f>'3.1b Allocation Adj. YR1 '!E15</f>
        <v>PCFP</v>
      </c>
      <c r="O39" s="143"/>
      <c r="P39"/>
    </row>
    <row r="40" spans="1:16" ht="18" thickTop="1" thickBot="1" x14ac:dyDescent="0.35">
      <c r="A40" s="443" t="s">
        <v>1689</v>
      </c>
      <c r="B40" s="747" t="s">
        <v>80</v>
      </c>
      <c r="C40" s="307"/>
      <c r="D40" s="366" t="s">
        <v>1127</v>
      </c>
      <c r="E40" s="305" t="s">
        <v>954</v>
      </c>
      <c r="F40" s="1426" t="s">
        <v>1799</v>
      </c>
      <c r="G40" s="191" t="str">
        <f>'2.5 NCEI Adj. YR1'!B12</f>
        <v>Esmeralda</v>
      </c>
      <c r="H40" s="207">
        <v>1.0269999999999999</v>
      </c>
      <c r="I40" s="207" t="s">
        <v>1114</v>
      </c>
      <c r="K40" s="13" t="str">
        <f>'3.1b Allocation Adj. YR1 '!B16</f>
        <v>Esmeralda</v>
      </c>
      <c r="L40" s="40"/>
      <c r="M40" s="207">
        <v>1</v>
      </c>
      <c r="N40" s="686" t="str">
        <f>'3.1b Allocation Adj. YR1 '!E16</f>
        <v>FY 2020 Baseline</v>
      </c>
      <c r="O40" s="143"/>
    </row>
    <row r="41" spans="1:16" ht="18" thickTop="1" thickBot="1" x14ac:dyDescent="0.35">
      <c r="A41" s="191" t="s">
        <v>869</v>
      </c>
      <c r="B41" s="40"/>
      <c r="D41" s="1331">
        <v>0.45</v>
      </c>
      <c r="E41" s="1320">
        <f>D30*D41</f>
        <v>4041.4500000000003</v>
      </c>
      <c r="F41" s="1424">
        <v>1649</v>
      </c>
      <c r="G41" s="191" t="str">
        <f>'2.5 NCEI Adj. YR1'!B13</f>
        <v>Eureka</v>
      </c>
      <c r="H41" s="207">
        <v>1.0269999999999999</v>
      </c>
      <c r="I41" s="207" t="s">
        <v>1114</v>
      </c>
      <c r="K41" s="13" t="str">
        <f>'3.1b Allocation Adj. YR1 '!B17</f>
        <v>Eureka</v>
      </c>
      <c r="L41" s="40"/>
      <c r="M41" s="207">
        <v>1</v>
      </c>
      <c r="N41" s="686" t="str">
        <f>'3.1b Allocation Adj. YR1 '!E17</f>
        <v>FY 2020 Baseline</v>
      </c>
      <c r="O41" s="143"/>
    </row>
    <row r="42" spans="1:16" ht="18" thickTop="1" thickBot="1" x14ac:dyDescent="0.35">
      <c r="A42" s="191" t="s">
        <v>870</v>
      </c>
      <c r="B42" s="40" t="s">
        <v>81</v>
      </c>
      <c r="D42" s="1331">
        <v>0.35</v>
      </c>
      <c r="E42" s="1321">
        <f>D30*D42</f>
        <v>3143.35</v>
      </c>
      <c r="F42" s="1425">
        <v>244</v>
      </c>
      <c r="G42" s="191" t="str">
        <f>'2.5 NCEI Adj. YR1'!B14</f>
        <v>Humboldt</v>
      </c>
      <c r="H42" s="207">
        <v>1.0269999999999999</v>
      </c>
      <c r="I42" s="207" t="s">
        <v>1114</v>
      </c>
      <c r="K42" s="13" t="str">
        <f>'3.1b Allocation Adj. YR1 '!B18</f>
        <v>Humboldt</v>
      </c>
      <c r="L42" s="40"/>
      <c r="M42" s="207">
        <v>1</v>
      </c>
      <c r="N42" s="686" t="str">
        <f>'3.1b Allocation Adj. YR1 '!E18</f>
        <v>PCFP</v>
      </c>
      <c r="O42" s="143"/>
    </row>
    <row r="43" spans="1:16" ht="18" thickTop="1" thickBot="1" x14ac:dyDescent="0.35">
      <c r="A43" s="191" t="s">
        <v>871</v>
      </c>
      <c r="B43" s="40"/>
      <c r="D43" s="1331">
        <v>0.12</v>
      </c>
      <c r="E43" s="1321">
        <f>D43*D30</f>
        <v>1077.72</v>
      </c>
      <c r="F43" s="1425">
        <v>862</v>
      </c>
      <c r="G43" s="191" t="str">
        <f>'2.5 NCEI Adj. YR1'!B15</f>
        <v>Lander</v>
      </c>
      <c r="H43" s="207">
        <v>1.0269999999999999</v>
      </c>
      <c r="I43" s="207" t="s">
        <v>1115</v>
      </c>
      <c r="K43" s="13" t="str">
        <f>'3.1b Allocation Adj. YR1 '!B19</f>
        <v>Lander</v>
      </c>
      <c r="L43" s="40"/>
      <c r="M43" s="207">
        <v>1</v>
      </c>
      <c r="N43" s="686" t="str">
        <f>'3.1b Allocation Adj. YR1 '!E19</f>
        <v>PCFP</v>
      </c>
      <c r="O43" s="143"/>
    </row>
    <row r="44" spans="1:16" ht="18" thickTop="1" thickBot="1" x14ac:dyDescent="0.35">
      <c r="A44" s="195"/>
      <c r="B44" s="449"/>
      <c r="C44" s="183"/>
      <c r="D44" s="183"/>
      <c r="E44" s="168"/>
      <c r="F44" s="1061"/>
      <c r="G44" s="191" t="str">
        <f>'2.5 NCEI Adj. YR1'!B16</f>
        <v>Lincoln</v>
      </c>
      <c r="H44" s="207">
        <v>1.0269999999999999</v>
      </c>
      <c r="I44" s="207" t="s">
        <v>1114</v>
      </c>
      <c r="K44" s="13" t="str">
        <f>'3.1b Allocation Adj. YR1 '!B20</f>
        <v>Lincoln</v>
      </c>
      <c r="L44" s="40"/>
      <c r="M44" s="207">
        <v>1</v>
      </c>
      <c r="N44" s="686" t="str">
        <f>'3.1b Allocation Adj. YR1 '!E20</f>
        <v>PCFP</v>
      </c>
      <c r="O44" s="143"/>
    </row>
    <row r="45" spans="1:16" ht="18" thickTop="1" thickBot="1" x14ac:dyDescent="0.35">
      <c r="F45" s="93"/>
      <c r="G45" s="191" t="str">
        <f>'2.5 NCEI Adj. YR1'!B17</f>
        <v>Lyon</v>
      </c>
      <c r="H45" s="207">
        <v>1</v>
      </c>
      <c r="I45" s="207" t="s">
        <v>1115</v>
      </c>
      <c r="K45" s="13" t="str">
        <f>'3.1b Allocation Adj. YR1 '!B21</f>
        <v>Lyon</v>
      </c>
      <c r="L45" s="40"/>
      <c r="M45" s="207">
        <v>1</v>
      </c>
      <c r="N45" s="686" t="str">
        <f>'3.1b Allocation Adj. YR1 '!E21</f>
        <v>PCFP</v>
      </c>
      <c r="O45" s="143"/>
    </row>
    <row r="46" spans="1:16" ht="18" thickTop="1" thickBot="1" x14ac:dyDescent="0.35">
      <c r="F46" s="12"/>
      <c r="G46" s="191" t="str">
        <f>'2.5 NCEI Adj. YR1'!B18</f>
        <v>Mineral</v>
      </c>
      <c r="H46" s="207">
        <v>1.0269999999999999</v>
      </c>
      <c r="I46" s="207" t="s">
        <v>1115</v>
      </c>
      <c r="K46" s="13" t="str">
        <f>'3.1b Allocation Adj. YR1 '!B22</f>
        <v>Mineral</v>
      </c>
      <c r="L46" s="40"/>
      <c r="M46" s="207">
        <v>1</v>
      </c>
      <c r="N46" s="686" t="str">
        <f>'3.1b Allocation Adj. YR1 '!E22</f>
        <v>PCFP</v>
      </c>
      <c r="O46" s="143"/>
    </row>
    <row r="47" spans="1:16" ht="18" thickTop="1" thickBot="1" x14ac:dyDescent="0.35">
      <c r="A47" s="4" t="s">
        <v>1690</v>
      </c>
      <c r="B47" s="40"/>
      <c r="D47" s="107"/>
      <c r="E47" s="659" t="str">
        <f>'4.0 PCFP Allocation Summary'!D26</f>
        <v>Model is Balanced</v>
      </c>
      <c r="F47" s="12"/>
      <c r="G47" s="191" t="str">
        <f>'2.5 NCEI Adj. YR1'!B19</f>
        <v>Nye</v>
      </c>
      <c r="H47" s="207">
        <v>1.0269999999999999</v>
      </c>
      <c r="I47" s="207" t="s">
        <v>1115</v>
      </c>
      <c r="K47" s="13" t="str">
        <f>'3.1b Allocation Adj. YR1 '!B23</f>
        <v>Nye</v>
      </c>
      <c r="L47" s="40"/>
      <c r="M47" s="207">
        <v>1</v>
      </c>
      <c r="N47" s="686" t="str">
        <f>'3.1b Allocation Adj. YR1 '!E23</f>
        <v>PCFP</v>
      </c>
      <c r="O47" s="143"/>
    </row>
    <row r="48" spans="1:16" ht="18" thickTop="1" thickBot="1" x14ac:dyDescent="0.35">
      <c r="A48" s="17" t="str">
        <f>CONCATENATE("Projected Revenue | FY",$D$5)</f>
        <v>Projected Revenue | FY2024</v>
      </c>
      <c r="B48" s="5"/>
      <c r="C48" s="4"/>
      <c r="D48" s="432"/>
      <c r="E48" s="642">
        <f>E10</f>
        <v>5476921809.4808378</v>
      </c>
      <c r="G48" s="191" t="str">
        <f>'2.5 NCEI Adj. YR1'!B20</f>
        <v>Pershing</v>
      </c>
      <c r="H48" s="207">
        <v>1.0269999999999999</v>
      </c>
      <c r="I48" s="207" t="s">
        <v>1114</v>
      </c>
      <c r="K48" s="13" t="str">
        <f>'3.1b Allocation Adj. YR1 '!B24</f>
        <v>Pershing</v>
      </c>
      <c r="L48" s="40"/>
      <c r="M48" s="207">
        <v>1</v>
      </c>
      <c r="N48" s="686" t="str">
        <f>'3.1b Allocation Adj. YR1 '!E24</f>
        <v>PCFP</v>
      </c>
      <c r="O48" s="143"/>
    </row>
    <row r="49" spans="1:15" ht="18" thickTop="1" thickBot="1" x14ac:dyDescent="0.35">
      <c r="E49" s="439"/>
      <c r="F49" s="231"/>
      <c r="G49" s="191" t="str">
        <f>'2.5 NCEI Adj. YR1'!B21</f>
        <v>Storey</v>
      </c>
      <c r="H49" s="207">
        <v>1</v>
      </c>
      <c r="I49" s="207" t="s">
        <v>1114</v>
      </c>
      <c r="K49" s="13" t="str">
        <f>'3.1b Allocation Adj. YR1 '!B25</f>
        <v>Storey</v>
      </c>
      <c r="L49" s="40"/>
      <c r="M49" s="207">
        <v>1</v>
      </c>
      <c r="N49" s="686" t="str">
        <f>'3.1b Allocation Adj. YR1 '!E25</f>
        <v>FY 2020 Baseline</v>
      </c>
      <c r="O49" s="143"/>
    </row>
    <row r="50" spans="1:15" ht="18" thickTop="1" thickBot="1" x14ac:dyDescent="0.35">
      <c r="A50" s="260" t="s">
        <v>1137</v>
      </c>
      <c r="D50" s="13" t="s">
        <v>1448</v>
      </c>
      <c r="E50" s="519">
        <f>'3.1a Initial Allocations YR1'!S31</f>
        <v>5486140574.2399998</v>
      </c>
      <c r="G50" s="191" t="str">
        <f>'2.5 NCEI Adj. YR1'!B22</f>
        <v>Washoe</v>
      </c>
      <c r="H50" s="207">
        <v>1</v>
      </c>
      <c r="I50" s="207" t="s">
        <v>1115</v>
      </c>
      <c r="K50" s="13" t="str">
        <f>'3.1b Allocation Adj. YR1 '!B26</f>
        <v>Washoe</v>
      </c>
      <c r="L50" s="40"/>
      <c r="M50" s="207">
        <v>1</v>
      </c>
      <c r="N50" s="686" t="str">
        <f>'3.1b Allocation Adj. YR1 '!E26</f>
        <v>PCFP</v>
      </c>
      <c r="O50" s="143"/>
    </row>
    <row r="51" spans="1:15" ht="18" thickTop="1" thickBot="1" x14ac:dyDescent="0.35">
      <c r="A51" s="260" t="s">
        <v>1138</v>
      </c>
      <c r="D51" s="13" t="s">
        <v>1449</v>
      </c>
      <c r="E51" s="519">
        <f>'3.1b Allocation Adj. YR1 '!U30</f>
        <v>5476921809</v>
      </c>
      <c r="F51" s="15"/>
      <c r="G51" s="191" t="str">
        <f>'2.5 NCEI Adj. YR1'!B23</f>
        <v>White Pine</v>
      </c>
      <c r="H51" s="207">
        <v>1.0269999999999999</v>
      </c>
      <c r="I51" s="207" t="s">
        <v>1115</v>
      </c>
      <c r="K51" s="13" t="str">
        <f>'3.1b Allocation Adj. YR1 '!B27</f>
        <v>White Pine</v>
      </c>
      <c r="L51" s="40"/>
      <c r="M51" s="207">
        <v>1</v>
      </c>
      <c r="N51" s="686" t="str">
        <f>'3.1b Allocation Adj. YR1 '!E28</f>
        <v>PCFP</v>
      </c>
      <c r="O51" s="143"/>
    </row>
    <row r="52" spans="1:15" ht="18" thickTop="1" thickBot="1" x14ac:dyDescent="0.35">
      <c r="A52" s="260" t="s">
        <v>1037</v>
      </c>
      <c r="D52" s="13"/>
      <c r="E52" s="643">
        <f>E51-E50</f>
        <v>-9218765.2399997711</v>
      </c>
      <c r="F52" s="15"/>
      <c r="G52" s="191" t="s">
        <v>1042</v>
      </c>
      <c r="H52" s="660"/>
      <c r="I52" s="419" t="s">
        <v>1115</v>
      </c>
      <c r="K52" s="13" t="str">
        <f>'3.1b Allocation Adj. YR1 '!B28</f>
        <v>Charter Schools (Combined)</v>
      </c>
      <c r="L52" s="40"/>
      <c r="M52" s="660"/>
      <c r="N52" s="686" t="str">
        <f>'3.1b Allocation Adj. YR1 '!E46</f>
        <v>PCFP</v>
      </c>
      <c r="O52" s="143"/>
    </row>
    <row r="53" spans="1:15" ht="18" thickTop="1" thickBot="1" x14ac:dyDescent="0.35">
      <c r="A53" s="260" t="s">
        <v>1038</v>
      </c>
      <c r="B53" s="40"/>
      <c r="D53" s="13"/>
      <c r="E53" s="639">
        <f>E52/E50</f>
        <v>-1.6803735003230126E-3</v>
      </c>
      <c r="F53" s="15"/>
      <c r="G53" s="191" t="s">
        <v>47</v>
      </c>
      <c r="H53" s="660"/>
      <c r="I53" s="419" t="s">
        <v>1115</v>
      </c>
      <c r="K53" s="13" t="str">
        <f>'3.1b Allocation Adj. YR1 '!B29</f>
        <v>University Schools</v>
      </c>
      <c r="L53" s="40"/>
      <c r="M53" s="660"/>
      <c r="N53" s="686" t="str">
        <f>'3.1b Allocation Adj. YR1 '!E29</f>
        <v>PCFP</v>
      </c>
      <c r="O53" s="143"/>
    </row>
    <row r="54" spans="1:15" ht="18" thickTop="1" thickBot="1" x14ac:dyDescent="0.35">
      <c r="A54" s="260"/>
      <c r="B54" s="40"/>
      <c r="D54" s="13"/>
      <c r="E54" s="107"/>
      <c r="F54" s="15"/>
      <c r="G54" s="191"/>
      <c r="H54" s="13"/>
      <c r="I54" s="40"/>
      <c r="K54" s="13"/>
      <c r="L54" s="40"/>
      <c r="M54" s="40"/>
      <c r="N54" s="230"/>
      <c r="O54" s="143"/>
    </row>
    <row r="55" spans="1:15" ht="18" thickTop="1" thickBot="1" x14ac:dyDescent="0.35">
      <c r="A55" s="260" t="str">
        <f>CONCATENATE("Statewide Base Per Pupil Funding (Prior to Reduction) | FY ",D5)</f>
        <v>Statewide Base Per Pupil Funding (Prior to Reduction) | FY 2024</v>
      </c>
      <c r="B55" s="40"/>
      <c r="D55" s="13" t="s">
        <v>868</v>
      </c>
      <c r="E55" s="519">
        <f>ROUND('2.3 Statewide Base Funding YR1'!C8,0)</f>
        <v>8981</v>
      </c>
      <c r="F55" s="15"/>
      <c r="G55" s="123" t="str">
        <f>CONCATENATE("PCFP Funding Status Determinations | FY ",D5-1)</f>
        <v>PCFP Funding Status Determinations | FY 2023</v>
      </c>
      <c r="H55" s="17"/>
      <c r="I55" s="5" t="s">
        <v>1132</v>
      </c>
      <c r="K55" s="17" t="str">
        <f>CONCATENATE("PCFP Funding Status Determinations | FY ",D5)</f>
        <v>PCFP Funding Status Determinations | FY 2024</v>
      </c>
      <c r="L55" s="300"/>
      <c r="M55" s="300"/>
      <c r="N55" s="5" t="s">
        <v>1132</v>
      </c>
      <c r="O55" s="143"/>
    </row>
    <row r="56" spans="1:15" ht="18" thickTop="1" thickBot="1" x14ac:dyDescent="0.35">
      <c r="A56" s="260" t="str">
        <f>CONCATENATE("Statewide Base Per Pupil Funding FY 2024 (After Reduction) | FY ",D5)</f>
        <v>Statewide Base Per Pupil Funding FY 2024 (After Reduction) | FY 2024</v>
      </c>
      <c r="B56" s="40"/>
      <c r="D56" s="13"/>
      <c r="E56" s="644">
        <f>ROUND(E55*(1+E53),0)</f>
        <v>8966</v>
      </c>
      <c r="F56" s="15"/>
      <c r="G56" s="191" t="s">
        <v>1048</v>
      </c>
      <c r="H56" s="13"/>
      <c r="I56" s="645">
        <f>COUNTIF(I35:I53,"PCFP")</f>
        <v>10</v>
      </c>
      <c r="K56" s="13" t="s">
        <v>1048</v>
      </c>
      <c r="L56" s="10"/>
      <c r="N56" s="645">
        <f>COUNTIF(N35:N53,"PCFP")</f>
        <v>16</v>
      </c>
      <c r="O56" s="143"/>
    </row>
    <row r="57" spans="1:15" ht="18" thickTop="1" thickBot="1" x14ac:dyDescent="0.35">
      <c r="A57" s="260"/>
      <c r="B57" s="40"/>
      <c r="D57" s="13"/>
      <c r="E57" s="12"/>
      <c r="F57" s="15"/>
      <c r="G57" s="191" t="s">
        <v>1857</v>
      </c>
      <c r="H57" s="13"/>
      <c r="I57" s="645">
        <f>COUNTIF(I35:I53,"FY 2020 Baseline")</f>
        <v>9</v>
      </c>
      <c r="K57" s="13" t="s">
        <v>1857</v>
      </c>
      <c r="L57" s="10"/>
      <c r="N57" s="645">
        <f>COUNTIF(N35:N53,"FY 2020 Baseline")</f>
        <v>3</v>
      </c>
      <c r="O57" s="143"/>
    </row>
    <row r="58" spans="1:15" ht="18" thickTop="1" thickBot="1" x14ac:dyDescent="0.35">
      <c r="A58" s="260" t="str">
        <f>CONCATENATE("State English Learner Funding FY (Prior to Red) | FY ",D5)</f>
        <v>State English Learner Funding FY (Prior to Red) | FY 2024</v>
      </c>
      <c r="B58" s="40"/>
      <c r="D58" s="13" t="s">
        <v>1448</v>
      </c>
      <c r="E58" s="519">
        <f>'3.1a Initial Allocations YR1'!G31</f>
        <v>212892508.27000001</v>
      </c>
      <c r="F58" s="15"/>
      <c r="G58" s="195"/>
      <c r="H58" s="183"/>
      <c r="I58" s="183"/>
      <c r="J58" s="183"/>
      <c r="K58" s="183"/>
      <c r="L58" s="197"/>
      <c r="M58" s="183"/>
      <c r="N58" s="183"/>
      <c r="O58" s="168"/>
    </row>
    <row r="59" spans="1:15" ht="18" thickTop="1" thickBot="1" x14ac:dyDescent="0.35">
      <c r="A59" s="260" t="str">
        <f>CONCATENATE("State English Learner Funding (After Red) | FY ",D5)</f>
        <v>State English Learner Funding (After Red) | FY 2024</v>
      </c>
      <c r="B59" s="40"/>
      <c r="D59" s="13" t="s">
        <v>1449</v>
      </c>
      <c r="E59" s="519">
        <f>'3.1b Allocation Adj. YR1 '!I30</f>
        <v>212534769</v>
      </c>
      <c r="F59" s="15"/>
    </row>
    <row r="60" spans="1:15" ht="18" thickTop="1" thickBot="1" x14ac:dyDescent="0.35">
      <c r="A60" s="260"/>
      <c r="B60" s="40"/>
      <c r="D60" s="13"/>
      <c r="E60" s="12"/>
      <c r="F60" s="15"/>
      <c r="I60" s="17"/>
    </row>
    <row r="61" spans="1:15" ht="18" thickTop="1" thickBot="1" x14ac:dyDescent="0.35">
      <c r="A61" s="260" t="str">
        <f>CONCATENATE("State At-Risk Student Funding  (Prior to Red) | FY ",D5)</f>
        <v>State At-Risk Student Funding  (Prior to Red) | FY 2024</v>
      </c>
      <c r="B61" s="40"/>
      <c r="D61" s="13" t="s">
        <v>1448</v>
      </c>
      <c r="E61" s="519">
        <f>'3.1a Initial Allocations YR1'!H31</f>
        <v>199000598.34999999</v>
      </c>
      <c r="F61" s="15"/>
      <c r="I61" s="1332"/>
    </row>
    <row r="62" spans="1:15" s="4" customFormat="1" ht="18" thickTop="1" thickBot="1" x14ac:dyDescent="0.35">
      <c r="A62" s="260" t="str">
        <f>CONCATENATE("State At-Risk Student Funding (After Red) | FY ",D5)</f>
        <v>State At-Risk Student Funding (After Red) | FY 2024</v>
      </c>
      <c r="B62" s="40"/>
      <c r="C62" s="10"/>
      <c r="D62" s="13" t="s">
        <v>1449</v>
      </c>
      <c r="E62" s="519">
        <f>'3.1b Allocation Adj. YR1 '!J30</f>
        <v>198666203</v>
      </c>
      <c r="F62" s="15"/>
      <c r="H62" s="1306"/>
    </row>
    <row r="63" spans="1:15" s="4" customFormat="1" ht="18" thickTop="1" thickBot="1" x14ac:dyDescent="0.35">
      <c r="A63" s="260"/>
      <c r="B63" s="40"/>
      <c r="C63" s="10"/>
      <c r="D63" s="13"/>
      <c r="E63" s="12"/>
      <c r="F63" s="15"/>
      <c r="H63" s="1307"/>
      <c r="I63" s="1199"/>
    </row>
    <row r="64" spans="1:15" ht="18" thickTop="1" thickBot="1" x14ac:dyDescent="0.35">
      <c r="A64" s="260" t="str">
        <f>CONCATENATE("State Gifted and Talented Funding (Prior to Red) | FY ",D5)</f>
        <v>State Gifted and Talented Funding (Prior to Red) | FY 2024</v>
      </c>
      <c r="B64" s="40"/>
      <c r="D64" s="13" t="s">
        <v>1448</v>
      </c>
      <c r="E64" s="519">
        <f>'3.1a Initial Allocations YR1'!I31</f>
        <v>8006381.8800000008</v>
      </c>
      <c r="F64" s="15"/>
      <c r="G64" s="4"/>
      <c r="H64" s="1307"/>
      <c r="I64" s="1199"/>
      <c r="L64" s="17"/>
    </row>
    <row r="65" spans="1:12" ht="18" thickTop="1" thickBot="1" x14ac:dyDescent="0.35">
      <c r="A65" s="260" t="str">
        <f>CONCATENATE("State Gifted and Talented Funding (After Red) | FY ",D5)</f>
        <v>State Gifted and Talented Funding (After Red) | FY 2024</v>
      </c>
      <c r="B65" s="40"/>
      <c r="D65" s="13" t="s">
        <v>1449</v>
      </c>
      <c r="E65" s="519">
        <f>'3.1b Allocation Adj. YR1 '!K30</f>
        <v>7992928</v>
      </c>
      <c r="F65" s="15"/>
      <c r="G65" s="4"/>
      <c r="H65" s="1308"/>
      <c r="I65" s="1333"/>
      <c r="L65" s="17"/>
    </row>
    <row r="66" spans="1:12" ht="17.25" thickTop="1" x14ac:dyDescent="0.3">
      <c r="B66" s="40"/>
      <c r="F66" s="15"/>
      <c r="H66" s="1330"/>
      <c r="I66" s="406"/>
    </row>
    <row r="67" spans="1:12" x14ac:dyDescent="0.3">
      <c r="B67" s="40"/>
      <c r="F67" s="15"/>
    </row>
    <row r="68" spans="1:12" x14ac:dyDescent="0.3">
      <c r="B68" s="40"/>
    </row>
    <row r="70" spans="1:12" x14ac:dyDescent="0.3">
      <c r="A70" s="4" t="s">
        <v>950</v>
      </c>
    </row>
    <row r="71" spans="1:12" x14ac:dyDescent="0.3">
      <c r="A71" s="4" t="s">
        <v>1713</v>
      </c>
      <c r="B71" s="5"/>
      <c r="C71" s="4"/>
      <c r="D71" s="4"/>
      <c r="E71" s="4"/>
      <c r="F71" s="4"/>
    </row>
    <row r="72" spans="1:12" x14ac:dyDescent="0.3">
      <c r="A72" s="4" t="s">
        <v>1327</v>
      </c>
      <c r="B72" s="5"/>
      <c r="C72" s="4"/>
      <c r="D72" s="4"/>
      <c r="E72" s="4"/>
      <c r="F72" s="4"/>
    </row>
    <row r="73" spans="1:12" x14ac:dyDescent="0.3">
      <c r="A73" s="4" t="s">
        <v>1852</v>
      </c>
      <c r="B73" s="40"/>
    </row>
    <row r="74" spans="1:12" x14ac:dyDescent="0.3">
      <c r="A74" s="4" t="s">
        <v>1691</v>
      </c>
    </row>
    <row r="75" spans="1:12" x14ac:dyDescent="0.3">
      <c r="A75" s="4" t="s">
        <v>1715</v>
      </c>
    </row>
    <row r="76" spans="1:12" x14ac:dyDescent="0.3">
      <c r="A76" s="4" t="s">
        <v>1340</v>
      </c>
      <c r="F76" s="206"/>
    </row>
    <row r="116" spans="4:4" x14ac:dyDescent="0.3">
      <c r="D116" s="10" t="s">
        <v>738</v>
      </c>
    </row>
    <row r="117" spans="4:4" x14ac:dyDescent="0.3">
      <c r="D117" s="10" t="s">
        <v>746</v>
      </c>
    </row>
  </sheetData>
  <sheetProtection algorithmName="SHA-512" hashValue="wls5QXABJ3SFQZQgKMgt5v0y9JAcuJoCYyidaYmsoPwmO42EaGPvvvSdBDx9sHa083FeBZbVeWZiTF7TS567tw==" saltValue="8y3KsjV1qo9A1T5n0zpcJw==" spinCount="100000" sheet="1" objects="1" scenarios="1"/>
  <customSheetViews>
    <customSheetView guid="{92EB2B16-3546-4CC6-AF3A-0019867B62A7}" scale="70">
      <selection activeCell="B48" sqref="B48"/>
      <pageMargins left="0.7" right="0.7" top="0.75" bottom="0.75" header="0.3" footer="0.3"/>
    </customSheetView>
    <customSheetView guid="{9F71BA88-74DF-4B45-811C-93ABE8314534}" scale="70">
      <selection activeCell="E17" sqref="E17"/>
      <pageMargins left="0.7" right="0.7" top="0.75" bottom="0.75" header="0.3" footer="0.3"/>
    </customSheetView>
    <customSheetView guid="{CA1C9262-C0F9-4BBB-95C8-A52990BD1149}" scale="70">
      <selection activeCell="E17" sqref="E17"/>
      <pageMargins left="0.7" right="0.7" top="0.75" bottom="0.75" header="0.3" footer="0.3"/>
    </customSheetView>
  </customSheetViews>
  <mergeCells count="1">
    <mergeCell ref="G3:O3"/>
  </mergeCells>
  <phoneticPr fontId="79" type="noConversion"/>
  <conditionalFormatting sqref="K9 E47">
    <cfRule type="containsText" dxfId="35" priority="5" operator="containsText" text="Model is Out of Balance">
      <formula>NOT(ISERROR(SEARCH("Model is Out of Balance",E9)))</formula>
    </cfRule>
    <cfRule type="cellIs" priority="6" operator="notEqual">
      <formula>"Model Is Balanced"</formula>
    </cfRule>
    <cfRule type="cellIs" dxfId="34" priority="7" operator="equal">
      <formula>"Model Is Balanced"</formula>
    </cfRule>
  </conditionalFormatting>
  <conditionalFormatting sqref="K10">
    <cfRule type="cellIs" dxfId="33" priority="1" operator="equal">
      <formula>"Hold Harmless, Out of Balance"</formula>
    </cfRule>
  </conditionalFormatting>
  <hyperlinks>
    <hyperlink ref="A41" location="'2.4 Weighted Funding, Initial'!A1" display="State only English Learner Funding" xr:uid="{09603DD6-64D7-4F23-953C-B33BD0EBE88B}"/>
  </hyperlinks>
  <pageMargins left="0.7" right="0.7" top="0.75" bottom="0.75" header="0.3" footer="0.3"/>
  <pageSetup scale="61"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2DF16-3B9F-4003-AA11-988B14D2D3BE}">
  <sheetPr>
    <tabColor rgb="FFFF0000"/>
  </sheetPr>
  <dimension ref="A1:AG737"/>
  <sheetViews>
    <sheetView zoomScale="85" zoomScaleNormal="85" workbookViewId="0"/>
  </sheetViews>
  <sheetFormatPr defaultColWidth="8.85546875" defaultRowHeight="16.5" x14ac:dyDescent="0.3"/>
  <cols>
    <col min="1" max="1" width="10.5703125" style="10" customWidth="1"/>
    <col min="2" max="2" width="8.7109375" style="40" customWidth="1"/>
    <col min="3" max="3" width="7.42578125" style="40" customWidth="1"/>
    <col min="4" max="4" width="20.85546875" style="40" customWidth="1"/>
    <col min="5" max="5" width="43.42578125" style="10" bestFit="1" customWidth="1"/>
    <col min="6" max="6" width="49.42578125" style="10" hidden="1" customWidth="1"/>
    <col min="7" max="7" width="20.85546875" style="1088" bestFit="1" customWidth="1"/>
    <col min="8" max="8" width="20.7109375" style="10" customWidth="1"/>
    <col min="9" max="9" width="19.140625" style="41" bestFit="1" customWidth="1"/>
    <col min="10" max="10" width="19.5703125" style="10" bestFit="1" customWidth="1"/>
    <col min="11" max="11" width="16.7109375" style="41" customWidth="1"/>
    <col min="12" max="12" width="11" style="10" bestFit="1" customWidth="1"/>
    <col min="13" max="13" width="14.28515625" style="10" customWidth="1"/>
    <col min="14" max="14" width="12.5703125" style="10" bestFit="1" customWidth="1"/>
    <col min="15" max="15" width="14.7109375" style="10" customWidth="1"/>
    <col min="16" max="24" width="8.85546875" style="10" customWidth="1"/>
    <col min="25" max="25" width="13.28515625" style="10" customWidth="1"/>
    <col min="26" max="26" width="38.28515625" style="10" bestFit="1" customWidth="1"/>
    <col min="27" max="27" width="8.5703125" style="10" customWidth="1"/>
    <col min="28" max="28" width="12.85546875" style="10" customWidth="1"/>
    <col min="29" max="29" width="8.5703125" style="10" bestFit="1" customWidth="1"/>
    <col min="30" max="30" width="62.85546875" style="10" bestFit="1" customWidth="1"/>
    <col min="31" max="16384" width="8.85546875" style="10"/>
  </cols>
  <sheetData>
    <row r="1" spans="1:29" s="4" customFormat="1" x14ac:dyDescent="0.3">
      <c r="A1" s="4" t="s">
        <v>602</v>
      </c>
      <c r="D1" s="5"/>
      <c r="G1" s="1106" t="s">
        <v>1352</v>
      </c>
      <c r="H1" s="273"/>
      <c r="I1" s="90"/>
      <c r="K1" s="90"/>
    </row>
    <row r="2" spans="1:29" x14ac:dyDescent="0.3">
      <c r="A2" s="10" t="str">
        <f>CONCATENATE("Pupil Center Funding Plan | FY",'1.1 Assumption Control YR1'!D5)</f>
        <v>Pupil Center Funding Plan | FY2024</v>
      </c>
      <c r="B2" s="10"/>
      <c r="C2" s="10"/>
      <c r="E2" s="136">
        <f>E4-E3</f>
        <v>0.77362890691165376</v>
      </c>
      <c r="G2" s="1106" t="s">
        <v>951</v>
      </c>
      <c r="H2" s="1275" t="s">
        <v>1350</v>
      </c>
    </row>
    <row r="3" spans="1:29" x14ac:dyDescent="0.3">
      <c r="A3" s="10" t="s">
        <v>1269</v>
      </c>
      <c r="B3" s="10"/>
      <c r="C3" s="10"/>
      <c r="E3" s="86">
        <f>G12</f>
        <v>5165.4763710930883</v>
      </c>
      <c r="G3" s="1107" t="s">
        <v>951</v>
      </c>
      <c r="H3" s="1495" t="s">
        <v>1418</v>
      </c>
    </row>
    <row r="4" spans="1:29" customFormat="1" x14ac:dyDescent="0.3">
      <c r="E4" s="4">
        <v>5166.25</v>
      </c>
      <c r="G4" s="216" t="s">
        <v>951</v>
      </c>
      <c r="H4" s="1495" t="s">
        <v>1419</v>
      </c>
    </row>
    <row r="5" spans="1:29" s="3" customFormat="1" ht="15" x14ac:dyDescent="0.25">
      <c r="E5" s="3">
        <f>(E4-E3)/E3</f>
        <v>1.4976913092488756E-4</v>
      </c>
      <c r="G5" s="216" t="s">
        <v>951</v>
      </c>
      <c r="H5" s="1496" t="s">
        <v>1349</v>
      </c>
    </row>
    <row r="6" spans="1:29" x14ac:dyDescent="0.3">
      <c r="A6" s="4"/>
      <c r="B6" s="30"/>
      <c r="C6" s="5"/>
      <c r="D6" s="5"/>
      <c r="F6" s="4"/>
      <c r="G6" s="1108" t="s">
        <v>967</v>
      </c>
      <c r="H6" s="264">
        <f>'1.1 Assumption Control YR1'!D41</f>
        <v>0.45</v>
      </c>
      <c r="I6" s="265">
        <f>'1.1 Assumption Control YR1'!D42</f>
        <v>0.35</v>
      </c>
      <c r="J6" s="266">
        <f>'1.1 Assumption Control YR1'!D43</f>
        <v>0.12</v>
      </c>
      <c r="K6" s="90"/>
      <c r="L6" s="4"/>
      <c r="AA6" s="66"/>
      <c r="AB6" s="66"/>
      <c r="AC6" s="66"/>
    </row>
    <row r="7" spans="1:29" x14ac:dyDescent="0.3">
      <c r="A7" s="4" t="s">
        <v>923</v>
      </c>
      <c r="B7" s="30"/>
      <c r="C7" s="5"/>
      <c r="D7" s="5"/>
      <c r="F7" s="4"/>
      <c r="G7" s="1108" t="s">
        <v>968</v>
      </c>
      <c r="H7" s="264">
        <f>'1.1 Assumption Control YR1'!D41</f>
        <v>0.45</v>
      </c>
      <c r="I7" s="265">
        <f>'1.1 Assumption Control YR1'!D42</f>
        <v>0.35</v>
      </c>
      <c r="J7" s="266">
        <f>'1.1 Assumption Control YR1'!D43</f>
        <v>0.12</v>
      </c>
      <c r="K7" s="90"/>
      <c r="L7" s="4"/>
      <c r="M7" s="4"/>
      <c r="N7" s="4"/>
      <c r="O7" s="4"/>
      <c r="P7" s="4"/>
      <c r="Q7" s="4"/>
      <c r="R7" s="4"/>
      <c r="S7" s="4"/>
      <c r="T7" s="4"/>
      <c r="U7" s="4"/>
      <c r="V7" s="4"/>
      <c r="W7" s="4"/>
      <c r="X7" s="4"/>
      <c r="AA7" s="66"/>
      <c r="AB7" s="66"/>
      <c r="AC7" s="66"/>
    </row>
    <row r="8" spans="1:29" ht="96" customHeight="1" thickBot="1" x14ac:dyDescent="0.35">
      <c r="A8" s="856" t="s">
        <v>601</v>
      </c>
      <c r="B8" s="857" t="s">
        <v>717</v>
      </c>
      <c r="C8" s="857" t="s">
        <v>718</v>
      </c>
      <c r="D8" s="857" t="s">
        <v>756</v>
      </c>
      <c r="E8" s="856" t="s">
        <v>707</v>
      </c>
      <c r="F8" s="856" t="s">
        <v>1355</v>
      </c>
      <c r="G8" s="283" t="s">
        <v>969</v>
      </c>
      <c r="H8" s="72" t="s">
        <v>1351</v>
      </c>
      <c r="I8" s="283" t="s">
        <v>1707</v>
      </c>
      <c r="J8" s="283" t="s">
        <v>1708</v>
      </c>
      <c r="K8" s="283" t="s">
        <v>1369</v>
      </c>
      <c r="L8" s="4"/>
      <c r="M8" s="407" t="s">
        <v>861</v>
      </c>
      <c r="N8" s="408" t="s">
        <v>862</v>
      </c>
      <c r="O8" s="991" t="s">
        <v>863</v>
      </c>
      <c r="P8" s="4"/>
      <c r="Q8" s="4"/>
      <c r="R8" s="4"/>
      <c r="S8" s="4"/>
      <c r="T8" s="4"/>
      <c r="U8" s="4"/>
      <c r="V8" s="4"/>
      <c r="W8" s="4"/>
      <c r="X8" s="4"/>
      <c r="Y8" s="4" t="s">
        <v>1243</v>
      </c>
      <c r="Z8" s="4" t="s">
        <v>1245</v>
      </c>
    </row>
    <row r="9" spans="1:29" ht="18" thickTop="1" thickBot="1" x14ac:dyDescent="0.35">
      <c r="A9" s="457" t="s">
        <v>13</v>
      </c>
      <c r="B9" s="458">
        <v>13</v>
      </c>
      <c r="C9" s="458">
        <v>13</v>
      </c>
      <c r="D9" s="458"/>
      <c r="E9" s="457" t="s">
        <v>13</v>
      </c>
      <c r="F9" s="457"/>
      <c r="G9" s="220">
        <v>7200.2984639728293</v>
      </c>
      <c r="H9" s="219">
        <v>719</v>
      </c>
      <c r="I9" s="220">
        <v>289</v>
      </c>
      <c r="J9" s="219">
        <v>385</v>
      </c>
      <c r="K9" s="220">
        <f>SUM(K102:K112)</f>
        <v>0</v>
      </c>
      <c r="L9" s="1236"/>
      <c r="M9" s="981">
        <f>H9/G9</f>
        <v>9.9856971707154102E-2</v>
      </c>
      <c r="N9" s="461">
        <f>I9/G9</f>
        <v>4.013722506727057E-2</v>
      </c>
      <c r="O9" s="982">
        <f>J9/G9</f>
        <v>5.3470005712453868E-2</v>
      </c>
      <c r="Y9" s="430" t="s">
        <v>13</v>
      </c>
      <c r="Z9" s="497" t="s">
        <v>13</v>
      </c>
      <c r="AA9" s="67"/>
      <c r="AB9" s="67"/>
      <c r="AC9" s="68"/>
    </row>
    <row r="10" spans="1:29" ht="18" thickTop="1" thickBot="1" x14ac:dyDescent="0.35">
      <c r="A10" s="457" t="s">
        <v>1</v>
      </c>
      <c r="B10" s="458">
        <v>1</v>
      </c>
      <c r="C10" s="458">
        <v>1</v>
      </c>
      <c r="D10" s="458"/>
      <c r="E10" s="457" t="s">
        <v>1</v>
      </c>
      <c r="F10" s="457"/>
      <c r="G10" s="220">
        <v>3191.1266236748447</v>
      </c>
      <c r="H10" s="219">
        <v>111</v>
      </c>
      <c r="I10" s="220">
        <v>177</v>
      </c>
      <c r="J10" s="219">
        <v>0</v>
      </c>
      <c r="K10" s="220">
        <f>SUM(K113:K118)</f>
        <v>0</v>
      </c>
      <c r="L10" s="1236"/>
      <c r="M10" s="981">
        <f t="shared" ref="M10:M27" si="0">H10/G10</f>
        <v>3.4783953471634529E-2</v>
      </c>
      <c r="N10" s="461">
        <f t="shared" ref="N10:N27" si="1">I10/G10</f>
        <v>5.5466304184498307E-2</v>
      </c>
      <c r="O10" s="982">
        <f t="shared" ref="O10:O21" si="2">J10/G10</f>
        <v>0</v>
      </c>
      <c r="Y10" s="430" t="s">
        <v>1</v>
      </c>
      <c r="Z10" s="497" t="s">
        <v>757</v>
      </c>
      <c r="AA10" s="67"/>
      <c r="AB10" s="67"/>
      <c r="AC10" s="68"/>
    </row>
    <row r="11" spans="1:29" ht="18" thickTop="1" thickBot="1" x14ac:dyDescent="0.35">
      <c r="A11" s="457" t="s">
        <v>2</v>
      </c>
      <c r="B11" s="458">
        <v>2</v>
      </c>
      <c r="C11" s="458">
        <v>2</v>
      </c>
      <c r="D11" s="458"/>
      <c r="E11" s="457" t="s">
        <v>2</v>
      </c>
      <c r="F11" s="457"/>
      <c r="G11" s="220">
        <f>294042.070354314-SUM(G49,G81,G87)+87.7402162741354</f>
        <v>293209.81057058816</v>
      </c>
      <c r="H11" s="219">
        <f>37616+16</f>
        <v>37632</v>
      </c>
      <c r="I11" s="220">
        <f>52655+19</f>
        <v>52674</v>
      </c>
      <c r="J11" s="219">
        <v>4545</v>
      </c>
      <c r="K11" s="220">
        <f>SUM(K119:K481)</f>
        <v>0</v>
      </c>
      <c r="L11" s="1236"/>
      <c r="M11" s="981">
        <f t="shared" si="0"/>
        <v>0.12834495519357925</v>
      </c>
      <c r="N11" s="461">
        <f t="shared" si="1"/>
        <v>0.17964610357851279</v>
      </c>
      <c r="O11" s="982">
        <f t="shared" si="2"/>
        <v>1.5500845592974537E-2</v>
      </c>
      <c r="Y11" s="683" t="s">
        <v>2</v>
      </c>
      <c r="Z11" s="671" t="s">
        <v>759</v>
      </c>
      <c r="AA11" s="67"/>
      <c r="AB11" s="67"/>
      <c r="AC11" s="68"/>
    </row>
    <row r="12" spans="1:29" ht="18" thickTop="1" thickBot="1" x14ac:dyDescent="0.35">
      <c r="A12" s="457" t="s">
        <v>3</v>
      </c>
      <c r="B12" s="458">
        <v>3</v>
      </c>
      <c r="C12" s="458">
        <v>3</v>
      </c>
      <c r="D12" s="458"/>
      <c r="E12" s="457" t="s">
        <v>3</v>
      </c>
      <c r="F12" s="457"/>
      <c r="G12" s="220">
        <v>5165.4763710930883</v>
      </c>
      <c r="H12" s="219">
        <v>169</v>
      </c>
      <c r="I12" s="220">
        <v>171</v>
      </c>
      <c r="J12" s="219">
        <v>46</v>
      </c>
      <c r="K12" s="220">
        <f>SUM(K482:K496)</f>
        <v>57.434180919365303</v>
      </c>
      <c r="L12" s="1236"/>
      <c r="M12" s="981">
        <f t="shared" si="0"/>
        <v>3.2717214804379641E-2</v>
      </c>
      <c r="N12" s="461">
        <f t="shared" si="1"/>
        <v>3.3104400778395965E-2</v>
      </c>
      <c r="O12" s="982">
        <f t="shared" si="2"/>
        <v>8.9052774023755232E-3</v>
      </c>
      <c r="Y12" s="132"/>
      <c r="Z12" s="143" t="s">
        <v>760</v>
      </c>
      <c r="AA12" s="67"/>
      <c r="AB12" s="67"/>
      <c r="AC12" s="68"/>
    </row>
    <row r="13" spans="1:29" ht="18" thickTop="1" thickBot="1" x14ac:dyDescent="0.35">
      <c r="A13" s="457" t="s">
        <v>4</v>
      </c>
      <c r="B13" s="458">
        <v>4</v>
      </c>
      <c r="C13" s="458">
        <v>4</v>
      </c>
      <c r="D13" s="458"/>
      <c r="E13" s="457" t="s">
        <v>4</v>
      </c>
      <c r="F13" s="457"/>
      <c r="G13" s="220">
        <v>9808.5957553950393</v>
      </c>
      <c r="H13" s="219">
        <v>677</v>
      </c>
      <c r="I13" s="220">
        <v>631</v>
      </c>
      <c r="J13" s="219">
        <v>97</v>
      </c>
      <c r="K13" s="220">
        <f>SUM(K497:K529)</f>
        <v>113.67943762175</v>
      </c>
      <c r="L13" s="1236"/>
      <c r="M13" s="981">
        <f t="shared" si="0"/>
        <v>6.9021093017074181E-2</v>
      </c>
      <c r="N13" s="461">
        <f t="shared" si="1"/>
        <v>6.4331328942058799E-2</v>
      </c>
      <c r="O13" s="982">
        <f t="shared" si="2"/>
        <v>9.8892851147063445E-3</v>
      </c>
      <c r="Y13" s="132"/>
      <c r="Z13" s="143" t="s">
        <v>761</v>
      </c>
      <c r="AA13" s="67"/>
      <c r="AB13" s="67"/>
      <c r="AC13" s="68"/>
    </row>
    <row r="14" spans="1:29" ht="18" thickTop="1" thickBot="1" x14ac:dyDescent="0.35">
      <c r="A14" s="457" t="s">
        <v>5</v>
      </c>
      <c r="B14" s="458">
        <v>5</v>
      </c>
      <c r="C14" s="458">
        <v>5</v>
      </c>
      <c r="D14" s="458"/>
      <c r="E14" s="457" t="s">
        <v>5</v>
      </c>
      <c r="F14" s="457"/>
      <c r="G14" s="220">
        <v>77.315222103844732</v>
      </c>
      <c r="H14" s="219">
        <v>7</v>
      </c>
      <c r="I14" s="220">
        <v>8</v>
      </c>
      <c r="J14" s="219">
        <v>0</v>
      </c>
      <c r="K14" s="220">
        <f>SUM(K530:K533)</f>
        <v>15.2637070672587</v>
      </c>
      <c r="L14" s="1236"/>
      <c r="M14" s="981">
        <f t="shared" si="0"/>
        <v>9.053844520549989E-2</v>
      </c>
      <c r="N14" s="461">
        <f t="shared" si="1"/>
        <v>0.10347250880628558</v>
      </c>
      <c r="O14" s="982">
        <f t="shared" si="2"/>
        <v>0</v>
      </c>
      <c r="Y14" s="132"/>
      <c r="Z14" s="143" t="s">
        <v>762</v>
      </c>
      <c r="AA14" s="67"/>
      <c r="AB14" s="67"/>
      <c r="AC14" s="68"/>
    </row>
    <row r="15" spans="1:29" ht="18" thickTop="1" thickBot="1" x14ac:dyDescent="0.35">
      <c r="A15" s="457" t="s">
        <v>6</v>
      </c>
      <c r="B15" s="458">
        <v>6</v>
      </c>
      <c r="C15" s="458">
        <v>6</v>
      </c>
      <c r="D15" s="458"/>
      <c r="E15" s="457" t="s">
        <v>6</v>
      </c>
      <c r="F15" s="457"/>
      <c r="G15" s="220">
        <v>323.70253352744805</v>
      </c>
      <c r="H15" s="219">
        <v>3</v>
      </c>
      <c r="I15" s="220">
        <v>4</v>
      </c>
      <c r="J15" s="219">
        <v>0</v>
      </c>
      <c r="K15" s="220">
        <f>SUM(K534:K536)</f>
        <v>0</v>
      </c>
      <c r="L15" s="1236"/>
      <c r="M15" s="981">
        <f t="shared" si="0"/>
        <v>9.2677680563955731E-3</v>
      </c>
      <c r="N15" s="461">
        <f t="shared" si="1"/>
        <v>1.2357024075194097E-2</v>
      </c>
      <c r="O15" s="982">
        <f t="shared" si="2"/>
        <v>0</v>
      </c>
      <c r="Y15" s="132"/>
      <c r="Z15" s="143" t="s">
        <v>1244</v>
      </c>
      <c r="AA15" s="67"/>
      <c r="AB15" s="67"/>
      <c r="AC15" s="68"/>
    </row>
    <row r="16" spans="1:29" ht="18" thickTop="1" thickBot="1" x14ac:dyDescent="0.35">
      <c r="A16" s="457" t="s">
        <v>7</v>
      </c>
      <c r="B16" s="458">
        <v>7</v>
      </c>
      <c r="C16" s="458">
        <v>7</v>
      </c>
      <c r="D16" s="458"/>
      <c r="E16" s="457" t="s">
        <v>7</v>
      </c>
      <c r="F16" s="457"/>
      <c r="G16" s="220">
        <v>3182.6225722447102</v>
      </c>
      <c r="H16" s="219">
        <v>203</v>
      </c>
      <c r="I16" s="220">
        <v>81</v>
      </c>
      <c r="J16" s="219">
        <v>0</v>
      </c>
      <c r="K16" s="220">
        <f>SUM(K537:K549)</f>
        <v>0</v>
      </c>
      <c r="L16" s="1236"/>
      <c r="M16" s="981">
        <f t="shared" si="0"/>
        <v>6.378387489938013E-2</v>
      </c>
      <c r="N16" s="461">
        <f t="shared" si="1"/>
        <v>2.545070870369355E-2</v>
      </c>
      <c r="O16" s="982">
        <f t="shared" si="2"/>
        <v>0</v>
      </c>
      <c r="Y16" s="132"/>
      <c r="Z16" s="143" t="s">
        <v>763</v>
      </c>
      <c r="AA16" s="67"/>
      <c r="AB16" s="67"/>
      <c r="AC16" s="68"/>
    </row>
    <row r="17" spans="1:30" ht="18" thickTop="1" thickBot="1" x14ac:dyDescent="0.35">
      <c r="A17" s="457" t="s">
        <v>8</v>
      </c>
      <c r="B17" s="458">
        <v>8</v>
      </c>
      <c r="C17" s="458">
        <v>8</v>
      </c>
      <c r="D17" s="458"/>
      <c r="E17" s="457" t="s">
        <v>8</v>
      </c>
      <c r="F17" s="457"/>
      <c r="G17" s="220">
        <v>1002.8726085550823</v>
      </c>
      <c r="H17" s="219">
        <v>33</v>
      </c>
      <c r="I17" s="220">
        <v>98</v>
      </c>
      <c r="J17" s="219">
        <v>0</v>
      </c>
      <c r="K17" s="220">
        <f>SUM(K550:K553)</f>
        <v>0</v>
      </c>
      <c r="L17" s="1236"/>
      <c r="M17" s="981">
        <f t="shared" si="0"/>
        <v>3.2905475449714103E-2</v>
      </c>
      <c r="N17" s="461">
        <f t="shared" si="1"/>
        <v>9.7719290729453998E-2</v>
      </c>
      <c r="O17" s="982">
        <f t="shared" si="2"/>
        <v>0</v>
      </c>
      <c r="Y17" s="132"/>
      <c r="Z17" s="143" t="s">
        <v>764</v>
      </c>
      <c r="AA17" s="67"/>
      <c r="AB17" s="67"/>
      <c r="AC17" s="68"/>
    </row>
    <row r="18" spans="1:30" ht="18" thickTop="1" thickBot="1" x14ac:dyDescent="0.35">
      <c r="A18" s="457" t="s">
        <v>9</v>
      </c>
      <c r="B18" s="458">
        <v>9</v>
      </c>
      <c r="C18" s="458">
        <v>9</v>
      </c>
      <c r="D18" s="458"/>
      <c r="E18" s="457" t="s">
        <v>9</v>
      </c>
      <c r="F18" s="457"/>
      <c r="G18" s="220">
        <v>883.01945001270019</v>
      </c>
      <c r="H18" s="219">
        <v>6</v>
      </c>
      <c r="I18" s="220">
        <v>43</v>
      </c>
      <c r="J18" s="219">
        <v>0</v>
      </c>
      <c r="K18" s="220">
        <f>SUM(K554:K562)</f>
        <v>0</v>
      </c>
      <c r="L18" s="1236"/>
      <c r="M18" s="981">
        <f t="shared" si="0"/>
        <v>6.7948673156788377E-3</v>
      </c>
      <c r="N18" s="461">
        <f t="shared" si="1"/>
        <v>4.8696549095698337E-2</v>
      </c>
      <c r="O18" s="982">
        <f t="shared" si="2"/>
        <v>0</v>
      </c>
      <c r="Y18" s="132"/>
      <c r="Z18" s="143" t="s">
        <v>765</v>
      </c>
      <c r="AA18" s="67"/>
      <c r="AB18" s="67"/>
      <c r="AC18" s="68"/>
    </row>
    <row r="19" spans="1:30" ht="18" thickTop="1" thickBot="1" x14ac:dyDescent="0.35">
      <c r="A19" s="457" t="s">
        <v>10</v>
      </c>
      <c r="B19" s="458">
        <v>10</v>
      </c>
      <c r="C19" s="458">
        <v>10</v>
      </c>
      <c r="D19" s="458"/>
      <c r="E19" s="457" t="s">
        <v>10</v>
      </c>
      <c r="F19" s="457"/>
      <c r="G19" s="220">
        <v>9036.0334518079708</v>
      </c>
      <c r="H19" s="219">
        <v>485</v>
      </c>
      <c r="I19" s="220">
        <v>526</v>
      </c>
      <c r="J19" s="219">
        <v>0</v>
      </c>
      <c r="K19" s="220">
        <f>SUM(K563:K581)</f>
        <v>0</v>
      </c>
      <c r="L19" s="1236"/>
      <c r="M19" s="981">
        <f t="shared" si="0"/>
        <v>5.3673993416099956E-2</v>
      </c>
      <c r="N19" s="461">
        <f t="shared" si="1"/>
        <v>5.8211382550244488E-2</v>
      </c>
      <c r="O19" s="982">
        <f t="shared" si="2"/>
        <v>0</v>
      </c>
      <c r="Y19" s="132"/>
      <c r="Z19" s="143" t="s">
        <v>766</v>
      </c>
      <c r="AA19" s="67"/>
      <c r="AB19" s="67"/>
      <c r="AC19" s="68"/>
    </row>
    <row r="20" spans="1:30" ht="18" thickTop="1" thickBot="1" x14ac:dyDescent="0.35">
      <c r="A20" s="457" t="s">
        <v>11</v>
      </c>
      <c r="B20" s="458">
        <v>11</v>
      </c>
      <c r="C20" s="458">
        <v>11</v>
      </c>
      <c r="D20" s="458"/>
      <c r="E20" s="457" t="s">
        <v>11</v>
      </c>
      <c r="F20" s="457"/>
      <c r="G20" s="220">
        <v>567.43327210269706</v>
      </c>
      <c r="H20" s="219">
        <v>34</v>
      </c>
      <c r="I20" s="220">
        <v>52</v>
      </c>
      <c r="J20" s="219">
        <v>0</v>
      </c>
      <c r="K20" s="220">
        <f>SUM(K582:K585)</f>
        <v>0</v>
      </c>
      <c r="L20" s="1236"/>
      <c r="M20" s="981">
        <f t="shared" si="0"/>
        <v>5.9918939673749873E-2</v>
      </c>
      <c r="N20" s="461">
        <f t="shared" si="1"/>
        <v>9.164073126573509E-2</v>
      </c>
      <c r="O20" s="982">
        <f t="shared" si="2"/>
        <v>0</v>
      </c>
      <c r="Y20" s="132"/>
      <c r="Z20" s="143" t="s">
        <v>767</v>
      </c>
      <c r="AA20" s="67"/>
      <c r="AB20" s="67"/>
      <c r="AC20" s="68"/>
    </row>
    <row r="21" spans="1:30" ht="18" thickTop="1" thickBot="1" x14ac:dyDescent="0.35">
      <c r="A21" s="457" t="s">
        <v>12</v>
      </c>
      <c r="B21" s="458">
        <v>12</v>
      </c>
      <c r="C21" s="458">
        <v>12</v>
      </c>
      <c r="D21" s="458"/>
      <c r="E21" s="457" t="s">
        <v>12</v>
      </c>
      <c r="F21" s="457"/>
      <c r="G21" s="220">
        <v>5588.923509690796</v>
      </c>
      <c r="H21" s="219">
        <v>324</v>
      </c>
      <c r="I21" s="220">
        <v>449</v>
      </c>
      <c r="J21" s="219">
        <v>0</v>
      </c>
      <c r="K21" s="220">
        <f>SUM(K586:K611)</f>
        <v>0</v>
      </c>
      <c r="L21" s="1236"/>
      <c r="M21" s="981">
        <f t="shared" si="0"/>
        <v>5.7971807887190981E-2</v>
      </c>
      <c r="N21" s="461">
        <f t="shared" si="1"/>
        <v>8.0337474510335655E-2</v>
      </c>
      <c r="O21" s="982">
        <f t="shared" si="2"/>
        <v>0</v>
      </c>
      <c r="Y21" s="195"/>
      <c r="Z21" s="168" t="s">
        <v>768</v>
      </c>
      <c r="AA21" s="67"/>
      <c r="AB21" s="67"/>
      <c r="AC21" s="68"/>
    </row>
    <row r="22" spans="1:30" ht="18" thickTop="1" thickBot="1" x14ac:dyDescent="0.35">
      <c r="A22" s="457" t="s">
        <v>14</v>
      </c>
      <c r="B22" s="458">
        <v>14</v>
      </c>
      <c r="C22" s="458">
        <v>14</v>
      </c>
      <c r="D22" s="458"/>
      <c r="E22" s="457" t="s">
        <v>14</v>
      </c>
      <c r="F22" s="457"/>
      <c r="G22" s="220">
        <v>660.16040063426465</v>
      </c>
      <c r="H22" s="219">
        <v>23</v>
      </c>
      <c r="I22" s="220">
        <v>39</v>
      </c>
      <c r="J22" s="219">
        <v>0</v>
      </c>
      <c r="K22" s="220">
        <f>SUM(K612:K616)</f>
        <v>0</v>
      </c>
      <c r="L22" s="1236"/>
      <c r="M22" s="981">
        <f t="shared" si="0"/>
        <v>3.484001763495994E-2</v>
      </c>
      <c r="N22" s="461">
        <f t="shared" si="1"/>
        <v>5.9076551641888596E-2</v>
      </c>
      <c r="O22" s="982">
        <f t="shared" ref="O22:O28" si="3">J22/G22</f>
        <v>0</v>
      </c>
      <c r="Y22" s="443" t="s">
        <v>3</v>
      </c>
      <c r="Z22" s="445" t="s">
        <v>769</v>
      </c>
      <c r="AA22" s="67"/>
      <c r="AB22" s="67"/>
      <c r="AC22" s="68"/>
    </row>
    <row r="23" spans="1:30" ht="18" thickTop="1" thickBot="1" x14ac:dyDescent="0.35">
      <c r="A23" s="457" t="s">
        <v>15</v>
      </c>
      <c r="B23" s="458">
        <v>15</v>
      </c>
      <c r="C23" s="458">
        <v>15</v>
      </c>
      <c r="D23" s="458"/>
      <c r="E23" s="457" t="s">
        <v>15</v>
      </c>
      <c r="F23" s="457"/>
      <c r="G23" s="220">
        <v>413.05444673325331</v>
      </c>
      <c r="H23" s="219">
        <v>1</v>
      </c>
      <c r="I23" s="220">
        <v>12</v>
      </c>
      <c r="J23" s="219">
        <v>5</v>
      </c>
      <c r="K23" s="220">
        <f>SUM(K617:K620)</f>
        <v>0</v>
      </c>
      <c r="L23" s="1236"/>
      <c r="M23" s="981">
        <f t="shared" si="0"/>
        <v>2.4209883416308809E-3</v>
      </c>
      <c r="N23" s="461">
        <f t="shared" si="1"/>
        <v>2.9051860099570573E-2</v>
      </c>
      <c r="O23" s="982">
        <f t="shared" si="3"/>
        <v>1.2104941708154404E-2</v>
      </c>
      <c r="Y23" s="132"/>
      <c r="Z23" s="143" t="s">
        <v>812</v>
      </c>
      <c r="AA23" s="67"/>
      <c r="AB23" s="67"/>
      <c r="AC23" s="68"/>
    </row>
    <row r="24" spans="1:30" ht="18" thickTop="1" thickBot="1" x14ac:dyDescent="0.35">
      <c r="A24" s="457" t="s">
        <v>16</v>
      </c>
      <c r="B24" s="458">
        <v>16</v>
      </c>
      <c r="C24" s="458">
        <v>16</v>
      </c>
      <c r="D24" s="458"/>
      <c r="E24" s="457" t="s">
        <v>16</v>
      </c>
      <c r="F24" s="457"/>
      <c r="G24" s="220">
        <v>60547.590413175996</v>
      </c>
      <c r="H24" s="219">
        <v>6726</v>
      </c>
      <c r="I24" s="220">
        <v>4912</v>
      </c>
      <c r="J24" s="219">
        <v>1259</v>
      </c>
      <c r="K24" s="220">
        <f>SUM(K621:K722)</f>
        <v>621.88192569755699</v>
      </c>
      <c r="L24" s="1236"/>
      <c r="M24" s="981">
        <f t="shared" si="0"/>
        <v>0.11108617129272792</v>
      </c>
      <c r="N24" s="461">
        <f t="shared" si="1"/>
        <v>8.1126267230133747E-2</v>
      </c>
      <c r="O24" s="982">
        <f t="shared" si="3"/>
        <v>2.0793560757886478E-2</v>
      </c>
      <c r="Y24" s="195"/>
      <c r="Z24" s="168" t="s">
        <v>770</v>
      </c>
      <c r="AA24" s="67"/>
      <c r="AB24" s="67"/>
      <c r="AC24" s="68"/>
    </row>
    <row r="25" spans="1:30" ht="18" thickTop="1" thickBot="1" x14ac:dyDescent="0.35">
      <c r="A25" s="457" t="s">
        <v>17</v>
      </c>
      <c r="B25" s="458">
        <v>17</v>
      </c>
      <c r="C25" s="458">
        <v>17</v>
      </c>
      <c r="D25" s="458"/>
      <c r="E25" s="457" t="s">
        <v>17</v>
      </c>
      <c r="F25" s="457"/>
      <c r="G25" s="220">
        <v>1259.3902506538202</v>
      </c>
      <c r="H25" s="219">
        <v>15</v>
      </c>
      <c r="I25" s="220">
        <v>109</v>
      </c>
      <c r="J25" s="219">
        <v>0</v>
      </c>
      <c r="K25" s="220">
        <f>SUM(K723:K732)</f>
        <v>0</v>
      </c>
      <c r="L25" s="1236"/>
      <c r="M25" s="981">
        <f t="shared" si="0"/>
        <v>1.1910525742288904E-2</v>
      </c>
      <c r="N25" s="461">
        <f t="shared" si="1"/>
        <v>8.6549820393966026E-2</v>
      </c>
      <c r="O25" s="982">
        <f t="shared" si="3"/>
        <v>0</v>
      </c>
      <c r="Y25" s="683" t="s">
        <v>4</v>
      </c>
      <c r="Z25" s="671" t="s">
        <v>771</v>
      </c>
      <c r="AA25" s="67"/>
      <c r="AB25" s="67"/>
      <c r="AC25" s="68"/>
    </row>
    <row r="26" spans="1:30" ht="20.25" thickTop="1" thickBot="1" x14ac:dyDescent="0.5">
      <c r="A26" s="1536" t="s">
        <v>1257</v>
      </c>
      <c r="B26" s="1537">
        <v>18</v>
      </c>
      <c r="C26" s="1537" t="s">
        <v>719</v>
      </c>
      <c r="D26" s="1537"/>
      <c r="E26" s="1538" t="s">
        <v>1262</v>
      </c>
      <c r="F26" s="457"/>
      <c r="G26" s="1101">
        <f>G92</f>
        <v>69003.49592143159</v>
      </c>
      <c r="H26" s="89">
        <f>H92</f>
        <v>5510</v>
      </c>
      <c r="I26" s="89">
        <f>I92</f>
        <v>3050</v>
      </c>
      <c r="J26" s="89">
        <f>J92</f>
        <v>1097</v>
      </c>
      <c r="K26" s="1101">
        <f>K92</f>
        <v>3491.9764743744136</v>
      </c>
      <c r="L26" s="1236"/>
      <c r="M26" s="981">
        <f t="shared" si="0"/>
        <v>7.9851026769335975E-2</v>
      </c>
      <c r="N26" s="461">
        <f t="shared" si="1"/>
        <v>4.4200659100993599E-2</v>
      </c>
      <c r="O26" s="982">
        <f t="shared" si="3"/>
        <v>1.589774525698032E-2</v>
      </c>
      <c r="Y26" s="132"/>
      <c r="Z26" s="143" t="s">
        <v>4</v>
      </c>
      <c r="AA26" s="69"/>
      <c r="AB26" s="67"/>
      <c r="AC26" s="70"/>
    </row>
    <row r="27" spans="1:30" ht="20.25" thickTop="1" thickBot="1" x14ac:dyDescent="0.5">
      <c r="A27" s="1536" t="s">
        <v>16</v>
      </c>
      <c r="B27" s="1537">
        <v>19</v>
      </c>
      <c r="C27" s="1537" t="s">
        <v>719</v>
      </c>
      <c r="D27" s="1537"/>
      <c r="E27" s="1538" t="s">
        <v>1256</v>
      </c>
      <c r="F27" s="1119"/>
      <c r="G27" s="1102">
        <f>G98</f>
        <v>162.04408445225002</v>
      </c>
      <c r="H27" s="855">
        <f>H98</f>
        <v>0</v>
      </c>
      <c r="I27" s="855">
        <f>I98</f>
        <v>0</v>
      </c>
      <c r="J27" s="855">
        <f>J98</f>
        <v>0</v>
      </c>
      <c r="K27" s="1102">
        <f>K98</f>
        <v>0</v>
      </c>
      <c r="L27" s="1236"/>
      <c r="M27" s="1007">
        <f t="shared" si="0"/>
        <v>0</v>
      </c>
      <c r="N27" s="1190">
        <f t="shared" si="1"/>
        <v>0</v>
      </c>
      <c r="O27" s="1191">
        <f t="shared" si="3"/>
        <v>0</v>
      </c>
      <c r="Y27" s="132"/>
      <c r="Z27" s="143" t="s">
        <v>4</v>
      </c>
      <c r="AA27" s="69"/>
      <c r="AB27" s="67"/>
      <c r="AC27" s="70"/>
    </row>
    <row r="28" spans="1:30" s="4" customFormat="1" ht="18" thickTop="1" thickBot="1" x14ac:dyDescent="0.35">
      <c r="B28" s="5"/>
      <c r="C28" s="5"/>
      <c r="D28" s="5"/>
      <c r="G28" s="1103">
        <f>SUM(G9:G27)</f>
        <v>471282.96592185041</v>
      </c>
      <c r="H28" s="689">
        <f>SUM(H9:H27)</f>
        <v>52678</v>
      </c>
      <c r="I28" s="689">
        <f>SUM(I9:I27)</f>
        <v>63325</v>
      </c>
      <c r="J28" s="689">
        <f>SUM(J9:J27)</f>
        <v>7434</v>
      </c>
      <c r="K28" s="1103">
        <f>SUM(K9:K27)</f>
        <v>4300.2357256803443</v>
      </c>
      <c r="L28" s="1236"/>
      <c r="M28" s="983">
        <f>H28/G28</f>
        <v>0.1117757351933132</v>
      </c>
      <c r="N28" s="109">
        <f>I28/G28</f>
        <v>0.13436725826942097</v>
      </c>
      <c r="O28" s="984">
        <f t="shared" si="3"/>
        <v>1.5773962857874073E-2</v>
      </c>
      <c r="Y28" s="132"/>
      <c r="Z28" s="143" t="s">
        <v>772</v>
      </c>
      <c r="AA28" s="77"/>
      <c r="AB28" s="77"/>
      <c r="AC28" s="77"/>
    </row>
    <row r="29" spans="1:30" s="4" customFormat="1" ht="17.25" thickTop="1" x14ac:dyDescent="0.3">
      <c r="B29" s="5"/>
      <c r="C29" s="5"/>
      <c r="D29" s="5"/>
      <c r="G29" s="1087"/>
      <c r="H29" s="688"/>
      <c r="I29" s="688"/>
      <c r="J29" s="688"/>
      <c r="K29" s="1114"/>
      <c r="L29" s="401"/>
      <c r="M29" s="985" t="s">
        <v>970</v>
      </c>
      <c r="N29" s="288"/>
      <c r="O29" s="986">
        <f>(G28-G27-G26)-G733</f>
        <v>0</v>
      </c>
      <c r="Y29" s="132"/>
      <c r="Z29" s="143" t="s">
        <v>773</v>
      </c>
      <c r="AA29" s="77"/>
      <c r="AB29" s="77"/>
      <c r="AC29" s="77"/>
    </row>
    <row r="30" spans="1:30" s="4" customFormat="1" x14ac:dyDescent="0.3">
      <c r="A30" s="4" t="s">
        <v>924</v>
      </c>
      <c r="B30" s="5"/>
      <c r="C30" s="5"/>
      <c r="D30" s="5"/>
      <c r="G30" s="1088"/>
      <c r="H30" s="10"/>
      <c r="I30" s="41"/>
      <c r="J30" s="10"/>
      <c r="K30" s="1115"/>
      <c r="L30" s="401"/>
      <c r="M30" s="987" t="s">
        <v>971</v>
      </c>
      <c r="N30" s="10"/>
      <c r="O30" s="988">
        <f>G26-G92</f>
        <v>0</v>
      </c>
      <c r="Y30" s="132"/>
      <c r="Z30" s="143" t="s">
        <v>813</v>
      </c>
      <c r="AA30" s="77"/>
      <c r="AB30" s="77"/>
      <c r="AC30" s="77"/>
    </row>
    <row r="31" spans="1:30" s="4" customFormat="1" ht="17.25" thickBot="1" x14ac:dyDescent="0.35">
      <c r="A31" s="5" t="str">
        <f>A8</f>
        <v>County</v>
      </c>
      <c r="B31" s="5" t="str">
        <f>B8</f>
        <v>District #</v>
      </c>
      <c r="C31" s="5" t="str">
        <f>C8</f>
        <v>DOHQ#</v>
      </c>
      <c r="D31" s="5" t="str">
        <f>D8</f>
        <v>Attendance Area</v>
      </c>
      <c r="E31" s="4" t="s">
        <v>1148</v>
      </c>
      <c r="F31" s="4" t="s">
        <v>1198</v>
      </c>
      <c r="G31" s="1089"/>
      <c r="I31" s="90"/>
      <c r="K31" s="90"/>
      <c r="L31" s="401"/>
      <c r="M31" s="989" t="s">
        <v>972</v>
      </c>
      <c r="N31" s="183"/>
      <c r="O31" s="990">
        <f>K26-K92</f>
        <v>0</v>
      </c>
      <c r="Y31" s="132"/>
      <c r="Z31" s="143" t="s">
        <v>774</v>
      </c>
      <c r="AA31" s="77"/>
      <c r="AB31" s="77"/>
      <c r="AC31" s="77"/>
    </row>
    <row r="32" spans="1:30" s="4" customFormat="1" ht="18" thickTop="1" thickBot="1" x14ac:dyDescent="0.35">
      <c r="A32" s="457" t="s">
        <v>2</v>
      </c>
      <c r="B32" s="458">
        <v>2</v>
      </c>
      <c r="C32" s="458">
        <v>2</v>
      </c>
      <c r="D32" s="458" t="s">
        <v>758</v>
      </c>
      <c r="E32" s="457" t="s">
        <v>41</v>
      </c>
      <c r="F32" s="457" t="s">
        <v>1194</v>
      </c>
      <c r="G32" s="220">
        <v>317.31241129082491</v>
      </c>
      <c r="H32" s="219">
        <v>30</v>
      </c>
      <c r="I32" s="220">
        <v>161</v>
      </c>
      <c r="J32" s="219">
        <v>0</v>
      </c>
      <c r="K32" s="220">
        <v>0</v>
      </c>
      <c r="L32" s="1508"/>
      <c r="M32" s="401"/>
      <c r="N32" s="10"/>
      <c r="O32" s="10"/>
      <c r="P32" s="10"/>
      <c r="Z32" s="132"/>
      <c r="AA32" s="143" t="s">
        <v>775</v>
      </c>
      <c r="AB32" s="77"/>
      <c r="AC32" s="77"/>
      <c r="AD32" s="77"/>
    </row>
    <row r="33" spans="1:31" s="4" customFormat="1" ht="18" thickTop="1" thickBot="1" x14ac:dyDescent="0.35">
      <c r="A33" s="457" t="s">
        <v>16</v>
      </c>
      <c r="B33" s="458">
        <v>16</v>
      </c>
      <c r="C33" s="458">
        <v>16</v>
      </c>
      <c r="D33" s="458" t="s">
        <v>1229</v>
      </c>
      <c r="E33" s="457" t="s">
        <v>42</v>
      </c>
      <c r="F33" s="457" t="s">
        <v>1195</v>
      </c>
      <c r="G33" s="220">
        <v>233.16666714265924</v>
      </c>
      <c r="H33" s="219">
        <v>22</v>
      </c>
      <c r="I33" s="220">
        <v>2</v>
      </c>
      <c r="J33" s="219">
        <v>0</v>
      </c>
      <c r="K33" s="220">
        <v>0</v>
      </c>
      <c r="L33" s="1508"/>
      <c r="M33" s="401"/>
      <c r="N33" s="10"/>
      <c r="O33" s="10"/>
      <c r="P33" s="10"/>
      <c r="Z33" s="132"/>
      <c r="AA33" s="143" t="s">
        <v>776</v>
      </c>
      <c r="AB33" s="77"/>
      <c r="AC33" s="77"/>
      <c r="AD33" s="77"/>
    </row>
    <row r="34" spans="1:31" s="4" customFormat="1" ht="18" thickTop="1" thickBot="1" x14ac:dyDescent="0.35">
      <c r="A34" s="457" t="s">
        <v>16</v>
      </c>
      <c r="B34" s="458">
        <v>18</v>
      </c>
      <c r="C34" s="458">
        <v>16</v>
      </c>
      <c r="D34" s="458" t="s">
        <v>1229</v>
      </c>
      <c r="E34" s="457" t="s">
        <v>720</v>
      </c>
      <c r="F34" s="457" t="s">
        <v>1196</v>
      </c>
      <c r="G34" s="220">
        <v>147.81508498571816</v>
      </c>
      <c r="H34" s="219">
        <v>0</v>
      </c>
      <c r="I34" s="220">
        <v>5</v>
      </c>
      <c r="J34" s="219">
        <v>0</v>
      </c>
      <c r="K34" s="220">
        <v>0</v>
      </c>
      <c r="L34" s="1508"/>
      <c r="M34" s="401"/>
      <c r="N34" s="38"/>
      <c r="O34" s="10"/>
      <c r="P34" s="10"/>
      <c r="Z34" s="132"/>
      <c r="AA34" s="143" t="s">
        <v>777</v>
      </c>
      <c r="AB34" s="77"/>
    </row>
    <row r="35" spans="1:31" s="4" customFormat="1" ht="18" thickTop="1" thickBot="1" x14ac:dyDescent="0.35">
      <c r="A35" s="457" t="s">
        <v>2</v>
      </c>
      <c r="B35" s="458">
        <v>18</v>
      </c>
      <c r="C35" s="458">
        <v>2</v>
      </c>
      <c r="D35" s="458" t="s">
        <v>758</v>
      </c>
      <c r="E35" s="457" t="s">
        <v>1329</v>
      </c>
      <c r="F35" s="457" t="s">
        <v>1197</v>
      </c>
      <c r="G35" s="220">
        <v>2267.7086546556943</v>
      </c>
      <c r="H35" s="219">
        <v>174</v>
      </c>
      <c r="I35" s="220">
        <v>39</v>
      </c>
      <c r="J35" s="219">
        <v>40</v>
      </c>
      <c r="K35" s="220">
        <v>0</v>
      </c>
      <c r="L35" s="1508"/>
      <c r="M35" s="401"/>
      <c r="N35" s="38"/>
      <c r="O35" s="10"/>
      <c r="P35" s="10"/>
      <c r="Q35" s="10"/>
      <c r="R35" s="10"/>
      <c r="S35" s="10"/>
      <c r="T35" s="10"/>
      <c r="U35" s="10"/>
      <c r="V35" s="10"/>
      <c r="W35" s="10"/>
      <c r="X35" s="10"/>
      <c r="Y35" s="10"/>
      <c r="Z35" s="132"/>
      <c r="AA35" s="143" t="s">
        <v>778</v>
      </c>
      <c r="AB35" s="77"/>
      <c r="AC35" s="77"/>
      <c r="AD35" s="77"/>
    </row>
    <row r="36" spans="1:31" ht="18" thickTop="1" thickBot="1" x14ac:dyDescent="0.35">
      <c r="A36" s="457" t="s">
        <v>16</v>
      </c>
      <c r="B36" s="458">
        <v>16</v>
      </c>
      <c r="C36" s="458">
        <v>16</v>
      </c>
      <c r="D36" s="458" t="s">
        <v>1229</v>
      </c>
      <c r="E36" s="457" t="s">
        <v>43</v>
      </c>
      <c r="F36" s="457" t="s">
        <v>1199</v>
      </c>
      <c r="G36" s="220">
        <v>175.32944363044109</v>
      </c>
      <c r="H36" s="219">
        <v>75</v>
      </c>
      <c r="I36" s="220">
        <v>37</v>
      </c>
      <c r="J36" s="219">
        <v>0</v>
      </c>
      <c r="K36" s="220">
        <v>0</v>
      </c>
      <c r="L36" s="1508"/>
      <c r="M36" s="401"/>
      <c r="N36" s="38"/>
      <c r="Z36" s="195"/>
      <c r="AA36" s="168" t="s">
        <v>779</v>
      </c>
      <c r="AB36" s="68"/>
      <c r="AC36" s="68"/>
      <c r="AD36" s="68"/>
      <c r="AE36" s="71"/>
    </row>
    <row r="37" spans="1:31" ht="18" thickTop="1" thickBot="1" x14ac:dyDescent="0.35">
      <c r="A37" s="457" t="s">
        <v>2</v>
      </c>
      <c r="B37" s="458">
        <v>18</v>
      </c>
      <c r="C37" s="458">
        <v>2</v>
      </c>
      <c r="D37" s="458" t="s">
        <v>758</v>
      </c>
      <c r="E37" s="457" t="s">
        <v>1324</v>
      </c>
      <c r="F37" s="457"/>
      <c r="G37" s="220">
        <v>132.17090111224999</v>
      </c>
      <c r="H37" s="219">
        <v>56</v>
      </c>
      <c r="I37" s="220">
        <v>0</v>
      </c>
      <c r="J37" s="219">
        <v>0</v>
      </c>
      <c r="K37" s="220"/>
      <c r="L37" s="1508"/>
      <c r="M37" s="401"/>
      <c r="N37" s="13"/>
      <c r="Z37" s="683" t="s">
        <v>889</v>
      </c>
      <c r="AA37" s="671" t="s">
        <v>781</v>
      </c>
      <c r="AC37" s="65"/>
    </row>
    <row r="38" spans="1:31" ht="18" customHeight="1" thickTop="1" thickBot="1" x14ac:dyDescent="0.35">
      <c r="A38" s="457" t="s">
        <v>2</v>
      </c>
      <c r="B38" s="458">
        <v>18</v>
      </c>
      <c r="C38" s="458">
        <v>2</v>
      </c>
      <c r="D38" s="458" t="s">
        <v>758</v>
      </c>
      <c r="E38" s="457" t="s">
        <v>44</v>
      </c>
      <c r="F38" s="674" t="s">
        <v>1200</v>
      </c>
      <c r="G38" s="220">
        <v>601.2087101019498</v>
      </c>
      <c r="H38" s="219">
        <v>56</v>
      </c>
      <c r="I38" s="220">
        <v>168</v>
      </c>
      <c r="J38" s="219">
        <v>0</v>
      </c>
      <c r="K38" s="220">
        <v>0</v>
      </c>
      <c r="L38" s="1508"/>
      <c r="M38" s="401"/>
      <c r="Z38" s="132"/>
      <c r="AA38" s="143" t="s">
        <v>782</v>
      </c>
    </row>
    <row r="39" spans="1:31" ht="18" thickTop="1" thickBot="1" x14ac:dyDescent="0.35">
      <c r="A39" s="457" t="s">
        <v>2</v>
      </c>
      <c r="B39" s="458">
        <v>18</v>
      </c>
      <c r="C39" s="458">
        <v>2</v>
      </c>
      <c r="D39" s="458" t="s">
        <v>758</v>
      </c>
      <c r="E39" s="457" t="s">
        <v>1325</v>
      </c>
      <c r="F39" s="674"/>
      <c r="G39" s="220">
        <v>108.52961244150023</v>
      </c>
      <c r="H39" s="219">
        <v>22</v>
      </c>
      <c r="I39" s="220">
        <v>0</v>
      </c>
      <c r="J39" s="219">
        <v>0</v>
      </c>
      <c r="K39" s="220"/>
      <c r="L39" s="1508"/>
      <c r="M39" s="401"/>
      <c r="Z39" s="195"/>
      <c r="AA39" s="168" t="s">
        <v>780</v>
      </c>
    </row>
    <row r="40" spans="1:31" ht="18" thickTop="1" thickBot="1" x14ac:dyDescent="0.35">
      <c r="A40" s="457" t="s">
        <v>13</v>
      </c>
      <c r="B40" s="458">
        <v>13</v>
      </c>
      <c r="C40" s="458">
        <v>13</v>
      </c>
      <c r="D40" s="458" t="s">
        <v>13</v>
      </c>
      <c r="E40" s="457" t="s">
        <v>45</v>
      </c>
      <c r="F40" s="457" t="s">
        <v>1201</v>
      </c>
      <c r="G40" s="220">
        <v>286.27617033770758</v>
      </c>
      <c r="H40" s="219">
        <v>9</v>
      </c>
      <c r="I40" s="220">
        <v>3</v>
      </c>
      <c r="J40" s="219">
        <v>0</v>
      </c>
      <c r="K40" s="220">
        <v>0</v>
      </c>
      <c r="L40" s="1508"/>
      <c r="M40" s="401"/>
      <c r="Z40" s="683" t="s">
        <v>6</v>
      </c>
      <c r="AA40" s="671" t="s">
        <v>783</v>
      </c>
    </row>
    <row r="41" spans="1:31" ht="18" thickTop="1" thickBot="1" x14ac:dyDescent="0.35">
      <c r="A41" s="457" t="s">
        <v>2</v>
      </c>
      <c r="B41" s="458">
        <v>18</v>
      </c>
      <c r="C41" s="458">
        <v>2</v>
      </c>
      <c r="D41" s="458" t="s">
        <v>758</v>
      </c>
      <c r="E41" s="457" t="s">
        <v>958</v>
      </c>
      <c r="F41" s="457" t="s">
        <v>1202</v>
      </c>
      <c r="G41" s="220">
        <v>766.05776499241983</v>
      </c>
      <c r="H41" s="219">
        <v>241</v>
      </c>
      <c r="I41" s="220">
        <v>49</v>
      </c>
      <c r="J41" s="219">
        <v>0</v>
      </c>
      <c r="K41" s="220">
        <v>0</v>
      </c>
      <c r="L41" s="1508"/>
      <c r="M41" s="401"/>
      <c r="Z41" s="195"/>
      <c r="AA41" s="168" t="s">
        <v>6</v>
      </c>
    </row>
    <row r="42" spans="1:31" ht="18" thickTop="1" thickBot="1" x14ac:dyDescent="0.35">
      <c r="A42" s="457" t="s">
        <v>2</v>
      </c>
      <c r="B42" s="458">
        <v>18</v>
      </c>
      <c r="C42" s="458">
        <v>2</v>
      </c>
      <c r="D42" s="458" t="s">
        <v>758</v>
      </c>
      <c r="E42" s="457" t="s">
        <v>40</v>
      </c>
      <c r="F42" s="457" t="s">
        <v>1203</v>
      </c>
      <c r="G42" s="220">
        <v>5176.4761285646673</v>
      </c>
      <c r="H42" s="219">
        <v>217</v>
      </c>
      <c r="I42" s="220">
        <v>29</v>
      </c>
      <c r="J42" s="219">
        <v>23</v>
      </c>
      <c r="K42" s="220">
        <v>0</v>
      </c>
      <c r="L42" s="1508"/>
      <c r="M42" s="401"/>
      <c r="Z42" s="683" t="s">
        <v>7</v>
      </c>
      <c r="AA42" s="671" t="s">
        <v>509</v>
      </c>
    </row>
    <row r="43" spans="1:31" ht="18" thickTop="1" thickBot="1" x14ac:dyDescent="0.35">
      <c r="A43" s="457" t="s">
        <v>16</v>
      </c>
      <c r="B43" s="458">
        <v>16</v>
      </c>
      <c r="C43" s="458">
        <v>16</v>
      </c>
      <c r="D43" s="458" t="s">
        <v>1229</v>
      </c>
      <c r="E43" s="457" t="s">
        <v>46</v>
      </c>
      <c r="F43" s="457" t="s">
        <v>1204</v>
      </c>
      <c r="G43" s="220">
        <v>1763.0640733328873</v>
      </c>
      <c r="H43" s="219">
        <v>128</v>
      </c>
      <c r="I43" s="220">
        <v>42</v>
      </c>
      <c r="J43" s="219">
        <v>4</v>
      </c>
      <c r="K43" s="220">
        <v>0</v>
      </c>
      <c r="L43" s="1508"/>
      <c r="M43" s="401"/>
      <c r="Z43" s="132"/>
      <c r="AA43" s="143" t="s">
        <v>512</v>
      </c>
    </row>
    <row r="44" spans="1:31" ht="18" thickTop="1" thickBot="1" x14ac:dyDescent="0.35">
      <c r="A44" s="457" t="s">
        <v>2</v>
      </c>
      <c r="B44" s="458">
        <v>2</v>
      </c>
      <c r="C44" s="458">
        <v>2</v>
      </c>
      <c r="D44" s="458" t="s">
        <v>758</v>
      </c>
      <c r="E44" s="457" t="s">
        <v>48</v>
      </c>
      <c r="F44" s="457" t="s">
        <v>1206</v>
      </c>
      <c r="G44" s="220">
        <v>1259.1651890316498</v>
      </c>
      <c r="H44" s="219">
        <v>101</v>
      </c>
      <c r="I44" s="220">
        <v>332</v>
      </c>
      <c r="J44" s="219">
        <v>0</v>
      </c>
      <c r="K44" s="220">
        <v>0</v>
      </c>
      <c r="L44" s="1508"/>
      <c r="M44" s="401"/>
      <c r="Z44" s="132"/>
      <c r="AA44" s="143" t="s">
        <v>814</v>
      </c>
    </row>
    <row r="45" spans="1:31" ht="18" thickTop="1" thickBot="1" x14ac:dyDescent="0.35">
      <c r="A45" s="457" t="s">
        <v>2</v>
      </c>
      <c r="B45" s="458">
        <v>18</v>
      </c>
      <c r="C45" s="458">
        <v>2</v>
      </c>
      <c r="D45" s="458" t="s">
        <v>758</v>
      </c>
      <c r="E45" s="457" t="s">
        <v>22</v>
      </c>
      <c r="F45" s="457" t="s">
        <v>1207</v>
      </c>
      <c r="G45" s="220">
        <v>1203.3189781200335</v>
      </c>
      <c r="H45" s="219">
        <v>108</v>
      </c>
      <c r="I45" s="220">
        <v>194</v>
      </c>
      <c r="J45" s="219">
        <v>0</v>
      </c>
      <c r="K45" s="220">
        <v>0</v>
      </c>
      <c r="L45" s="1508"/>
      <c r="M45" s="401"/>
      <c r="Z45" s="132"/>
      <c r="AA45" s="143" t="s">
        <v>815</v>
      </c>
    </row>
    <row r="46" spans="1:31" ht="18" thickTop="1" thickBot="1" x14ac:dyDescent="0.35">
      <c r="A46" s="457" t="s">
        <v>2</v>
      </c>
      <c r="B46" s="458">
        <v>18</v>
      </c>
      <c r="C46" s="458">
        <v>2</v>
      </c>
      <c r="D46" s="458" t="s">
        <v>758</v>
      </c>
      <c r="E46" s="457" t="s">
        <v>31</v>
      </c>
      <c r="F46" s="457" t="s">
        <v>1208</v>
      </c>
      <c r="G46" s="220">
        <v>492.2101138405701</v>
      </c>
      <c r="H46" s="219">
        <v>23</v>
      </c>
      <c r="I46" s="220">
        <v>9</v>
      </c>
      <c r="J46" s="219">
        <v>43</v>
      </c>
      <c r="K46" s="220">
        <v>0</v>
      </c>
      <c r="L46" s="1508"/>
      <c r="M46" s="401"/>
      <c r="Z46" s="132"/>
      <c r="AA46" s="143" t="s">
        <v>784</v>
      </c>
    </row>
    <row r="47" spans="1:31" ht="18" thickTop="1" thickBot="1" x14ac:dyDescent="0.35">
      <c r="A47" s="457" t="s">
        <v>2</v>
      </c>
      <c r="B47" s="458">
        <v>18</v>
      </c>
      <c r="C47" s="458">
        <v>2</v>
      </c>
      <c r="D47" s="458" t="s">
        <v>758</v>
      </c>
      <c r="E47" s="457" t="s">
        <v>76</v>
      </c>
      <c r="F47" s="457" t="s">
        <v>1209</v>
      </c>
      <c r="G47" s="220">
        <v>6280.1363579608906</v>
      </c>
      <c r="H47" s="219">
        <v>223</v>
      </c>
      <c r="I47" s="220">
        <v>37</v>
      </c>
      <c r="J47" s="219">
        <v>337</v>
      </c>
      <c r="K47" s="220">
        <v>0</v>
      </c>
      <c r="L47" s="1508"/>
      <c r="M47" s="401"/>
      <c r="Z47" s="195"/>
      <c r="AA47" s="168" t="s">
        <v>816</v>
      </c>
    </row>
    <row r="48" spans="1:31" ht="18" thickTop="1" thickBot="1" x14ac:dyDescent="0.35">
      <c r="A48" s="457" t="s">
        <v>16</v>
      </c>
      <c r="B48" s="458">
        <v>18</v>
      </c>
      <c r="C48" s="458">
        <v>16</v>
      </c>
      <c r="D48" s="458" t="s">
        <v>1229</v>
      </c>
      <c r="E48" s="457" t="s">
        <v>49</v>
      </c>
      <c r="F48" s="457" t="s">
        <v>1210</v>
      </c>
      <c r="G48" s="220">
        <v>957.41882339550943</v>
      </c>
      <c r="H48" s="219">
        <v>2</v>
      </c>
      <c r="I48" s="220">
        <v>0</v>
      </c>
      <c r="J48" s="219">
        <v>65</v>
      </c>
      <c r="K48" s="220">
        <v>0</v>
      </c>
      <c r="L48" s="1508"/>
      <c r="M48" s="401"/>
      <c r="Z48" s="683" t="s">
        <v>817</v>
      </c>
      <c r="AA48" s="671" t="s">
        <v>785</v>
      </c>
    </row>
    <row r="49" spans="1:27" ht="18" thickTop="1" thickBot="1" x14ac:dyDescent="0.35">
      <c r="A49" s="237" t="s">
        <v>2</v>
      </c>
      <c r="B49" s="238">
        <v>18</v>
      </c>
      <c r="C49" s="238">
        <v>2</v>
      </c>
      <c r="D49" s="238" t="s">
        <v>758</v>
      </c>
      <c r="E49" s="237" t="s">
        <v>960</v>
      </c>
      <c r="F49" s="237" t="s">
        <v>1211</v>
      </c>
      <c r="G49" s="1497">
        <v>540</v>
      </c>
      <c r="H49" s="239">
        <v>0</v>
      </c>
      <c r="I49" s="318">
        <v>0</v>
      </c>
      <c r="J49" s="239">
        <v>0</v>
      </c>
      <c r="K49" s="318">
        <v>0</v>
      </c>
      <c r="L49" s="1508"/>
      <c r="M49" s="1139" t="s">
        <v>1837</v>
      </c>
      <c r="N49" s="237" t="s">
        <v>1838</v>
      </c>
      <c r="O49" s="237"/>
      <c r="P49" s="237"/>
      <c r="Z49" s="195"/>
      <c r="AA49" s="168" t="s">
        <v>786</v>
      </c>
    </row>
    <row r="50" spans="1:27" ht="18" thickTop="1" thickBot="1" x14ac:dyDescent="0.35">
      <c r="A50" s="457" t="s">
        <v>4</v>
      </c>
      <c r="B50" s="458">
        <v>18</v>
      </c>
      <c r="C50" s="458">
        <v>4</v>
      </c>
      <c r="D50" s="458" t="s">
        <v>4</v>
      </c>
      <c r="E50" s="457" t="s">
        <v>33</v>
      </c>
      <c r="F50" s="457" t="s">
        <v>1212</v>
      </c>
      <c r="G50" s="220">
        <v>197.24352683287754</v>
      </c>
      <c r="H50" s="219">
        <v>2</v>
      </c>
      <c r="I50" s="220">
        <v>5</v>
      </c>
      <c r="J50" s="219">
        <v>0</v>
      </c>
      <c r="K50" s="220">
        <v>0</v>
      </c>
      <c r="L50" s="1508"/>
      <c r="Y50" s="683" t="s">
        <v>9</v>
      </c>
      <c r="Z50" s="671" t="s">
        <v>788</v>
      </c>
    </row>
    <row r="51" spans="1:27" ht="18" thickTop="1" thickBot="1" x14ac:dyDescent="0.35">
      <c r="A51" s="457" t="s">
        <v>16</v>
      </c>
      <c r="B51" s="458">
        <v>16</v>
      </c>
      <c r="C51" s="458">
        <v>16</v>
      </c>
      <c r="D51" s="458" t="s">
        <v>1229</v>
      </c>
      <c r="E51" s="457" t="s">
        <v>50</v>
      </c>
      <c r="F51" s="457" t="s">
        <v>1213</v>
      </c>
      <c r="G51" s="220">
        <v>114.87381551473325</v>
      </c>
      <c r="H51" s="219">
        <v>6</v>
      </c>
      <c r="I51" s="220">
        <v>20</v>
      </c>
      <c r="J51" s="219">
        <v>0</v>
      </c>
      <c r="K51" s="220">
        <v>0</v>
      </c>
      <c r="L51" s="1508"/>
      <c r="Y51" s="132"/>
      <c r="Z51" s="143" t="s">
        <v>787</v>
      </c>
    </row>
    <row r="52" spans="1:27" ht="18" thickTop="1" thickBot="1" x14ac:dyDescent="0.35">
      <c r="A52" s="457" t="s">
        <v>2</v>
      </c>
      <c r="B52" s="458">
        <v>18</v>
      </c>
      <c r="C52" s="458">
        <v>2</v>
      </c>
      <c r="D52" s="458" t="s">
        <v>758</v>
      </c>
      <c r="E52" s="457" t="s">
        <v>24</v>
      </c>
      <c r="F52" s="457" t="s">
        <v>1214</v>
      </c>
      <c r="G52" s="220">
        <v>799.12049898931241</v>
      </c>
      <c r="H52" s="219">
        <v>168</v>
      </c>
      <c r="I52" s="220">
        <v>29</v>
      </c>
      <c r="J52" s="219">
        <v>0</v>
      </c>
      <c r="K52" s="220">
        <v>0</v>
      </c>
      <c r="L52" s="1508"/>
      <c r="Y52" s="132"/>
      <c r="Z52" s="143" t="s">
        <v>789</v>
      </c>
    </row>
    <row r="53" spans="1:27" ht="18" thickTop="1" thickBot="1" x14ac:dyDescent="0.35">
      <c r="A53" s="457" t="s">
        <v>2</v>
      </c>
      <c r="B53" s="458">
        <v>18</v>
      </c>
      <c r="C53" s="458">
        <v>2</v>
      </c>
      <c r="D53" s="458" t="s">
        <v>758</v>
      </c>
      <c r="E53" s="457" t="s">
        <v>939</v>
      </c>
      <c r="F53" s="457" t="s">
        <v>1219</v>
      </c>
      <c r="G53" s="220">
        <v>274.7332568453723</v>
      </c>
      <c r="H53" s="219">
        <v>11</v>
      </c>
      <c r="I53" s="220">
        <v>2</v>
      </c>
      <c r="J53" s="219">
        <v>0</v>
      </c>
      <c r="K53" s="220">
        <v>0</v>
      </c>
      <c r="L53" s="1508"/>
      <c r="Y53" s="195"/>
      <c r="Z53" s="168" t="s">
        <v>790</v>
      </c>
    </row>
    <row r="54" spans="1:27" ht="18" thickTop="1" thickBot="1" x14ac:dyDescent="0.35">
      <c r="A54" s="457" t="s">
        <v>2</v>
      </c>
      <c r="B54" s="458">
        <v>2</v>
      </c>
      <c r="C54" s="458">
        <v>2</v>
      </c>
      <c r="D54" s="458" t="s">
        <v>758</v>
      </c>
      <c r="E54" s="457" t="s">
        <v>51</v>
      </c>
      <c r="F54" s="457" t="s">
        <v>1215</v>
      </c>
      <c r="G54" s="220">
        <v>671.81849159460035</v>
      </c>
      <c r="H54" s="219">
        <v>59</v>
      </c>
      <c r="I54" s="220">
        <v>44</v>
      </c>
      <c r="J54" s="219">
        <v>0</v>
      </c>
      <c r="K54" s="220">
        <v>0</v>
      </c>
      <c r="L54" s="1508"/>
      <c r="Y54" s="683" t="s">
        <v>10</v>
      </c>
      <c r="Z54" s="671" t="s">
        <v>792</v>
      </c>
    </row>
    <row r="55" spans="1:27" ht="18" thickTop="1" thickBot="1" x14ac:dyDescent="0.35">
      <c r="A55" s="457" t="s">
        <v>2</v>
      </c>
      <c r="B55" s="458">
        <v>18</v>
      </c>
      <c r="C55" s="458">
        <v>2</v>
      </c>
      <c r="D55" s="458" t="s">
        <v>758</v>
      </c>
      <c r="E55" s="457" t="s">
        <v>52</v>
      </c>
      <c r="F55" s="457" t="s">
        <v>1218</v>
      </c>
      <c r="G55" s="220">
        <v>942.31500888524988</v>
      </c>
      <c r="H55" s="219">
        <v>57</v>
      </c>
      <c r="I55" s="220">
        <v>23</v>
      </c>
      <c r="J55" s="219">
        <v>0</v>
      </c>
      <c r="K55" s="220">
        <v>0</v>
      </c>
      <c r="L55" s="1508"/>
      <c r="Y55" s="132"/>
      <c r="Z55" s="143" t="s">
        <v>791</v>
      </c>
    </row>
    <row r="56" spans="1:27" ht="18" thickTop="1" thickBot="1" x14ac:dyDescent="0.35">
      <c r="A56" s="457" t="s">
        <v>2</v>
      </c>
      <c r="B56" s="458">
        <v>18</v>
      </c>
      <c r="C56" s="458">
        <v>2</v>
      </c>
      <c r="D56" s="458" t="s">
        <v>758</v>
      </c>
      <c r="E56" s="457" t="s">
        <v>603</v>
      </c>
      <c r="F56" s="457" t="s">
        <v>1217</v>
      </c>
      <c r="G56" s="220">
        <v>1044.9532334148407</v>
      </c>
      <c r="H56" s="219">
        <v>83</v>
      </c>
      <c r="I56" s="220">
        <v>48</v>
      </c>
      <c r="J56" s="219">
        <v>0</v>
      </c>
      <c r="K56" s="220">
        <v>0</v>
      </c>
      <c r="L56" s="1508"/>
      <c r="Y56" s="132"/>
      <c r="Z56" s="143" t="s">
        <v>793</v>
      </c>
    </row>
    <row r="57" spans="1:27" ht="18" thickTop="1" thickBot="1" x14ac:dyDescent="0.35">
      <c r="A57" s="457" t="s">
        <v>2</v>
      </c>
      <c r="B57" s="458">
        <v>18</v>
      </c>
      <c r="C57" s="458">
        <v>2</v>
      </c>
      <c r="D57" s="458" t="s">
        <v>758</v>
      </c>
      <c r="E57" s="457" t="s">
        <v>53</v>
      </c>
      <c r="F57" s="457" t="s">
        <v>1216</v>
      </c>
      <c r="G57" s="220">
        <v>463.70725498344746</v>
      </c>
      <c r="H57" s="219">
        <v>188</v>
      </c>
      <c r="I57" s="220">
        <v>40</v>
      </c>
      <c r="J57" s="219">
        <v>0</v>
      </c>
      <c r="K57" s="220">
        <v>0</v>
      </c>
      <c r="L57" s="1508"/>
      <c r="Y57" s="132"/>
      <c r="Z57" s="143" t="s">
        <v>818</v>
      </c>
    </row>
    <row r="58" spans="1:27" ht="18" thickTop="1" thickBot="1" x14ac:dyDescent="0.35">
      <c r="A58" s="1504" t="s">
        <v>2</v>
      </c>
      <c r="B58" s="1505">
        <v>18</v>
      </c>
      <c r="C58" s="1505">
        <v>2</v>
      </c>
      <c r="D58" s="1505" t="s">
        <v>758</v>
      </c>
      <c r="E58" s="1504" t="s">
        <v>1339</v>
      </c>
      <c r="F58" s="1504" t="s">
        <v>1220</v>
      </c>
      <c r="G58" s="1507">
        <f>87.7402162741354-87.7402162741354</f>
        <v>0</v>
      </c>
      <c r="H58" s="1507">
        <f>16-16</f>
        <v>0</v>
      </c>
      <c r="I58" s="1507">
        <f>19-19</f>
        <v>0</v>
      </c>
      <c r="J58" s="1506">
        <v>0</v>
      </c>
      <c r="K58" s="1507">
        <v>0</v>
      </c>
      <c r="L58" s="1508"/>
      <c r="M58" s="1504" t="s">
        <v>1842</v>
      </c>
      <c r="N58" s="1504"/>
      <c r="O58" s="1504"/>
      <c r="P58" s="1504"/>
      <c r="Q58" s="1504"/>
      <c r="Y58" s="195"/>
      <c r="Z58" s="168" t="s">
        <v>794</v>
      </c>
    </row>
    <row r="59" spans="1:27" ht="18" thickTop="1" thickBot="1" x14ac:dyDescent="0.35">
      <c r="A59" s="457" t="s">
        <v>16</v>
      </c>
      <c r="B59" s="458">
        <v>16</v>
      </c>
      <c r="C59" s="458">
        <v>16</v>
      </c>
      <c r="D59" s="458" t="s">
        <v>1229</v>
      </c>
      <c r="E59" s="457" t="s">
        <v>54</v>
      </c>
      <c r="F59" s="457" t="s">
        <v>1221</v>
      </c>
      <c r="G59" s="220">
        <v>392.33027145830016</v>
      </c>
      <c r="H59" s="219">
        <v>24</v>
      </c>
      <c r="I59" s="220">
        <v>11</v>
      </c>
      <c r="J59" s="219">
        <v>0</v>
      </c>
      <c r="K59" s="220">
        <v>0</v>
      </c>
      <c r="L59" s="1508"/>
      <c r="Y59" s="683" t="s">
        <v>11</v>
      </c>
      <c r="Z59" s="671" t="s">
        <v>795</v>
      </c>
    </row>
    <row r="60" spans="1:27" ht="18" thickTop="1" thickBot="1" x14ac:dyDescent="0.35">
      <c r="A60" s="457" t="s">
        <v>16</v>
      </c>
      <c r="B60" s="458">
        <v>18</v>
      </c>
      <c r="C60" s="458">
        <v>16</v>
      </c>
      <c r="D60" s="458" t="s">
        <v>1229</v>
      </c>
      <c r="E60" s="457" t="s">
        <v>28</v>
      </c>
      <c r="F60" s="457" t="s">
        <v>1222</v>
      </c>
      <c r="G60" s="220">
        <v>216.56435878747669</v>
      </c>
      <c r="H60" s="219">
        <v>4</v>
      </c>
      <c r="I60" s="220">
        <v>3</v>
      </c>
      <c r="J60" s="219">
        <v>0</v>
      </c>
      <c r="K60" s="220">
        <v>0</v>
      </c>
      <c r="L60" s="1508"/>
      <c r="Y60" s="195"/>
      <c r="Z60" s="168" t="s">
        <v>819</v>
      </c>
    </row>
    <row r="61" spans="1:27" ht="18" thickTop="1" thickBot="1" x14ac:dyDescent="0.35">
      <c r="A61" s="457" t="s">
        <v>2</v>
      </c>
      <c r="B61" s="458">
        <v>18</v>
      </c>
      <c r="C61" s="458">
        <v>2</v>
      </c>
      <c r="D61" s="458" t="s">
        <v>758</v>
      </c>
      <c r="E61" s="457" t="s">
        <v>35</v>
      </c>
      <c r="F61" s="457" t="s">
        <v>1223</v>
      </c>
      <c r="G61" s="220">
        <v>671.37820674925001</v>
      </c>
      <c r="H61" s="219">
        <v>70</v>
      </c>
      <c r="I61" s="220">
        <v>2</v>
      </c>
      <c r="J61" s="219">
        <v>0</v>
      </c>
      <c r="K61" s="220">
        <v>0</v>
      </c>
      <c r="L61" s="1508"/>
      <c r="Y61" s="683" t="s">
        <v>12</v>
      </c>
      <c r="Z61" s="671" t="s">
        <v>796</v>
      </c>
    </row>
    <row r="62" spans="1:27" ht="18" thickTop="1" thickBot="1" x14ac:dyDescent="0.35">
      <c r="A62" s="457" t="s">
        <v>2</v>
      </c>
      <c r="B62" s="458">
        <v>2</v>
      </c>
      <c r="C62" s="458">
        <v>2</v>
      </c>
      <c r="D62" s="458" t="s">
        <v>758</v>
      </c>
      <c r="E62" s="457" t="s">
        <v>55</v>
      </c>
      <c r="F62" s="457" t="s">
        <v>1224</v>
      </c>
      <c r="G62" s="220">
        <v>737.09270922985206</v>
      </c>
      <c r="H62" s="219">
        <v>189</v>
      </c>
      <c r="I62" s="220">
        <v>175</v>
      </c>
      <c r="J62" s="219">
        <v>0</v>
      </c>
      <c r="K62" s="220">
        <v>0</v>
      </c>
      <c r="L62" s="1508"/>
      <c r="Y62" s="132"/>
      <c r="Z62" s="143" t="s">
        <v>797</v>
      </c>
    </row>
    <row r="63" spans="1:27" ht="18" thickTop="1" thickBot="1" x14ac:dyDescent="0.35">
      <c r="A63" s="457" t="s">
        <v>2</v>
      </c>
      <c r="B63" s="458">
        <v>18</v>
      </c>
      <c r="C63" s="458">
        <v>2</v>
      </c>
      <c r="D63" s="458" t="s">
        <v>758</v>
      </c>
      <c r="E63" s="457" t="s">
        <v>26</v>
      </c>
      <c r="F63" s="457" t="s">
        <v>1225</v>
      </c>
      <c r="G63" s="220">
        <v>267.63967675179731</v>
      </c>
      <c r="H63" s="219">
        <v>1</v>
      </c>
      <c r="I63" s="220">
        <v>15</v>
      </c>
      <c r="J63" s="219">
        <v>0</v>
      </c>
      <c r="K63" s="220">
        <v>267.63967675179731</v>
      </c>
      <c r="L63" s="1508"/>
      <c r="Y63" s="132"/>
      <c r="Z63" s="143" t="s">
        <v>800</v>
      </c>
    </row>
    <row r="64" spans="1:27" ht="18" thickTop="1" thickBot="1" x14ac:dyDescent="0.35">
      <c r="A64" s="457" t="s">
        <v>17</v>
      </c>
      <c r="B64" s="458">
        <v>18</v>
      </c>
      <c r="C64" s="458">
        <v>17</v>
      </c>
      <c r="D64" s="458" t="s">
        <v>809</v>
      </c>
      <c r="E64" s="457" t="s">
        <v>27</v>
      </c>
      <c r="F64" s="457" t="s">
        <v>1226</v>
      </c>
      <c r="G64" s="220">
        <v>175.19825529226023</v>
      </c>
      <c r="H64" s="219">
        <v>2</v>
      </c>
      <c r="I64" s="220">
        <v>0</v>
      </c>
      <c r="J64" s="219">
        <v>0</v>
      </c>
      <c r="K64" s="220">
        <v>0</v>
      </c>
      <c r="L64" s="1508"/>
      <c r="Y64" s="212"/>
      <c r="Z64" s="684" t="s">
        <v>799</v>
      </c>
    </row>
    <row r="65" spans="1:26" ht="18" thickTop="1" thickBot="1" x14ac:dyDescent="0.35">
      <c r="A65" s="457" t="s">
        <v>2</v>
      </c>
      <c r="B65" s="458">
        <v>18</v>
      </c>
      <c r="C65" s="458">
        <v>2</v>
      </c>
      <c r="D65" s="458" t="s">
        <v>758</v>
      </c>
      <c r="E65" s="457" t="s">
        <v>56</v>
      </c>
      <c r="F65" s="457" t="s">
        <v>1227</v>
      </c>
      <c r="G65" s="220">
        <v>4014.3643229322638</v>
      </c>
      <c r="H65" s="219">
        <v>264</v>
      </c>
      <c r="I65" s="220">
        <v>158</v>
      </c>
      <c r="J65" s="219">
        <v>179</v>
      </c>
      <c r="K65" s="220">
        <v>0</v>
      </c>
      <c r="L65" s="1508"/>
      <c r="Y65" s="132"/>
      <c r="Z65" s="143" t="s">
        <v>801</v>
      </c>
    </row>
    <row r="66" spans="1:26" ht="18" thickTop="1" thickBot="1" x14ac:dyDescent="0.35">
      <c r="A66" s="457" t="s">
        <v>16</v>
      </c>
      <c r="B66" s="458">
        <v>16</v>
      </c>
      <c r="C66" s="458">
        <v>16</v>
      </c>
      <c r="D66" s="458" t="s">
        <v>1229</v>
      </c>
      <c r="E66" s="457" t="s">
        <v>57</v>
      </c>
      <c r="F66" s="457" t="s">
        <v>1230</v>
      </c>
      <c r="G66" s="220">
        <v>160.16230530300001</v>
      </c>
      <c r="H66" s="219">
        <v>35</v>
      </c>
      <c r="I66" s="220">
        <v>1</v>
      </c>
      <c r="J66" s="219">
        <v>0</v>
      </c>
      <c r="K66" s="220">
        <v>0</v>
      </c>
      <c r="L66" s="1508"/>
      <c r="Y66" s="195"/>
      <c r="Z66" s="168" t="s">
        <v>802</v>
      </c>
    </row>
    <row r="67" spans="1:26" ht="18" thickTop="1" thickBot="1" x14ac:dyDescent="0.35">
      <c r="A67" s="457" t="s">
        <v>2</v>
      </c>
      <c r="B67" s="458">
        <v>18</v>
      </c>
      <c r="C67" s="458">
        <v>2</v>
      </c>
      <c r="D67" s="458" t="s">
        <v>758</v>
      </c>
      <c r="E67" s="457" t="s">
        <v>25</v>
      </c>
      <c r="F67" s="457" t="s">
        <v>1231</v>
      </c>
      <c r="G67" s="220">
        <v>3957.4480253588026</v>
      </c>
      <c r="H67" s="219">
        <v>1373</v>
      </c>
      <c r="I67" s="220">
        <v>45</v>
      </c>
      <c r="J67" s="219">
        <v>0</v>
      </c>
      <c r="K67" s="220">
        <v>0</v>
      </c>
      <c r="L67" s="1508"/>
      <c r="Y67" s="683" t="s">
        <v>820</v>
      </c>
      <c r="Z67" s="671" t="s">
        <v>803</v>
      </c>
    </row>
    <row r="68" spans="1:26" ht="18" thickTop="1" thickBot="1" x14ac:dyDescent="0.35">
      <c r="A68" s="464" t="s">
        <v>16</v>
      </c>
      <c r="B68" s="1013">
        <v>18</v>
      </c>
      <c r="C68" s="1013">
        <v>2</v>
      </c>
      <c r="D68" s="1013" t="s">
        <v>1229</v>
      </c>
      <c r="E68" s="464" t="s">
        <v>58</v>
      </c>
      <c r="F68" s="464" t="s">
        <v>1232</v>
      </c>
      <c r="G68" s="220">
        <v>491.47528742099291</v>
      </c>
      <c r="H68" s="220">
        <v>152</v>
      </c>
      <c r="I68" s="220">
        <v>4</v>
      </c>
      <c r="J68" s="220">
        <v>0</v>
      </c>
      <c r="K68" s="220">
        <v>0</v>
      </c>
      <c r="L68" s="1508"/>
      <c r="Y68" s="195"/>
      <c r="Z68" s="168" t="s">
        <v>804</v>
      </c>
    </row>
    <row r="69" spans="1:26" ht="18" thickTop="1" thickBot="1" x14ac:dyDescent="0.35">
      <c r="A69" s="457" t="s">
        <v>16</v>
      </c>
      <c r="B69" s="458">
        <v>18</v>
      </c>
      <c r="C69" s="458">
        <v>16</v>
      </c>
      <c r="D69" s="458" t="s">
        <v>1229</v>
      </c>
      <c r="E69" s="457" t="s">
        <v>38</v>
      </c>
      <c r="F69" s="457" t="s">
        <v>1233</v>
      </c>
      <c r="G69" s="220">
        <v>1065.9410335586765</v>
      </c>
      <c r="H69" s="219">
        <v>24</v>
      </c>
      <c r="I69" s="220">
        <v>28</v>
      </c>
      <c r="J69" s="219">
        <v>0</v>
      </c>
      <c r="K69" s="220">
        <v>1065.9410335586765</v>
      </c>
      <c r="L69" s="1508"/>
      <c r="Y69" s="683" t="s">
        <v>15</v>
      </c>
      <c r="Z69" s="671" t="s">
        <v>805</v>
      </c>
    </row>
    <row r="70" spans="1:26" ht="18" thickTop="1" thickBot="1" x14ac:dyDescent="0.35">
      <c r="A70" s="457" t="s">
        <v>2</v>
      </c>
      <c r="B70" s="458">
        <v>18</v>
      </c>
      <c r="C70" s="458">
        <v>2</v>
      </c>
      <c r="D70" s="458" t="s">
        <v>758</v>
      </c>
      <c r="E70" s="457" t="s">
        <v>91</v>
      </c>
      <c r="F70" s="457" t="s">
        <v>1234</v>
      </c>
      <c r="G70" s="220">
        <v>281.33643740972769</v>
      </c>
      <c r="H70" s="219">
        <v>68</v>
      </c>
      <c r="I70" s="220">
        <v>12</v>
      </c>
      <c r="J70" s="219">
        <v>0</v>
      </c>
      <c r="K70" s="220">
        <v>0</v>
      </c>
      <c r="L70" s="1508"/>
      <c r="Y70" s="195"/>
      <c r="Z70" s="168" t="s">
        <v>806</v>
      </c>
    </row>
    <row r="71" spans="1:26" ht="18" thickTop="1" thickBot="1" x14ac:dyDescent="0.35">
      <c r="A71" s="457" t="s">
        <v>2</v>
      </c>
      <c r="B71" s="458">
        <v>18</v>
      </c>
      <c r="C71" s="458">
        <v>2</v>
      </c>
      <c r="D71" s="458" t="s">
        <v>758</v>
      </c>
      <c r="E71" s="457" t="s">
        <v>721</v>
      </c>
      <c r="F71" s="457" t="s">
        <v>1234</v>
      </c>
      <c r="G71" s="220">
        <v>457.90871082754296</v>
      </c>
      <c r="H71" s="219">
        <v>73</v>
      </c>
      <c r="I71" s="220">
        <v>67</v>
      </c>
      <c r="J71" s="219">
        <v>0</v>
      </c>
      <c r="K71" s="220">
        <v>0</v>
      </c>
      <c r="L71" s="1508"/>
      <c r="Y71" s="683" t="s">
        <v>16</v>
      </c>
      <c r="Z71" s="671" t="s">
        <v>821</v>
      </c>
    </row>
    <row r="72" spans="1:26" ht="18" thickTop="1" thickBot="1" x14ac:dyDescent="0.35">
      <c r="A72" s="457" t="s">
        <v>2</v>
      </c>
      <c r="B72" s="458">
        <v>18</v>
      </c>
      <c r="C72" s="458">
        <v>2</v>
      </c>
      <c r="D72" s="458" t="s">
        <v>758</v>
      </c>
      <c r="E72" s="457" t="s">
        <v>37</v>
      </c>
      <c r="F72" s="457" t="s">
        <v>1236</v>
      </c>
      <c r="G72" s="220">
        <v>983.31703457725234</v>
      </c>
      <c r="H72" s="219">
        <v>44</v>
      </c>
      <c r="I72" s="220">
        <v>1</v>
      </c>
      <c r="J72" s="219">
        <v>0</v>
      </c>
      <c r="K72" s="220">
        <v>0</v>
      </c>
      <c r="L72" s="1508"/>
      <c r="Y72" s="132"/>
      <c r="Z72" s="143" t="s">
        <v>822</v>
      </c>
    </row>
    <row r="73" spans="1:26" ht="18" thickTop="1" thickBot="1" x14ac:dyDescent="0.35">
      <c r="A73" s="457" t="s">
        <v>16</v>
      </c>
      <c r="B73" s="458">
        <v>18</v>
      </c>
      <c r="C73" s="458">
        <v>2</v>
      </c>
      <c r="D73" s="458" t="s">
        <v>1229</v>
      </c>
      <c r="E73" s="457" t="s">
        <v>604</v>
      </c>
      <c r="F73" s="457" t="s">
        <v>1235</v>
      </c>
      <c r="G73" s="220">
        <v>31.821411371749999</v>
      </c>
      <c r="H73" s="219">
        <v>0</v>
      </c>
      <c r="I73" s="220">
        <v>0</v>
      </c>
      <c r="J73" s="219">
        <v>0</v>
      </c>
      <c r="K73" s="220">
        <v>0</v>
      </c>
      <c r="L73" s="1508"/>
      <c r="Y73" s="132"/>
      <c r="Z73" s="143" t="s">
        <v>823</v>
      </c>
    </row>
    <row r="74" spans="1:26" ht="18" thickTop="1" thickBot="1" x14ac:dyDescent="0.35">
      <c r="A74" s="457" t="s">
        <v>2</v>
      </c>
      <c r="B74" s="458">
        <v>18</v>
      </c>
      <c r="C74" s="458">
        <v>2</v>
      </c>
      <c r="D74" s="458" t="s">
        <v>758</v>
      </c>
      <c r="E74" s="457" t="s">
        <v>39</v>
      </c>
      <c r="F74" s="457" t="s">
        <v>1237</v>
      </c>
      <c r="G74" s="220">
        <v>2158.3957640639396</v>
      </c>
      <c r="H74" s="219">
        <v>84</v>
      </c>
      <c r="I74" s="220">
        <v>160</v>
      </c>
      <c r="J74" s="219">
        <v>0</v>
      </c>
      <c r="K74" s="220">
        <v>2158.3957640639396</v>
      </c>
      <c r="L74" s="1508"/>
      <c r="Y74" s="132"/>
      <c r="Z74" s="143" t="s">
        <v>807</v>
      </c>
    </row>
    <row r="75" spans="1:26" ht="18" thickTop="1" thickBot="1" x14ac:dyDescent="0.35">
      <c r="A75" s="457" t="s">
        <v>1</v>
      </c>
      <c r="B75" s="458">
        <v>18</v>
      </c>
      <c r="C75" s="458">
        <v>1</v>
      </c>
      <c r="D75" s="458" t="s">
        <v>757</v>
      </c>
      <c r="E75" s="457" t="s">
        <v>32</v>
      </c>
      <c r="F75" s="457" t="s">
        <v>1238</v>
      </c>
      <c r="G75" s="220">
        <v>734.20464267162504</v>
      </c>
      <c r="H75" s="219">
        <v>28</v>
      </c>
      <c r="I75" s="220">
        <v>3</v>
      </c>
      <c r="J75" s="219">
        <v>0</v>
      </c>
      <c r="K75" s="220">
        <v>0</v>
      </c>
      <c r="L75" s="1508"/>
      <c r="Y75" s="132"/>
      <c r="Z75" s="143" t="s">
        <v>808</v>
      </c>
    </row>
    <row r="76" spans="1:26" ht="18" thickTop="1" thickBot="1" x14ac:dyDescent="0.35">
      <c r="A76" s="457" t="s">
        <v>2</v>
      </c>
      <c r="B76" s="458">
        <v>2</v>
      </c>
      <c r="C76" s="458">
        <v>2</v>
      </c>
      <c r="D76" s="458" t="s">
        <v>758</v>
      </c>
      <c r="E76" s="457" t="s">
        <v>59</v>
      </c>
      <c r="F76" s="457" t="s">
        <v>1239</v>
      </c>
      <c r="G76" s="220">
        <v>2325.2299469256354</v>
      </c>
      <c r="H76" s="219">
        <v>100</v>
      </c>
      <c r="I76" s="220">
        <v>275</v>
      </c>
      <c r="J76" s="219">
        <v>0</v>
      </c>
      <c r="K76" s="220">
        <v>0</v>
      </c>
      <c r="L76" s="1508"/>
      <c r="Y76" s="132"/>
      <c r="Z76" s="143" t="s">
        <v>824</v>
      </c>
    </row>
    <row r="77" spans="1:26" ht="18" thickTop="1" thickBot="1" x14ac:dyDescent="0.35">
      <c r="A77" s="457" t="s">
        <v>16</v>
      </c>
      <c r="B77" s="458">
        <v>18</v>
      </c>
      <c r="C77" s="458">
        <v>16</v>
      </c>
      <c r="D77" s="458" t="s">
        <v>1229</v>
      </c>
      <c r="E77" s="457" t="s">
        <v>940</v>
      </c>
      <c r="F77" s="457" t="s">
        <v>1240</v>
      </c>
      <c r="G77" s="220">
        <v>926.97453717270901</v>
      </c>
      <c r="H77" s="219">
        <v>18</v>
      </c>
      <c r="I77" s="220">
        <v>0</v>
      </c>
      <c r="J77" s="219">
        <v>34</v>
      </c>
      <c r="K77" s="220">
        <v>0</v>
      </c>
      <c r="L77" s="1508"/>
      <c r="Y77" s="195"/>
      <c r="Z77" s="168" t="s">
        <v>825</v>
      </c>
    </row>
    <row r="78" spans="1:26" ht="18" thickTop="1" thickBot="1" x14ac:dyDescent="0.35">
      <c r="A78" s="457" t="s">
        <v>2</v>
      </c>
      <c r="B78" s="458">
        <v>18</v>
      </c>
      <c r="C78" s="458">
        <v>2</v>
      </c>
      <c r="D78" s="458" t="s">
        <v>758</v>
      </c>
      <c r="E78" s="457" t="s">
        <v>29</v>
      </c>
      <c r="F78" s="457" t="s">
        <v>1241</v>
      </c>
      <c r="G78" s="220">
        <v>7406.4449235623106</v>
      </c>
      <c r="H78" s="219">
        <v>160</v>
      </c>
      <c r="I78" s="220">
        <v>203</v>
      </c>
      <c r="J78" s="219">
        <v>259</v>
      </c>
      <c r="K78" s="220">
        <v>0</v>
      </c>
      <c r="L78" s="1508"/>
      <c r="Y78" s="683" t="s">
        <v>844</v>
      </c>
      <c r="Z78" s="671" t="s">
        <v>826</v>
      </c>
    </row>
    <row r="79" spans="1:26" ht="18" thickTop="1" thickBot="1" x14ac:dyDescent="0.35">
      <c r="A79" s="457" t="s">
        <v>2</v>
      </c>
      <c r="B79" s="458">
        <v>18</v>
      </c>
      <c r="C79" s="458">
        <v>2</v>
      </c>
      <c r="D79" s="458" t="s">
        <v>758</v>
      </c>
      <c r="E79" s="457" t="s">
        <v>34</v>
      </c>
      <c r="F79" s="457" t="s">
        <v>1242</v>
      </c>
      <c r="G79" s="220">
        <v>434.86954084714142</v>
      </c>
      <c r="H79" s="219">
        <v>34</v>
      </c>
      <c r="I79" s="220">
        <v>42</v>
      </c>
      <c r="J79" s="219">
        <v>0</v>
      </c>
      <c r="K79" s="220">
        <v>0</v>
      </c>
      <c r="L79" s="1508"/>
      <c r="Y79" s="132"/>
      <c r="Z79" s="143" t="s">
        <v>809</v>
      </c>
    </row>
    <row r="80" spans="1:26" ht="18" thickTop="1" thickBot="1" x14ac:dyDescent="0.35">
      <c r="A80" s="457" t="s">
        <v>2</v>
      </c>
      <c r="B80" s="458">
        <v>18</v>
      </c>
      <c r="C80" s="458">
        <v>2</v>
      </c>
      <c r="D80" s="458" t="s">
        <v>758</v>
      </c>
      <c r="E80" s="457" t="s">
        <v>60</v>
      </c>
      <c r="F80" s="457" t="s">
        <v>1246</v>
      </c>
      <c r="G80" s="220">
        <v>70.235302237100015</v>
      </c>
      <c r="H80" s="219">
        <v>8</v>
      </c>
      <c r="I80" s="220">
        <v>34</v>
      </c>
      <c r="J80" s="219">
        <v>0</v>
      </c>
      <c r="K80" s="220">
        <v>0</v>
      </c>
      <c r="L80" s="1508"/>
      <c r="Y80" s="132"/>
      <c r="Z80" s="143" t="s">
        <v>827</v>
      </c>
    </row>
    <row r="81" spans="1:27" ht="18" thickTop="1" thickBot="1" x14ac:dyDescent="0.35">
      <c r="A81" s="237" t="s">
        <v>2</v>
      </c>
      <c r="B81" s="238">
        <v>18</v>
      </c>
      <c r="C81" s="238">
        <v>2</v>
      </c>
      <c r="D81" s="238" t="s">
        <v>758</v>
      </c>
      <c r="E81" s="237" t="s">
        <v>1826</v>
      </c>
      <c r="F81" s="237"/>
      <c r="G81" s="1497">
        <v>180</v>
      </c>
      <c r="H81" s="239">
        <v>0</v>
      </c>
      <c r="I81" s="318">
        <v>0</v>
      </c>
      <c r="J81" s="239">
        <v>0</v>
      </c>
      <c r="K81" s="318">
        <v>0</v>
      </c>
      <c r="L81" s="1508"/>
      <c r="M81" s="1491" t="s">
        <v>1839</v>
      </c>
      <c r="N81" s="237" t="s">
        <v>1838</v>
      </c>
      <c r="O81" s="237"/>
      <c r="P81" s="237"/>
      <c r="Z81" s="132"/>
      <c r="AA81" s="143"/>
    </row>
    <row r="82" spans="1:27" ht="18" thickTop="1" thickBot="1" x14ac:dyDescent="0.35">
      <c r="A82" s="457" t="s">
        <v>2</v>
      </c>
      <c r="B82" s="458">
        <v>18</v>
      </c>
      <c r="C82" s="458">
        <v>2</v>
      </c>
      <c r="D82" s="458" t="s">
        <v>758</v>
      </c>
      <c r="E82" s="457" t="s">
        <v>959</v>
      </c>
      <c r="F82" s="457" t="s">
        <v>1247</v>
      </c>
      <c r="G82" s="220">
        <v>198.87805865204777</v>
      </c>
      <c r="H82" s="219">
        <v>18</v>
      </c>
      <c r="I82" s="220">
        <v>0</v>
      </c>
      <c r="J82" s="219">
        <v>0</v>
      </c>
      <c r="K82" s="220">
        <v>0</v>
      </c>
      <c r="L82" s="1508"/>
      <c r="M82" s="401"/>
      <c r="Z82" s="195"/>
      <c r="AA82" s="168" t="s">
        <v>810</v>
      </c>
    </row>
    <row r="83" spans="1:27" ht="18" thickTop="1" thickBot="1" x14ac:dyDescent="0.35">
      <c r="A83" s="457" t="s">
        <v>16</v>
      </c>
      <c r="B83" s="458">
        <v>16</v>
      </c>
      <c r="C83" s="458">
        <v>16</v>
      </c>
      <c r="D83" s="458" t="s">
        <v>808</v>
      </c>
      <c r="E83" s="457" t="s">
        <v>61</v>
      </c>
      <c r="F83" s="457" t="s">
        <v>1248</v>
      </c>
      <c r="G83" s="220">
        <v>323.96493651869849</v>
      </c>
      <c r="H83" s="219">
        <v>20</v>
      </c>
      <c r="I83" s="220">
        <v>32</v>
      </c>
      <c r="J83" s="219">
        <v>0</v>
      </c>
      <c r="K83" s="220">
        <v>0</v>
      </c>
      <c r="L83" s="1508"/>
      <c r="M83" s="401"/>
    </row>
    <row r="84" spans="1:27" ht="18" thickTop="1" thickBot="1" x14ac:dyDescent="0.35">
      <c r="A84" s="457" t="s">
        <v>2</v>
      </c>
      <c r="B84" s="458">
        <v>18</v>
      </c>
      <c r="C84" s="458">
        <v>2</v>
      </c>
      <c r="D84" s="458" t="s">
        <v>758</v>
      </c>
      <c r="E84" s="457" t="s">
        <v>845</v>
      </c>
      <c r="F84" s="457" t="s">
        <v>1249</v>
      </c>
      <c r="G84" s="220">
        <v>973.67545181721823</v>
      </c>
      <c r="H84" s="219">
        <v>75</v>
      </c>
      <c r="I84" s="220">
        <v>5</v>
      </c>
      <c r="J84" s="219">
        <v>0</v>
      </c>
      <c r="K84" s="220">
        <v>0</v>
      </c>
      <c r="L84" s="1508"/>
      <c r="M84" s="401"/>
    </row>
    <row r="85" spans="1:27" ht="18" thickTop="1" thickBot="1" x14ac:dyDescent="0.35">
      <c r="A85" s="457" t="s">
        <v>2</v>
      </c>
      <c r="B85" s="458">
        <v>18</v>
      </c>
      <c r="C85" s="458">
        <v>2</v>
      </c>
      <c r="D85" s="458" t="s">
        <v>758</v>
      </c>
      <c r="E85" s="457" t="s">
        <v>36</v>
      </c>
      <c r="F85" s="457" t="s">
        <v>1250</v>
      </c>
      <c r="G85" s="220">
        <v>240.14749458700001</v>
      </c>
      <c r="H85" s="219">
        <v>11</v>
      </c>
      <c r="I85" s="220">
        <v>12</v>
      </c>
      <c r="J85" s="219">
        <v>0</v>
      </c>
      <c r="K85" s="220">
        <v>0</v>
      </c>
      <c r="L85" s="1508"/>
      <c r="M85" s="401"/>
    </row>
    <row r="86" spans="1:27" ht="18" thickTop="1" thickBot="1" x14ac:dyDescent="0.35">
      <c r="A86" s="457" t="s">
        <v>2</v>
      </c>
      <c r="B86" s="458">
        <v>18</v>
      </c>
      <c r="C86" s="458">
        <v>2</v>
      </c>
      <c r="D86" s="458" t="s">
        <v>758</v>
      </c>
      <c r="E86" s="457" t="s">
        <v>30</v>
      </c>
      <c r="F86" s="457" t="s">
        <v>1251</v>
      </c>
      <c r="G86" s="220">
        <v>9466.1700510654773</v>
      </c>
      <c r="H86" s="219">
        <v>342</v>
      </c>
      <c r="I86" s="220">
        <v>302</v>
      </c>
      <c r="J86" s="219">
        <v>113</v>
      </c>
      <c r="K86" s="220">
        <v>0</v>
      </c>
      <c r="L86" s="1508"/>
      <c r="M86" s="401"/>
    </row>
    <row r="87" spans="1:27" ht="18" thickTop="1" thickBot="1" x14ac:dyDescent="0.35">
      <c r="A87" s="237" t="s">
        <v>2</v>
      </c>
      <c r="B87" s="238">
        <v>18</v>
      </c>
      <c r="C87" s="238">
        <v>2</v>
      </c>
      <c r="D87" s="238" t="s">
        <v>758</v>
      </c>
      <c r="E87" s="237" t="s">
        <v>1827</v>
      </c>
      <c r="F87" s="237"/>
      <c r="G87" s="1497">
        <v>200</v>
      </c>
      <c r="H87" s="239">
        <v>0</v>
      </c>
      <c r="I87" s="318">
        <v>0</v>
      </c>
      <c r="J87" s="239">
        <v>0</v>
      </c>
      <c r="K87" s="318">
        <v>0</v>
      </c>
      <c r="L87" s="1508"/>
      <c r="M87" s="1490" t="s">
        <v>1839</v>
      </c>
      <c r="N87" s="237" t="s">
        <v>1838</v>
      </c>
      <c r="O87" s="237"/>
      <c r="P87" s="237"/>
    </row>
    <row r="88" spans="1:27" ht="18" thickTop="1" thickBot="1" x14ac:dyDescent="0.35">
      <c r="A88" s="457" t="s">
        <v>2</v>
      </c>
      <c r="B88" s="458">
        <v>18</v>
      </c>
      <c r="C88" s="458">
        <v>2</v>
      </c>
      <c r="D88" s="458" t="s">
        <v>758</v>
      </c>
      <c r="E88" s="457" t="s">
        <v>23</v>
      </c>
      <c r="F88" s="457" t="s">
        <v>1354</v>
      </c>
      <c r="G88" s="220">
        <v>1786.2260441729454</v>
      </c>
      <c r="H88" s="219">
        <v>162</v>
      </c>
      <c r="I88" s="220">
        <v>124</v>
      </c>
      <c r="J88" s="219">
        <v>0</v>
      </c>
      <c r="K88" s="220">
        <v>0</v>
      </c>
      <c r="L88" s="1508"/>
      <c r="M88" s="401"/>
      <c r="N88" s="4"/>
      <c r="O88" s="4"/>
      <c r="P88" s="4"/>
      <c r="Z88" s="4"/>
      <c r="AA88" s="4"/>
    </row>
    <row r="89" spans="1:27" s="4" customFormat="1" ht="18" thickTop="1" thickBot="1" x14ac:dyDescent="0.35">
      <c r="A89" s="457" t="s">
        <v>2</v>
      </c>
      <c r="B89" s="458">
        <v>18</v>
      </c>
      <c r="C89" s="458">
        <v>2</v>
      </c>
      <c r="D89" s="458" t="s">
        <v>758</v>
      </c>
      <c r="E89" s="457" t="s">
        <v>1322</v>
      </c>
      <c r="F89" s="457"/>
      <c r="G89" s="220">
        <v>80.630345170274907</v>
      </c>
      <c r="H89" s="219">
        <v>16</v>
      </c>
      <c r="I89" s="220">
        <v>0</v>
      </c>
      <c r="J89" s="219">
        <v>0</v>
      </c>
      <c r="K89" s="220"/>
      <c r="L89" s="1508"/>
      <c r="M89" s="401"/>
      <c r="Z89" s="10"/>
      <c r="AA89" s="10"/>
    </row>
    <row r="90" spans="1:27" ht="18" thickTop="1" thickBot="1" x14ac:dyDescent="0.35">
      <c r="A90" s="457" t="s">
        <v>2</v>
      </c>
      <c r="B90" s="458">
        <v>18</v>
      </c>
      <c r="C90" s="458">
        <v>2</v>
      </c>
      <c r="D90" s="458" t="s">
        <v>758</v>
      </c>
      <c r="E90" s="457" t="s">
        <v>961</v>
      </c>
      <c r="F90" s="457" t="s">
        <v>1252</v>
      </c>
      <c r="G90" s="220">
        <v>320.98389146971647</v>
      </c>
      <c r="H90" s="219">
        <v>45</v>
      </c>
      <c r="I90" s="220">
        <v>18</v>
      </c>
      <c r="J90" s="219">
        <v>0</v>
      </c>
      <c r="K90" s="220">
        <v>0</v>
      </c>
      <c r="L90" s="1508"/>
      <c r="M90" s="401"/>
    </row>
    <row r="91" spans="1:27" ht="18" thickTop="1" thickBot="1" x14ac:dyDescent="0.35">
      <c r="A91" s="692" t="s">
        <v>2</v>
      </c>
      <c r="B91" s="693">
        <v>18</v>
      </c>
      <c r="C91" s="693">
        <v>2</v>
      </c>
      <c r="D91" s="693" t="s">
        <v>758</v>
      </c>
      <c r="E91" s="692" t="s">
        <v>1323</v>
      </c>
      <c r="F91" s="692"/>
      <c r="G91" s="220">
        <v>56.356771471000002</v>
      </c>
      <c r="H91" s="219">
        <v>5</v>
      </c>
      <c r="I91" s="220">
        <v>0</v>
      </c>
      <c r="J91" s="219">
        <v>0</v>
      </c>
      <c r="K91" s="220">
        <v>0</v>
      </c>
      <c r="L91" s="1508"/>
      <c r="M91" s="401"/>
    </row>
    <row r="92" spans="1:27" ht="18" thickTop="1" thickBot="1" x14ac:dyDescent="0.35">
      <c r="A92" s="4"/>
      <c r="B92" s="5"/>
      <c r="C92" s="5"/>
      <c r="D92" s="5"/>
      <c r="E92" s="4" t="s">
        <v>722</v>
      </c>
      <c r="F92" s="4"/>
      <c r="G92" s="633">
        <f>SUM(G32:G91)</f>
        <v>69003.49592143159</v>
      </c>
      <c r="H92" s="632">
        <f>SUM(H32:H91)</f>
        <v>5510</v>
      </c>
      <c r="I92" s="632">
        <f>SUM(I32:I91)</f>
        <v>3050</v>
      </c>
      <c r="J92" s="632">
        <f>SUM(J32:J91)</f>
        <v>1097</v>
      </c>
      <c r="K92" s="633">
        <f>SUM(K32:K91)</f>
        <v>3491.9764743744136</v>
      </c>
      <c r="L92" s="1508"/>
      <c r="M92"/>
      <c r="N92"/>
      <c r="O92"/>
    </row>
    <row r="93" spans="1:27" ht="17.25" thickTop="1" x14ac:dyDescent="0.3">
      <c r="A93" s="4"/>
      <c r="B93" s="4"/>
      <c r="C93" s="4"/>
      <c r="D93" s="4"/>
      <c r="E93" s="4"/>
      <c r="F93" s="4"/>
      <c r="G93" s="1499"/>
      <c r="H93" s="4"/>
      <c r="I93" s="4"/>
      <c r="J93" s="4"/>
      <c r="K93" s="90"/>
      <c r="L93" s="73"/>
      <c r="M93" s="2"/>
      <c r="N93"/>
      <c r="O93"/>
    </row>
    <row r="94" spans="1:27" x14ac:dyDescent="0.3">
      <c r="A94" s="4" t="s">
        <v>1254</v>
      </c>
      <c r="B94" s="5"/>
      <c r="C94" s="5"/>
      <c r="D94" s="5"/>
      <c r="E94" s="4"/>
      <c r="F94" s="4"/>
      <c r="G94" s="1090"/>
      <c r="H94" s="401"/>
      <c r="I94" s="401"/>
      <c r="J94" s="401"/>
      <c r="K94" s="1116"/>
      <c r="L94" s="73"/>
      <c r="M94"/>
      <c r="N94"/>
      <c r="O94"/>
    </row>
    <row r="95" spans="1:27" ht="17.25" thickBot="1" x14ac:dyDescent="0.35">
      <c r="A95" s="4" t="s">
        <v>601</v>
      </c>
      <c r="B95" s="5" t="s">
        <v>717</v>
      </c>
      <c r="C95" s="5" t="s">
        <v>718</v>
      </c>
      <c r="D95" s="5" t="s">
        <v>756</v>
      </c>
      <c r="E95" s="4" t="s">
        <v>1148</v>
      </c>
      <c r="F95" s="4" t="s">
        <v>1198</v>
      </c>
      <c r="G95" s="1090"/>
      <c r="H95" s="401"/>
      <c r="I95" s="401"/>
      <c r="J95" s="401"/>
      <c r="K95" s="1116"/>
      <c r="L95" s="73"/>
      <c r="M95" s="2"/>
      <c r="N95"/>
      <c r="O95"/>
      <c r="P95" s="4"/>
      <c r="Q95" s="4"/>
      <c r="R95" s="4"/>
      <c r="S95" s="4"/>
      <c r="T95" s="4"/>
      <c r="U95" s="4"/>
      <c r="V95" s="4"/>
      <c r="W95" s="4"/>
      <c r="X95" s="4"/>
    </row>
    <row r="96" spans="1:27" s="4" customFormat="1" ht="18" thickTop="1" thickBot="1" x14ac:dyDescent="0.35">
      <c r="A96" s="457" t="s">
        <v>16</v>
      </c>
      <c r="B96" s="458">
        <v>19</v>
      </c>
      <c r="C96" s="458">
        <v>16</v>
      </c>
      <c r="D96" s="458" t="s">
        <v>1229</v>
      </c>
      <c r="E96" s="457" t="s">
        <v>47</v>
      </c>
      <c r="F96" s="457" t="s">
        <v>1205</v>
      </c>
      <c r="G96" s="220">
        <v>162.04408445225002</v>
      </c>
      <c r="H96" s="219">
        <v>0</v>
      </c>
      <c r="I96" s="220">
        <v>0</v>
      </c>
      <c r="J96" s="219">
        <v>0</v>
      </c>
      <c r="K96" s="220">
        <v>0</v>
      </c>
      <c r="L96" s="1236"/>
      <c r="M96"/>
      <c r="N96"/>
      <c r="O96"/>
      <c r="P96" s="10"/>
      <c r="Q96" s="10"/>
      <c r="R96" s="10"/>
      <c r="S96" s="10"/>
      <c r="T96" s="10"/>
      <c r="U96" s="10"/>
      <c r="V96" s="10"/>
      <c r="W96" s="10"/>
      <c r="X96" s="10"/>
      <c r="Y96" s="10"/>
      <c r="Z96" s="10"/>
    </row>
    <row r="97" spans="1:24" ht="18" thickTop="1" thickBot="1" x14ac:dyDescent="0.35">
      <c r="A97" s="697"/>
      <c r="B97" s="698"/>
      <c r="C97" s="698"/>
      <c r="D97" s="698"/>
      <c r="E97" s="697"/>
      <c r="F97" s="697"/>
      <c r="G97" s="220">
        <v>0</v>
      </c>
      <c r="H97" s="219">
        <v>0</v>
      </c>
      <c r="I97" s="220">
        <v>0</v>
      </c>
      <c r="J97" s="219">
        <v>0</v>
      </c>
      <c r="K97" s="220">
        <v>0</v>
      </c>
      <c r="L97" s="1236"/>
      <c r="M97"/>
      <c r="N97"/>
      <c r="O97"/>
    </row>
    <row r="98" spans="1:24" ht="18" thickTop="1" thickBot="1" x14ac:dyDescent="0.35">
      <c r="A98" s="4"/>
      <c r="B98" s="5"/>
      <c r="C98" s="5"/>
      <c r="D98" s="5"/>
      <c r="E98" s="17" t="s">
        <v>1255</v>
      </c>
      <c r="F98" s="4"/>
      <c r="G98" s="633">
        <f>SUM(G96:G97)</f>
        <v>162.04408445225002</v>
      </c>
      <c r="H98" s="632">
        <f>SUM(H96:H97)</f>
        <v>0</v>
      </c>
      <c r="I98" s="632">
        <f>SUM(I96:I97)</f>
        <v>0</v>
      </c>
      <c r="J98" s="632">
        <f>SUM(J96:J97)</f>
        <v>0</v>
      </c>
      <c r="K98" s="633">
        <f>SUM(K96:K97)</f>
        <v>0</v>
      </c>
      <c r="L98" s="75"/>
      <c r="M98"/>
      <c r="N98"/>
      <c r="O98"/>
      <c r="P98"/>
      <c r="Q98"/>
      <c r="R98"/>
      <c r="S98"/>
      <c r="T98"/>
      <c r="U98"/>
      <c r="V98"/>
      <c r="W98"/>
      <c r="X98"/>
    </row>
    <row r="99" spans="1:24" ht="17.25" thickTop="1" x14ac:dyDescent="0.3">
      <c r="A99" s="4"/>
      <c r="B99" s="5"/>
      <c r="C99" s="5"/>
      <c r="D99" s="5"/>
      <c r="E99" s="4"/>
      <c r="F99" s="4"/>
      <c r="G99" s="1091"/>
      <c r="H99" s="691"/>
      <c r="I99" s="691"/>
      <c r="J99" s="691"/>
      <c r="K99" s="1104"/>
      <c r="L99" s="73"/>
      <c r="M99"/>
      <c r="N99"/>
      <c r="O99"/>
      <c r="P99"/>
      <c r="Q99"/>
      <c r="R99"/>
      <c r="S99"/>
      <c r="T99"/>
      <c r="U99"/>
      <c r="V99"/>
      <c r="W99"/>
      <c r="X99"/>
    </row>
    <row r="100" spans="1:24" x14ac:dyDescent="0.3">
      <c r="A100" s="4" t="s">
        <v>723</v>
      </c>
      <c r="H100" s="75"/>
      <c r="I100" s="91"/>
      <c r="J100" s="75"/>
      <c r="K100" s="91"/>
      <c r="L100" s="73"/>
      <c r="M100"/>
      <c r="N100"/>
      <c r="O100"/>
      <c r="P100"/>
      <c r="Q100"/>
      <c r="R100"/>
      <c r="S100"/>
      <c r="T100"/>
      <c r="U100"/>
      <c r="V100"/>
      <c r="W100"/>
      <c r="X100"/>
    </row>
    <row r="101" spans="1:24" ht="17.25" thickBot="1" x14ac:dyDescent="0.35">
      <c r="A101" s="5" t="str">
        <f>A8</f>
        <v>County</v>
      </c>
      <c r="B101" s="5" t="str">
        <f>B8</f>
        <v>District #</v>
      </c>
      <c r="C101" s="5" t="str">
        <f>C8</f>
        <v>DOHQ#</v>
      </c>
      <c r="D101" s="5" t="str">
        <f>D8</f>
        <v>Attendance Area</v>
      </c>
      <c r="E101" s="4" t="s">
        <v>1149</v>
      </c>
      <c r="F101" s="4"/>
      <c r="G101" s="1089"/>
      <c r="H101" s="4"/>
      <c r="I101" s="90"/>
      <c r="J101" s="4"/>
      <c r="K101" s="90"/>
      <c r="L101" s="73"/>
      <c r="M101"/>
      <c r="N101"/>
      <c r="O101"/>
      <c r="P101"/>
      <c r="Q101"/>
      <c r="R101"/>
      <c r="S101"/>
      <c r="T101"/>
      <c r="U101"/>
      <c r="V101"/>
      <c r="W101"/>
      <c r="X101"/>
    </row>
    <row r="102" spans="1:24" ht="18" thickTop="1" thickBot="1" x14ac:dyDescent="0.35">
      <c r="A102" s="457" t="s">
        <v>13</v>
      </c>
      <c r="B102" s="458">
        <v>13</v>
      </c>
      <c r="C102" s="458">
        <v>13</v>
      </c>
      <c r="D102" s="458" t="s">
        <v>13</v>
      </c>
      <c r="E102" s="457" t="s">
        <v>107</v>
      </c>
      <c r="F102" s="590"/>
      <c r="G102" s="220">
        <v>530.77471818666299</v>
      </c>
      <c r="H102" s="219">
        <v>0</v>
      </c>
      <c r="I102" s="220">
        <v>0</v>
      </c>
      <c r="J102" s="219">
        <v>0</v>
      </c>
      <c r="K102" s="220">
        <v>0</v>
      </c>
      <c r="L102" s="1236"/>
      <c r="M102"/>
      <c r="N102"/>
      <c r="O102"/>
      <c r="P102"/>
      <c r="Q102"/>
      <c r="R102"/>
      <c r="S102"/>
      <c r="T102"/>
      <c r="U102"/>
      <c r="V102"/>
      <c r="W102"/>
      <c r="X102"/>
    </row>
    <row r="103" spans="1:24" ht="18" thickTop="1" thickBot="1" x14ac:dyDescent="0.35">
      <c r="A103" s="457" t="s">
        <v>13</v>
      </c>
      <c r="B103" s="458">
        <v>13</v>
      </c>
      <c r="C103" s="458">
        <v>13</v>
      </c>
      <c r="D103" s="458" t="s">
        <v>13</v>
      </c>
      <c r="E103" s="457" t="s">
        <v>108</v>
      </c>
      <c r="F103" s="590"/>
      <c r="G103" s="220">
        <v>551.01096924402032</v>
      </c>
      <c r="H103" s="219">
        <v>0</v>
      </c>
      <c r="I103" s="220">
        <v>0</v>
      </c>
      <c r="J103" s="219">
        <v>0</v>
      </c>
      <c r="K103" s="220">
        <v>0</v>
      </c>
      <c r="L103" s="1236"/>
      <c r="M103"/>
      <c r="N103"/>
      <c r="O103"/>
      <c r="P103"/>
      <c r="Q103"/>
      <c r="R103"/>
      <c r="S103"/>
      <c r="T103"/>
      <c r="U103"/>
      <c r="V103"/>
      <c r="W103"/>
      <c r="X103"/>
    </row>
    <row r="104" spans="1:24" ht="18" thickTop="1" thickBot="1" x14ac:dyDescent="0.35">
      <c r="A104" s="457" t="s">
        <v>13</v>
      </c>
      <c r="B104" s="458">
        <v>13</v>
      </c>
      <c r="C104" s="458">
        <v>13</v>
      </c>
      <c r="D104" s="458" t="s">
        <v>13</v>
      </c>
      <c r="E104" s="457" t="s">
        <v>109</v>
      </c>
      <c r="F104" s="590"/>
      <c r="G104" s="220">
        <v>2249.8377927485963</v>
      </c>
      <c r="H104" s="219">
        <v>0</v>
      </c>
      <c r="I104" s="220">
        <v>0</v>
      </c>
      <c r="J104" s="219">
        <v>0</v>
      </c>
      <c r="K104" s="220">
        <v>0</v>
      </c>
      <c r="L104" s="1236"/>
      <c r="M104"/>
      <c r="N104"/>
      <c r="O104"/>
      <c r="P104"/>
      <c r="Q104"/>
      <c r="R104"/>
      <c r="S104"/>
      <c r="T104"/>
      <c r="U104"/>
      <c r="V104"/>
      <c r="W104"/>
      <c r="X104"/>
    </row>
    <row r="105" spans="1:24" ht="18" thickTop="1" thickBot="1" x14ac:dyDescent="0.35">
      <c r="A105" s="457" t="s">
        <v>13</v>
      </c>
      <c r="B105" s="458">
        <v>13</v>
      </c>
      <c r="C105" s="458">
        <v>13</v>
      </c>
      <c r="D105" s="458" t="s">
        <v>13</v>
      </c>
      <c r="E105" s="457" t="s">
        <v>110</v>
      </c>
      <c r="F105" s="590"/>
      <c r="G105" s="220">
        <v>884.5908868184888</v>
      </c>
      <c r="H105" s="219">
        <v>0</v>
      </c>
      <c r="I105" s="220">
        <v>0</v>
      </c>
      <c r="J105" s="219">
        <v>0</v>
      </c>
      <c r="K105" s="220">
        <v>0</v>
      </c>
      <c r="L105" s="1236"/>
      <c r="M105"/>
      <c r="N105"/>
      <c r="O105"/>
      <c r="P105"/>
      <c r="Q105"/>
      <c r="R105"/>
      <c r="S105"/>
      <c r="T105"/>
      <c r="U105"/>
      <c r="V105"/>
      <c r="W105"/>
      <c r="X105"/>
    </row>
    <row r="106" spans="1:24" ht="18" thickTop="1" thickBot="1" x14ac:dyDescent="0.35">
      <c r="A106" s="457" t="s">
        <v>13</v>
      </c>
      <c r="B106" s="458">
        <v>13</v>
      </c>
      <c r="C106" s="458">
        <v>13</v>
      </c>
      <c r="D106" s="458" t="s">
        <v>13</v>
      </c>
      <c r="E106" s="457" t="s">
        <v>111</v>
      </c>
      <c r="F106" s="590"/>
      <c r="G106" s="220">
        <v>785.28249748095652</v>
      </c>
      <c r="H106" s="219">
        <v>0</v>
      </c>
      <c r="I106" s="220">
        <v>0</v>
      </c>
      <c r="J106" s="219">
        <v>0</v>
      </c>
      <c r="K106" s="220">
        <v>0</v>
      </c>
      <c r="L106" s="1236"/>
      <c r="M106"/>
      <c r="N106"/>
      <c r="O106"/>
      <c r="P106"/>
      <c r="Q106"/>
      <c r="R106"/>
      <c r="S106"/>
      <c r="T106"/>
      <c r="U106"/>
      <c r="V106"/>
      <c r="W106"/>
      <c r="X106"/>
    </row>
    <row r="107" spans="1:24" ht="18" thickTop="1" thickBot="1" x14ac:dyDescent="0.35">
      <c r="A107" s="457" t="s">
        <v>13</v>
      </c>
      <c r="B107" s="458">
        <v>13</v>
      </c>
      <c r="C107" s="458">
        <v>13</v>
      </c>
      <c r="D107" s="458" t="s">
        <v>13</v>
      </c>
      <c r="E107" s="457" t="s">
        <v>732</v>
      </c>
      <c r="F107" s="590"/>
      <c r="G107" s="220">
        <v>15.819736659286558</v>
      </c>
      <c r="H107" s="219">
        <v>0</v>
      </c>
      <c r="I107" s="220">
        <v>0</v>
      </c>
      <c r="J107" s="219">
        <v>0</v>
      </c>
      <c r="K107" s="220">
        <v>0</v>
      </c>
      <c r="L107" s="1236"/>
      <c r="M107"/>
      <c r="N107"/>
      <c r="O107"/>
      <c r="P107"/>
      <c r="Q107"/>
      <c r="R107"/>
      <c r="S107"/>
      <c r="T107"/>
      <c r="U107"/>
      <c r="V107"/>
      <c r="W107"/>
      <c r="X107"/>
    </row>
    <row r="108" spans="1:24" ht="18" thickTop="1" thickBot="1" x14ac:dyDescent="0.35">
      <c r="A108" s="457" t="s">
        <v>13</v>
      </c>
      <c r="B108" s="458">
        <v>13</v>
      </c>
      <c r="C108" s="458">
        <v>13</v>
      </c>
      <c r="D108" s="458" t="s">
        <v>13</v>
      </c>
      <c r="E108" s="457" t="s">
        <v>112</v>
      </c>
      <c r="F108" s="590"/>
      <c r="G108" s="220">
        <v>469.4402281402634</v>
      </c>
      <c r="H108" s="219">
        <v>0</v>
      </c>
      <c r="I108" s="220">
        <v>0</v>
      </c>
      <c r="J108" s="219">
        <v>0</v>
      </c>
      <c r="K108" s="220">
        <v>0</v>
      </c>
      <c r="L108" s="1236"/>
      <c r="M108"/>
      <c r="N108"/>
      <c r="O108"/>
      <c r="P108"/>
      <c r="Q108"/>
      <c r="R108"/>
      <c r="S108"/>
      <c r="T108"/>
      <c r="U108"/>
      <c r="V108"/>
      <c r="W108"/>
      <c r="X108"/>
    </row>
    <row r="109" spans="1:24" ht="18" thickTop="1" thickBot="1" x14ac:dyDescent="0.35">
      <c r="A109" s="457" t="s">
        <v>13</v>
      </c>
      <c r="B109" s="458">
        <v>13</v>
      </c>
      <c r="C109" s="458">
        <v>13</v>
      </c>
      <c r="D109" s="458" t="s">
        <v>13</v>
      </c>
      <c r="E109" s="457" t="s">
        <v>113</v>
      </c>
      <c r="F109" s="590"/>
      <c r="G109" s="220">
        <v>430.22414943464958</v>
      </c>
      <c r="H109" s="219">
        <v>0</v>
      </c>
      <c r="I109" s="220">
        <v>0</v>
      </c>
      <c r="J109" s="219">
        <v>0</v>
      </c>
      <c r="K109" s="220">
        <v>0</v>
      </c>
      <c r="L109" s="1236"/>
      <c r="M109"/>
      <c r="N109"/>
      <c r="O109"/>
      <c r="P109"/>
      <c r="Q109"/>
      <c r="R109"/>
      <c r="S109"/>
      <c r="T109"/>
      <c r="U109"/>
      <c r="V109"/>
      <c r="W109"/>
      <c r="X109"/>
    </row>
    <row r="110" spans="1:24" ht="18" thickTop="1" thickBot="1" x14ac:dyDescent="0.35">
      <c r="A110" s="457" t="s">
        <v>13</v>
      </c>
      <c r="B110" s="458">
        <v>13</v>
      </c>
      <c r="C110" s="458">
        <v>13</v>
      </c>
      <c r="D110" s="458" t="s">
        <v>13</v>
      </c>
      <c r="E110" s="457" t="s">
        <v>114</v>
      </c>
      <c r="F110" s="590"/>
      <c r="G110" s="220">
        <v>547.08971041343625</v>
      </c>
      <c r="H110" s="219">
        <v>0</v>
      </c>
      <c r="I110" s="220">
        <v>0</v>
      </c>
      <c r="J110" s="219">
        <v>0</v>
      </c>
      <c r="K110" s="220">
        <v>0</v>
      </c>
      <c r="L110" s="1236"/>
      <c r="M110"/>
      <c r="N110"/>
      <c r="O110"/>
      <c r="P110"/>
      <c r="Q110"/>
      <c r="R110"/>
      <c r="S110"/>
      <c r="T110"/>
      <c r="U110"/>
      <c r="V110"/>
      <c r="W110"/>
      <c r="X110"/>
    </row>
    <row r="111" spans="1:24" ht="18" thickTop="1" thickBot="1" x14ac:dyDescent="0.35">
      <c r="A111" s="457" t="s">
        <v>13</v>
      </c>
      <c r="B111" s="458">
        <v>13</v>
      </c>
      <c r="C111" s="458">
        <v>13</v>
      </c>
      <c r="D111" s="458" t="s">
        <v>13</v>
      </c>
      <c r="E111" s="457" t="s">
        <v>115</v>
      </c>
      <c r="F111" s="590"/>
      <c r="G111" s="220">
        <v>528.65810718271052</v>
      </c>
      <c r="H111" s="219">
        <v>0</v>
      </c>
      <c r="I111" s="220">
        <v>0</v>
      </c>
      <c r="J111" s="219">
        <v>0</v>
      </c>
      <c r="K111" s="220">
        <v>0</v>
      </c>
      <c r="L111" s="1236"/>
      <c r="M111"/>
      <c r="N111"/>
      <c r="O111"/>
      <c r="P111"/>
      <c r="Q111"/>
      <c r="R111"/>
      <c r="S111"/>
      <c r="T111"/>
      <c r="U111"/>
      <c r="V111"/>
      <c r="W111"/>
      <c r="X111"/>
    </row>
    <row r="112" spans="1:24" ht="18" thickTop="1" thickBot="1" x14ac:dyDescent="0.35">
      <c r="A112" s="457" t="s">
        <v>13</v>
      </c>
      <c r="B112" s="458">
        <v>13</v>
      </c>
      <c r="C112" s="458">
        <v>13</v>
      </c>
      <c r="D112" s="458" t="s">
        <v>13</v>
      </c>
      <c r="E112" s="457" t="s">
        <v>116</v>
      </c>
      <c r="F112" s="590"/>
      <c r="G112" s="220">
        <v>207.56966766375839</v>
      </c>
      <c r="H112" s="219">
        <v>0</v>
      </c>
      <c r="I112" s="220">
        <v>0</v>
      </c>
      <c r="J112" s="219">
        <v>0</v>
      </c>
      <c r="K112" s="220">
        <v>0</v>
      </c>
      <c r="L112" s="1236"/>
      <c r="M112" s="2">
        <f>SUM(L102:L112)</f>
        <v>0</v>
      </c>
      <c r="N112"/>
      <c r="O112"/>
      <c r="P112"/>
      <c r="Q112"/>
      <c r="R112"/>
      <c r="S112"/>
      <c r="T112"/>
      <c r="U112"/>
      <c r="V112"/>
      <c r="W112"/>
      <c r="X112"/>
    </row>
    <row r="113" spans="1:24" ht="18" thickTop="1" thickBot="1" x14ac:dyDescent="0.35">
      <c r="A113" s="457" t="s">
        <v>1</v>
      </c>
      <c r="B113" s="458">
        <v>1</v>
      </c>
      <c r="C113" s="458">
        <v>1</v>
      </c>
      <c r="D113" s="458" t="s">
        <v>757</v>
      </c>
      <c r="E113" s="457" t="s">
        <v>117</v>
      </c>
      <c r="F113" s="590"/>
      <c r="G113" s="220">
        <v>1034.0973471996417</v>
      </c>
      <c r="H113" s="219">
        <v>0</v>
      </c>
      <c r="I113" s="220">
        <v>0</v>
      </c>
      <c r="J113" s="219">
        <v>0</v>
      </c>
      <c r="K113" s="220">
        <v>0</v>
      </c>
      <c r="L113" s="1236"/>
      <c r="M113"/>
      <c r="N113"/>
      <c r="O113"/>
      <c r="P113"/>
      <c r="Q113"/>
      <c r="R113"/>
      <c r="S113"/>
      <c r="T113"/>
      <c r="U113"/>
      <c r="V113"/>
      <c r="W113"/>
      <c r="X113"/>
    </row>
    <row r="114" spans="1:24" ht="18" thickTop="1" thickBot="1" x14ac:dyDescent="0.35">
      <c r="A114" s="457" t="s">
        <v>1</v>
      </c>
      <c r="B114" s="458">
        <v>1</v>
      </c>
      <c r="C114" s="458">
        <v>1</v>
      </c>
      <c r="D114" s="458" t="s">
        <v>757</v>
      </c>
      <c r="E114" s="457" t="s">
        <v>118</v>
      </c>
      <c r="F114" s="590"/>
      <c r="G114" s="220">
        <v>738.52641087225015</v>
      </c>
      <c r="H114" s="219">
        <v>0</v>
      </c>
      <c r="I114" s="220">
        <v>0</v>
      </c>
      <c r="J114" s="219">
        <v>0</v>
      </c>
      <c r="K114" s="220">
        <v>0</v>
      </c>
      <c r="L114" s="1236"/>
      <c r="M114"/>
      <c r="N114"/>
      <c r="O114"/>
      <c r="P114"/>
      <c r="Q114"/>
      <c r="R114"/>
      <c r="S114"/>
      <c r="T114"/>
      <c r="U114"/>
      <c r="V114"/>
      <c r="W114"/>
      <c r="X114"/>
    </row>
    <row r="115" spans="1:24" ht="18" thickTop="1" thickBot="1" x14ac:dyDescent="0.35">
      <c r="A115" s="457" t="s">
        <v>1</v>
      </c>
      <c r="B115" s="458">
        <v>1</v>
      </c>
      <c r="C115" s="458">
        <v>1</v>
      </c>
      <c r="D115" s="458" t="s">
        <v>757</v>
      </c>
      <c r="E115" s="457" t="s">
        <v>119</v>
      </c>
      <c r="F115" s="590"/>
      <c r="G115" s="220">
        <v>440.5090240460159</v>
      </c>
      <c r="H115" s="219">
        <v>0</v>
      </c>
      <c r="I115" s="220">
        <v>0</v>
      </c>
      <c r="J115" s="219">
        <v>0</v>
      </c>
      <c r="K115" s="220">
        <v>0</v>
      </c>
      <c r="L115" s="1236"/>
      <c r="M115"/>
      <c r="N115"/>
      <c r="O115"/>
      <c r="P115"/>
      <c r="Q115"/>
      <c r="R115"/>
      <c r="S115"/>
      <c r="T115"/>
      <c r="U115"/>
      <c r="V115"/>
      <c r="W115"/>
      <c r="X115"/>
    </row>
    <row r="116" spans="1:24" ht="18" thickTop="1" thickBot="1" x14ac:dyDescent="0.35">
      <c r="A116" s="457" t="s">
        <v>1</v>
      </c>
      <c r="B116" s="458">
        <v>1</v>
      </c>
      <c r="C116" s="458">
        <v>1</v>
      </c>
      <c r="D116" s="458" t="s">
        <v>757</v>
      </c>
      <c r="E116" s="457" t="s">
        <v>120</v>
      </c>
      <c r="F116" s="590"/>
      <c r="G116" s="220">
        <v>476.79546135451227</v>
      </c>
      <c r="H116" s="219">
        <v>0</v>
      </c>
      <c r="I116" s="220">
        <v>0</v>
      </c>
      <c r="J116" s="219">
        <v>0</v>
      </c>
      <c r="K116" s="220">
        <v>0</v>
      </c>
      <c r="L116" s="1236"/>
      <c r="M116"/>
      <c r="N116"/>
      <c r="O116"/>
      <c r="P116"/>
      <c r="Q116"/>
      <c r="R116"/>
      <c r="S116"/>
      <c r="T116"/>
      <c r="U116"/>
      <c r="V116"/>
      <c r="W116"/>
      <c r="X116"/>
    </row>
    <row r="117" spans="1:24" ht="18" thickTop="1" thickBot="1" x14ac:dyDescent="0.35">
      <c r="A117" s="457" t="s">
        <v>1</v>
      </c>
      <c r="B117" s="458">
        <v>1</v>
      </c>
      <c r="C117" s="458">
        <v>1</v>
      </c>
      <c r="D117" s="458" t="s">
        <v>757</v>
      </c>
      <c r="E117" s="457" t="s">
        <v>121</v>
      </c>
      <c r="F117" s="590"/>
      <c r="G117" s="220">
        <v>27.942156477290055</v>
      </c>
      <c r="H117" s="219">
        <v>0</v>
      </c>
      <c r="I117" s="220">
        <v>0</v>
      </c>
      <c r="J117" s="219">
        <v>0</v>
      </c>
      <c r="K117" s="220">
        <v>0</v>
      </c>
      <c r="L117" s="1236"/>
      <c r="M117"/>
      <c r="N117"/>
      <c r="O117"/>
      <c r="P117"/>
      <c r="Q117"/>
      <c r="R117"/>
      <c r="S117"/>
      <c r="T117"/>
      <c r="U117"/>
      <c r="V117"/>
      <c r="W117"/>
      <c r="X117"/>
    </row>
    <row r="118" spans="1:24" ht="18" thickTop="1" thickBot="1" x14ac:dyDescent="0.35">
      <c r="A118" s="457" t="s">
        <v>1</v>
      </c>
      <c r="B118" s="458">
        <v>1</v>
      </c>
      <c r="C118" s="458">
        <v>1</v>
      </c>
      <c r="D118" s="458" t="s">
        <v>757</v>
      </c>
      <c r="E118" s="457" t="s">
        <v>846</v>
      </c>
      <c r="F118" s="590"/>
      <c r="G118" s="220">
        <v>473.25622372513487</v>
      </c>
      <c r="H118" s="219">
        <v>0</v>
      </c>
      <c r="I118" s="220">
        <v>0</v>
      </c>
      <c r="J118" s="219">
        <v>0</v>
      </c>
      <c r="K118" s="220">
        <v>0</v>
      </c>
      <c r="L118" s="1236"/>
      <c r="M118" s="2">
        <f>SUM(L113:L118)</f>
        <v>0</v>
      </c>
      <c r="N118"/>
      <c r="O118"/>
      <c r="P118"/>
      <c r="Q118"/>
      <c r="R118"/>
      <c r="S118"/>
      <c r="T118"/>
      <c r="U118"/>
      <c r="V118"/>
      <c r="W118"/>
      <c r="X118"/>
    </row>
    <row r="119" spans="1:24" ht="18" thickTop="1" thickBot="1" x14ac:dyDescent="0.35">
      <c r="A119" s="457" t="s">
        <v>2</v>
      </c>
      <c r="B119" s="458">
        <v>2</v>
      </c>
      <c r="C119" s="458">
        <v>2</v>
      </c>
      <c r="D119" s="458" t="s">
        <v>758</v>
      </c>
      <c r="E119" s="457" t="s">
        <v>724</v>
      </c>
      <c r="F119" s="590"/>
      <c r="G119" s="220">
        <v>707.10291395511774</v>
      </c>
      <c r="H119" s="219">
        <v>0</v>
      </c>
      <c r="I119" s="220">
        <v>0</v>
      </c>
      <c r="J119" s="219">
        <v>0</v>
      </c>
      <c r="K119" s="220">
        <v>0</v>
      </c>
      <c r="L119" s="1236"/>
      <c r="M119"/>
      <c r="N119"/>
      <c r="O119"/>
      <c r="P119"/>
      <c r="Q119"/>
      <c r="R119"/>
      <c r="S119"/>
      <c r="T119"/>
      <c r="U119"/>
      <c r="V119"/>
      <c r="W119"/>
      <c r="X119"/>
    </row>
    <row r="120" spans="1:24" ht="18" thickTop="1" thickBot="1" x14ac:dyDescent="0.35">
      <c r="A120" s="457" t="s">
        <v>2</v>
      </c>
      <c r="B120" s="458">
        <v>3</v>
      </c>
      <c r="C120" s="458">
        <v>2</v>
      </c>
      <c r="D120" s="458" t="s">
        <v>758</v>
      </c>
      <c r="E120" s="457" t="s">
        <v>945</v>
      </c>
      <c r="F120" s="590"/>
      <c r="G120" s="220">
        <v>1232.6391171216621</v>
      </c>
      <c r="H120" s="219"/>
      <c r="I120" s="220"/>
      <c r="J120" s="219"/>
      <c r="K120" s="220"/>
      <c r="L120" s="1236"/>
      <c r="M120"/>
      <c r="N120"/>
      <c r="O120"/>
      <c r="P120"/>
      <c r="Q120"/>
      <c r="R120"/>
      <c r="S120"/>
      <c r="T120"/>
      <c r="U120"/>
      <c r="V120"/>
      <c r="W120"/>
      <c r="X120"/>
    </row>
    <row r="121" spans="1:24" ht="18" thickTop="1" thickBot="1" x14ac:dyDescent="0.35">
      <c r="A121" s="457" t="s">
        <v>2</v>
      </c>
      <c r="B121" s="458">
        <v>2</v>
      </c>
      <c r="C121" s="458">
        <v>2</v>
      </c>
      <c r="D121" s="458" t="s">
        <v>758</v>
      </c>
      <c r="E121" s="457" t="s">
        <v>122</v>
      </c>
      <c r="F121" s="590"/>
      <c r="G121" s="220">
        <v>398.17935574071663</v>
      </c>
      <c r="H121" s="219">
        <v>0</v>
      </c>
      <c r="I121" s="220">
        <v>0</v>
      </c>
      <c r="J121" s="219">
        <v>0</v>
      </c>
      <c r="K121" s="220">
        <v>0</v>
      </c>
      <c r="L121" s="1236"/>
      <c r="M121"/>
      <c r="N121"/>
      <c r="O121"/>
      <c r="P121"/>
      <c r="Q121"/>
      <c r="R121"/>
      <c r="S121"/>
      <c r="T121"/>
      <c r="U121"/>
      <c r="V121"/>
      <c r="W121"/>
      <c r="X121"/>
    </row>
    <row r="122" spans="1:24" ht="18" thickTop="1" thickBot="1" x14ac:dyDescent="0.35">
      <c r="A122" s="457" t="s">
        <v>2</v>
      </c>
      <c r="B122" s="458">
        <v>2</v>
      </c>
      <c r="C122" s="458">
        <v>2</v>
      </c>
      <c r="D122" s="458" t="s">
        <v>758</v>
      </c>
      <c r="E122" s="457" t="s">
        <v>123</v>
      </c>
      <c r="F122" s="590"/>
      <c r="G122" s="220">
        <v>420.16897117467272</v>
      </c>
      <c r="H122" s="219">
        <v>0</v>
      </c>
      <c r="I122" s="220">
        <v>0</v>
      </c>
      <c r="J122" s="219">
        <v>0</v>
      </c>
      <c r="K122" s="220">
        <v>0</v>
      </c>
      <c r="L122" s="1236"/>
      <c r="M122"/>
      <c r="N122"/>
      <c r="O122"/>
      <c r="P122"/>
      <c r="Q122"/>
      <c r="R122"/>
      <c r="S122"/>
      <c r="T122"/>
      <c r="U122"/>
      <c r="V122"/>
      <c r="W122"/>
      <c r="X122"/>
    </row>
    <row r="123" spans="1:24" ht="18" thickTop="1" thickBot="1" x14ac:dyDescent="0.35">
      <c r="A123" s="457" t="s">
        <v>2</v>
      </c>
      <c r="B123" s="458">
        <v>2</v>
      </c>
      <c r="C123" s="458">
        <v>2</v>
      </c>
      <c r="D123" s="458" t="s">
        <v>758</v>
      </c>
      <c r="E123" s="457" t="s">
        <v>124</v>
      </c>
      <c r="F123" s="590"/>
      <c r="G123" s="220">
        <v>1185.2106971705002</v>
      </c>
      <c r="H123" s="219">
        <v>0</v>
      </c>
      <c r="I123" s="220">
        <v>0</v>
      </c>
      <c r="J123" s="219">
        <v>0</v>
      </c>
      <c r="K123" s="220">
        <v>0</v>
      </c>
      <c r="L123" s="1236"/>
      <c r="M123"/>
      <c r="N123"/>
      <c r="O123"/>
      <c r="P123"/>
      <c r="Q123"/>
      <c r="R123"/>
      <c r="S123"/>
      <c r="T123"/>
      <c r="U123"/>
      <c r="V123"/>
      <c r="W123"/>
      <c r="X123"/>
    </row>
    <row r="124" spans="1:24" ht="18" thickTop="1" thickBot="1" x14ac:dyDescent="0.35">
      <c r="A124" s="457" t="s">
        <v>2</v>
      </c>
      <c r="B124" s="458">
        <v>2</v>
      </c>
      <c r="C124" s="458">
        <v>2</v>
      </c>
      <c r="D124" s="458" t="s">
        <v>758</v>
      </c>
      <c r="E124" s="457" t="s">
        <v>125</v>
      </c>
      <c r="F124" s="590"/>
      <c r="G124" s="220">
        <v>825.79834625064279</v>
      </c>
      <c r="H124" s="219">
        <v>0</v>
      </c>
      <c r="I124" s="220">
        <v>0</v>
      </c>
      <c r="J124" s="219">
        <v>0</v>
      </c>
      <c r="K124" s="220">
        <v>0</v>
      </c>
      <c r="L124" s="1236"/>
      <c r="M124"/>
      <c r="N124"/>
      <c r="O124"/>
      <c r="P124"/>
      <c r="Q124"/>
      <c r="R124"/>
      <c r="S124"/>
      <c r="T124"/>
      <c r="U124"/>
      <c r="V124"/>
      <c r="W124"/>
      <c r="X124"/>
    </row>
    <row r="125" spans="1:24" ht="18" thickTop="1" thickBot="1" x14ac:dyDescent="0.35">
      <c r="A125" s="457" t="s">
        <v>2</v>
      </c>
      <c r="B125" s="458">
        <v>2</v>
      </c>
      <c r="C125" s="458">
        <v>2</v>
      </c>
      <c r="D125" s="458" t="s">
        <v>758</v>
      </c>
      <c r="E125" s="457" t="s">
        <v>126</v>
      </c>
      <c r="F125" s="590"/>
      <c r="G125" s="220">
        <v>428.43347980843413</v>
      </c>
      <c r="H125" s="219">
        <v>0</v>
      </c>
      <c r="I125" s="220">
        <v>0</v>
      </c>
      <c r="J125" s="219">
        <v>0</v>
      </c>
      <c r="K125" s="220">
        <v>0</v>
      </c>
      <c r="L125" s="1236"/>
      <c r="M125"/>
      <c r="N125"/>
      <c r="O125"/>
      <c r="P125"/>
      <c r="Q125"/>
      <c r="R125"/>
      <c r="S125"/>
      <c r="T125"/>
      <c r="U125"/>
      <c r="V125"/>
      <c r="W125"/>
      <c r="X125"/>
    </row>
    <row r="126" spans="1:24" ht="18" thickTop="1" thickBot="1" x14ac:dyDescent="0.35">
      <c r="A126" s="457" t="s">
        <v>2</v>
      </c>
      <c r="B126" s="458">
        <v>2</v>
      </c>
      <c r="C126" s="458">
        <v>2</v>
      </c>
      <c r="D126" s="458" t="s">
        <v>758</v>
      </c>
      <c r="E126" s="457" t="s">
        <v>127</v>
      </c>
      <c r="F126" s="590"/>
      <c r="G126" s="220">
        <v>487.38152745556772</v>
      </c>
      <c r="H126" s="219">
        <v>0</v>
      </c>
      <c r="I126" s="220">
        <v>0</v>
      </c>
      <c r="J126" s="219">
        <v>0</v>
      </c>
      <c r="K126" s="220">
        <v>0</v>
      </c>
      <c r="L126" s="1236"/>
      <c r="M126"/>
      <c r="N126"/>
      <c r="O126"/>
      <c r="P126"/>
      <c r="Q126"/>
      <c r="R126"/>
      <c r="S126"/>
      <c r="T126"/>
      <c r="U126"/>
      <c r="V126"/>
      <c r="W126"/>
      <c r="X126"/>
    </row>
    <row r="127" spans="1:24" ht="18" thickTop="1" thickBot="1" x14ac:dyDescent="0.35">
      <c r="A127" s="457" t="s">
        <v>2</v>
      </c>
      <c r="B127" s="458">
        <v>2</v>
      </c>
      <c r="C127" s="458">
        <v>2</v>
      </c>
      <c r="D127" s="458" t="s">
        <v>758</v>
      </c>
      <c r="E127" s="457" t="s">
        <v>128</v>
      </c>
      <c r="F127" s="590"/>
      <c r="G127" s="220">
        <v>3191.1216983829936</v>
      </c>
      <c r="H127" s="219">
        <v>0</v>
      </c>
      <c r="I127" s="220">
        <v>0</v>
      </c>
      <c r="J127" s="219">
        <v>0</v>
      </c>
      <c r="K127" s="220">
        <v>0</v>
      </c>
      <c r="L127" s="1236"/>
      <c r="M127"/>
      <c r="N127"/>
      <c r="O127"/>
      <c r="P127"/>
      <c r="Q127"/>
      <c r="R127"/>
      <c r="S127"/>
      <c r="T127"/>
      <c r="U127"/>
      <c r="V127"/>
      <c r="W127"/>
      <c r="X127"/>
    </row>
    <row r="128" spans="1:24" ht="18" thickTop="1" thickBot="1" x14ac:dyDescent="0.35">
      <c r="A128" s="457" t="s">
        <v>2</v>
      </c>
      <c r="B128" s="458">
        <v>2</v>
      </c>
      <c r="C128" s="458">
        <v>2</v>
      </c>
      <c r="D128" s="458" t="s">
        <v>758</v>
      </c>
      <c r="E128" s="457" t="s">
        <v>129</v>
      </c>
      <c r="F128" s="590"/>
      <c r="G128" s="220">
        <v>1237.8740353759531</v>
      </c>
      <c r="H128" s="219">
        <v>0</v>
      </c>
      <c r="I128" s="220">
        <v>0</v>
      </c>
      <c r="J128" s="219">
        <v>0</v>
      </c>
      <c r="K128" s="220">
        <v>0</v>
      </c>
      <c r="L128" s="1236"/>
      <c r="M128"/>
      <c r="N128"/>
      <c r="O128"/>
      <c r="P128"/>
      <c r="Q128"/>
      <c r="R128"/>
      <c r="S128"/>
      <c r="T128"/>
      <c r="U128"/>
      <c r="V128"/>
      <c r="W128"/>
      <c r="X128"/>
    </row>
    <row r="129" spans="1:24" ht="18" thickTop="1" thickBot="1" x14ac:dyDescent="0.35">
      <c r="A129" s="457" t="s">
        <v>2</v>
      </c>
      <c r="B129" s="458">
        <v>2</v>
      </c>
      <c r="C129" s="458">
        <v>2</v>
      </c>
      <c r="D129" s="458" t="s">
        <v>758</v>
      </c>
      <c r="E129" s="457" t="s">
        <v>130</v>
      </c>
      <c r="F129" s="590"/>
      <c r="G129" s="220">
        <v>545.90776052803494</v>
      </c>
      <c r="H129" s="219">
        <v>0</v>
      </c>
      <c r="I129" s="220">
        <v>0</v>
      </c>
      <c r="J129" s="219">
        <v>0</v>
      </c>
      <c r="K129" s="220">
        <v>0</v>
      </c>
      <c r="L129" s="1236"/>
      <c r="M129"/>
      <c r="N129"/>
      <c r="O129"/>
      <c r="P129"/>
      <c r="Q129"/>
      <c r="R129"/>
      <c r="S129"/>
      <c r="T129"/>
      <c r="U129"/>
      <c r="V129"/>
      <c r="W129"/>
      <c r="X129"/>
    </row>
    <row r="130" spans="1:24" ht="18" thickTop="1" thickBot="1" x14ac:dyDescent="0.35">
      <c r="A130" s="457" t="s">
        <v>2</v>
      </c>
      <c r="B130" s="458">
        <v>2</v>
      </c>
      <c r="C130" s="458">
        <v>2</v>
      </c>
      <c r="D130" s="458" t="s">
        <v>758</v>
      </c>
      <c r="E130" s="457" t="s">
        <v>605</v>
      </c>
      <c r="F130" s="590"/>
      <c r="G130" s="220">
        <v>740.82025763906154</v>
      </c>
      <c r="H130" s="219">
        <v>0</v>
      </c>
      <c r="I130" s="220">
        <v>0</v>
      </c>
      <c r="J130" s="219">
        <v>0</v>
      </c>
      <c r="K130" s="220">
        <v>0</v>
      </c>
      <c r="L130" s="1236"/>
      <c r="M130"/>
      <c r="N130"/>
      <c r="O130"/>
      <c r="P130"/>
      <c r="Q130"/>
      <c r="R130"/>
      <c r="S130"/>
      <c r="T130"/>
      <c r="U130"/>
      <c r="V130"/>
      <c r="W130"/>
      <c r="X130"/>
    </row>
    <row r="131" spans="1:24" ht="18" thickTop="1" thickBot="1" x14ac:dyDescent="0.35">
      <c r="A131" s="457" t="s">
        <v>2</v>
      </c>
      <c r="B131" s="458">
        <v>2</v>
      </c>
      <c r="C131" s="458">
        <v>2</v>
      </c>
      <c r="D131" s="458" t="s">
        <v>758</v>
      </c>
      <c r="E131" s="457" t="s">
        <v>131</v>
      </c>
      <c r="F131" s="590"/>
      <c r="G131" s="220">
        <v>540.80837067535276</v>
      </c>
      <c r="H131" s="219">
        <v>0</v>
      </c>
      <c r="I131" s="220">
        <v>0</v>
      </c>
      <c r="J131" s="219">
        <v>0</v>
      </c>
      <c r="K131" s="220">
        <v>0</v>
      </c>
      <c r="L131" s="1236"/>
      <c r="M131"/>
      <c r="N131"/>
      <c r="O131"/>
      <c r="P131"/>
      <c r="Q131"/>
      <c r="R131"/>
      <c r="S131"/>
      <c r="T131"/>
      <c r="U131"/>
      <c r="V131"/>
      <c r="W131"/>
      <c r="X131"/>
    </row>
    <row r="132" spans="1:24" ht="18" thickTop="1" thickBot="1" x14ac:dyDescent="0.35">
      <c r="A132" s="457" t="s">
        <v>2</v>
      </c>
      <c r="B132" s="458">
        <v>2</v>
      </c>
      <c r="C132" s="458">
        <v>2</v>
      </c>
      <c r="D132" s="458" t="s">
        <v>758</v>
      </c>
      <c r="E132" s="457" t="s">
        <v>132</v>
      </c>
      <c r="F132" s="590"/>
      <c r="G132" s="220">
        <v>2513.9845915482297</v>
      </c>
      <c r="H132" s="219">
        <v>0</v>
      </c>
      <c r="I132" s="220">
        <v>0</v>
      </c>
      <c r="J132" s="219">
        <v>0</v>
      </c>
      <c r="K132" s="220">
        <v>0</v>
      </c>
      <c r="L132" s="1236"/>
      <c r="M132"/>
      <c r="N132"/>
      <c r="O132"/>
      <c r="P132"/>
      <c r="Q132"/>
      <c r="R132"/>
      <c r="S132"/>
      <c r="T132"/>
      <c r="U132"/>
      <c r="V132"/>
      <c r="W132"/>
      <c r="X132"/>
    </row>
    <row r="133" spans="1:24" ht="18" thickTop="1" thickBot="1" x14ac:dyDescent="0.35">
      <c r="A133" s="457" t="s">
        <v>2</v>
      </c>
      <c r="B133" s="458">
        <v>2</v>
      </c>
      <c r="C133" s="458">
        <v>2</v>
      </c>
      <c r="D133" s="458" t="s">
        <v>758</v>
      </c>
      <c r="E133" s="457" t="s">
        <v>133</v>
      </c>
      <c r="F133" s="590"/>
      <c r="G133" s="220">
        <v>554.69749449498374</v>
      </c>
      <c r="H133" s="219">
        <v>0</v>
      </c>
      <c r="I133" s="220">
        <v>0</v>
      </c>
      <c r="J133" s="219">
        <v>0</v>
      </c>
      <c r="K133" s="220">
        <v>0</v>
      </c>
      <c r="L133" s="1236"/>
      <c r="M133"/>
      <c r="N133"/>
      <c r="O133"/>
      <c r="P133"/>
      <c r="Q133"/>
      <c r="R133"/>
      <c r="S133"/>
      <c r="T133"/>
      <c r="U133"/>
      <c r="V133"/>
      <c r="W133"/>
      <c r="X133"/>
    </row>
    <row r="134" spans="1:24" ht="18" thickTop="1" thickBot="1" x14ac:dyDescent="0.35">
      <c r="A134" s="457" t="s">
        <v>2</v>
      </c>
      <c r="B134" s="458">
        <v>2</v>
      </c>
      <c r="C134" s="458">
        <v>2</v>
      </c>
      <c r="D134" s="458" t="s">
        <v>758</v>
      </c>
      <c r="E134" s="457" t="s">
        <v>134</v>
      </c>
      <c r="F134" s="590"/>
      <c r="G134" s="220">
        <v>635.31699258305264</v>
      </c>
      <c r="H134" s="219">
        <v>0</v>
      </c>
      <c r="I134" s="220">
        <v>0</v>
      </c>
      <c r="J134" s="219">
        <v>0</v>
      </c>
      <c r="K134" s="220">
        <v>0</v>
      </c>
      <c r="L134" s="1236"/>
      <c r="M134"/>
      <c r="N134"/>
      <c r="O134"/>
      <c r="P134"/>
      <c r="Q134"/>
      <c r="R134"/>
      <c r="S134"/>
      <c r="T134"/>
      <c r="U134"/>
      <c r="V134"/>
      <c r="W134"/>
      <c r="X134"/>
    </row>
    <row r="135" spans="1:24" ht="18" thickTop="1" thickBot="1" x14ac:dyDescent="0.35">
      <c r="A135" s="457" t="s">
        <v>2</v>
      </c>
      <c r="B135" s="458">
        <v>2</v>
      </c>
      <c r="C135" s="458">
        <v>2</v>
      </c>
      <c r="D135" s="458" t="s">
        <v>758</v>
      </c>
      <c r="E135" s="457" t="s">
        <v>135</v>
      </c>
      <c r="F135" s="590"/>
      <c r="G135" s="220">
        <v>469.41954973954034</v>
      </c>
      <c r="H135" s="219">
        <v>0</v>
      </c>
      <c r="I135" s="220">
        <v>0</v>
      </c>
      <c r="J135" s="219">
        <v>0</v>
      </c>
      <c r="K135" s="220">
        <v>0</v>
      </c>
      <c r="L135" s="1236"/>
      <c r="M135"/>
      <c r="N135"/>
      <c r="O135"/>
      <c r="P135"/>
      <c r="Q135"/>
      <c r="R135"/>
      <c r="S135"/>
      <c r="T135"/>
      <c r="U135"/>
      <c r="V135"/>
      <c r="W135"/>
      <c r="X135"/>
    </row>
    <row r="136" spans="1:24" ht="18" thickTop="1" thickBot="1" x14ac:dyDescent="0.35">
      <c r="A136" s="457" t="s">
        <v>2</v>
      </c>
      <c r="B136" s="458">
        <v>2</v>
      </c>
      <c r="C136" s="458">
        <v>2</v>
      </c>
      <c r="D136" s="458" t="s">
        <v>758</v>
      </c>
      <c r="E136" s="457" t="s">
        <v>136</v>
      </c>
      <c r="F136" s="590"/>
      <c r="G136" s="220">
        <v>1102.8809418424798</v>
      </c>
      <c r="H136" s="219">
        <v>0</v>
      </c>
      <c r="I136" s="220">
        <v>0</v>
      </c>
      <c r="J136" s="219">
        <v>0</v>
      </c>
      <c r="K136" s="220">
        <v>0</v>
      </c>
      <c r="L136" s="1236"/>
      <c r="M136"/>
      <c r="N136"/>
      <c r="O136"/>
      <c r="P136"/>
      <c r="Q136"/>
      <c r="R136"/>
      <c r="S136"/>
      <c r="T136"/>
      <c r="U136"/>
      <c r="V136"/>
      <c r="W136"/>
      <c r="X136"/>
    </row>
    <row r="137" spans="1:24" ht="18" thickTop="1" thickBot="1" x14ac:dyDescent="0.35">
      <c r="A137" s="457" t="s">
        <v>2</v>
      </c>
      <c r="B137" s="458">
        <v>2</v>
      </c>
      <c r="C137" s="458">
        <v>2</v>
      </c>
      <c r="D137" s="458" t="s">
        <v>758</v>
      </c>
      <c r="E137" s="457" t="s">
        <v>137</v>
      </c>
      <c r="F137" s="590"/>
      <c r="G137" s="220">
        <v>724.31803032966377</v>
      </c>
      <c r="H137" s="219">
        <v>0</v>
      </c>
      <c r="I137" s="220">
        <v>0</v>
      </c>
      <c r="J137" s="219">
        <v>0</v>
      </c>
      <c r="K137" s="220">
        <v>0</v>
      </c>
      <c r="L137" s="1236"/>
      <c r="M137"/>
      <c r="N137"/>
      <c r="O137"/>
      <c r="P137"/>
      <c r="Q137"/>
      <c r="R137"/>
      <c r="S137"/>
      <c r="T137"/>
      <c r="U137"/>
      <c r="V137"/>
      <c r="W137"/>
      <c r="X137"/>
    </row>
    <row r="138" spans="1:24" ht="18" thickTop="1" thickBot="1" x14ac:dyDescent="0.35">
      <c r="A138" s="457" t="s">
        <v>2</v>
      </c>
      <c r="B138" s="458">
        <v>2</v>
      </c>
      <c r="C138" s="458">
        <v>2</v>
      </c>
      <c r="D138" s="458" t="s">
        <v>758</v>
      </c>
      <c r="E138" s="457" t="s">
        <v>138</v>
      </c>
      <c r="F138" s="590"/>
      <c r="G138" s="220">
        <v>543.42189589940256</v>
      </c>
      <c r="H138" s="219">
        <v>0</v>
      </c>
      <c r="I138" s="220">
        <v>0</v>
      </c>
      <c r="J138" s="219">
        <v>0</v>
      </c>
      <c r="K138" s="220">
        <v>0</v>
      </c>
      <c r="L138" s="1236"/>
      <c r="M138"/>
      <c r="N138"/>
      <c r="O138"/>
      <c r="P138"/>
      <c r="Q138"/>
      <c r="R138"/>
      <c r="S138"/>
      <c r="T138"/>
      <c r="U138"/>
      <c r="V138"/>
      <c r="W138"/>
      <c r="X138"/>
    </row>
    <row r="139" spans="1:24" ht="18" thickTop="1" thickBot="1" x14ac:dyDescent="0.35">
      <c r="A139" s="457" t="s">
        <v>2</v>
      </c>
      <c r="B139" s="458">
        <v>2</v>
      </c>
      <c r="C139" s="458">
        <v>2</v>
      </c>
      <c r="D139" s="458" t="s">
        <v>758</v>
      </c>
      <c r="E139" s="457" t="s">
        <v>139</v>
      </c>
      <c r="F139" s="590"/>
      <c r="G139" s="220">
        <v>550.99674996071212</v>
      </c>
      <c r="H139" s="219">
        <v>0</v>
      </c>
      <c r="I139" s="220">
        <v>0</v>
      </c>
      <c r="J139" s="219">
        <v>0</v>
      </c>
      <c r="K139" s="220">
        <v>0</v>
      </c>
      <c r="L139" s="1236"/>
      <c r="M139"/>
      <c r="N139"/>
      <c r="O139"/>
      <c r="P139"/>
      <c r="Q139"/>
      <c r="R139"/>
      <c r="S139"/>
      <c r="T139"/>
      <c r="U139"/>
      <c r="V139"/>
      <c r="W139"/>
      <c r="X139"/>
    </row>
    <row r="140" spans="1:24" ht="18" thickTop="1" thickBot="1" x14ac:dyDescent="0.35">
      <c r="A140" s="457" t="s">
        <v>2</v>
      </c>
      <c r="B140" s="458">
        <v>2</v>
      </c>
      <c r="C140" s="458">
        <v>2</v>
      </c>
      <c r="D140" s="458" t="s">
        <v>763</v>
      </c>
      <c r="E140" s="457" t="s">
        <v>140</v>
      </c>
      <c r="F140" s="590"/>
      <c r="G140" s="220">
        <v>328.5812145439624</v>
      </c>
      <c r="H140" s="219">
        <v>0</v>
      </c>
      <c r="I140" s="220">
        <v>0</v>
      </c>
      <c r="J140" s="219">
        <v>0</v>
      </c>
      <c r="K140" s="220">
        <v>0</v>
      </c>
      <c r="L140" s="1236"/>
      <c r="M140"/>
      <c r="N140"/>
      <c r="O140"/>
      <c r="P140"/>
      <c r="Q140"/>
      <c r="R140"/>
      <c r="S140"/>
      <c r="T140"/>
      <c r="U140"/>
      <c r="V140"/>
      <c r="W140"/>
      <c r="X140"/>
    </row>
    <row r="141" spans="1:24" ht="18" thickTop="1" thickBot="1" x14ac:dyDescent="0.35">
      <c r="A141" s="457" t="s">
        <v>2</v>
      </c>
      <c r="B141" s="458">
        <v>2</v>
      </c>
      <c r="C141" s="458">
        <v>2</v>
      </c>
      <c r="D141" s="458" t="s">
        <v>758</v>
      </c>
      <c r="E141" s="457" t="s">
        <v>141</v>
      </c>
      <c r="F141" s="590"/>
      <c r="G141" s="220">
        <v>699.77415999888387</v>
      </c>
      <c r="H141" s="219">
        <v>0</v>
      </c>
      <c r="I141" s="220">
        <v>0</v>
      </c>
      <c r="J141" s="219">
        <v>0</v>
      </c>
      <c r="K141" s="220">
        <v>0</v>
      </c>
      <c r="L141" s="1236"/>
      <c r="M141"/>
      <c r="N141"/>
      <c r="O141"/>
      <c r="P141"/>
      <c r="Q141"/>
      <c r="R141"/>
      <c r="S141"/>
      <c r="T141"/>
      <c r="U141"/>
      <c r="V141"/>
      <c r="W141"/>
      <c r="X141"/>
    </row>
    <row r="142" spans="1:24" ht="18" thickTop="1" thickBot="1" x14ac:dyDescent="0.35">
      <c r="A142" s="457" t="s">
        <v>2</v>
      </c>
      <c r="B142" s="458">
        <v>2</v>
      </c>
      <c r="C142" s="458">
        <v>2</v>
      </c>
      <c r="D142" s="458" t="s">
        <v>758</v>
      </c>
      <c r="E142" s="457" t="s">
        <v>142</v>
      </c>
      <c r="F142" s="590"/>
      <c r="G142" s="220">
        <v>593.39017854413294</v>
      </c>
      <c r="H142" s="219">
        <v>0</v>
      </c>
      <c r="I142" s="220">
        <v>0</v>
      </c>
      <c r="J142" s="219">
        <v>0</v>
      </c>
      <c r="K142" s="220">
        <v>0</v>
      </c>
      <c r="L142" s="1236"/>
      <c r="M142"/>
      <c r="N142"/>
      <c r="O142"/>
      <c r="P142"/>
      <c r="Q142"/>
      <c r="R142"/>
      <c r="S142"/>
      <c r="T142"/>
      <c r="U142"/>
      <c r="V142"/>
      <c r="W142"/>
      <c r="X142"/>
    </row>
    <row r="143" spans="1:24" ht="18" thickTop="1" thickBot="1" x14ac:dyDescent="0.35">
      <c r="A143" s="457" t="s">
        <v>2</v>
      </c>
      <c r="B143" s="458">
        <v>2</v>
      </c>
      <c r="C143" s="458">
        <v>2</v>
      </c>
      <c r="D143" s="458" t="s">
        <v>759</v>
      </c>
      <c r="E143" s="457" t="s">
        <v>143</v>
      </c>
      <c r="F143" s="590"/>
      <c r="G143" s="220">
        <v>36.97251634383808</v>
      </c>
      <c r="H143" s="219">
        <v>0</v>
      </c>
      <c r="I143" s="220">
        <v>0</v>
      </c>
      <c r="J143" s="219">
        <v>0</v>
      </c>
      <c r="K143" s="220">
        <v>0</v>
      </c>
      <c r="L143" s="1236"/>
      <c r="M143"/>
      <c r="N143"/>
      <c r="O143"/>
      <c r="P143"/>
      <c r="Q143"/>
      <c r="R143"/>
      <c r="S143"/>
      <c r="T143"/>
      <c r="U143"/>
      <c r="V143"/>
      <c r="W143"/>
      <c r="X143"/>
    </row>
    <row r="144" spans="1:24" ht="18" thickTop="1" thickBot="1" x14ac:dyDescent="0.35">
      <c r="A144" s="457" t="s">
        <v>2</v>
      </c>
      <c r="B144" s="458">
        <v>2</v>
      </c>
      <c r="C144" s="458">
        <v>2</v>
      </c>
      <c r="D144" s="458" t="s">
        <v>758</v>
      </c>
      <c r="E144" s="457" t="s">
        <v>144</v>
      </c>
      <c r="F144" s="590"/>
      <c r="G144" s="220">
        <v>1992.9377322681078</v>
      </c>
      <c r="H144" s="219">
        <v>0</v>
      </c>
      <c r="I144" s="220">
        <v>0</v>
      </c>
      <c r="J144" s="219">
        <v>0</v>
      </c>
      <c r="K144" s="220">
        <v>0</v>
      </c>
      <c r="L144" s="1236"/>
      <c r="M144"/>
      <c r="N144"/>
      <c r="O144"/>
      <c r="P144"/>
      <c r="Q144"/>
      <c r="R144"/>
      <c r="S144"/>
      <c r="T144"/>
      <c r="U144"/>
      <c r="V144"/>
      <c r="W144"/>
      <c r="X144"/>
    </row>
    <row r="145" spans="1:24" ht="18" thickTop="1" thickBot="1" x14ac:dyDescent="0.35">
      <c r="A145" s="457" t="s">
        <v>2</v>
      </c>
      <c r="B145" s="458">
        <v>2</v>
      </c>
      <c r="C145" s="458">
        <v>2</v>
      </c>
      <c r="D145" s="458" t="s">
        <v>758</v>
      </c>
      <c r="E145" s="457" t="s">
        <v>145</v>
      </c>
      <c r="F145" s="590"/>
      <c r="G145" s="220">
        <v>783.27963906484285</v>
      </c>
      <c r="H145" s="219">
        <v>0</v>
      </c>
      <c r="I145" s="220">
        <v>0</v>
      </c>
      <c r="J145" s="219">
        <v>0</v>
      </c>
      <c r="K145" s="220">
        <v>0</v>
      </c>
      <c r="L145" s="1236"/>
      <c r="M145"/>
      <c r="N145"/>
      <c r="O145"/>
      <c r="P145"/>
      <c r="Q145"/>
      <c r="R145"/>
      <c r="S145"/>
      <c r="T145"/>
      <c r="U145"/>
      <c r="V145"/>
      <c r="W145"/>
      <c r="X145"/>
    </row>
    <row r="146" spans="1:24" ht="18" thickTop="1" thickBot="1" x14ac:dyDescent="0.35">
      <c r="A146" s="457" t="s">
        <v>2</v>
      </c>
      <c r="B146" s="458">
        <v>2</v>
      </c>
      <c r="C146" s="458">
        <v>2</v>
      </c>
      <c r="D146" s="458" t="s">
        <v>758</v>
      </c>
      <c r="E146" s="457" t="s">
        <v>146</v>
      </c>
      <c r="F146" s="590"/>
      <c r="G146" s="220">
        <v>335.76232351154994</v>
      </c>
      <c r="H146" s="219">
        <v>0</v>
      </c>
      <c r="I146" s="220">
        <v>0</v>
      </c>
      <c r="J146" s="219">
        <v>0</v>
      </c>
      <c r="K146" s="220">
        <v>0</v>
      </c>
      <c r="L146" s="1236"/>
      <c r="M146"/>
      <c r="N146"/>
      <c r="O146"/>
      <c r="P146"/>
      <c r="Q146"/>
      <c r="R146"/>
      <c r="S146"/>
      <c r="T146"/>
      <c r="U146"/>
      <c r="V146"/>
      <c r="W146"/>
      <c r="X146"/>
    </row>
    <row r="147" spans="1:24" ht="18" thickTop="1" thickBot="1" x14ac:dyDescent="0.35">
      <c r="A147" s="457" t="s">
        <v>2</v>
      </c>
      <c r="B147" s="458">
        <v>2</v>
      </c>
      <c r="C147" s="458">
        <v>2</v>
      </c>
      <c r="D147" s="458" t="s">
        <v>760</v>
      </c>
      <c r="E147" s="457" t="s">
        <v>147</v>
      </c>
      <c r="F147" s="590"/>
      <c r="G147" s="220">
        <v>644.06972798595928</v>
      </c>
      <c r="H147" s="219">
        <v>0</v>
      </c>
      <c r="I147" s="220">
        <v>0</v>
      </c>
      <c r="J147" s="219">
        <v>0</v>
      </c>
      <c r="K147" s="220">
        <v>0</v>
      </c>
      <c r="L147" s="1236"/>
      <c r="M147"/>
      <c r="N147"/>
      <c r="O147"/>
      <c r="P147"/>
      <c r="Q147"/>
      <c r="R147"/>
      <c r="S147"/>
      <c r="T147"/>
      <c r="U147"/>
      <c r="V147"/>
      <c r="W147"/>
      <c r="X147"/>
    </row>
    <row r="148" spans="1:24" ht="18" thickTop="1" thickBot="1" x14ac:dyDescent="0.35">
      <c r="A148" s="457" t="s">
        <v>2</v>
      </c>
      <c r="B148" s="458">
        <v>2</v>
      </c>
      <c r="C148" s="458">
        <v>2</v>
      </c>
      <c r="D148" s="458" t="s">
        <v>766</v>
      </c>
      <c r="E148" s="457" t="s">
        <v>148</v>
      </c>
      <c r="F148" s="590"/>
      <c r="G148" s="220">
        <v>644.84993435932563</v>
      </c>
      <c r="H148" s="219">
        <v>0</v>
      </c>
      <c r="I148" s="220">
        <v>0</v>
      </c>
      <c r="J148" s="219">
        <v>0</v>
      </c>
      <c r="K148" s="220">
        <v>0</v>
      </c>
      <c r="L148" s="1236"/>
      <c r="M148"/>
      <c r="N148"/>
      <c r="O148"/>
      <c r="P148"/>
      <c r="Q148"/>
      <c r="R148"/>
      <c r="S148"/>
      <c r="T148"/>
      <c r="U148"/>
      <c r="V148"/>
      <c r="W148"/>
      <c r="X148"/>
    </row>
    <row r="149" spans="1:24" ht="18" thickTop="1" thickBot="1" x14ac:dyDescent="0.35">
      <c r="A149" s="457" t="s">
        <v>2</v>
      </c>
      <c r="B149" s="458">
        <v>2</v>
      </c>
      <c r="C149" s="458">
        <v>2</v>
      </c>
      <c r="D149" s="458" t="s">
        <v>765</v>
      </c>
      <c r="E149" s="457" t="s">
        <v>149</v>
      </c>
      <c r="F149" s="590"/>
      <c r="G149" s="220">
        <v>437.25330822490315</v>
      </c>
      <c r="H149" s="219">
        <v>0</v>
      </c>
      <c r="I149" s="220">
        <v>0</v>
      </c>
      <c r="J149" s="219">
        <v>0</v>
      </c>
      <c r="K149" s="220">
        <v>0</v>
      </c>
      <c r="L149" s="1236"/>
      <c r="M149"/>
      <c r="N149"/>
      <c r="O149"/>
      <c r="P149"/>
      <c r="Q149"/>
      <c r="R149"/>
      <c r="S149"/>
      <c r="T149"/>
      <c r="U149"/>
      <c r="V149"/>
      <c r="W149"/>
      <c r="X149"/>
    </row>
    <row r="150" spans="1:24" ht="18" thickTop="1" thickBot="1" x14ac:dyDescent="0.35">
      <c r="A150" s="457" t="s">
        <v>2</v>
      </c>
      <c r="B150" s="458">
        <v>2</v>
      </c>
      <c r="C150" s="458">
        <v>2</v>
      </c>
      <c r="D150" s="458" t="s">
        <v>758</v>
      </c>
      <c r="E150" s="457" t="s">
        <v>150</v>
      </c>
      <c r="F150" s="590"/>
      <c r="G150" s="220">
        <v>762.57224998338381</v>
      </c>
      <c r="H150" s="219">
        <v>0</v>
      </c>
      <c r="I150" s="220">
        <v>0</v>
      </c>
      <c r="J150" s="219">
        <v>0</v>
      </c>
      <c r="K150" s="220">
        <v>0</v>
      </c>
      <c r="L150" s="1236"/>
      <c r="M150"/>
      <c r="N150"/>
      <c r="O150"/>
      <c r="P150"/>
      <c r="Q150"/>
      <c r="R150"/>
      <c r="S150"/>
      <c r="T150"/>
      <c r="U150"/>
      <c r="V150"/>
      <c r="W150"/>
      <c r="X150"/>
    </row>
    <row r="151" spans="1:24" ht="18" thickTop="1" thickBot="1" x14ac:dyDescent="0.35">
      <c r="A151" s="457" t="s">
        <v>2</v>
      </c>
      <c r="B151" s="458">
        <v>2</v>
      </c>
      <c r="C151" s="458">
        <v>2</v>
      </c>
      <c r="D151" s="458" t="s">
        <v>758</v>
      </c>
      <c r="E151" s="457" t="s">
        <v>151</v>
      </c>
      <c r="F151" s="590"/>
      <c r="G151" s="220">
        <v>539.50213200641258</v>
      </c>
      <c r="H151" s="219">
        <v>0</v>
      </c>
      <c r="I151" s="220">
        <v>0</v>
      </c>
      <c r="J151" s="219">
        <v>0</v>
      </c>
      <c r="K151" s="220">
        <v>0</v>
      </c>
      <c r="L151" s="1236"/>
      <c r="M151"/>
      <c r="N151"/>
      <c r="O151"/>
      <c r="P151"/>
      <c r="Q151"/>
      <c r="R151"/>
      <c r="S151"/>
      <c r="T151"/>
      <c r="U151"/>
      <c r="V151"/>
      <c r="W151"/>
      <c r="X151"/>
    </row>
    <row r="152" spans="1:24" ht="18" thickTop="1" thickBot="1" x14ac:dyDescent="0.35">
      <c r="A152" s="457" t="s">
        <v>2</v>
      </c>
      <c r="B152" s="458">
        <v>2</v>
      </c>
      <c r="C152" s="458">
        <v>2</v>
      </c>
      <c r="D152" s="458" t="s">
        <v>758</v>
      </c>
      <c r="E152" s="457" t="s">
        <v>152</v>
      </c>
      <c r="F152" s="590"/>
      <c r="G152" s="220">
        <v>1125.5482959510539</v>
      </c>
      <c r="H152" s="219">
        <v>0</v>
      </c>
      <c r="I152" s="220">
        <v>0</v>
      </c>
      <c r="J152" s="219">
        <v>0</v>
      </c>
      <c r="K152" s="220">
        <v>0</v>
      </c>
      <c r="L152" s="1236"/>
      <c r="M152"/>
      <c r="N152"/>
      <c r="O152"/>
      <c r="P152"/>
      <c r="Q152"/>
      <c r="R152"/>
      <c r="S152"/>
      <c r="T152"/>
      <c r="U152"/>
      <c r="V152"/>
      <c r="W152"/>
      <c r="X152"/>
    </row>
    <row r="153" spans="1:24" ht="18" thickTop="1" thickBot="1" x14ac:dyDescent="0.35">
      <c r="A153" s="457" t="s">
        <v>2</v>
      </c>
      <c r="B153" s="458">
        <v>2</v>
      </c>
      <c r="C153" s="458">
        <v>2</v>
      </c>
      <c r="D153" s="458" t="s">
        <v>758</v>
      </c>
      <c r="E153" s="457" t="s">
        <v>153</v>
      </c>
      <c r="F153" s="590"/>
      <c r="G153" s="220">
        <v>921.27128254120964</v>
      </c>
      <c r="H153" s="219">
        <v>0</v>
      </c>
      <c r="I153" s="220">
        <v>0</v>
      </c>
      <c r="J153" s="219">
        <v>0</v>
      </c>
      <c r="K153" s="220">
        <v>0</v>
      </c>
      <c r="L153" s="1236"/>
      <c r="M153"/>
      <c r="N153"/>
      <c r="O153"/>
      <c r="P153"/>
      <c r="Q153"/>
      <c r="R153"/>
      <c r="S153"/>
      <c r="T153"/>
      <c r="U153"/>
      <c r="V153"/>
      <c r="W153"/>
      <c r="X153"/>
    </row>
    <row r="154" spans="1:24" ht="18" thickTop="1" thickBot="1" x14ac:dyDescent="0.35">
      <c r="A154" s="457" t="s">
        <v>2</v>
      </c>
      <c r="B154" s="458">
        <v>2</v>
      </c>
      <c r="C154" s="458">
        <v>2</v>
      </c>
      <c r="D154" s="458" t="s">
        <v>758</v>
      </c>
      <c r="E154" s="457" t="s">
        <v>154</v>
      </c>
      <c r="F154" s="590"/>
      <c r="G154" s="220">
        <v>589.77131400816631</v>
      </c>
      <c r="H154" s="219">
        <v>0</v>
      </c>
      <c r="I154" s="220">
        <v>0</v>
      </c>
      <c r="J154" s="219">
        <v>0</v>
      </c>
      <c r="K154" s="220">
        <v>0</v>
      </c>
      <c r="L154" s="1236"/>
      <c r="M154"/>
      <c r="N154"/>
      <c r="O154"/>
      <c r="P154"/>
      <c r="Q154"/>
      <c r="R154"/>
      <c r="S154"/>
      <c r="T154"/>
      <c r="U154"/>
      <c r="V154"/>
      <c r="W154"/>
      <c r="X154"/>
    </row>
    <row r="155" spans="1:24" ht="18" thickTop="1" thickBot="1" x14ac:dyDescent="0.35">
      <c r="A155" s="457" t="s">
        <v>2</v>
      </c>
      <c r="B155" s="458">
        <v>2</v>
      </c>
      <c r="C155" s="458">
        <v>2</v>
      </c>
      <c r="D155" s="458" t="s">
        <v>758</v>
      </c>
      <c r="E155" s="457" t="s">
        <v>155</v>
      </c>
      <c r="F155" s="590"/>
      <c r="G155" s="220">
        <v>796.66132584648619</v>
      </c>
      <c r="H155" s="219">
        <v>0</v>
      </c>
      <c r="I155" s="220">
        <v>0</v>
      </c>
      <c r="J155" s="219">
        <v>0</v>
      </c>
      <c r="K155" s="220">
        <v>0</v>
      </c>
      <c r="L155" s="1236"/>
      <c r="M155"/>
      <c r="N155"/>
      <c r="O155"/>
      <c r="P155"/>
      <c r="Q155"/>
      <c r="R155"/>
      <c r="S155"/>
      <c r="T155"/>
      <c r="U155"/>
      <c r="V155"/>
      <c r="W155"/>
      <c r="X155"/>
    </row>
    <row r="156" spans="1:24" ht="18" thickTop="1" thickBot="1" x14ac:dyDescent="0.35">
      <c r="A156" s="457" t="s">
        <v>2</v>
      </c>
      <c r="B156" s="458">
        <v>2</v>
      </c>
      <c r="C156" s="458">
        <v>2</v>
      </c>
      <c r="D156" s="458" t="s">
        <v>758</v>
      </c>
      <c r="E156" s="457" t="s">
        <v>1330</v>
      </c>
      <c r="F156" s="457"/>
      <c r="G156" s="220">
        <v>611.13224477914605</v>
      </c>
      <c r="H156" s="219">
        <v>0</v>
      </c>
      <c r="I156" s="220">
        <v>0</v>
      </c>
      <c r="J156" s="219">
        <v>0</v>
      </c>
      <c r="K156" s="220">
        <v>0</v>
      </c>
      <c r="L156" s="1236"/>
      <c r="M156"/>
      <c r="N156"/>
      <c r="O156"/>
      <c r="P156"/>
      <c r="Q156"/>
      <c r="R156"/>
      <c r="S156"/>
      <c r="T156"/>
      <c r="U156"/>
      <c r="V156"/>
      <c r="W156"/>
      <c r="X156"/>
    </row>
    <row r="157" spans="1:24" ht="18" thickTop="1" thickBot="1" x14ac:dyDescent="0.35">
      <c r="A157" s="457" t="s">
        <v>2</v>
      </c>
      <c r="B157" s="458">
        <v>2</v>
      </c>
      <c r="C157" s="458">
        <v>2</v>
      </c>
      <c r="D157" s="458" t="s">
        <v>758</v>
      </c>
      <c r="E157" s="457" t="s">
        <v>156</v>
      </c>
      <c r="F157" s="590"/>
      <c r="G157" s="220">
        <v>534.64780937300236</v>
      </c>
      <c r="H157" s="219">
        <v>0</v>
      </c>
      <c r="I157" s="220">
        <v>0</v>
      </c>
      <c r="J157" s="219">
        <v>0</v>
      </c>
      <c r="K157" s="220">
        <v>0</v>
      </c>
      <c r="L157" s="1236"/>
      <c r="M157"/>
      <c r="N157"/>
      <c r="O157"/>
      <c r="P157"/>
      <c r="Q157"/>
      <c r="R157"/>
      <c r="S157"/>
      <c r="T157"/>
      <c r="U157"/>
      <c r="V157"/>
      <c r="W157"/>
      <c r="X157"/>
    </row>
    <row r="158" spans="1:24" ht="18" thickTop="1" thickBot="1" x14ac:dyDescent="0.35">
      <c r="A158" s="457" t="s">
        <v>2</v>
      </c>
      <c r="B158" s="458">
        <v>2</v>
      </c>
      <c r="C158" s="458">
        <v>2</v>
      </c>
      <c r="D158" s="458" t="s">
        <v>758</v>
      </c>
      <c r="E158" s="457" t="s">
        <v>157</v>
      </c>
      <c r="F158" s="590"/>
      <c r="G158" s="220">
        <v>426.01811338321733</v>
      </c>
      <c r="H158" s="219">
        <v>0</v>
      </c>
      <c r="I158" s="220">
        <v>0</v>
      </c>
      <c r="J158" s="219">
        <v>0</v>
      </c>
      <c r="K158" s="220">
        <v>0</v>
      </c>
      <c r="L158" s="1236"/>
      <c r="M158"/>
      <c r="N158"/>
      <c r="O158"/>
      <c r="P158"/>
      <c r="Q158"/>
      <c r="R158"/>
      <c r="S158"/>
      <c r="T158"/>
      <c r="U158"/>
      <c r="V158"/>
      <c r="W158"/>
      <c r="X158"/>
    </row>
    <row r="159" spans="1:24" ht="18" thickTop="1" thickBot="1" x14ac:dyDescent="0.35">
      <c r="A159" s="457" t="s">
        <v>2</v>
      </c>
      <c r="B159" s="458">
        <v>2</v>
      </c>
      <c r="C159" s="458">
        <v>2</v>
      </c>
      <c r="D159" s="458" t="s">
        <v>758</v>
      </c>
      <c r="E159" s="457" t="s">
        <v>158</v>
      </c>
      <c r="F159" s="590"/>
      <c r="G159" s="220">
        <v>544.19501972627302</v>
      </c>
      <c r="H159" s="219">
        <v>0</v>
      </c>
      <c r="I159" s="220">
        <v>0</v>
      </c>
      <c r="J159" s="219">
        <v>0</v>
      </c>
      <c r="K159" s="220">
        <v>0</v>
      </c>
      <c r="L159" s="1236"/>
      <c r="M159"/>
      <c r="N159"/>
      <c r="O159"/>
      <c r="P159"/>
      <c r="Q159"/>
      <c r="R159"/>
      <c r="S159"/>
      <c r="T159"/>
      <c r="U159"/>
      <c r="V159"/>
      <c r="W159"/>
      <c r="X159"/>
    </row>
    <row r="160" spans="1:24" ht="18" thickTop="1" thickBot="1" x14ac:dyDescent="0.35">
      <c r="A160" s="457" t="s">
        <v>2</v>
      </c>
      <c r="B160" s="458">
        <v>2</v>
      </c>
      <c r="C160" s="458">
        <v>2</v>
      </c>
      <c r="D160" s="458" t="s">
        <v>758</v>
      </c>
      <c r="E160" s="457" t="s">
        <v>159</v>
      </c>
      <c r="F160" s="590"/>
      <c r="G160" s="220">
        <v>627.26041534216063</v>
      </c>
      <c r="H160" s="219">
        <v>0</v>
      </c>
      <c r="I160" s="220">
        <v>0</v>
      </c>
      <c r="J160" s="219">
        <v>0</v>
      </c>
      <c r="K160" s="220">
        <v>0</v>
      </c>
      <c r="L160" s="1236"/>
      <c r="M160"/>
      <c r="N160"/>
      <c r="O160"/>
      <c r="P160"/>
      <c r="Q160"/>
      <c r="R160"/>
      <c r="S160"/>
      <c r="T160"/>
      <c r="U160"/>
      <c r="V160"/>
      <c r="W160"/>
      <c r="X160"/>
    </row>
    <row r="161" spans="1:24" ht="18" thickTop="1" thickBot="1" x14ac:dyDescent="0.35">
      <c r="A161" s="457" t="s">
        <v>2</v>
      </c>
      <c r="B161" s="458">
        <v>2</v>
      </c>
      <c r="C161" s="458">
        <v>2</v>
      </c>
      <c r="D161" s="458" t="s">
        <v>758</v>
      </c>
      <c r="E161" s="457" t="s">
        <v>160</v>
      </c>
      <c r="F161" s="590"/>
      <c r="G161" s="220">
        <v>48.874092025708954</v>
      </c>
      <c r="H161" s="219">
        <v>0</v>
      </c>
      <c r="I161" s="220">
        <v>0</v>
      </c>
      <c r="J161" s="219">
        <v>0</v>
      </c>
      <c r="K161" s="220">
        <v>0</v>
      </c>
      <c r="L161" s="1236"/>
      <c r="M161"/>
      <c r="N161"/>
      <c r="O161"/>
      <c r="P161"/>
      <c r="Q161"/>
      <c r="R161"/>
      <c r="S161"/>
      <c r="T161"/>
      <c r="U161"/>
      <c r="V161"/>
      <c r="W161"/>
      <c r="X161"/>
    </row>
    <row r="162" spans="1:24" ht="18" thickTop="1" thickBot="1" x14ac:dyDescent="0.35">
      <c r="A162" s="457" t="s">
        <v>2</v>
      </c>
      <c r="B162" s="458">
        <v>2</v>
      </c>
      <c r="C162" s="458">
        <v>2</v>
      </c>
      <c r="D162" s="458" t="s">
        <v>758</v>
      </c>
      <c r="E162" s="457" t="s">
        <v>161</v>
      </c>
      <c r="F162" s="590"/>
      <c r="G162" s="220">
        <v>485.83847905125032</v>
      </c>
      <c r="H162" s="219">
        <v>0</v>
      </c>
      <c r="I162" s="220">
        <v>0</v>
      </c>
      <c r="J162" s="219">
        <v>0</v>
      </c>
      <c r="K162" s="220">
        <v>0</v>
      </c>
      <c r="L162" s="1236"/>
      <c r="M162"/>
      <c r="N162"/>
      <c r="O162"/>
      <c r="P162"/>
      <c r="Q162"/>
      <c r="R162"/>
      <c r="S162"/>
      <c r="T162"/>
      <c r="U162"/>
      <c r="V162"/>
      <c r="W162"/>
      <c r="X162"/>
    </row>
    <row r="163" spans="1:24" ht="18" thickTop="1" thickBot="1" x14ac:dyDescent="0.35">
      <c r="A163" s="457" t="s">
        <v>2</v>
      </c>
      <c r="B163" s="458">
        <v>2</v>
      </c>
      <c r="C163" s="458">
        <v>2</v>
      </c>
      <c r="D163" s="458" t="s">
        <v>758</v>
      </c>
      <c r="E163" s="457" t="s">
        <v>162</v>
      </c>
      <c r="F163" s="590"/>
      <c r="G163" s="220">
        <v>1390.8166925328176</v>
      </c>
      <c r="H163" s="219">
        <v>0</v>
      </c>
      <c r="I163" s="220">
        <v>0</v>
      </c>
      <c r="J163" s="219">
        <v>0</v>
      </c>
      <c r="K163" s="220">
        <v>0</v>
      </c>
      <c r="L163" s="1236"/>
      <c r="M163"/>
      <c r="N163"/>
      <c r="O163"/>
      <c r="P163"/>
      <c r="Q163"/>
      <c r="R163"/>
      <c r="S163"/>
      <c r="T163"/>
      <c r="U163"/>
      <c r="V163"/>
      <c r="W163"/>
      <c r="X163"/>
    </row>
    <row r="164" spans="1:24" ht="18" thickTop="1" thickBot="1" x14ac:dyDescent="0.35">
      <c r="A164" s="457" t="s">
        <v>2</v>
      </c>
      <c r="B164" s="458">
        <v>2</v>
      </c>
      <c r="C164" s="458">
        <v>2</v>
      </c>
      <c r="D164" s="458" t="s">
        <v>758</v>
      </c>
      <c r="E164" s="457" t="s">
        <v>163</v>
      </c>
      <c r="F164" s="590"/>
      <c r="G164" s="220">
        <v>535.18351867761783</v>
      </c>
      <c r="H164" s="219">
        <v>0</v>
      </c>
      <c r="I164" s="220">
        <v>0</v>
      </c>
      <c r="J164" s="219">
        <v>0</v>
      </c>
      <c r="K164" s="220">
        <v>0</v>
      </c>
      <c r="L164" s="1236"/>
      <c r="M164"/>
      <c r="N164"/>
      <c r="O164"/>
      <c r="P164"/>
      <c r="Q164"/>
      <c r="R164"/>
      <c r="S164"/>
      <c r="T164"/>
      <c r="U164"/>
      <c r="V164"/>
      <c r="W164"/>
      <c r="X164"/>
    </row>
    <row r="165" spans="1:24" ht="18" thickTop="1" thickBot="1" x14ac:dyDescent="0.35">
      <c r="A165" s="457" t="s">
        <v>2</v>
      </c>
      <c r="B165" s="458">
        <v>2</v>
      </c>
      <c r="C165" s="458">
        <v>2</v>
      </c>
      <c r="D165" s="458" t="s">
        <v>758</v>
      </c>
      <c r="E165" s="457" t="s">
        <v>164</v>
      </c>
      <c r="F165" s="590"/>
      <c r="G165" s="220">
        <v>485.6571031317456</v>
      </c>
      <c r="H165" s="219">
        <v>0</v>
      </c>
      <c r="I165" s="220">
        <v>0</v>
      </c>
      <c r="J165" s="219">
        <v>0</v>
      </c>
      <c r="K165" s="220">
        <v>0</v>
      </c>
      <c r="L165" s="1236"/>
      <c r="M165"/>
      <c r="N165"/>
      <c r="O165"/>
      <c r="P165"/>
      <c r="Q165"/>
      <c r="R165"/>
      <c r="S165"/>
      <c r="T165"/>
      <c r="U165"/>
      <c r="V165"/>
      <c r="W165"/>
      <c r="X165"/>
    </row>
    <row r="166" spans="1:24" ht="18" thickTop="1" thickBot="1" x14ac:dyDescent="0.35">
      <c r="A166" s="457" t="s">
        <v>2</v>
      </c>
      <c r="B166" s="458">
        <v>2</v>
      </c>
      <c r="C166" s="458">
        <v>2</v>
      </c>
      <c r="D166" s="458" t="s">
        <v>758</v>
      </c>
      <c r="E166" s="457" t="s">
        <v>165</v>
      </c>
      <c r="F166" s="590"/>
      <c r="G166" s="220">
        <v>1488.5365883371485</v>
      </c>
      <c r="H166" s="219">
        <v>0</v>
      </c>
      <c r="I166" s="220">
        <v>0</v>
      </c>
      <c r="J166" s="219">
        <v>0</v>
      </c>
      <c r="K166" s="220">
        <v>0</v>
      </c>
      <c r="L166" s="1236"/>
      <c r="M166"/>
      <c r="N166"/>
      <c r="O166"/>
      <c r="P166"/>
      <c r="Q166"/>
      <c r="R166"/>
      <c r="S166"/>
      <c r="T166"/>
      <c r="U166"/>
      <c r="V166"/>
      <c r="W166"/>
      <c r="X166"/>
    </row>
    <row r="167" spans="1:24" ht="18" thickTop="1" thickBot="1" x14ac:dyDescent="0.35">
      <c r="A167" s="457" t="s">
        <v>2</v>
      </c>
      <c r="B167" s="458">
        <v>2</v>
      </c>
      <c r="C167" s="458">
        <v>2</v>
      </c>
      <c r="D167" s="458" t="s">
        <v>758</v>
      </c>
      <c r="E167" s="457" t="s">
        <v>166</v>
      </c>
      <c r="F167" s="590"/>
      <c r="G167" s="220">
        <v>742.32731406608775</v>
      </c>
      <c r="H167" s="219">
        <v>0</v>
      </c>
      <c r="I167" s="220">
        <v>0</v>
      </c>
      <c r="J167" s="219">
        <v>0</v>
      </c>
      <c r="K167" s="220">
        <v>0</v>
      </c>
      <c r="L167" s="1236"/>
      <c r="M167"/>
      <c r="N167"/>
      <c r="O167"/>
      <c r="P167"/>
      <c r="Q167"/>
      <c r="R167"/>
      <c r="S167"/>
      <c r="T167"/>
      <c r="U167"/>
      <c r="V167"/>
      <c r="W167"/>
      <c r="X167"/>
    </row>
    <row r="168" spans="1:24" ht="18" thickTop="1" thickBot="1" x14ac:dyDescent="0.35">
      <c r="A168" s="457" t="s">
        <v>2</v>
      </c>
      <c r="B168" s="458">
        <v>2</v>
      </c>
      <c r="C168" s="458">
        <v>2</v>
      </c>
      <c r="D168" s="458" t="s">
        <v>758</v>
      </c>
      <c r="E168" s="457" t="s">
        <v>167</v>
      </c>
      <c r="F168" s="590"/>
      <c r="G168" s="220">
        <v>2637.051702245561</v>
      </c>
      <c r="H168" s="219">
        <v>0</v>
      </c>
      <c r="I168" s="220">
        <v>0</v>
      </c>
      <c r="J168" s="219">
        <v>0</v>
      </c>
      <c r="K168" s="220">
        <v>0</v>
      </c>
      <c r="L168" s="1236"/>
      <c r="M168"/>
      <c r="N168"/>
      <c r="O168"/>
      <c r="P168"/>
      <c r="Q168"/>
      <c r="R168"/>
      <c r="S168"/>
      <c r="T168"/>
      <c r="U168"/>
      <c r="V168"/>
      <c r="W168"/>
      <c r="X168"/>
    </row>
    <row r="169" spans="1:24" ht="18" thickTop="1" thickBot="1" x14ac:dyDescent="0.35">
      <c r="A169" s="457" t="s">
        <v>2</v>
      </c>
      <c r="B169" s="458">
        <v>2</v>
      </c>
      <c r="C169" s="458">
        <v>2</v>
      </c>
      <c r="D169" s="458" t="s">
        <v>758</v>
      </c>
      <c r="E169" s="457" t="s">
        <v>168</v>
      </c>
      <c r="F169" s="590"/>
      <c r="G169" s="220">
        <v>685.04068271506856</v>
      </c>
      <c r="H169" s="219">
        <v>0</v>
      </c>
      <c r="I169" s="220">
        <v>0</v>
      </c>
      <c r="J169" s="219">
        <v>0</v>
      </c>
      <c r="K169" s="220">
        <v>0</v>
      </c>
      <c r="L169" s="1236"/>
      <c r="M169"/>
      <c r="N169"/>
      <c r="O169"/>
      <c r="P169"/>
      <c r="Q169"/>
      <c r="R169"/>
      <c r="S169"/>
      <c r="T169"/>
      <c r="U169"/>
      <c r="V169"/>
      <c r="W169"/>
      <c r="X169"/>
    </row>
    <row r="170" spans="1:24" ht="18" thickTop="1" thickBot="1" x14ac:dyDescent="0.35">
      <c r="A170" s="457" t="s">
        <v>2</v>
      </c>
      <c r="B170" s="458">
        <v>2</v>
      </c>
      <c r="C170" s="458">
        <v>2</v>
      </c>
      <c r="D170" s="458" t="s">
        <v>758</v>
      </c>
      <c r="E170" s="457" t="s">
        <v>169</v>
      </c>
      <c r="F170" s="590"/>
      <c r="G170" s="220">
        <v>498.22006188431476</v>
      </c>
      <c r="H170" s="219">
        <v>0</v>
      </c>
      <c r="I170" s="220">
        <v>0</v>
      </c>
      <c r="J170" s="219">
        <v>0</v>
      </c>
      <c r="K170" s="220">
        <v>0</v>
      </c>
      <c r="L170" s="1236"/>
      <c r="M170"/>
      <c r="N170"/>
      <c r="O170"/>
      <c r="P170"/>
      <c r="Q170"/>
      <c r="R170"/>
      <c r="S170"/>
      <c r="T170"/>
      <c r="U170"/>
      <c r="V170"/>
      <c r="W170"/>
      <c r="X170"/>
    </row>
    <row r="171" spans="1:24" ht="18" thickTop="1" thickBot="1" x14ac:dyDescent="0.35">
      <c r="A171" s="457" t="s">
        <v>2</v>
      </c>
      <c r="B171" s="458">
        <v>2</v>
      </c>
      <c r="C171" s="458">
        <v>2</v>
      </c>
      <c r="D171" s="458" t="s">
        <v>758</v>
      </c>
      <c r="E171" s="457" t="s">
        <v>170</v>
      </c>
      <c r="F171" s="590"/>
      <c r="G171" s="220">
        <v>1161.8395752383919</v>
      </c>
      <c r="H171" s="219">
        <v>0</v>
      </c>
      <c r="I171" s="220">
        <v>0</v>
      </c>
      <c r="J171" s="219">
        <v>0</v>
      </c>
      <c r="K171" s="220">
        <v>0</v>
      </c>
      <c r="L171" s="1236"/>
      <c r="M171"/>
      <c r="N171"/>
      <c r="O171"/>
      <c r="P171"/>
      <c r="Q171"/>
      <c r="R171"/>
      <c r="S171"/>
      <c r="T171"/>
      <c r="U171"/>
      <c r="V171"/>
      <c r="W171"/>
      <c r="X171"/>
    </row>
    <row r="172" spans="1:24" ht="18" thickTop="1" thickBot="1" x14ac:dyDescent="0.35">
      <c r="A172" s="457" t="s">
        <v>2</v>
      </c>
      <c r="B172" s="458">
        <v>2</v>
      </c>
      <c r="C172" s="458">
        <v>2</v>
      </c>
      <c r="D172" s="458" t="s">
        <v>758</v>
      </c>
      <c r="E172" s="457" t="s">
        <v>171</v>
      </c>
      <c r="F172" s="590"/>
      <c r="G172" s="220">
        <v>2820.6940059675876</v>
      </c>
      <c r="H172" s="219">
        <v>0</v>
      </c>
      <c r="I172" s="220">
        <v>0</v>
      </c>
      <c r="J172" s="219">
        <v>0</v>
      </c>
      <c r="K172" s="220">
        <v>0</v>
      </c>
      <c r="L172" s="1236"/>
      <c r="M172"/>
      <c r="N172"/>
      <c r="O172"/>
      <c r="P172"/>
      <c r="Q172"/>
      <c r="R172"/>
      <c r="S172"/>
      <c r="T172"/>
      <c r="U172"/>
      <c r="V172"/>
      <c r="W172"/>
      <c r="X172"/>
    </row>
    <row r="173" spans="1:24" ht="18" thickTop="1" thickBot="1" x14ac:dyDescent="0.35">
      <c r="A173" s="457" t="s">
        <v>2</v>
      </c>
      <c r="B173" s="458">
        <v>2</v>
      </c>
      <c r="C173" s="458">
        <v>2</v>
      </c>
      <c r="D173" s="458" t="s">
        <v>758</v>
      </c>
      <c r="E173" s="457" t="s">
        <v>1843</v>
      </c>
      <c r="F173" s="590"/>
      <c r="G173" s="220">
        <v>85.920478358614886</v>
      </c>
      <c r="H173" s="219">
        <v>0</v>
      </c>
      <c r="I173" s="220">
        <v>0</v>
      </c>
      <c r="J173" s="219">
        <v>0</v>
      </c>
      <c r="K173" s="220">
        <v>0</v>
      </c>
      <c r="L173" s="1236"/>
      <c r="M173"/>
      <c r="N173"/>
      <c r="O173"/>
      <c r="P173"/>
      <c r="Q173"/>
      <c r="R173"/>
      <c r="S173"/>
      <c r="T173"/>
      <c r="U173"/>
      <c r="V173"/>
      <c r="W173"/>
      <c r="X173"/>
    </row>
    <row r="174" spans="1:24" ht="18" thickTop="1" thickBot="1" x14ac:dyDescent="0.35">
      <c r="A174" s="457" t="s">
        <v>2</v>
      </c>
      <c r="B174" s="458">
        <v>2</v>
      </c>
      <c r="C174" s="458">
        <v>2</v>
      </c>
      <c r="D174" s="458" t="s">
        <v>758</v>
      </c>
      <c r="E174" s="457" t="s">
        <v>172</v>
      </c>
      <c r="F174" s="590"/>
      <c r="G174" s="220">
        <v>2172.5550838657164</v>
      </c>
      <c r="H174" s="219">
        <v>0</v>
      </c>
      <c r="I174" s="220">
        <v>0</v>
      </c>
      <c r="J174" s="219">
        <v>0</v>
      </c>
      <c r="K174" s="220">
        <v>0</v>
      </c>
      <c r="L174" s="1236"/>
      <c r="M174"/>
      <c r="N174"/>
      <c r="O174"/>
      <c r="P174"/>
      <c r="Q174"/>
      <c r="R174"/>
      <c r="S174"/>
      <c r="T174"/>
      <c r="U174"/>
      <c r="V174"/>
      <c r="W174"/>
      <c r="X174"/>
    </row>
    <row r="175" spans="1:24" ht="18" thickTop="1" thickBot="1" x14ac:dyDescent="0.35">
      <c r="A175" s="457" t="s">
        <v>2</v>
      </c>
      <c r="B175" s="458">
        <v>2</v>
      </c>
      <c r="C175" s="458">
        <v>2</v>
      </c>
      <c r="D175" s="458" t="s">
        <v>758</v>
      </c>
      <c r="E175" s="457" t="s">
        <v>173</v>
      </c>
      <c r="F175" s="590"/>
      <c r="G175" s="220">
        <v>2032.6562550283991</v>
      </c>
      <c r="H175" s="219">
        <v>0</v>
      </c>
      <c r="I175" s="220">
        <v>0</v>
      </c>
      <c r="J175" s="219">
        <v>0</v>
      </c>
      <c r="K175" s="220">
        <v>0</v>
      </c>
      <c r="L175" s="1236"/>
      <c r="M175"/>
      <c r="N175"/>
      <c r="O175"/>
      <c r="P175"/>
      <c r="Q175"/>
      <c r="R175"/>
      <c r="S175"/>
      <c r="T175"/>
      <c r="U175"/>
      <c r="V175"/>
      <c r="W175"/>
      <c r="X175"/>
    </row>
    <row r="176" spans="1:24" ht="18" thickTop="1" thickBot="1" x14ac:dyDescent="0.35">
      <c r="A176" s="457" t="s">
        <v>2</v>
      </c>
      <c r="B176" s="458">
        <v>2</v>
      </c>
      <c r="C176" s="458">
        <v>2</v>
      </c>
      <c r="D176" s="458" t="s">
        <v>758</v>
      </c>
      <c r="E176" s="457" t="s">
        <v>174</v>
      </c>
      <c r="F176" s="590"/>
      <c r="G176" s="220">
        <v>529.78198713432994</v>
      </c>
      <c r="H176" s="219">
        <v>0</v>
      </c>
      <c r="I176" s="220">
        <v>0</v>
      </c>
      <c r="J176" s="219">
        <v>0</v>
      </c>
      <c r="K176" s="220">
        <v>0</v>
      </c>
      <c r="L176" s="1236"/>
      <c r="M176"/>
      <c r="N176"/>
      <c r="O176"/>
      <c r="P176"/>
      <c r="Q176"/>
      <c r="R176"/>
      <c r="S176"/>
      <c r="T176"/>
      <c r="U176"/>
      <c r="V176"/>
      <c r="W176"/>
      <c r="X176"/>
    </row>
    <row r="177" spans="1:24" ht="18" thickTop="1" thickBot="1" x14ac:dyDescent="0.35">
      <c r="A177" s="457" t="s">
        <v>2</v>
      </c>
      <c r="B177" s="458">
        <v>2</v>
      </c>
      <c r="C177" s="458">
        <v>2</v>
      </c>
      <c r="D177" s="458" t="s">
        <v>758</v>
      </c>
      <c r="E177" s="457" t="s">
        <v>175</v>
      </c>
      <c r="F177" s="590"/>
      <c r="G177" s="220">
        <v>2418.4161207873917</v>
      </c>
      <c r="H177" s="219">
        <v>0</v>
      </c>
      <c r="I177" s="220">
        <v>0</v>
      </c>
      <c r="J177" s="219">
        <v>0</v>
      </c>
      <c r="K177" s="220">
        <v>0</v>
      </c>
      <c r="L177" s="1236"/>
      <c r="M177"/>
      <c r="N177"/>
      <c r="O177"/>
      <c r="P177"/>
      <c r="Q177"/>
      <c r="R177"/>
      <c r="S177"/>
      <c r="T177"/>
      <c r="U177"/>
      <c r="V177"/>
      <c r="W177"/>
      <c r="X177"/>
    </row>
    <row r="178" spans="1:24" ht="18" thickTop="1" thickBot="1" x14ac:dyDescent="0.35">
      <c r="A178" s="457" t="s">
        <v>2</v>
      </c>
      <c r="B178" s="458">
        <v>2</v>
      </c>
      <c r="C178" s="458">
        <v>2</v>
      </c>
      <c r="D178" s="458" t="s">
        <v>758</v>
      </c>
      <c r="E178" s="457" t="s">
        <v>176</v>
      </c>
      <c r="F178" s="590"/>
      <c r="G178" s="220">
        <v>29.43910158676988</v>
      </c>
      <c r="H178" s="219">
        <v>0</v>
      </c>
      <c r="I178" s="220">
        <v>0</v>
      </c>
      <c r="J178" s="219">
        <v>0</v>
      </c>
      <c r="K178" s="220">
        <v>0</v>
      </c>
      <c r="L178" s="1236"/>
      <c r="M178"/>
      <c r="N178"/>
      <c r="O178"/>
      <c r="P178"/>
      <c r="Q178"/>
      <c r="R178"/>
      <c r="S178"/>
      <c r="T178"/>
      <c r="U178"/>
      <c r="V178"/>
      <c r="W178"/>
      <c r="X178"/>
    </row>
    <row r="179" spans="1:24" ht="18" thickTop="1" thickBot="1" x14ac:dyDescent="0.35">
      <c r="A179" s="464" t="s">
        <v>2</v>
      </c>
      <c r="B179" s="1013">
        <v>2</v>
      </c>
      <c r="C179" s="1013">
        <v>2</v>
      </c>
      <c r="D179" s="1013" t="s">
        <v>758</v>
      </c>
      <c r="E179" s="464" t="s">
        <v>177</v>
      </c>
      <c r="F179" s="590"/>
      <c r="G179" s="220">
        <v>2989.1364250552301</v>
      </c>
      <c r="H179" s="219">
        <v>0</v>
      </c>
      <c r="I179" s="220">
        <v>0</v>
      </c>
      <c r="J179" s="219">
        <v>0</v>
      </c>
      <c r="K179" s="220">
        <v>0</v>
      </c>
      <c r="L179" s="1236"/>
      <c r="M179"/>
      <c r="N179"/>
      <c r="O179"/>
      <c r="P179"/>
      <c r="Q179"/>
      <c r="R179"/>
      <c r="S179"/>
      <c r="T179"/>
      <c r="U179"/>
      <c r="V179"/>
      <c r="W179"/>
      <c r="X179"/>
    </row>
    <row r="180" spans="1:24" ht="18" thickTop="1" thickBot="1" x14ac:dyDescent="0.35">
      <c r="A180" s="457" t="s">
        <v>2</v>
      </c>
      <c r="B180" s="458">
        <v>2</v>
      </c>
      <c r="C180" s="458">
        <v>2</v>
      </c>
      <c r="D180" s="458" t="s">
        <v>758</v>
      </c>
      <c r="E180" s="457" t="s">
        <v>178</v>
      </c>
      <c r="F180" s="590"/>
      <c r="G180" s="220">
        <v>124.83848857297318</v>
      </c>
      <c r="H180" s="219">
        <v>0</v>
      </c>
      <c r="I180" s="220">
        <v>0</v>
      </c>
      <c r="J180" s="219">
        <v>0</v>
      </c>
      <c r="K180" s="220">
        <v>0</v>
      </c>
      <c r="L180" s="1236"/>
      <c r="M180"/>
      <c r="N180"/>
      <c r="O180"/>
      <c r="P180"/>
      <c r="Q180"/>
      <c r="R180"/>
      <c r="S180"/>
      <c r="T180"/>
      <c r="U180"/>
      <c r="V180"/>
      <c r="W180"/>
      <c r="X180"/>
    </row>
    <row r="181" spans="1:24" ht="18" thickTop="1" thickBot="1" x14ac:dyDescent="0.35">
      <c r="A181" s="457" t="s">
        <v>2</v>
      </c>
      <c r="B181" s="458">
        <v>2</v>
      </c>
      <c r="C181" s="458">
        <v>2</v>
      </c>
      <c r="D181" s="458" t="s">
        <v>758</v>
      </c>
      <c r="E181" s="457" t="s">
        <v>179</v>
      </c>
      <c r="F181" s="590"/>
      <c r="G181" s="220">
        <v>119.51778562846623</v>
      </c>
      <c r="H181" s="219">
        <v>0</v>
      </c>
      <c r="I181" s="220">
        <v>0</v>
      </c>
      <c r="J181" s="219">
        <v>0</v>
      </c>
      <c r="K181" s="220">
        <v>0</v>
      </c>
      <c r="L181" s="1236"/>
      <c r="M181"/>
      <c r="N181"/>
      <c r="O181"/>
      <c r="P181"/>
      <c r="Q181"/>
      <c r="R181"/>
      <c r="S181"/>
      <c r="T181"/>
      <c r="U181"/>
      <c r="V181"/>
      <c r="W181"/>
      <c r="X181"/>
    </row>
    <row r="182" spans="1:24" ht="18" thickTop="1" thickBot="1" x14ac:dyDescent="0.35">
      <c r="A182" s="457" t="s">
        <v>2</v>
      </c>
      <c r="B182" s="458">
        <v>2</v>
      </c>
      <c r="C182" s="458">
        <v>2</v>
      </c>
      <c r="D182" s="458" t="s">
        <v>758</v>
      </c>
      <c r="E182" s="457" t="s">
        <v>180</v>
      </c>
      <c r="F182" s="590"/>
      <c r="G182" s="220">
        <v>185.39338664784435</v>
      </c>
      <c r="H182" s="219">
        <v>0</v>
      </c>
      <c r="I182" s="220">
        <v>0</v>
      </c>
      <c r="J182" s="219">
        <v>0</v>
      </c>
      <c r="K182" s="220">
        <v>0</v>
      </c>
      <c r="L182" s="1236"/>
      <c r="M182"/>
      <c r="N182"/>
      <c r="O182"/>
      <c r="P182"/>
      <c r="Q182"/>
      <c r="R182"/>
      <c r="S182"/>
      <c r="T182"/>
      <c r="U182"/>
      <c r="V182"/>
      <c r="W182"/>
      <c r="X182"/>
    </row>
    <row r="183" spans="1:24" ht="18" thickTop="1" thickBot="1" x14ac:dyDescent="0.35">
      <c r="A183" s="457" t="s">
        <v>2</v>
      </c>
      <c r="B183" s="458">
        <v>2</v>
      </c>
      <c r="C183" s="458">
        <v>2</v>
      </c>
      <c r="D183" s="458" t="s">
        <v>758</v>
      </c>
      <c r="E183" s="457" t="s">
        <v>181</v>
      </c>
      <c r="F183" s="590"/>
      <c r="G183" s="220">
        <v>566.51958241657292</v>
      </c>
      <c r="H183" s="219">
        <v>0</v>
      </c>
      <c r="I183" s="220">
        <v>0</v>
      </c>
      <c r="J183" s="219">
        <v>0</v>
      </c>
      <c r="K183" s="220">
        <v>0</v>
      </c>
      <c r="L183" s="1236"/>
      <c r="M183"/>
      <c r="N183"/>
      <c r="O183"/>
      <c r="P183"/>
      <c r="Q183"/>
      <c r="R183"/>
      <c r="S183"/>
      <c r="T183"/>
      <c r="U183"/>
      <c r="V183"/>
      <c r="W183"/>
      <c r="X183"/>
    </row>
    <row r="184" spans="1:24" ht="18" thickTop="1" thickBot="1" x14ac:dyDescent="0.35">
      <c r="A184" s="1500" t="s">
        <v>2</v>
      </c>
      <c r="B184" s="1501">
        <v>2</v>
      </c>
      <c r="C184" s="1501">
        <v>2</v>
      </c>
      <c r="D184" s="1501" t="s">
        <v>758</v>
      </c>
      <c r="E184" s="1500" t="s">
        <v>182</v>
      </c>
      <c r="F184" s="590"/>
      <c r="G184" s="220">
        <f>3291.40266786026-180</f>
        <v>3111.40266786026</v>
      </c>
      <c r="H184" s="219">
        <v>0</v>
      </c>
      <c r="I184" s="220">
        <v>0</v>
      </c>
      <c r="J184" s="219">
        <v>0</v>
      </c>
      <c r="K184" s="220">
        <v>0</v>
      </c>
      <c r="L184" s="1236"/>
      <c r="M184"/>
      <c r="N184"/>
      <c r="O184"/>
      <c r="P184"/>
      <c r="Q184"/>
      <c r="R184"/>
      <c r="S184"/>
      <c r="T184"/>
      <c r="U184"/>
      <c r="V184"/>
      <c r="W184"/>
      <c r="X184"/>
    </row>
    <row r="185" spans="1:24" ht="18" thickTop="1" thickBot="1" x14ac:dyDescent="0.35">
      <c r="A185" s="457" t="s">
        <v>2</v>
      </c>
      <c r="B185" s="458">
        <v>2</v>
      </c>
      <c r="C185" s="458">
        <v>2</v>
      </c>
      <c r="D185" s="458" t="s">
        <v>758</v>
      </c>
      <c r="E185" s="457" t="s">
        <v>183</v>
      </c>
      <c r="F185" s="590"/>
      <c r="G185" s="220">
        <v>637.40615800713351</v>
      </c>
      <c r="H185" s="219">
        <v>0</v>
      </c>
      <c r="I185" s="220">
        <v>0</v>
      </c>
      <c r="J185" s="219">
        <v>0</v>
      </c>
      <c r="K185" s="220">
        <v>0</v>
      </c>
      <c r="L185" s="1236"/>
      <c r="M185"/>
      <c r="N185"/>
      <c r="O185"/>
      <c r="P185"/>
      <c r="Q185"/>
      <c r="R185"/>
      <c r="S185"/>
      <c r="T185"/>
      <c r="U185"/>
      <c r="V185"/>
      <c r="W185"/>
      <c r="X185"/>
    </row>
    <row r="186" spans="1:24" ht="18" thickTop="1" thickBot="1" x14ac:dyDescent="0.35">
      <c r="A186" s="457" t="s">
        <v>2</v>
      </c>
      <c r="B186" s="458">
        <v>2</v>
      </c>
      <c r="C186" s="458">
        <v>2</v>
      </c>
      <c r="D186" s="458" t="s">
        <v>758</v>
      </c>
      <c r="E186" s="457" t="s">
        <v>184</v>
      </c>
      <c r="F186" s="590"/>
      <c r="G186" s="220">
        <v>1061.8659042569329</v>
      </c>
      <c r="H186" s="219">
        <v>0</v>
      </c>
      <c r="I186" s="220">
        <v>0</v>
      </c>
      <c r="J186" s="219">
        <v>0</v>
      </c>
      <c r="K186" s="220">
        <v>0</v>
      </c>
      <c r="L186" s="1236"/>
      <c r="M186"/>
      <c r="N186"/>
      <c r="O186"/>
      <c r="P186"/>
      <c r="Q186"/>
      <c r="R186"/>
      <c r="S186"/>
      <c r="T186"/>
      <c r="U186"/>
      <c r="V186"/>
      <c r="W186"/>
      <c r="X186"/>
    </row>
    <row r="187" spans="1:24" ht="18" thickTop="1" thickBot="1" x14ac:dyDescent="0.35">
      <c r="A187" s="457" t="s">
        <v>2</v>
      </c>
      <c r="B187" s="458">
        <v>2</v>
      </c>
      <c r="C187" s="458">
        <v>2</v>
      </c>
      <c r="D187" s="458" t="s">
        <v>758</v>
      </c>
      <c r="E187" s="457" t="s">
        <v>185</v>
      </c>
      <c r="F187" s="590"/>
      <c r="G187" s="220">
        <v>112.66487485763508</v>
      </c>
      <c r="H187" s="219">
        <v>0</v>
      </c>
      <c r="I187" s="220">
        <v>0</v>
      </c>
      <c r="J187" s="219">
        <v>0</v>
      </c>
      <c r="K187" s="220">
        <v>0</v>
      </c>
      <c r="L187" s="1236"/>
      <c r="M187"/>
      <c r="N187"/>
      <c r="O187"/>
      <c r="P187"/>
      <c r="Q187"/>
      <c r="R187"/>
      <c r="S187"/>
      <c r="T187"/>
      <c r="U187"/>
      <c r="V187"/>
      <c r="W187"/>
      <c r="X187"/>
    </row>
    <row r="188" spans="1:24" ht="18" thickTop="1" thickBot="1" x14ac:dyDescent="0.35">
      <c r="A188" s="457" t="s">
        <v>2</v>
      </c>
      <c r="B188" s="458">
        <v>2</v>
      </c>
      <c r="C188" s="458">
        <v>2</v>
      </c>
      <c r="D188" s="458" t="s">
        <v>758</v>
      </c>
      <c r="E188" s="457" t="s">
        <v>186</v>
      </c>
      <c r="F188" s="590"/>
      <c r="G188" s="220">
        <v>32.18403933479734</v>
      </c>
      <c r="H188" s="219">
        <v>0</v>
      </c>
      <c r="I188" s="220">
        <v>0</v>
      </c>
      <c r="J188" s="219">
        <v>0</v>
      </c>
      <c r="K188" s="220">
        <v>0</v>
      </c>
      <c r="L188" s="1236"/>
      <c r="M188"/>
      <c r="N188"/>
      <c r="O188"/>
      <c r="P188"/>
      <c r="Q188"/>
      <c r="R188"/>
      <c r="S188"/>
      <c r="T188"/>
      <c r="U188"/>
      <c r="V188"/>
      <c r="W188"/>
      <c r="X188"/>
    </row>
    <row r="189" spans="1:24" ht="18" thickTop="1" thickBot="1" x14ac:dyDescent="0.35">
      <c r="A189" s="457" t="s">
        <v>2</v>
      </c>
      <c r="B189" s="458">
        <v>2</v>
      </c>
      <c r="C189" s="458">
        <v>2</v>
      </c>
      <c r="D189" s="458" t="s">
        <v>758</v>
      </c>
      <c r="E189" s="457" t="s">
        <v>187</v>
      </c>
      <c r="F189" s="590"/>
      <c r="G189" s="220">
        <v>627.32089972482436</v>
      </c>
      <c r="H189" s="219">
        <v>0</v>
      </c>
      <c r="I189" s="220">
        <v>0</v>
      </c>
      <c r="J189" s="219">
        <v>0</v>
      </c>
      <c r="K189" s="220">
        <v>0</v>
      </c>
      <c r="L189" s="1236"/>
      <c r="M189"/>
      <c r="N189"/>
      <c r="O189"/>
      <c r="P189"/>
      <c r="Q189"/>
      <c r="R189"/>
      <c r="S189"/>
      <c r="T189"/>
      <c r="U189"/>
      <c r="V189"/>
      <c r="W189"/>
      <c r="X189"/>
    </row>
    <row r="190" spans="1:24" ht="18" thickTop="1" thickBot="1" x14ac:dyDescent="0.35">
      <c r="A190" s="457" t="s">
        <v>2</v>
      </c>
      <c r="B190" s="458">
        <v>2</v>
      </c>
      <c r="C190" s="458">
        <v>2</v>
      </c>
      <c r="D190" s="458" t="s">
        <v>758</v>
      </c>
      <c r="E190" s="457" t="s">
        <v>188</v>
      </c>
      <c r="F190" s="590"/>
      <c r="G190" s="220">
        <v>478.96361794244467</v>
      </c>
      <c r="H190" s="219">
        <v>0</v>
      </c>
      <c r="I190" s="220">
        <v>0</v>
      </c>
      <c r="J190" s="219">
        <v>0</v>
      </c>
      <c r="K190" s="220">
        <v>0</v>
      </c>
      <c r="L190" s="1236"/>
      <c r="M190"/>
      <c r="N190"/>
      <c r="O190"/>
      <c r="P190"/>
      <c r="Q190"/>
      <c r="R190"/>
      <c r="S190"/>
      <c r="T190"/>
      <c r="U190"/>
      <c r="V190"/>
      <c r="W190"/>
      <c r="X190"/>
    </row>
    <row r="191" spans="1:24" ht="18" thickTop="1" thickBot="1" x14ac:dyDescent="0.35">
      <c r="A191" s="457" t="s">
        <v>2</v>
      </c>
      <c r="B191" s="458">
        <v>2</v>
      </c>
      <c r="C191" s="458">
        <v>2</v>
      </c>
      <c r="D191" s="458" t="s">
        <v>758</v>
      </c>
      <c r="E191" s="457" t="s">
        <v>189</v>
      </c>
      <c r="F191" s="590"/>
      <c r="G191" s="220">
        <v>633.51797343835005</v>
      </c>
      <c r="H191" s="219">
        <v>0</v>
      </c>
      <c r="I191" s="220">
        <v>0</v>
      </c>
      <c r="J191" s="219">
        <v>0</v>
      </c>
      <c r="K191" s="220">
        <v>0</v>
      </c>
      <c r="L191" s="1236"/>
      <c r="M191"/>
      <c r="N191"/>
      <c r="O191"/>
      <c r="P191"/>
      <c r="Q191"/>
      <c r="R191"/>
      <c r="S191"/>
      <c r="T191"/>
      <c r="U191"/>
      <c r="V191"/>
      <c r="W191"/>
      <c r="X191"/>
    </row>
    <row r="192" spans="1:24" ht="18" thickTop="1" thickBot="1" x14ac:dyDescent="0.35">
      <c r="A192" s="457" t="s">
        <v>2</v>
      </c>
      <c r="B192" s="458">
        <v>2</v>
      </c>
      <c r="C192" s="458">
        <v>2</v>
      </c>
      <c r="D192" s="458" t="s">
        <v>758</v>
      </c>
      <c r="E192" s="457" t="s">
        <v>190</v>
      </c>
      <c r="F192" s="590"/>
      <c r="G192" s="220">
        <v>477.8052784696842</v>
      </c>
      <c r="H192" s="219">
        <v>0</v>
      </c>
      <c r="I192" s="220">
        <v>0</v>
      </c>
      <c r="J192" s="219">
        <v>0</v>
      </c>
      <c r="K192" s="220">
        <v>0</v>
      </c>
      <c r="L192" s="1236"/>
      <c r="M192"/>
      <c r="N192"/>
      <c r="O192"/>
      <c r="P192"/>
      <c r="Q192"/>
      <c r="R192"/>
      <c r="S192"/>
      <c r="T192"/>
      <c r="U192"/>
      <c r="V192"/>
      <c r="W192"/>
      <c r="X192"/>
    </row>
    <row r="193" spans="1:24" ht="18" thickTop="1" thickBot="1" x14ac:dyDescent="0.35">
      <c r="A193" s="457" t="s">
        <v>2</v>
      </c>
      <c r="B193" s="458">
        <v>2</v>
      </c>
      <c r="C193" s="458">
        <v>2</v>
      </c>
      <c r="D193" s="458" t="s">
        <v>758</v>
      </c>
      <c r="E193" s="457" t="s">
        <v>191</v>
      </c>
      <c r="F193" s="590"/>
      <c r="G193" s="220">
        <v>1395.165065315872</v>
      </c>
      <c r="H193" s="219">
        <v>0</v>
      </c>
      <c r="I193" s="220">
        <v>0</v>
      </c>
      <c r="J193" s="219">
        <v>0</v>
      </c>
      <c r="K193" s="220">
        <v>0</v>
      </c>
      <c r="L193" s="1236"/>
      <c r="M193"/>
      <c r="N193"/>
      <c r="O193"/>
      <c r="P193"/>
      <c r="Q193"/>
      <c r="R193"/>
      <c r="S193"/>
      <c r="T193"/>
      <c r="U193"/>
      <c r="V193"/>
      <c r="W193"/>
      <c r="X193"/>
    </row>
    <row r="194" spans="1:24" ht="18" thickTop="1" thickBot="1" x14ac:dyDescent="0.35">
      <c r="A194" s="457" t="s">
        <v>2</v>
      </c>
      <c r="B194" s="458">
        <v>2</v>
      </c>
      <c r="C194" s="458">
        <v>2</v>
      </c>
      <c r="D194" s="458" t="s">
        <v>758</v>
      </c>
      <c r="E194" s="457" t="s">
        <v>65</v>
      </c>
      <c r="F194" s="590"/>
      <c r="G194" s="220">
        <v>566.31747762256168</v>
      </c>
      <c r="H194" s="219">
        <v>0</v>
      </c>
      <c r="I194" s="220">
        <v>0</v>
      </c>
      <c r="J194" s="219">
        <v>0</v>
      </c>
      <c r="K194" s="220">
        <v>0</v>
      </c>
      <c r="L194" s="1236"/>
      <c r="M194"/>
      <c r="N194"/>
      <c r="O194"/>
      <c r="P194"/>
      <c r="Q194"/>
      <c r="R194"/>
      <c r="S194"/>
      <c r="T194"/>
      <c r="U194"/>
      <c r="V194"/>
      <c r="W194"/>
      <c r="X194"/>
    </row>
    <row r="195" spans="1:24" ht="18" thickTop="1" thickBot="1" x14ac:dyDescent="0.35">
      <c r="A195" s="457" t="s">
        <v>2</v>
      </c>
      <c r="B195" s="458">
        <v>2</v>
      </c>
      <c r="C195" s="458">
        <v>2</v>
      </c>
      <c r="D195" s="458" t="s">
        <v>758</v>
      </c>
      <c r="E195" s="457" t="s">
        <v>192</v>
      </c>
      <c r="F195" s="590"/>
      <c r="G195" s="220">
        <v>568.93895187864723</v>
      </c>
      <c r="H195" s="219">
        <v>0</v>
      </c>
      <c r="I195" s="220">
        <v>0</v>
      </c>
      <c r="J195" s="219">
        <v>0</v>
      </c>
      <c r="K195" s="220">
        <v>0</v>
      </c>
      <c r="L195" s="1236"/>
      <c r="M195"/>
      <c r="N195"/>
      <c r="O195"/>
      <c r="P195"/>
      <c r="Q195"/>
      <c r="R195"/>
      <c r="S195"/>
      <c r="T195"/>
      <c r="U195"/>
      <c r="V195"/>
      <c r="W195"/>
      <c r="X195"/>
    </row>
    <row r="196" spans="1:24" ht="18" thickTop="1" thickBot="1" x14ac:dyDescent="0.35">
      <c r="A196" s="457" t="s">
        <v>2</v>
      </c>
      <c r="B196" s="458">
        <v>2</v>
      </c>
      <c r="C196" s="458">
        <v>2</v>
      </c>
      <c r="D196" s="458" t="s">
        <v>758</v>
      </c>
      <c r="E196" s="457" t="s">
        <v>193</v>
      </c>
      <c r="F196" s="590"/>
      <c r="G196" s="220">
        <v>643.97601662340946</v>
      </c>
      <c r="H196" s="219">
        <v>0</v>
      </c>
      <c r="I196" s="220">
        <v>0</v>
      </c>
      <c r="J196" s="219">
        <v>0</v>
      </c>
      <c r="K196" s="220">
        <v>0</v>
      </c>
      <c r="L196" s="1236"/>
      <c r="M196"/>
      <c r="N196"/>
      <c r="O196"/>
      <c r="P196"/>
      <c r="Q196"/>
      <c r="R196"/>
      <c r="S196"/>
      <c r="T196"/>
      <c r="U196"/>
      <c r="V196"/>
      <c r="W196"/>
      <c r="X196"/>
    </row>
    <row r="197" spans="1:24" ht="18" thickTop="1" thickBot="1" x14ac:dyDescent="0.35">
      <c r="A197" s="457" t="s">
        <v>2</v>
      </c>
      <c r="B197" s="458">
        <v>2</v>
      </c>
      <c r="C197" s="458">
        <v>2</v>
      </c>
      <c r="D197" s="458" t="s">
        <v>758</v>
      </c>
      <c r="E197" s="457" t="s">
        <v>194</v>
      </c>
      <c r="F197" s="590"/>
      <c r="G197" s="220">
        <v>497.48178522668127</v>
      </c>
      <c r="H197" s="219">
        <v>0</v>
      </c>
      <c r="I197" s="220">
        <v>0</v>
      </c>
      <c r="J197" s="219">
        <v>0</v>
      </c>
      <c r="K197" s="220">
        <v>0</v>
      </c>
      <c r="L197" s="1236"/>
      <c r="M197"/>
      <c r="N197"/>
      <c r="O197"/>
      <c r="P197"/>
      <c r="Q197"/>
      <c r="R197"/>
      <c r="S197"/>
      <c r="T197"/>
      <c r="U197"/>
      <c r="V197"/>
      <c r="W197"/>
      <c r="X197"/>
    </row>
    <row r="198" spans="1:24" ht="18" thickTop="1" thickBot="1" x14ac:dyDescent="0.35">
      <c r="A198" s="457" t="s">
        <v>2</v>
      </c>
      <c r="B198" s="458">
        <v>2</v>
      </c>
      <c r="C198" s="458">
        <v>2</v>
      </c>
      <c r="D198" s="458" t="s">
        <v>758</v>
      </c>
      <c r="E198" s="457" t="s">
        <v>195</v>
      </c>
      <c r="F198" s="590"/>
      <c r="G198" s="220">
        <v>541.72913546779023</v>
      </c>
      <c r="H198" s="219">
        <v>0</v>
      </c>
      <c r="I198" s="220">
        <v>0</v>
      </c>
      <c r="J198" s="219">
        <v>0</v>
      </c>
      <c r="K198" s="220">
        <v>0</v>
      </c>
      <c r="L198" s="1236"/>
      <c r="M198"/>
      <c r="N198"/>
      <c r="O198"/>
      <c r="P198"/>
      <c r="Q198"/>
      <c r="R198"/>
      <c r="S198"/>
      <c r="T198"/>
      <c r="U198"/>
      <c r="V198"/>
      <c r="W198"/>
      <c r="X198"/>
    </row>
    <row r="199" spans="1:24" ht="18" thickTop="1" thickBot="1" x14ac:dyDescent="0.35">
      <c r="A199" s="457" t="s">
        <v>2</v>
      </c>
      <c r="B199" s="458">
        <v>2</v>
      </c>
      <c r="C199" s="458">
        <v>2</v>
      </c>
      <c r="D199" s="458" t="s">
        <v>758</v>
      </c>
      <c r="E199" s="457" t="s">
        <v>196</v>
      </c>
      <c r="F199" s="590"/>
      <c r="G199" s="220">
        <v>783.95067099547191</v>
      </c>
      <c r="H199" s="219">
        <v>0</v>
      </c>
      <c r="I199" s="220">
        <v>0</v>
      </c>
      <c r="J199" s="219">
        <v>0</v>
      </c>
      <c r="K199" s="220">
        <v>0</v>
      </c>
      <c r="L199" s="1236"/>
      <c r="M199"/>
      <c r="N199"/>
      <c r="O199"/>
      <c r="P199"/>
      <c r="Q199"/>
      <c r="R199"/>
      <c r="S199"/>
      <c r="T199"/>
      <c r="U199"/>
      <c r="V199"/>
      <c r="W199"/>
      <c r="X199"/>
    </row>
    <row r="200" spans="1:24" ht="18" thickTop="1" thickBot="1" x14ac:dyDescent="0.35">
      <c r="A200" s="457" t="s">
        <v>2</v>
      </c>
      <c r="B200" s="458">
        <v>2</v>
      </c>
      <c r="C200" s="458">
        <v>2</v>
      </c>
      <c r="D200" s="458" t="s">
        <v>758</v>
      </c>
      <c r="E200" s="457" t="s">
        <v>197</v>
      </c>
      <c r="F200" s="590"/>
      <c r="G200" s="220">
        <v>590.85582283983751</v>
      </c>
      <c r="H200" s="219">
        <v>0</v>
      </c>
      <c r="I200" s="220">
        <v>0</v>
      </c>
      <c r="J200" s="219">
        <v>0</v>
      </c>
      <c r="K200" s="220">
        <v>0</v>
      </c>
      <c r="L200" s="1236"/>
      <c r="M200"/>
      <c r="N200"/>
      <c r="O200"/>
      <c r="P200"/>
      <c r="Q200"/>
      <c r="R200"/>
      <c r="S200"/>
      <c r="T200"/>
      <c r="U200"/>
      <c r="V200"/>
      <c r="W200"/>
      <c r="X200"/>
    </row>
    <row r="201" spans="1:24" ht="18" thickTop="1" thickBot="1" x14ac:dyDescent="0.35">
      <c r="A201" s="457" t="s">
        <v>2</v>
      </c>
      <c r="B201" s="458">
        <v>2</v>
      </c>
      <c r="C201" s="458">
        <v>2</v>
      </c>
      <c r="D201" s="458" t="s">
        <v>758</v>
      </c>
      <c r="E201" s="457" t="s">
        <v>198</v>
      </c>
      <c r="F201" s="590"/>
      <c r="G201" s="220">
        <v>2448.0879106236553</v>
      </c>
      <c r="H201" s="219">
        <v>0</v>
      </c>
      <c r="I201" s="220">
        <v>0</v>
      </c>
      <c r="J201" s="219">
        <v>0</v>
      </c>
      <c r="K201" s="220">
        <v>0</v>
      </c>
      <c r="L201" s="1236"/>
      <c r="M201"/>
      <c r="N201"/>
      <c r="O201"/>
      <c r="P201"/>
      <c r="Q201"/>
      <c r="R201"/>
      <c r="S201"/>
      <c r="T201"/>
      <c r="U201"/>
      <c r="V201"/>
      <c r="W201"/>
      <c r="X201"/>
    </row>
    <row r="202" spans="1:24" ht="18" thickTop="1" thickBot="1" x14ac:dyDescent="0.35">
      <c r="A202" s="457" t="s">
        <v>2</v>
      </c>
      <c r="B202" s="458">
        <v>2</v>
      </c>
      <c r="C202" s="458">
        <v>2</v>
      </c>
      <c r="D202" s="458" t="s">
        <v>758</v>
      </c>
      <c r="E202" s="457" t="s">
        <v>199</v>
      </c>
      <c r="F202" s="590"/>
      <c r="G202" s="220">
        <v>542.29574626092369</v>
      </c>
      <c r="H202" s="219">
        <v>0</v>
      </c>
      <c r="I202" s="220">
        <v>0</v>
      </c>
      <c r="J202" s="219">
        <v>0</v>
      </c>
      <c r="K202" s="220">
        <v>0</v>
      </c>
      <c r="L202" s="1236"/>
      <c r="M202"/>
      <c r="N202"/>
      <c r="O202"/>
      <c r="P202"/>
      <c r="Q202"/>
      <c r="R202"/>
      <c r="S202"/>
      <c r="T202"/>
      <c r="U202"/>
      <c r="V202"/>
      <c r="W202"/>
      <c r="X202"/>
    </row>
    <row r="203" spans="1:24" ht="18" thickTop="1" thickBot="1" x14ac:dyDescent="0.35">
      <c r="A203" s="457" t="s">
        <v>2</v>
      </c>
      <c r="B203" s="458">
        <v>2</v>
      </c>
      <c r="C203" s="458">
        <v>2</v>
      </c>
      <c r="D203" s="458" t="s">
        <v>758</v>
      </c>
      <c r="E203" s="457" t="s">
        <v>73</v>
      </c>
      <c r="F203" s="590"/>
      <c r="G203" s="220">
        <v>3090.5352022720676</v>
      </c>
      <c r="H203" s="219">
        <v>0</v>
      </c>
      <c r="I203" s="220">
        <v>0</v>
      </c>
      <c r="J203" s="219">
        <v>0</v>
      </c>
      <c r="K203" s="220">
        <v>0</v>
      </c>
      <c r="L203" s="1236"/>
      <c r="M203"/>
      <c r="N203"/>
      <c r="O203"/>
      <c r="P203"/>
      <c r="Q203"/>
      <c r="R203"/>
      <c r="S203"/>
      <c r="T203"/>
      <c r="U203"/>
      <c r="V203"/>
      <c r="W203"/>
      <c r="X203"/>
    </row>
    <row r="204" spans="1:24" ht="18" thickTop="1" thickBot="1" x14ac:dyDescent="0.35">
      <c r="A204" s="457" t="s">
        <v>2</v>
      </c>
      <c r="B204" s="458">
        <v>2</v>
      </c>
      <c r="C204" s="458">
        <v>2</v>
      </c>
      <c r="D204" s="458" t="s">
        <v>758</v>
      </c>
      <c r="E204" s="457" t="s">
        <v>200</v>
      </c>
      <c r="F204" s="590"/>
      <c r="G204" s="220">
        <v>3019.5861318210336</v>
      </c>
      <c r="H204" s="219">
        <v>0</v>
      </c>
      <c r="I204" s="220">
        <v>0</v>
      </c>
      <c r="J204" s="219">
        <v>0</v>
      </c>
      <c r="K204" s="220">
        <v>0</v>
      </c>
      <c r="L204" s="1236"/>
      <c r="M204"/>
      <c r="N204"/>
      <c r="O204"/>
      <c r="P204"/>
      <c r="Q204"/>
      <c r="R204"/>
      <c r="S204"/>
      <c r="T204"/>
      <c r="U204"/>
      <c r="V204"/>
      <c r="W204"/>
      <c r="X204"/>
    </row>
    <row r="205" spans="1:24" ht="18" thickTop="1" thickBot="1" x14ac:dyDescent="0.35">
      <c r="A205" s="457" t="s">
        <v>2</v>
      </c>
      <c r="B205" s="458">
        <v>2</v>
      </c>
      <c r="C205" s="458">
        <v>2</v>
      </c>
      <c r="D205" s="458" t="s">
        <v>758</v>
      </c>
      <c r="E205" s="457" t="s">
        <v>201</v>
      </c>
      <c r="F205" s="590"/>
      <c r="G205" s="220">
        <v>145.62746636152713</v>
      </c>
      <c r="H205" s="219">
        <v>0</v>
      </c>
      <c r="I205" s="220">
        <v>0</v>
      </c>
      <c r="J205" s="219">
        <v>0</v>
      </c>
      <c r="K205" s="220">
        <v>0</v>
      </c>
      <c r="L205" s="1236"/>
      <c r="M205"/>
      <c r="N205"/>
      <c r="O205"/>
      <c r="P205"/>
      <c r="Q205"/>
      <c r="R205"/>
      <c r="S205"/>
      <c r="T205"/>
      <c r="U205"/>
      <c r="V205"/>
      <c r="W205"/>
      <c r="X205"/>
    </row>
    <row r="206" spans="1:24" ht="18" thickTop="1" thickBot="1" x14ac:dyDescent="0.35">
      <c r="A206" s="457" t="s">
        <v>2</v>
      </c>
      <c r="B206" s="458">
        <v>2</v>
      </c>
      <c r="C206" s="458">
        <v>2</v>
      </c>
      <c r="D206" s="458" t="s">
        <v>758</v>
      </c>
      <c r="E206" s="457" t="s">
        <v>202</v>
      </c>
      <c r="F206" s="590"/>
      <c r="G206" s="220">
        <v>15.227242354824499</v>
      </c>
      <c r="H206" s="219">
        <v>0</v>
      </c>
      <c r="I206" s="220">
        <v>0</v>
      </c>
      <c r="J206" s="219">
        <v>0</v>
      </c>
      <c r="K206" s="220">
        <v>0</v>
      </c>
      <c r="L206" s="1236"/>
      <c r="M206"/>
      <c r="N206"/>
      <c r="O206"/>
      <c r="P206"/>
      <c r="Q206"/>
      <c r="R206"/>
      <c r="S206"/>
      <c r="T206"/>
      <c r="U206"/>
      <c r="V206"/>
      <c r="W206"/>
      <c r="X206"/>
    </row>
    <row r="207" spans="1:24" ht="18" thickTop="1" thickBot="1" x14ac:dyDescent="0.35">
      <c r="A207" s="457" t="s">
        <v>2</v>
      </c>
      <c r="B207" s="458">
        <v>2</v>
      </c>
      <c r="C207" s="458">
        <v>2</v>
      </c>
      <c r="D207" s="458" t="s">
        <v>758</v>
      </c>
      <c r="E207" s="457" t="s">
        <v>203</v>
      </c>
      <c r="F207" s="590"/>
      <c r="G207" s="220">
        <v>435.46430733586777</v>
      </c>
      <c r="H207" s="219">
        <v>0</v>
      </c>
      <c r="I207" s="220">
        <v>0</v>
      </c>
      <c r="J207" s="219">
        <v>0</v>
      </c>
      <c r="K207" s="220">
        <v>0</v>
      </c>
      <c r="L207" s="1236"/>
      <c r="M207"/>
      <c r="N207"/>
      <c r="O207"/>
      <c r="P207"/>
      <c r="Q207"/>
      <c r="R207"/>
      <c r="S207"/>
      <c r="T207"/>
      <c r="U207"/>
      <c r="V207"/>
      <c r="W207"/>
      <c r="X207"/>
    </row>
    <row r="208" spans="1:24" ht="18" thickTop="1" thickBot="1" x14ac:dyDescent="0.35">
      <c r="A208" s="457" t="s">
        <v>2</v>
      </c>
      <c r="B208" s="458">
        <v>2</v>
      </c>
      <c r="C208" s="458">
        <v>2</v>
      </c>
      <c r="D208" s="458" t="s">
        <v>758</v>
      </c>
      <c r="E208" s="457" t="s">
        <v>204</v>
      </c>
      <c r="F208" s="590"/>
      <c r="G208" s="220">
        <v>483.87890965877455</v>
      </c>
      <c r="H208" s="219">
        <v>0</v>
      </c>
      <c r="I208" s="220">
        <v>0</v>
      </c>
      <c r="J208" s="219">
        <v>0</v>
      </c>
      <c r="K208" s="220">
        <v>0</v>
      </c>
      <c r="L208" s="1236"/>
      <c r="M208"/>
      <c r="N208"/>
      <c r="O208"/>
      <c r="P208"/>
      <c r="Q208"/>
      <c r="R208"/>
      <c r="S208"/>
      <c r="T208"/>
      <c r="U208"/>
      <c r="V208"/>
      <c r="W208"/>
      <c r="X208"/>
    </row>
    <row r="209" spans="1:24" ht="18" thickTop="1" thickBot="1" x14ac:dyDescent="0.35">
      <c r="A209" s="457" t="s">
        <v>2</v>
      </c>
      <c r="B209" s="458">
        <v>2</v>
      </c>
      <c r="C209" s="458">
        <v>2</v>
      </c>
      <c r="D209" s="458" t="s">
        <v>758</v>
      </c>
      <c r="E209" s="457" t="s">
        <v>205</v>
      </c>
      <c r="F209" s="590"/>
      <c r="G209" s="220">
        <v>570.18074909856057</v>
      </c>
      <c r="H209" s="219">
        <v>0</v>
      </c>
      <c r="I209" s="220">
        <v>0</v>
      </c>
      <c r="J209" s="219">
        <v>0</v>
      </c>
      <c r="K209" s="220">
        <v>0</v>
      </c>
      <c r="L209" s="1236"/>
      <c r="M209"/>
      <c r="N209"/>
      <c r="O209"/>
      <c r="P209"/>
      <c r="Q209"/>
      <c r="R209"/>
      <c r="S209"/>
      <c r="T209"/>
      <c r="U209"/>
      <c r="V209"/>
      <c r="W209"/>
      <c r="X209"/>
    </row>
    <row r="210" spans="1:24" ht="18" thickTop="1" thickBot="1" x14ac:dyDescent="0.35">
      <c r="A210" s="457" t="s">
        <v>2</v>
      </c>
      <c r="B210" s="458">
        <v>2</v>
      </c>
      <c r="C210" s="458">
        <v>2</v>
      </c>
      <c r="D210" s="458" t="s">
        <v>758</v>
      </c>
      <c r="E210" s="457" t="s">
        <v>206</v>
      </c>
      <c r="F210" s="590"/>
      <c r="G210" s="220">
        <v>738.3576282696514</v>
      </c>
      <c r="H210" s="219">
        <v>0</v>
      </c>
      <c r="I210" s="220">
        <v>0</v>
      </c>
      <c r="J210" s="219">
        <v>0</v>
      </c>
      <c r="K210" s="220">
        <v>0</v>
      </c>
      <c r="L210" s="1236"/>
      <c r="M210"/>
      <c r="N210"/>
      <c r="O210"/>
      <c r="P210"/>
      <c r="Q210"/>
      <c r="R210"/>
      <c r="S210"/>
      <c r="T210"/>
      <c r="U210"/>
      <c r="V210"/>
      <c r="W210"/>
      <c r="X210"/>
    </row>
    <row r="211" spans="1:24" ht="18" thickTop="1" thickBot="1" x14ac:dyDescent="0.35">
      <c r="A211" s="457" t="s">
        <v>2</v>
      </c>
      <c r="B211" s="458">
        <v>2</v>
      </c>
      <c r="C211" s="458">
        <v>2</v>
      </c>
      <c r="D211" s="458" t="s">
        <v>758</v>
      </c>
      <c r="E211" s="457" t="s">
        <v>207</v>
      </c>
      <c r="F211" s="590"/>
      <c r="G211" s="220">
        <v>524.61609655000041</v>
      </c>
      <c r="H211" s="219">
        <v>0</v>
      </c>
      <c r="I211" s="220">
        <v>0</v>
      </c>
      <c r="J211" s="219">
        <v>0</v>
      </c>
      <c r="K211" s="220">
        <v>0</v>
      </c>
      <c r="L211" s="1236"/>
      <c r="M211"/>
      <c r="N211"/>
      <c r="O211"/>
      <c r="P211"/>
      <c r="Q211"/>
      <c r="R211"/>
      <c r="S211"/>
      <c r="T211"/>
      <c r="U211"/>
      <c r="V211"/>
      <c r="W211"/>
      <c r="X211"/>
    </row>
    <row r="212" spans="1:24" ht="18" thickTop="1" thickBot="1" x14ac:dyDescent="0.35">
      <c r="A212" s="457" t="s">
        <v>2</v>
      </c>
      <c r="B212" s="458">
        <v>2</v>
      </c>
      <c r="C212" s="458">
        <v>2</v>
      </c>
      <c r="D212" s="458" t="s">
        <v>758</v>
      </c>
      <c r="E212" s="457" t="s">
        <v>606</v>
      </c>
      <c r="F212" s="590"/>
      <c r="G212" s="220">
        <v>969.12437822403706</v>
      </c>
      <c r="H212" s="219">
        <v>0</v>
      </c>
      <c r="I212" s="220">
        <v>0</v>
      </c>
      <c r="J212" s="219">
        <v>0</v>
      </c>
      <c r="K212" s="220">
        <v>0</v>
      </c>
      <c r="L212" s="1236"/>
      <c r="M212"/>
      <c r="N212"/>
      <c r="O212"/>
      <c r="P212"/>
      <c r="Q212"/>
      <c r="R212"/>
      <c r="S212"/>
      <c r="T212"/>
      <c r="U212"/>
      <c r="V212"/>
      <c r="W212"/>
      <c r="X212"/>
    </row>
    <row r="213" spans="1:24" ht="18" thickTop="1" thickBot="1" x14ac:dyDescent="0.35">
      <c r="A213" s="457" t="s">
        <v>2</v>
      </c>
      <c r="B213" s="458">
        <v>2</v>
      </c>
      <c r="C213" s="458">
        <v>2</v>
      </c>
      <c r="D213" s="458" t="s">
        <v>758</v>
      </c>
      <c r="E213" s="457" t="s">
        <v>208</v>
      </c>
      <c r="F213" s="590"/>
      <c r="G213" s="220">
        <v>714.03148294802315</v>
      </c>
      <c r="H213" s="219">
        <v>0</v>
      </c>
      <c r="I213" s="220">
        <v>0</v>
      </c>
      <c r="J213" s="219">
        <v>0</v>
      </c>
      <c r="K213" s="220">
        <v>0</v>
      </c>
      <c r="L213" s="1236"/>
      <c r="M213"/>
      <c r="N213"/>
      <c r="O213"/>
      <c r="P213"/>
      <c r="Q213"/>
      <c r="R213"/>
      <c r="S213"/>
      <c r="T213"/>
      <c r="U213"/>
      <c r="V213"/>
      <c r="W213"/>
      <c r="X213"/>
    </row>
    <row r="214" spans="1:24" ht="18" thickTop="1" thickBot="1" x14ac:dyDescent="0.35">
      <c r="A214" s="457" t="s">
        <v>2</v>
      </c>
      <c r="B214" s="458">
        <v>2</v>
      </c>
      <c r="C214" s="458">
        <v>2</v>
      </c>
      <c r="D214" s="458" t="s">
        <v>758</v>
      </c>
      <c r="E214" s="457" t="s">
        <v>209</v>
      </c>
      <c r="F214" s="590"/>
      <c r="G214" s="220">
        <v>310.90442358942965</v>
      </c>
      <c r="H214" s="219">
        <v>0</v>
      </c>
      <c r="I214" s="220">
        <v>0</v>
      </c>
      <c r="J214" s="219">
        <v>0</v>
      </c>
      <c r="K214" s="220">
        <v>0</v>
      </c>
      <c r="L214" s="1236"/>
      <c r="M214"/>
      <c r="N214"/>
      <c r="O214"/>
      <c r="P214"/>
      <c r="Q214"/>
      <c r="R214"/>
      <c r="S214"/>
      <c r="T214"/>
      <c r="U214"/>
      <c r="V214"/>
      <c r="W214"/>
      <c r="X214"/>
    </row>
    <row r="215" spans="1:24" ht="18" thickTop="1" thickBot="1" x14ac:dyDescent="0.35">
      <c r="A215" s="457" t="s">
        <v>2</v>
      </c>
      <c r="B215" s="458">
        <v>2</v>
      </c>
      <c r="C215" s="458">
        <v>2</v>
      </c>
      <c r="D215" s="458" t="s">
        <v>758</v>
      </c>
      <c r="E215" s="457" t="s">
        <v>210</v>
      </c>
      <c r="F215" s="590"/>
      <c r="G215" s="220">
        <v>621.76253033020134</v>
      </c>
      <c r="H215" s="219">
        <v>0</v>
      </c>
      <c r="I215" s="220">
        <v>0</v>
      </c>
      <c r="J215" s="219">
        <v>0</v>
      </c>
      <c r="K215" s="220">
        <v>0</v>
      </c>
      <c r="L215" s="1236"/>
      <c r="M215"/>
      <c r="N215"/>
      <c r="O215"/>
      <c r="P215"/>
      <c r="Q215"/>
      <c r="R215"/>
      <c r="S215"/>
      <c r="T215"/>
      <c r="U215"/>
      <c r="V215"/>
      <c r="W215"/>
      <c r="X215"/>
    </row>
    <row r="216" spans="1:24" ht="18" thickTop="1" thickBot="1" x14ac:dyDescent="0.35">
      <c r="A216" s="457" t="s">
        <v>2</v>
      </c>
      <c r="B216" s="458">
        <v>2</v>
      </c>
      <c r="C216" s="458">
        <v>2</v>
      </c>
      <c r="D216" s="458" t="s">
        <v>758</v>
      </c>
      <c r="E216" s="457" t="s">
        <v>211</v>
      </c>
      <c r="F216" s="590"/>
      <c r="G216" s="220">
        <v>2262.7598618096222</v>
      </c>
      <c r="H216" s="219">
        <v>0</v>
      </c>
      <c r="I216" s="220">
        <v>0</v>
      </c>
      <c r="J216" s="219">
        <v>0</v>
      </c>
      <c r="K216" s="220">
        <v>0</v>
      </c>
      <c r="L216" s="1236"/>
      <c r="M216"/>
      <c r="N216"/>
      <c r="O216"/>
      <c r="P216"/>
      <c r="Q216"/>
      <c r="R216"/>
      <c r="S216"/>
      <c r="T216"/>
      <c r="U216"/>
      <c r="V216"/>
      <c r="W216"/>
      <c r="X216"/>
    </row>
    <row r="217" spans="1:24" ht="18" thickTop="1" thickBot="1" x14ac:dyDescent="0.35">
      <c r="A217" s="457" t="s">
        <v>2</v>
      </c>
      <c r="B217" s="458">
        <v>2</v>
      </c>
      <c r="C217" s="458">
        <v>2</v>
      </c>
      <c r="D217" s="458" t="s">
        <v>758</v>
      </c>
      <c r="E217" s="457" t="s">
        <v>212</v>
      </c>
      <c r="F217" s="590"/>
      <c r="G217" s="220">
        <v>594.9987505795433</v>
      </c>
      <c r="H217" s="219">
        <v>0</v>
      </c>
      <c r="I217" s="220">
        <v>0</v>
      </c>
      <c r="J217" s="219">
        <v>0</v>
      </c>
      <c r="K217" s="220">
        <v>0</v>
      </c>
      <c r="L217" s="1236"/>
      <c r="M217"/>
      <c r="N217"/>
      <c r="O217"/>
      <c r="P217"/>
      <c r="Q217"/>
      <c r="R217"/>
      <c r="S217"/>
      <c r="T217"/>
      <c r="U217"/>
      <c r="V217"/>
      <c r="W217"/>
      <c r="X217"/>
    </row>
    <row r="218" spans="1:24" ht="18" thickTop="1" thickBot="1" x14ac:dyDescent="0.35">
      <c r="A218" s="457" t="s">
        <v>2</v>
      </c>
      <c r="B218" s="458">
        <v>2</v>
      </c>
      <c r="C218" s="458">
        <v>2</v>
      </c>
      <c r="D218" s="458" t="s">
        <v>758</v>
      </c>
      <c r="E218" s="457" t="s">
        <v>213</v>
      </c>
      <c r="F218" s="590"/>
      <c r="G218" s="220">
        <v>482.14347793104992</v>
      </c>
      <c r="H218" s="219">
        <v>0</v>
      </c>
      <c r="I218" s="220">
        <v>0</v>
      </c>
      <c r="J218" s="219">
        <v>0</v>
      </c>
      <c r="K218" s="220">
        <v>0</v>
      </c>
      <c r="L218" s="1236"/>
      <c r="M218"/>
      <c r="N218"/>
      <c r="O218"/>
      <c r="P218"/>
      <c r="Q218"/>
      <c r="R218"/>
      <c r="S218"/>
      <c r="T218"/>
      <c r="U218"/>
      <c r="V218"/>
      <c r="W218"/>
      <c r="X218"/>
    </row>
    <row r="219" spans="1:24" ht="18" thickTop="1" thickBot="1" x14ac:dyDescent="0.35">
      <c r="A219" s="457" t="s">
        <v>2</v>
      </c>
      <c r="B219" s="458">
        <v>2</v>
      </c>
      <c r="C219" s="458">
        <v>2</v>
      </c>
      <c r="D219" s="458" t="s">
        <v>758</v>
      </c>
      <c r="E219" s="457" t="s">
        <v>75</v>
      </c>
      <c r="F219" s="590"/>
      <c r="G219" s="220">
        <v>22.754318779277085</v>
      </c>
      <c r="H219" s="219">
        <v>0</v>
      </c>
      <c r="I219" s="220">
        <v>0</v>
      </c>
      <c r="J219" s="219">
        <v>0</v>
      </c>
      <c r="K219" s="220">
        <v>0</v>
      </c>
      <c r="L219" s="1236"/>
      <c r="M219"/>
      <c r="N219"/>
      <c r="O219"/>
      <c r="P219"/>
      <c r="Q219"/>
      <c r="R219"/>
      <c r="S219"/>
      <c r="T219"/>
      <c r="U219"/>
      <c r="V219"/>
      <c r="W219"/>
      <c r="X219"/>
    </row>
    <row r="220" spans="1:24" ht="18" thickTop="1" thickBot="1" x14ac:dyDescent="0.35">
      <c r="A220" s="457" t="s">
        <v>2</v>
      </c>
      <c r="B220" s="458">
        <v>2</v>
      </c>
      <c r="C220" s="458">
        <v>2</v>
      </c>
      <c r="D220" s="458" t="s">
        <v>758</v>
      </c>
      <c r="E220" s="457" t="s">
        <v>214</v>
      </c>
      <c r="F220" s="590"/>
      <c r="G220" s="220">
        <v>1972.7496808579062</v>
      </c>
      <c r="H220" s="219">
        <v>0</v>
      </c>
      <c r="I220" s="220">
        <v>0</v>
      </c>
      <c r="J220" s="219">
        <v>0</v>
      </c>
      <c r="K220" s="220">
        <v>0</v>
      </c>
      <c r="L220" s="1236"/>
      <c r="M220"/>
      <c r="N220"/>
      <c r="O220"/>
      <c r="P220"/>
      <c r="Q220"/>
      <c r="R220"/>
      <c r="S220"/>
      <c r="T220"/>
      <c r="U220"/>
      <c r="V220"/>
      <c r="W220"/>
      <c r="X220"/>
    </row>
    <row r="221" spans="1:24" ht="18" thickTop="1" thickBot="1" x14ac:dyDescent="0.35">
      <c r="A221" s="457" t="s">
        <v>2</v>
      </c>
      <c r="B221" s="458">
        <v>2</v>
      </c>
      <c r="C221" s="458">
        <v>2</v>
      </c>
      <c r="D221" s="458" t="s">
        <v>758</v>
      </c>
      <c r="E221" s="457" t="s">
        <v>215</v>
      </c>
      <c r="F221" s="590"/>
      <c r="G221" s="220">
        <v>508.23142652298515</v>
      </c>
      <c r="H221" s="219">
        <v>0</v>
      </c>
      <c r="I221" s="220">
        <v>0</v>
      </c>
      <c r="J221" s="219">
        <v>0</v>
      </c>
      <c r="K221" s="220">
        <v>0</v>
      </c>
      <c r="L221" s="1236"/>
      <c r="M221"/>
      <c r="N221"/>
      <c r="O221"/>
      <c r="P221"/>
      <c r="Q221"/>
      <c r="R221"/>
      <c r="S221"/>
      <c r="T221"/>
      <c r="U221"/>
      <c r="V221"/>
      <c r="W221"/>
      <c r="X221"/>
    </row>
    <row r="222" spans="1:24" ht="18" thickTop="1" thickBot="1" x14ac:dyDescent="0.35">
      <c r="A222" s="457" t="s">
        <v>2</v>
      </c>
      <c r="B222" s="458">
        <v>2</v>
      </c>
      <c r="C222" s="458">
        <v>2</v>
      </c>
      <c r="D222" s="458" t="s">
        <v>758</v>
      </c>
      <c r="E222" s="457" t="s">
        <v>216</v>
      </c>
      <c r="F222" s="590"/>
      <c r="G222" s="220">
        <v>465.92219947787015</v>
      </c>
      <c r="H222" s="219">
        <v>0</v>
      </c>
      <c r="I222" s="220">
        <v>0</v>
      </c>
      <c r="J222" s="219">
        <v>0</v>
      </c>
      <c r="K222" s="220">
        <v>0</v>
      </c>
      <c r="L222" s="1236"/>
      <c r="M222"/>
      <c r="N222"/>
      <c r="O222"/>
      <c r="P222"/>
      <c r="Q222"/>
      <c r="R222"/>
      <c r="S222"/>
      <c r="T222"/>
      <c r="U222"/>
      <c r="V222"/>
      <c r="W222"/>
      <c r="X222"/>
    </row>
    <row r="223" spans="1:24" ht="18" thickTop="1" thickBot="1" x14ac:dyDescent="0.35">
      <c r="A223" s="457" t="s">
        <v>2</v>
      </c>
      <c r="B223" s="458">
        <v>2</v>
      </c>
      <c r="C223" s="458">
        <v>2</v>
      </c>
      <c r="D223" s="458" t="s">
        <v>758</v>
      </c>
      <c r="E223" s="457" t="s">
        <v>217</v>
      </c>
      <c r="F223" s="590"/>
      <c r="G223" s="220">
        <v>2043.1963923248377</v>
      </c>
      <c r="H223" s="219">
        <v>0</v>
      </c>
      <c r="I223" s="220">
        <v>0</v>
      </c>
      <c r="J223" s="219">
        <v>0</v>
      </c>
      <c r="K223" s="220">
        <v>0</v>
      </c>
      <c r="L223" s="1236"/>
      <c r="M223"/>
      <c r="N223"/>
      <c r="O223"/>
      <c r="P223"/>
      <c r="Q223"/>
      <c r="R223"/>
      <c r="S223"/>
      <c r="T223"/>
      <c r="U223"/>
      <c r="V223"/>
      <c r="W223"/>
      <c r="X223"/>
    </row>
    <row r="224" spans="1:24" ht="18" thickTop="1" thickBot="1" x14ac:dyDescent="0.35">
      <c r="A224" s="457" t="s">
        <v>2</v>
      </c>
      <c r="B224" s="458">
        <v>2</v>
      </c>
      <c r="C224" s="458">
        <v>2</v>
      </c>
      <c r="D224" s="458" t="s">
        <v>758</v>
      </c>
      <c r="E224" s="457" t="s">
        <v>218</v>
      </c>
      <c r="F224" s="590"/>
      <c r="G224" s="220">
        <v>585.01279222435551</v>
      </c>
      <c r="H224" s="219">
        <v>0</v>
      </c>
      <c r="I224" s="220">
        <v>0</v>
      </c>
      <c r="J224" s="219">
        <v>0</v>
      </c>
      <c r="K224" s="220">
        <v>0</v>
      </c>
      <c r="L224" s="1236"/>
      <c r="M224"/>
      <c r="N224"/>
      <c r="O224"/>
      <c r="P224"/>
      <c r="Q224"/>
      <c r="R224"/>
      <c r="S224"/>
      <c r="T224"/>
      <c r="U224"/>
      <c r="V224"/>
      <c r="W224"/>
      <c r="X224"/>
    </row>
    <row r="225" spans="1:24" ht="18" thickTop="1" thickBot="1" x14ac:dyDescent="0.35">
      <c r="A225" s="457" t="s">
        <v>2</v>
      </c>
      <c r="B225" s="458">
        <v>2</v>
      </c>
      <c r="C225" s="458">
        <v>2</v>
      </c>
      <c r="D225" s="458" t="s">
        <v>758</v>
      </c>
      <c r="E225" s="457" t="s">
        <v>607</v>
      </c>
      <c r="F225" s="590"/>
      <c r="G225" s="220">
        <v>989.78339826053696</v>
      </c>
      <c r="H225" s="219">
        <v>0</v>
      </c>
      <c r="I225" s="220">
        <v>0</v>
      </c>
      <c r="J225" s="219">
        <v>0</v>
      </c>
      <c r="K225" s="220">
        <v>0</v>
      </c>
      <c r="L225" s="1236"/>
      <c r="M225"/>
      <c r="N225"/>
      <c r="O225"/>
      <c r="P225"/>
      <c r="Q225"/>
      <c r="R225"/>
      <c r="S225"/>
      <c r="T225"/>
      <c r="U225"/>
      <c r="V225"/>
      <c r="W225"/>
      <c r="X225"/>
    </row>
    <row r="226" spans="1:24" ht="18" thickTop="1" thickBot="1" x14ac:dyDescent="0.35">
      <c r="A226" s="457" t="s">
        <v>2</v>
      </c>
      <c r="B226" s="458">
        <v>2</v>
      </c>
      <c r="C226" s="458">
        <v>2</v>
      </c>
      <c r="D226" s="458" t="s">
        <v>758</v>
      </c>
      <c r="E226" s="457" t="s">
        <v>219</v>
      </c>
      <c r="F226" s="590"/>
      <c r="G226" s="220">
        <v>873.31294441185787</v>
      </c>
      <c r="H226" s="219">
        <v>0</v>
      </c>
      <c r="I226" s="220">
        <v>0</v>
      </c>
      <c r="J226" s="219">
        <v>0</v>
      </c>
      <c r="K226" s="220">
        <v>0</v>
      </c>
      <c r="L226" s="1236"/>
      <c r="M226"/>
      <c r="N226"/>
      <c r="O226"/>
      <c r="P226"/>
      <c r="Q226"/>
      <c r="R226"/>
      <c r="S226"/>
      <c r="T226"/>
      <c r="U226"/>
      <c r="V226"/>
      <c r="W226"/>
      <c r="X226"/>
    </row>
    <row r="227" spans="1:24" ht="18" thickTop="1" thickBot="1" x14ac:dyDescent="0.35">
      <c r="A227" s="457" t="s">
        <v>2</v>
      </c>
      <c r="B227" s="458">
        <v>2</v>
      </c>
      <c r="C227" s="458">
        <v>2</v>
      </c>
      <c r="D227" s="458" t="s">
        <v>758</v>
      </c>
      <c r="E227" s="457" t="s">
        <v>220</v>
      </c>
      <c r="F227" s="590"/>
      <c r="G227" s="220">
        <v>1268.8984687150271</v>
      </c>
      <c r="H227" s="219">
        <v>0</v>
      </c>
      <c r="I227" s="220">
        <v>0</v>
      </c>
      <c r="J227" s="219">
        <v>0</v>
      </c>
      <c r="K227" s="220">
        <v>0</v>
      </c>
      <c r="L227" s="1236"/>
      <c r="M227"/>
      <c r="N227"/>
      <c r="O227"/>
      <c r="P227"/>
      <c r="Q227"/>
      <c r="R227"/>
      <c r="S227"/>
      <c r="T227"/>
      <c r="U227"/>
      <c r="V227"/>
      <c r="W227"/>
      <c r="X227"/>
    </row>
    <row r="228" spans="1:24" ht="18" thickTop="1" thickBot="1" x14ac:dyDescent="0.35">
      <c r="A228" s="457" t="s">
        <v>2</v>
      </c>
      <c r="B228" s="458">
        <v>2</v>
      </c>
      <c r="C228" s="458">
        <v>2</v>
      </c>
      <c r="D228" s="458" t="s">
        <v>758</v>
      </c>
      <c r="E228" s="457" t="s">
        <v>221</v>
      </c>
      <c r="F228" s="590"/>
      <c r="G228" s="220">
        <v>539.78135057067709</v>
      </c>
      <c r="H228" s="219">
        <v>0</v>
      </c>
      <c r="I228" s="220">
        <v>0</v>
      </c>
      <c r="J228" s="219">
        <v>0</v>
      </c>
      <c r="K228" s="220">
        <v>0</v>
      </c>
      <c r="L228" s="1236"/>
      <c r="M228"/>
      <c r="N228"/>
      <c r="O228"/>
      <c r="P228"/>
      <c r="Q228"/>
      <c r="R228"/>
      <c r="S228"/>
      <c r="T228"/>
      <c r="U228"/>
      <c r="V228"/>
      <c r="W228"/>
      <c r="X228"/>
    </row>
    <row r="229" spans="1:24" ht="18" thickTop="1" thickBot="1" x14ac:dyDescent="0.35">
      <c r="A229" s="457" t="s">
        <v>2</v>
      </c>
      <c r="B229" s="458">
        <v>2</v>
      </c>
      <c r="C229" s="458">
        <v>2</v>
      </c>
      <c r="D229" s="458" t="s">
        <v>758</v>
      </c>
      <c r="E229" s="457" t="s">
        <v>222</v>
      </c>
      <c r="F229" s="590"/>
      <c r="G229" s="220">
        <v>1238.6986639351826</v>
      </c>
      <c r="H229" s="219">
        <v>0</v>
      </c>
      <c r="I229" s="220">
        <v>0</v>
      </c>
      <c r="J229" s="219">
        <v>0</v>
      </c>
      <c r="K229" s="220">
        <v>0</v>
      </c>
      <c r="L229" s="1236"/>
      <c r="M229"/>
      <c r="N229"/>
      <c r="O229"/>
      <c r="P229"/>
      <c r="Q229"/>
      <c r="R229"/>
      <c r="S229"/>
      <c r="T229"/>
      <c r="U229"/>
      <c r="V229"/>
      <c r="W229"/>
      <c r="X229"/>
    </row>
    <row r="230" spans="1:24" ht="18" thickTop="1" thickBot="1" x14ac:dyDescent="0.35">
      <c r="A230" s="457" t="s">
        <v>2</v>
      </c>
      <c r="B230" s="458">
        <v>2</v>
      </c>
      <c r="C230" s="458">
        <v>2</v>
      </c>
      <c r="D230" s="458" t="s">
        <v>758</v>
      </c>
      <c r="E230" s="457" t="s">
        <v>223</v>
      </c>
      <c r="F230" s="590"/>
      <c r="G230" s="220">
        <v>1175.6156424379867</v>
      </c>
      <c r="H230" s="219">
        <v>0</v>
      </c>
      <c r="I230" s="220">
        <v>0</v>
      </c>
      <c r="J230" s="219">
        <v>0</v>
      </c>
      <c r="K230" s="220">
        <v>0</v>
      </c>
      <c r="L230" s="1236"/>
      <c r="M230"/>
      <c r="N230"/>
      <c r="O230"/>
      <c r="P230"/>
      <c r="Q230"/>
      <c r="R230"/>
      <c r="S230"/>
      <c r="T230"/>
      <c r="U230"/>
      <c r="V230"/>
      <c r="W230"/>
      <c r="X230"/>
    </row>
    <row r="231" spans="1:24" ht="18" thickTop="1" thickBot="1" x14ac:dyDescent="0.35">
      <c r="A231" s="457" t="s">
        <v>2</v>
      </c>
      <c r="B231" s="458">
        <v>2</v>
      </c>
      <c r="C231" s="458">
        <v>2</v>
      </c>
      <c r="D231" s="458" t="s">
        <v>758</v>
      </c>
      <c r="E231" s="457" t="s">
        <v>224</v>
      </c>
      <c r="F231" s="590"/>
      <c r="G231" s="220">
        <v>720.30172128728816</v>
      </c>
      <c r="H231" s="219">
        <v>0</v>
      </c>
      <c r="I231" s="220">
        <v>0</v>
      </c>
      <c r="J231" s="219">
        <v>0</v>
      </c>
      <c r="K231" s="220">
        <v>0</v>
      </c>
      <c r="L231" s="1236"/>
      <c r="M231"/>
      <c r="N231"/>
      <c r="O231"/>
      <c r="P231"/>
      <c r="Q231"/>
      <c r="R231"/>
      <c r="S231"/>
      <c r="T231"/>
      <c r="U231"/>
      <c r="V231"/>
      <c r="W231"/>
      <c r="X231"/>
    </row>
    <row r="232" spans="1:24" ht="18" thickTop="1" thickBot="1" x14ac:dyDescent="0.35">
      <c r="A232" s="457" t="s">
        <v>2</v>
      </c>
      <c r="B232" s="458">
        <v>2</v>
      </c>
      <c r="C232" s="458">
        <v>2</v>
      </c>
      <c r="D232" s="458" t="s">
        <v>758</v>
      </c>
      <c r="E232" s="457" t="s">
        <v>225</v>
      </c>
      <c r="F232" s="590"/>
      <c r="G232" s="220">
        <v>345.46478484584065</v>
      </c>
      <c r="H232" s="219">
        <v>0</v>
      </c>
      <c r="I232" s="220">
        <v>0</v>
      </c>
      <c r="J232" s="219">
        <v>0</v>
      </c>
      <c r="K232" s="220">
        <v>0</v>
      </c>
      <c r="L232" s="1236"/>
      <c r="M232"/>
      <c r="N232"/>
      <c r="O232"/>
      <c r="P232"/>
      <c r="Q232"/>
      <c r="R232"/>
      <c r="S232"/>
      <c r="T232"/>
      <c r="U232"/>
      <c r="V232"/>
      <c r="W232"/>
      <c r="X232"/>
    </row>
    <row r="233" spans="1:24" ht="18" thickTop="1" thickBot="1" x14ac:dyDescent="0.35">
      <c r="A233" s="457" t="s">
        <v>2</v>
      </c>
      <c r="B233" s="458">
        <v>2</v>
      </c>
      <c r="C233" s="458">
        <v>2</v>
      </c>
      <c r="D233" s="458" t="s">
        <v>758</v>
      </c>
      <c r="E233" s="457" t="s">
        <v>226</v>
      </c>
      <c r="F233" s="590"/>
      <c r="G233" s="220">
        <v>617.20878635110694</v>
      </c>
      <c r="H233" s="219">
        <v>0</v>
      </c>
      <c r="I233" s="220">
        <v>0</v>
      </c>
      <c r="J233" s="219">
        <v>0</v>
      </c>
      <c r="K233" s="220">
        <v>0</v>
      </c>
      <c r="L233" s="1236"/>
      <c r="M233"/>
      <c r="N233"/>
      <c r="O233"/>
      <c r="P233"/>
      <c r="Q233"/>
      <c r="R233"/>
      <c r="S233"/>
      <c r="T233"/>
      <c r="U233"/>
      <c r="V233"/>
      <c r="W233"/>
      <c r="X233"/>
    </row>
    <row r="234" spans="1:24" ht="18" thickTop="1" thickBot="1" x14ac:dyDescent="0.35">
      <c r="A234" s="457" t="s">
        <v>2</v>
      </c>
      <c r="B234" s="458">
        <v>2</v>
      </c>
      <c r="C234" s="458">
        <v>2</v>
      </c>
      <c r="D234" s="458" t="s">
        <v>758</v>
      </c>
      <c r="E234" s="457" t="s">
        <v>227</v>
      </c>
      <c r="F234" s="590"/>
      <c r="G234" s="220">
        <v>2336.6873967587899</v>
      </c>
      <c r="H234" s="219">
        <v>0</v>
      </c>
      <c r="I234" s="220">
        <v>0</v>
      </c>
      <c r="J234" s="219">
        <v>0</v>
      </c>
      <c r="K234" s="220">
        <v>0</v>
      </c>
      <c r="L234" s="1236"/>
      <c r="M234"/>
      <c r="N234"/>
      <c r="O234"/>
      <c r="P234"/>
      <c r="Q234"/>
      <c r="R234"/>
      <c r="S234"/>
      <c r="T234"/>
      <c r="U234"/>
      <c r="V234"/>
      <c r="W234"/>
      <c r="X234"/>
    </row>
    <row r="235" spans="1:24" ht="18" thickTop="1" thickBot="1" x14ac:dyDescent="0.35">
      <c r="A235" s="457" t="s">
        <v>2</v>
      </c>
      <c r="B235" s="458">
        <v>2</v>
      </c>
      <c r="C235" s="458">
        <v>2</v>
      </c>
      <c r="D235" s="458" t="s">
        <v>758</v>
      </c>
      <c r="E235" s="457" t="s">
        <v>228</v>
      </c>
      <c r="F235" s="590"/>
      <c r="G235" s="220">
        <v>596.33127251681492</v>
      </c>
      <c r="H235" s="219">
        <v>0</v>
      </c>
      <c r="I235" s="220">
        <v>0</v>
      </c>
      <c r="J235" s="219">
        <v>0</v>
      </c>
      <c r="K235" s="220">
        <v>0</v>
      </c>
      <c r="L235" s="1236"/>
      <c r="M235"/>
      <c r="N235"/>
      <c r="O235"/>
      <c r="P235"/>
      <c r="Q235"/>
      <c r="R235"/>
      <c r="S235"/>
      <c r="T235"/>
      <c r="U235"/>
      <c r="V235"/>
      <c r="W235"/>
      <c r="X235"/>
    </row>
    <row r="236" spans="1:24" ht="18" thickTop="1" thickBot="1" x14ac:dyDescent="0.35">
      <c r="A236" s="457" t="s">
        <v>2</v>
      </c>
      <c r="B236" s="458">
        <v>2</v>
      </c>
      <c r="C236" s="458">
        <v>2</v>
      </c>
      <c r="D236" s="458" t="s">
        <v>758</v>
      </c>
      <c r="E236" s="457" t="s">
        <v>229</v>
      </c>
      <c r="F236" s="590"/>
      <c r="G236" s="220">
        <v>640.02222136054695</v>
      </c>
      <c r="H236" s="219">
        <v>0</v>
      </c>
      <c r="I236" s="220">
        <v>0</v>
      </c>
      <c r="J236" s="219">
        <v>0</v>
      </c>
      <c r="K236" s="220">
        <v>0</v>
      </c>
      <c r="L236" s="1236"/>
      <c r="M236"/>
      <c r="N236"/>
      <c r="O236"/>
      <c r="P236"/>
      <c r="Q236"/>
      <c r="R236"/>
      <c r="S236"/>
      <c r="T236"/>
      <c r="U236"/>
      <c r="V236"/>
      <c r="W236"/>
      <c r="X236"/>
    </row>
    <row r="237" spans="1:24" ht="18" thickTop="1" thickBot="1" x14ac:dyDescent="0.35">
      <c r="A237" s="457" t="s">
        <v>2</v>
      </c>
      <c r="B237" s="458">
        <v>2</v>
      </c>
      <c r="C237" s="458">
        <v>2</v>
      </c>
      <c r="D237" s="458" t="s">
        <v>758</v>
      </c>
      <c r="E237" s="457" t="s">
        <v>230</v>
      </c>
      <c r="F237" s="590"/>
      <c r="G237" s="220">
        <v>441.74444484714542</v>
      </c>
      <c r="H237" s="219">
        <v>0</v>
      </c>
      <c r="I237" s="220">
        <v>0</v>
      </c>
      <c r="J237" s="219">
        <v>0</v>
      </c>
      <c r="K237" s="220">
        <v>0</v>
      </c>
      <c r="L237" s="1236"/>
      <c r="M237"/>
      <c r="N237"/>
      <c r="O237"/>
      <c r="P237"/>
      <c r="Q237"/>
      <c r="R237"/>
      <c r="S237"/>
      <c r="T237"/>
      <c r="U237"/>
      <c r="V237"/>
      <c r="W237"/>
      <c r="X237"/>
    </row>
    <row r="238" spans="1:24" ht="18" thickTop="1" thickBot="1" x14ac:dyDescent="0.35">
      <c r="A238" s="457" t="s">
        <v>2</v>
      </c>
      <c r="B238" s="458">
        <v>2</v>
      </c>
      <c r="C238" s="458">
        <v>2</v>
      </c>
      <c r="D238" s="458" t="s">
        <v>758</v>
      </c>
      <c r="E238" s="457" t="s">
        <v>231</v>
      </c>
      <c r="F238" s="590"/>
      <c r="G238" s="220">
        <v>626.33444095586367</v>
      </c>
      <c r="H238" s="219">
        <v>0</v>
      </c>
      <c r="I238" s="220">
        <v>0</v>
      </c>
      <c r="J238" s="219">
        <v>0</v>
      </c>
      <c r="K238" s="220">
        <v>0</v>
      </c>
      <c r="L238" s="1236"/>
      <c r="M238"/>
      <c r="N238"/>
      <c r="O238"/>
      <c r="P238"/>
      <c r="Q238"/>
      <c r="R238"/>
      <c r="S238"/>
      <c r="T238"/>
      <c r="U238"/>
      <c r="V238"/>
      <c r="W238"/>
      <c r="X238"/>
    </row>
    <row r="239" spans="1:24" ht="18" thickTop="1" thickBot="1" x14ac:dyDescent="0.35">
      <c r="A239" s="457" t="s">
        <v>2</v>
      </c>
      <c r="B239" s="458">
        <v>2</v>
      </c>
      <c r="C239" s="458">
        <v>2</v>
      </c>
      <c r="D239" s="458" t="s">
        <v>758</v>
      </c>
      <c r="E239" s="457" t="s">
        <v>232</v>
      </c>
      <c r="F239" s="590"/>
      <c r="G239" s="220">
        <v>521.75700083781783</v>
      </c>
      <c r="H239" s="219">
        <v>0</v>
      </c>
      <c r="I239" s="220">
        <v>0</v>
      </c>
      <c r="J239" s="219">
        <v>0</v>
      </c>
      <c r="K239" s="220">
        <v>0</v>
      </c>
      <c r="L239" s="1236"/>
      <c r="M239"/>
      <c r="N239"/>
      <c r="O239"/>
      <c r="P239"/>
      <c r="Q239"/>
      <c r="R239"/>
      <c r="S239"/>
      <c r="T239"/>
      <c r="U239"/>
      <c r="V239"/>
      <c r="W239"/>
      <c r="X239"/>
    </row>
    <row r="240" spans="1:24" ht="18" thickTop="1" thickBot="1" x14ac:dyDescent="0.35">
      <c r="A240" s="457" t="s">
        <v>2</v>
      </c>
      <c r="B240" s="458">
        <v>2</v>
      </c>
      <c r="C240" s="458">
        <v>2</v>
      </c>
      <c r="D240" s="458" t="s">
        <v>758</v>
      </c>
      <c r="E240" s="457" t="s">
        <v>233</v>
      </c>
      <c r="F240" s="590"/>
      <c r="G240" s="220">
        <v>615.8591181761268</v>
      </c>
      <c r="H240" s="219">
        <v>0</v>
      </c>
      <c r="I240" s="220">
        <v>0</v>
      </c>
      <c r="J240" s="219">
        <v>0</v>
      </c>
      <c r="K240" s="220">
        <v>0</v>
      </c>
      <c r="L240" s="1236"/>
      <c r="M240"/>
      <c r="N240"/>
      <c r="O240"/>
      <c r="P240"/>
      <c r="Q240"/>
      <c r="R240"/>
      <c r="S240"/>
      <c r="T240"/>
      <c r="U240"/>
      <c r="V240"/>
      <c r="W240"/>
      <c r="X240"/>
    </row>
    <row r="241" spans="1:24" ht="18" thickTop="1" thickBot="1" x14ac:dyDescent="0.35">
      <c r="A241" s="457" t="s">
        <v>2</v>
      </c>
      <c r="B241" s="458">
        <v>2</v>
      </c>
      <c r="C241" s="458">
        <v>2</v>
      </c>
      <c r="D241" s="458" t="s">
        <v>760</v>
      </c>
      <c r="E241" s="457" t="s">
        <v>234</v>
      </c>
      <c r="F241" s="590"/>
      <c r="G241" s="220">
        <v>384.79633925630395</v>
      </c>
      <c r="H241" s="219">
        <v>0</v>
      </c>
      <c r="I241" s="220">
        <v>0</v>
      </c>
      <c r="J241" s="219">
        <v>0</v>
      </c>
      <c r="K241" s="220">
        <v>0</v>
      </c>
      <c r="L241" s="1236"/>
      <c r="M241"/>
      <c r="N241"/>
      <c r="O241"/>
      <c r="P241"/>
      <c r="Q241"/>
      <c r="R241"/>
      <c r="S241"/>
      <c r="T241"/>
      <c r="U241"/>
      <c r="V241"/>
      <c r="W241"/>
      <c r="X241"/>
    </row>
    <row r="242" spans="1:24" ht="18" thickTop="1" thickBot="1" x14ac:dyDescent="0.35">
      <c r="A242" s="457" t="s">
        <v>2</v>
      </c>
      <c r="B242" s="458">
        <v>2</v>
      </c>
      <c r="C242" s="458">
        <v>2</v>
      </c>
      <c r="D242" s="458" t="s">
        <v>758</v>
      </c>
      <c r="E242" s="457" t="s">
        <v>235</v>
      </c>
      <c r="F242" s="590"/>
      <c r="G242" s="220">
        <v>1071.4125834605943</v>
      </c>
      <c r="H242" s="219">
        <v>0</v>
      </c>
      <c r="I242" s="220">
        <v>0</v>
      </c>
      <c r="J242" s="219">
        <v>0</v>
      </c>
      <c r="K242" s="220">
        <v>0</v>
      </c>
      <c r="L242" s="1236"/>
      <c r="M242"/>
      <c r="N242"/>
      <c r="O242"/>
      <c r="P242"/>
      <c r="Q242"/>
      <c r="R242"/>
      <c r="S242"/>
      <c r="T242"/>
      <c r="U242"/>
      <c r="V242"/>
      <c r="W242"/>
      <c r="X242"/>
    </row>
    <row r="243" spans="1:24" ht="18" thickTop="1" thickBot="1" x14ac:dyDescent="0.35">
      <c r="A243" s="457" t="s">
        <v>2</v>
      </c>
      <c r="B243" s="458">
        <v>2</v>
      </c>
      <c r="C243" s="458">
        <v>2</v>
      </c>
      <c r="D243" s="458" t="s">
        <v>758</v>
      </c>
      <c r="E243" s="457" t="s">
        <v>236</v>
      </c>
      <c r="F243" s="590"/>
      <c r="G243" s="220">
        <v>641.60781414640417</v>
      </c>
      <c r="H243" s="219">
        <v>0</v>
      </c>
      <c r="I243" s="220">
        <v>0</v>
      </c>
      <c r="J243" s="219">
        <v>0</v>
      </c>
      <c r="K243" s="220">
        <v>0</v>
      </c>
      <c r="L243" s="1236"/>
      <c r="M243"/>
      <c r="N243"/>
      <c r="O243"/>
      <c r="P243"/>
      <c r="Q243"/>
      <c r="R243"/>
      <c r="S243"/>
      <c r="T243"/>
      <c r="U243"/>
      <c r="V243"/>
      <c r="W243"/>
      <c r="X243"/>
    </row>
    <row r="244" spans="1:24" ht="18" thickTop="1" thickBot="1" x14ac:dyDescent="0.35">
      <c r="A244" s="457" t="s">
        <v>2</v>
      </c>
      <c r="B244" s="458">
        <v>2</v>
      </c>
      <c r="C244" s="458">
        <v>2</v>
      </c>
      <c r="D244" s="458" t="s">
        <v>758</v>
      </c>
      <c r="E244" s="457" t="s">
        <v>237</v>
      </c>
      <c r="F244" s="590"/>
      <c r="G244" s="220">
        <v>437.58104139240493</v>
      </c>
      <c r="H244" s="219">
        <v>0</v>
      </c>
      <c r="I244" s="220">
        <v>0</v>
      </c>
      <c r="J244" s="219">
        <v>0</v>
      </c>
      <c r="K244" s="220">
        <v>0</v>
      </c>
      <c r="L244" s="1236"/>
      <c r="M244"/>
      <c r="N244"/>
      <c r="O244"/>
      <c r="P244"/>
      <c r="Q244"/>
      <c r="R244"/>
      <c r="S244"/>
      <c r="T244"/>
      <c r="U244"/>
      <c r="V244"/>
      <c r="W244"/>
      <c r="X244"/>
    </row>
    <row r="245" spans="1:24" ht="18" thickTop="1" thickBot="1" x14ac:dyDescent="0.35">
      <c r="A245" s="457" t="s">
        <v>2</v>
      </c>
      <c r="B245" s="458">
        <v>2</v>
      </c>
      <c r="C245" s="458">
        <v>2</v>
      </c>
      <c r="D245" s="458" t="s">
        <v>758</v>
      </c>
      <c r="E245" s="457" t="s">
        <v>238</v>
      </c>
      <c r="F245" s="590"/>
      <c r="G245" s="220">
        <v>1182.5499817666284</v>
      </c>
      <c r="H245" s="219">
        <v>0</v>
      </c>
      <c r="I245" s="220">
        <v>0</v>
      </c>
      <c r="J245" s="219">
        <v>0</v>
      </c>
      <c r="K245" s="220">
        <v>0</v>
      </c>
      <c r="L245" s="1236"/>
      <c r="M245"/>
      <c r="N245"/>
      <c r="O245"/>
      <c r="P245"/>
      <c r="Q245"/>
      <c r="R245"/>
      <c r="S245"/>
      <c r="T245"/>
      <c r="U245"/>
      <c r="V245"/>
      <c r="W245"/>
      <c r="X245"/>
    </row>
    <row r="246" spans="1:24" ht="18" thickTop="1" thickBot="1" x14ac:dyDescent="0.35">
      <c r="A246" s="457" t="s">
        <v>2</v>
      </c>
      <c r="B246" s="458">
        <v>2</v>
      </c>
      <c r="C246" s="458">
        <v>2</v>
      </c>
      <c r="D246" s="458" t="s">
        <v>758</v>
      </c>
      <c r="E246" s="457" t="s">
        <v>239</v>
      </c>
      <c r="F246" s="590"/>
      <c r="G246" s="220">
        <v>497.78111531561916</v>
      </c>
      <c r="H246" s="219">
        <v>0</v>
      </c>
      <c r="I246" s="220">
        <v>0</v>
      </c>
      <c r="J246" s="219">
        <v>0</v>
      </c>
      <c r="K246" s="220">
        <v>0</v>
      </c>
      <c r="L246" s="1236"/>
      <c r="M246"/>
      <c r="N246"/>
      <c r="O246"/>
      <c r="P246"/>
      <c r="Q246"/>
      <c r="R246"/>
      <c r="S246"/>
      <c r="T246"/>
      <c r="U246"/>
      <c r="V246"/>
      <c r="W246"/>
      <c r="X246"/>
    </row>
    <row r="247" spans="1:24" ht="18" thickTop="1" thickBot="1" x14ac:dyDescent="0.35">
      <c r="A247" s="457" t="s">
        <v>2</v>
      </c>
      <c r="B247" s="458">
        <v>2</v>
      </c>
      <c r="C247" s="458">
        <v>2</v>
      </c>
      <c r="D247" s="458" t="s">
        <v>758</v>
      </c>
      <c r="E247" s="457" t="s">
        <v>240</v>
      </c>
      <c r="F247" s="590"/>
      <c r="G247" s="220">
        <v>652.55121464068543</v>
      </c>
      <c r="H247" s="219">
        <v>0</v>
      </c>
      <c r="I247" s="220">
        <v>0</v>
      </c>
      <c r="J247" s="219">
        <v>0</v>
      </c>
      <c r="K247" s="220">
        <v>0</v>
      </c>
      <c r="L247" s="1236"/>
      <c r="M247"/>
      <c r="N247"/>
      <c r="O247"/>
      <c r="P247"/>
      <c r="Q247"/>
      <c r="R247"/>
      <c r="S247"/>
      <c r="T247"/>
      <c r="U247"/>
      <c r="V247"/>
      <c r="W247"/>
      <c r="X247"/>
    </row>
    <row r="248" spans="1:24" ht="18" thickTop="1" thickBot="1" x14ac:dyDescent="0.35">
      <c r="A248" s="457" t="s">
        <v>2</v>
      </c>
      <c r="B248" s="458">
        <v>2</v>
      </c>
      <c r="C248" s="458">
        <v>2</v>
      </c>
      <c r="D248" s="458" t="s">
        <v>758</v>
      </c>
      <c r="E248" s="457" t="s">
        <v>241</v>
      </c>
      <c r="F248" s="590"/>
      <c r="G248" s="220">
        <v>182.0651073996755</v>
      </c>
      <c r="H248" s="219">
        <v>0</v>
      </c>
      <c r="I248" s="220">
        <v>0</v>
      </c>
      <c r="J248" s="219">
        <v>0</v>
      </c>
      <c r="K248" s="220">
        <v>0</v>
      </c>
      <c r="L248" s="1236"/>
      <c r="M248"/>
      <c r="N248"/>
      <c r="O248"/>
      <c r="P248"/>
      <c r="Q248"/>
      <c r="R248"/>
      <c r="S248"/>
      <c r="T248"/>
      <c r="U248"/>
      <c r="V248"/>
      <c r="W248"/>
      <c r="X248"/>
    </row>
    <row r="249" spans="1:24" ht="18" thickTop="1" thickBot="1" x14ac:dyDescent="0.35">
      <c r="A249" s="457" t="s">
        <v>2</v>
      </c>
      <c r="B249" s="458">
        <v>2</v>
      </c>
      <c r="C249" s="458">
        <v>2</v>
      </c>
      <c r="D249" s="458" t="s">
        <v>758</v>
      </c>
      <c r="E249" s="457" t="s">
        <v>242</v>
      </c>
      <c r="F249" s="590"/>
      <c r="G249" s="220">
        <v>601.59684873271476</v>
      </c>
      <c r="H249" s="219">
        <v>0</v>
      </c>
      <c r="I249" s="220">
        <v>0</v>
      </c>
      <c r="J249" s="219">
        <v>0</v>
      </c>
      <c r="K249" s="220">
        <v>0</v>
      </c>
      <c r="L249" s="1236"/>
      <c r="M249"/>
      <c r="N249"/>
      <c r="O249"/>
      <c r="P249"/>
      <c r="Q249"/>
      <c r="R249"/>
      <c r="S249"/>
      <c r="T249"/>
      <c r="U249"/>
      <c r="V249"/>
      <c r="W249"/>
      <c r="X249"/>
    </row>
    <row r="250" spans="1:24" ht="18" thickTop="1" thickBot="1" x14ac:dyDescent="0.35">
      <c r="A250" s="457" t="s">
        <v>2</v>
      </c>
      <c r="B250" s="458">
        <v>2</v>
      </c>
      <c r="C250" s="458">
        <v>2</v>
      </c>
      <c r="D250" s="458" t="s">
        <v>761</v>
      </c>
      <c r="E250" s="457" t="s">
        <v>243</v>
      </c>
      <c r="F250" s="590"/>
      <c r="G250" s="220">
        <v>2.4241459465222999</v>
      </c>
      <c r="H250" s="219">
        <v>0</v>
      </c>
      <c r="I250" s="220">
        <v>0</v>
      </c>
      <c r="J250" s="219">
        <v>0</v>
      </c>
      <c r="K250" s="220">
        <v>0</v>
      </c>
      <c r="L250" s="1236"/>
      <c r="M250"/>
      <c r="N250"/>
      <c r="O250"/>
      <c r="P250"/>
      <c r="Q250"/>
      <c r="R250"/>
      <c r="S250"/>
      <c r="T250"/>
      <c r="U250"/>
      <c r="V250"/>
      <c r="W250"/>
      <c r="X250"/>
    </row>
    <row r="251" spans="1:24" ht="18" thickTop="1" thickBot="1" x14ac:dyDescent="0.35">
      <c r="A251" s="457" t="s">
        <v>2</v>
      </c>
      <c r="B251" s="458">
        <v>2</v>
      </c>
      <c r="C251" s="458">
        <v>2</v>
      </c>
      <c r="D251" s="458" t="s">
        <v>758</v>
      </c>
      <c r="E251" s="457" t="s">
        <v>244</v>
      </c>
      <c r="F251" s="590"/>
      <c r="G251" s="220">
        <v>701.53926778200264</v>
      </c>
      <c r="H251" s="219">
        <v>0</v>
      </c>
      <c r="I251" s="220">
        <v>0</v>
      </c>
      <c r="J251" s="219">
        <v>0</v>
      </c>
      <c r="K251" s="220">
        <v>0</v>
      </c>
      <c r="L251" s="1236"/>
      <c r="M251"/>
      <c r="N251"/>
      <c r="O251"/>
      <c r="P251"/>
      <c r="Q251"/>
      <c r="R251"/>
      <c r="S251"/>
      <c r="T251"/>
      <c r="U251"/>
      <c r="V251"/>
      <c r="W251"/>
      <c r="X251"/>
    </row>
    <row r="252" spans="1:24" ht="18" thickTop="1" thickBot="1" x14ac:dyDescent="0.35">
      <c r="A252" s="457" t="s">
        <v>2</v>
      </c>
      <c r="B252" s="458">
        <v>2</v>
      </c>
      <c r="C252" s="458">
        <v>2</v>
      </c>
      <c r="D252" s="458" t="s">
        <v>758</v>
      </c>
      <c r="E252" s="457" t="s">
        <v>245</v>
      </c>
      <c r="F252" s="590"/>
      <c r="G252" s="220">
        <v>677.21962532697978</v>
      </c>
      <c r="H252" s="219">
        <v>0</v>
      </c>
      <c r="I252" s="220">
        <v>0</v>
      </c>
      <c r="J252" s="219">
        <v>0</v>
      </c>
      <c r="K252" s="220">
        <v>0</v>
      </c>
      <c r="L252" s="1236"/>
      <c r="M252"/>
      <c r="N252"/>
      <c r="O252"/>
      <c r="P252"/>
      <c r="Q252"/>
      <c r="R252"/>
      <c r="S252"/>
      <c r="T252"/>
      <c r="U252"/>
      <c r="V252"/>
      <c r="W252"/>
      <c r="X252"/>
    </row>
    <row r="253" spans="1:24" ht="18" thickTop="1" thickBot="1" x14ac:dyDescent="0.35">
      <c r="A253" s="457" t="s">
        <v>2</v>
      </c>
      <c r="B253" s="458">
        <v>2</v>
      </c>
      <c r="C253" s="458">
        <v>2</v>
      </c>
      <c r="D253" s="458" t="s">
        <v>758</v>
      </c>
      <c r="E253" s="457" t="s">
        <v>246</v>
      </c>
      <c r="F253" s="590"/>
      <c r="G253" s="220">
        <v>542.80018334131591</v>
      </c>
      <c r="H253" s="219">
        <v>0</v>
      </c>
      <c r="I253" s="220">
        <v>0</v>
      </c>
      <c r="J253" s="219">
        <v>0</v>
      </c>
      <c r="K253" s="220">
        <v>0</v>
      </c>
      <c r="L253" s="1236"/>
      <c r="M253"/>
      <c r="N253"/>
      <c r="O253"/>
      <c r="P253"/>
      <c r="Q253"/>
      <c r="R253"/>
      <c r="S253"/>
      <c r="T253"/>
      <c r="U253"/>
      <c r="V253"/>
      <c r="W253"/>
      <c r="X253"/>
    </row>
    <row r="254" spans="1:24" ht="18" thickTop="1" thickBot="1" x14ac:dyDescent="0.35">
      <c r="A254" s="457" t="s">
        <v>2</v>
      </c>
      <c r="B254" s="458">
        <v>2</v>
      </c>
      <c r="C254" s="458">
        <v>2</v>
      </c>
      <c r="D254" s="458" t="s">
        <v>758</v>
      </c>
      <c r="E254" s="457" t="s">
        <v>247</v>
      </c>
      <c r="F254" s="590"/>
      <c r="G254" s="220">
        <v>359.90234836096045</v>
      </c>
      <c r="H254" s="219">
        <v>0</v>
      </c>
      <c r="I254" s="220">
        <v>0</v>
      </c>
      <c r="J254" s="219">
        <v>0</v>
      </c>
      <c r="K254" s="220">
        <v>0</v>
      </c>
      <c r="L254" s="1236"/>
      <c r="M254"/>
      <c r="N254"/>
      <c r="O254"/>
      <c r="P254"/>
      <c r="Q254"/>
      <c r="R254"/>
      <c r="S254"/>
      <c r="T254"/>
      <c r="U254"/>
      <c r="V254"/>
      <c r="W254"/>
      <c r="X254"/>
    </row>
    <row r="255" spans="1:24" ht="18" thickTop="1" thickBot="1" x14ac:dyDescent="0.35">
      <c r="A255" s="457" t="s">
        <v>2</v>
      </c>
      <c r="B255" s="458">
        <v>2</v>
      </c>
      <c r="C255" s="458">
        <v>2</v>
      </c>
      <c r="D255" s="458" t="s">
        <v>758</v>
      </c>
      <c r="E255" s="457" t="s">
        <v>248</v>
      </c>
      <c r="F255" s="590"/>
      <c r="G255" s="220">
        <v>2582.7695637341349</v>
      </c>
      <c r="H255" s="219">
        <v>0</v>
      </c>
      <c r="I255" s="220">
        <v>0</v>
      </c>
      <c r="J255" s="219">
        <v>0</v>
      </c>
      <c r="K255" s="220">
        <v>0</v>
      </c>
      <c r="L255" s="1236"/>
      <c r="M255"/>
      <c r="N255"/>
      <c r="O255"/>
      <c r="P255"/>
      <c r="Q255"/>
      <c r="R255"/>
      <c r="S255"/>
      <c r="T255"/>
      <c r="U255"/>
      <c r="V255"/>
      <c r="W255"/>
      <c r="X255"/>
    </row>
    <row r="256" spans="1:24" ht="18" thickTop="1" thickBot="1" x14ac:dyDescent="0.35">
      <c r="A256" s="457" t="s">
        <v>2</v>
      </c>
      <c r="B256" s="458">
        <v>2</v>
      </c>
      <c r="C256" s="458">
        <v>2</v>
      </c>
      <c r="D256" s="458" t="s">
        <v>758</v>
      </c>
      <c r="E256" s="457" t="s">
        <v>249</v>
      </c>
      <c r="F256" s="590"/>
      <c r="G256" s="220">
        <v>1330.9494966575808</v>
      </c>
      <c r="H256" s="219">
        <v>0</v>
      </c>
      <c r="I256" s="220">
        <v>0</v>
      </c>
      <c r="J256" s="219">
        <v>0</v>
      </c>
      <c r="K256" s="220">
        <v>0</v>
      </c>
      <c r="L256" s="1236"/>
      <c r="M256"/>
      <c r="N256"/>
      <c r="O256"/>
      <c r="P256"/>
      <c r="Q256"/>
      <c r="R256"/>
      <c r="S256"/>
      <c r="T256"/>
      <c r="U256"/>
      <c r="V256"/>
      <c r="W256"/>
      <c r="X256"/>
    </row>
    <row r="257" spans="1:24" ht="18" thickTop="1" thickBot="1" x14ac:dyDescent="0.35">
      <c r="A257" s="457" t="s">
        <v>2</v>
      </c>
      <c r="B257" s="458">
        <v>2</v>
      </c>
      <c r="C257" s="458">
        <v>2</v>
      </c>
      <c r="D257" s="458" t="s">
        <v>758</v>
      </c>
      <c r="E257" s="457" t="s">
        <v>250</v>
      </c>
      <c r="F257" s="590"/>
      <c r="G257" s="220">
        <v>550.88852199792416</v>
      </c>
      <c r="H257" s="219">
        <v>0</v>
      </c>
      <c r="I257" s="220">
        <v>0</v>
      </c>
      <c r="J257" s="219">
        <v>0</v>
      </c>
      <c r="K257" s="220">
        <v>0</v>
      </c>
      <c r="L257" s="1236"/>
      <c r="M257"/>
      <c r="N257"/>
      <c r="O257"/>
      <c r="P257"/>
      <c r="Q257"/>
      <c r="R257"/>
      <c r="S257"/>
      <c r="T257"/>
      <c r="U257"/>
      <c r="V257"/>
      <c r="W257"/>
      <c r="X257"/>
    </row>
    <row r="258" spans="1:24" ht="18" thickTop="1" thickBot="1" x14ac:dyDescent="0.35">
      <c r="A258" s="457" t="s">
        <v>2</v>
      </c>
      <c r="B258" s="458">
        <v>2</v>
      </c>
      <c r="C258" s="458">
        <v>2</v>
      </c>
      <c r="D258" s="458" t="s">
        <v>758</v>
      </c>
      <c r="E258" s="457" t="s">
        <v>251</v>
      </c>
      <c r="F258" s="590"/>
      <c r="G258" s="220">
        <v>1051.440751031696</v>
      </c>
      <c r="H258" s="219">
        <v>0</v>
      </c>
      <c r="I258" s="220">
        <v>0</v>
      </c>
      <c r="J258" s="219">
        <v>0</v>
      </c>
      <c r="K258" s="220">
        <v>0</v>
      </c>
      <c r="L258" s="1236"/>
      <c r="M258"/>
      <c r="N258"/>
      <c r="O258"/>
      <c r="P258"/>
      <c r="Q258"/>
      <c r="R258"/>
      <c r="S258"/>
      <c r="T258"/>
      <c r="U258"/>
      <c r="V258"/>
      <c r="W258"/>
      <c r="X258"/>
    </row>
    <row r="259" spans="1:24" ht="18" thickTop="1" thickBot="1" x14ac:dyDescent="0.35">
      <c r="A259" s="457" t="s">
        <v>2</v>
      </c>
      <c r="B259" s="458">
        <v>2</v>
      </c>
      <c r="C259" s="458">
        <v>2</v>
      </c>
      <c r="D259" s="458" t="s">
        <v>758</v>
      </c>
      <c r="E259" s="457" t="s">
        <v>1331</v>
      </c>
      <c r="F259" s="457"/>
      <c r="G259" s="220">
        <v>1336.1991445038987</v>
      </c>
      <c r="H259" s="219">
        <v>0</v>
      </c>
      <c r="I259" s="220">
        <v>0</v>
      </c>
      <c r="J259" s="219">
        <v>0</v>
      </c>
      <c r="K259" s="220">
        <v>0</v>
      </c>
      <c r="L259" s="1236"/>
      <c r="M259"/>
      <c r="N259"/>
      <c r="O259"/>
      <c r="P259"/>
      <c r="Q259"/>
      <c r="R259"/>
      <c r="S259"/>
      <c r="T259"/>
      <c r="U259"/>
      <c r="V259"/>
      <c r="W259"/>
      <c r="X259"/>
    </row>
    <row r="260" spans="1:24" ht="18" thickTop="1" thickBot="1" x14ac:dyDescent="0.35">
      <c r="A260" s="457" t="s">
        <v>2</v>
      </c>
      <c r="B260" s="458">
        <v>2</v>
      </c>
      <c r="C260" s="458">
        <v>2</v>
      </c>
      <c r="D260" s="458" t="s">
        <v>758</v>
      </c>
      <c r="E260" s="457" t="s">
        <v>252</v>
      </c>
      <c r="F260" s="590"/>
      <c r="G260" s="220">
        <v>459.7424426534389</v>
      </c>
      <c r="H260" s="219">
        <v>0</v>
      </c>
      <c r="I260" s="220">
        <v>0</v>
      </c>
      <c r="J260" s="219">
        <v>0</v>
      </c>
      <c r="K260" s="220">
        <v>0</v>
      </c>
      <c r="L260" s="1236"/>
      <c r="M260"/>
      <c r="N260"/>
      <c r="O260"/>
      <c r="P260"/>
      <c r="Q260"/>
      <c r="R260"/>
      <c r="S260"/>
      <c r="T260"/>
      <c r="U260"/>
      <c r="V260"/>
      <c r="W260"/>
      <c r="X260"/>
    </row>
    <row r="261" spans="1:24" ht="18" thickTop="1" thickBot="1" x14ac:dyDescent="0.35">
      <c r="A261" s="457" t="s">
        <v>2</v>
      </c>
      <c r="B261" s="458">
        <v>2</v>
      </c>
      <c r="C261" s="458">
        <v>2</v>
      </c>
      <c r="D261" s="458" t="s">
        <v>758</v>
      </c>
      <c r="E261" s="457" t="s">
        <v>253</v>
      </c>
      <c r="F261" s="590"/>
      <c r="G261" s="220">
        <v>463.85326665844167</v>
      </c>
      <c r="H261" s="219">
        <v>0</v>
      </c>
      <c r="I261" s="220">
        <v>0</v>
      </c>
      <c r="J261" s="219">
        <v>0</v>
      </c>
      <c r="K261" s="220">
        <v>0</v>
      </c>
      <c r="L261" s="1236"/>
      <c r="M261"/>
      <c r="N261"/>
      <c r="O261"/>
      <c r="P261"/>
      <c r="Q261"/>
      <c r="R261"/>
      <c r="S261"/>
      <c r="T261"/>
      <c r="U261"/>
      <c r="V261"/>
      <c r="W261"/>
      <c r="X261"/>
    </row>
    <row r="262" spans="1:24" ht="18" thickTop="1" thickBot="1" x14ac:dyDescent="0.35">
      <c r="A262" s="457" t="s">
        <v>2</v>
      </c>
      <c r="B262" s="458">
        <v>2</v>
      </c>
      <c r="C262" s="458">
        <v>2</v>
      </c>
      <c r="D262" s="458" t="s">
        <v>758</v>
      </c>
      <c r="E262" s="457" t="s">
        <v>254</v>
      </c>
      <c r="F262" s="590"/>
      <c r="G262" s="220">
        <v>573.33975498613813</v>
      </c>
      <c r="H262" s="219">
        <v>0</v>
      </c>
      <c r="I262" s="220">
        <v>0</v>
      </c>
      <c r="J262" s="219">
        <v>0</v>
      </c>
      <c r="K262" s="220">
        <v>0</v>
      </c>
      <c r="L262" s="1236"/>
      <c r="M262"/>
      <c r="N262"/>
      <c r="O262"/>
      <c r="P262"/>
      <c r="Q262"/>
      <c r="R262"/>
      <c r="S262"/>
      <c r="T262"/>
      <c r="U262"/>
      <c r="V262"/>
      <c r="W262"/>
      <c r="X262"/>
    </row>
    <row r="263" spans="1:24" ht="18" thickTop="1" thickBot="1" x14ac:dyDescent="0.35">
      <c r="A263" s="457" t="s">
        <v>2</v>
      </c>
      <c r="B263" s="458">
        <v>2</v>
      </c>
      <c r="C263" s="458">
        <v>2</v>
      </c>
      <c r="D263" s="458" t="s">
        <v>758</v>
      </c>
      <c r="E263" s="457" t="s">
        <v>255</v>
      </c>
      <c r="F263" s="590"/>
      <c r="G263" s="220">
        <v>1271.3987500818853</v>
      </c>
      <c r="H263" s="219">
        <v>0</v>
      </c>
      <c r="I263" s="220">
        <v>0</v>
      </c>
      <c r="J263" s="219">
        <v>0</v>
      </c>
      <c r="K263" s="220">
        <v>0</v>
      </c>
      <c r="L263" s="1236"/>
      <c r="M263"/>
      <c r="N263"/>
      <c r="O263"/>
      <c r="P263"/>
      <c r="Q263"/>
      <c r="R263"/>
      <c r="S263"/>
      <c r="T263"/>
      <c r="U263"/>
      <c r="V263"/>
      <c r="W263"/>
      <c r="X263"/>
    </row>
    <row r="264" spans="1:24" ht="18" thickTop="1" thickBot="1" x14ac:dyDescent="0.35">
      <c r="A264" s="457" t="s">
        <v>2</v>
      </c>
      <c r="B264" s="458">
        <v>2</v>
      </c>
      <c r="C264" s="458">
        <v>2</v>
      </c>
      <c r="D264" s="458" t="s">
        <v>758</v>
      </c>
      <c r="E264" s="457" t="s">
        <v>256</v>
      </c>
      <c r="F264" s="590"/>
      <c r="G264" s="220">
        <v>656.42192162119068</v>
      </c>
      <c r="H264" s="219">
        <v>0</v>
      </c>
      <c r="I264" s="220">
        <v>0</v>
      </c>
      <c r="J264" s="219">
        <v>0</v>
      </c>
      <c r="K264" s="220">
        <v>0</v>
      </c>
      <c r="L264" s="1236"/>
      <c r="M264"/>
      <c r="N264"/>
      <c r="O264"/>
      <c r="P264"/>
      <c r="Q264"/>
      <c r="R264"/>
      <c r="S264"/>
      <c r="T264"/>
      <c r="U264"/>
      <c r="V264"/>
      <c r="W264"/>
      <c r="X264"/>
    </row>
    <row r="265" spans="1:24" ht="18" thickTop="1" thickBot="1" x14ac:dyDescent="0.35">
      <c r="A265" s="457" t="s">
        <v>2</v>
      </c>
      <c r="B265" s="458">
        <v>2</v>
      </c>
      <c r="C265" s="458">
        <v>2</v>
      </c>
      <c r="D265" s="458" t="s">
        <v>758</v>
      </c>
      <c r="E265" s="457" t="s">
        <v>257</v>
      </c>
      <c r="F265" s="590"/>
      <c r="G265" s="220">
        <v>709.6476334300454</v>
      </c>
      <c r="H265" s="219">
        <v>0</v>
      </c>
      <c r="I265" s="220">
        <v>0</v>
      </c>
      <c r="J265" s="219">
        <v>0</v>
      </c>
      <c r="K265" s="220">
        <v>0</v>
      </c>
      <c r="L265" s="1236"/>
      <c r="M265"/>
      <c r="N265"/>
      <c r="O265"/>
      <c r="P265"/>
      <c r="Q265"/>
      <c r="R265"/>
      <c r="S265"/>
      <c r="T265"/>
      <c r="U265"/>
      <c r="V265"/>
      <c r="W265"/>
      <c r="X265"/>
    </row>
    <row r="266" spans="1:24" ht="18" thickTop="1" thickBot="1" x14ac:dyDescent="0.35">
      <c r="A266" s="457" t="s">
        <v>2</v>
      </c>
      <c r="B266" s="458">
        <v>2</v>
      </c>
      <c r="C266" s="458">
        <v>2</v>
      </c>
      <c r="D266" s="458" t="s">
        <v>758</v>
      </c>
      <c r="E266" s="457" t="s">
        <v>258</v>
      </c>
      <c r="F266" s="590"/>
      <c r="G266" s="220">
        <v>501.82378136055161</v>
      </c>
      <c r="H266" s="219">
        <v>0</v>
      </c>
      <c r="I266" s="220">
        <v>0</v>
      </c>
      <c r="J266" s="219">
        <v>0</v>
      </c>
      <c r="K266" s="220">
        <v>0</v>
      </c>
      <c r="L266" s="1236"/>
      <c r="M266"/>
      <c r="N266"/>
      <c r="O266"/>
      <c r="P266"/>
      <c r="Q266"/>
      <c r="R266"/>
      <c r="S266"/>
      <c r="T266"/>
      <c r="U266"/>
      <c r="V266"/>
      <c r="W266"/>
      <c r="X266"/>
    </row>
    <row r="267" spans="1:24" ht="18" thickTop="1" thickBot="1" x14ac:dyDescent="0.35">
      <c r="A267" s="457" t="s">
        <v>2</v>
      </c>
      <c r="B267" s="458">
        <v>2</v>
      </c>
      <c r="C267" s="458">
        <v>2</v>
      </c>
      <c r="D267" s="458" t="s">
        <v>758</v>
      </c>
      <c r="E267" s="457" t="s">
        <v>259</v>
      </c>
      <c r="F267" s="590"/>
      <c r="G267" s="220">
        <v>688.77455968439119</v>
      </c>
      <c r="H267" s="219">
        <v>0</v>
      </c>
      <c r="I267" s="220">
        <v>0</v>
      </c>
      <c r="J267" s="219">
        <v>0</v>
      </c>
      <c r="K267" s="220">
        <v>0</v>
      </c>
      <c r="L267" s="1236"/>
      <c r="M267"/>
      <c r="N267"/>
      <c r="O267"/>
      <c r="P267"/>
      <c r="Q267"/>
      <c r="R267"/>
      <c r="S267"/>
      <c r="T267"/>
      <c r="U267"/>
      <c r="V267"/>
      <c r="W267"/>
      <c r="X267"/>
    </row>
    <row r="268" spans="1:24" ht="18" thickTop="1" thickBot="1" x14ac:dyDescent="0.35">
      <c r="A268" s="457" t="s">
        <v>2</v>
      </c>
      <c r="B268" s="458">
        <v>2</v>
      </c>
      <c r="C268" s="458">
        <v>2</v>
      </c>
      <c r="D268" s="458" t="s">
        <v>758</v>
      </c>
      <c r="E268" s="457" t="s">
        <v>260</v>
      </c>
      <c r="F268" s="590"/>
      <c r="G268" s="220">
        <v>705.40840320470022</v>
      </c>
      <c r="H268" s="219">
        <v>0</v>
      </c>
      <c r="I268" s="220">
        <v>0</v>
      </c>
      <c r="J268" s="219">
        <v>0</v>
      </c>
      <c r="K268" s="220">
        <v>0</v>
      </c>
      <c r="L268" s="1236"/>
      <c r="M268"/>
      <c r="N268"/>
      <c r="O268"/>
      <c r="P268"/>
      <c r="Q268"/>
      <c r="R268"/>
      <c r="S268"/>
      <c r="T268"/>
      <c r="U268"/>
      <c r="V268"/>
      <c r="W268"/>
      <c r="X268"/>
    </row>
    <row r="269" spans="1:24" ht="18" thickTop="1" thickBot="1" x14ac:dyDescent="0.35">
      <c r="A269" s="457" t="s">
        <v>2</v>
      </c>
      <c r="B269" s="458">
        <v>2</v>
      </c>
      <c r="C269" s="458">
        <v>2</v>
      </c>
      <c r="D269" s="458" t="s">
        <v>758</v>
      </c>
      <c r="E269" s="457" t="s">
        <v>261</v>
      </c>
      <c r="F269" s="590"/>
      <c r="G269" s="220">
        <v>552.03726153818752</v>
      </c>
      <c r="H269" s="219">
        <v>0</v>
      </c>
      <c r="I269" s="220">
        <v>0</v>
      </c>
      <c r="J269" s="219">
        <v>0</v>
      </c>
      <c r="K269" s="220">
        <v>0</v>
      </c>
      <c r="L269" s="1236"/>
      <c r="M269"/>
      <c r="N269"/>
      <c r="O269"/>
      <c r="P269"/>
      <c r="Q269"/>
      <c r="R269"/>
      <c r="S269"/>
      <c r="T269"/>
      <c r="U269"/>
      <c r="V269"/>
      <c r="W269"/>
      <c r="X269"/>
    </row>
    <row r="270" spans="1:24" ht="18" thickTop="1" thickBot="1" x14ac:dyDescent="0.35">
      <c r="A270" s="457" t="s">
        <v>2</v>
      </c>
      <c r="B270" s="458">
        <v>2</v>
      </c>
      <c r="C270" s="458">
        <v>2</v>
      </c>
      <c r="D270" s="458" t="s">
        <v>758</v>
      </c>
      <c r="E270" s="457" t="s">
        <v>262</v>
      </c>
      <c r="F270" s="590"/>
      <c r="G270" s="220">
        <v>574.19175613028733</v>
      </c>
      <c r="H270" s="219">
        <v>0</v>
      </c>
      <c r="I270" s="220">
        <v>0</v>
      </c>
      <c r="J270" s="219">
        <v>0</v>
      </c>
      <c r="K270" s="220">
        <v>0</v>
      </c>
      <c r="L270" s="1236"/>
      <c r="M270"/>
      <c r="N270"/>
      <c r="O270"/>
      <c r="P270"/>
      <c r="Q270"/>
      <c r="R270"/>
      <c r="S270"/>
      <c r="T270"/>
      <c r="U270"/>
      <c r="V270"/>
      <c r="W270"/>
      <c r="X270"/>
    </row>
    <row r="271" spans="1:24" ht="18" thickTop="1" thickBot="1" x14ac:dyDescent="0.35">
      <c r="A271" s="457" t="s">
        <v>2</v>
      </c>
      <c r="B271" s="458">
        <v>2</v>
      </c>
      <c r="C271" s="458">
        <v>2</v>
      </c>
      <c r="D271" s="458" t="s">
        <v>758</v>
      </c>
      <c r="E271" s="457" t="s">
        <v>263</v>
      </c>
      <c r="F271" s="590"/>
      <c r="G271" s="220">
        <v>653.72912178858292</v>
      </c>
      <c r="H271" s="219">
        <v>0</v>
      </c>
      <c r="I271" s="220">
        <v>0</v>
      </c>
      <c r="J271" s="219">
        <v>0</v>
      </c>
      <c r="K271" s="220">
        <v>0</v>
      </c>
      <c r="L271" s="1236"/>
      <c r="M271"/>
      <c r="N271"/>
      <c r="O271"/>
      <c r="P271"/>
      <c r="Q271"/>
      <c r="R271"/>
      <c r="S271"/>
      <c r="T271"/>
      <c r="U271"/>
      <c r="V271"/>
      <c r="W271"/>
      <c r="X271"/>
    </row>
    <row r="272" spans="1:24" ht="18" thickTop="1" thickBot="1" x14ac:dyDescent="0.35">
      <c r="A272" s="457" t="s">
        <v>2</v>
      </c>
      <c r="B272" s="458">
        <v>2</v>
      </c>
      <c r="C272" s="458">
        <v>2</v>
      </c>
      <c r="D272" s="458" t="s">
        <v>758</v>
      </c>
      <c r="E272" s="457" t="s">
        <v>264</v>
      </c>
      <c r="F272" s="590"/>
      <c r="G272" s="220">
        <v>628.41061058735954</v>
      </c>
      <c r="H272" s="219">
        <v>0</v>
      </c>
      <c r="I272" s="220">
        <v>0</v>
      </c>
      <c r="J272" s="219">
        <v>0</v>
      </c>
      <c r="K272" s="220">
        <v>0</v>
      </c>
      <c r="L272" s="1236"/>
      <c r="M272"/>
      <c r="N272"/>
      <c r="O272"/>
      <c r="P272"/>
      <c r="Q272"/>
      <c r="R272"/>
      <c r="S272"/>
      <c r="T272"/>
      <c r="U272"/>
      <c r="V272"/>
      <c r="W272"/>
      <c r="X272"/>
    </row>
    <row r="273" spans="1:24" ht="18" thickTop="1" thickBot="1" x14ac:dyDescent="0.35">
      <c r="A273" s="457" t="s">
        <v>2</v>
      </c>
      <c r="B273" s="458">
        <v>2</v>
      </c>
      <c r="C273" s="458">
        <v>2</v>
      </c>
      <c r="D273" s="458" t="s">
        <v>758</v>
      </c>
      <c r="E273" s="457" t="s">
        <v>265</v>
      </c>
      <c r="F273" s="590"/>
      <c r="G273" s="220">
        <v>489.71375990639598</v>
      </c>
      <c r="H273" s="219">
        <v>0</v>
      </c>
      <c r="I273" s="220">
        <v>0</v>
      </c>
      <c r="J273" s="219">
        <v>0</v>
      </c>
      <c r="K273" s="220">
        <v>0</v>
      </c>
      <c r="L273" s="1236"/>
      <c r="M273"/>
      <c r="N273"/>
      <c r="O273"/>
      <c r="P273"/>
      <c r="Q273"/>
      <c r="R273"/>
      <c r="S273"/>
      <c r="T273"/>
      <c r="U273"/>
      <c r="V273"/>
      <c r="W273"/>
      <c r="X273"/>
    </row>
    <row r="274" spans="1:24" ht="18" thickTop="1" thickBot="1" x14ac:dyDescent="0.35">
      <c r="A274" s="457" t="s">
        <v>2</v>
      </c>
      <c r="B274" s="458">
        <v>2</v>
      </c>
      <c r="C274" s="458">
        <v>2</v>
      </c>
      <c r="D274" s="458" t="s">
        <v>758</v>
      </c>
      <c r="E274" s="457" t="s">
        <v>266</v>
      </c>
      <c r="F274" s="590"/>
      <c r="G274" s="220">
        <v>346.61535482403332</v>
      </c>
      <c r="H274" s="219">
        <v>0</v>
      </c>
      <c r="I274" s="220">
        <v>0</v>
      </c>
      <c r="J274" s="219">
        <v>0</v>
      </c>
      <c r="K274" s="220">
        <v>0</v>
      </c>
      <c r="L274" s="1236"/>
      <c r="M274"/>
      <c r="N274"/>
      <c r="O274"/>
      <c r="P274"/>
      <c r="Q274"/>
      <c r="R274"/>
      <c r="S274"/>
      <c r="T274"/>
      <c r="U274"/>
      <c r="V274"/>
      <c r="W274"/>
      <c r="X274"/>
    </row>
    <row r="275" spans="1:24" ht="18" thickTop="1" thickBot="1" x14ac:dyDescent="0.35">
      <c r="A275" s="457" t="s">
        <v>2</v>
      </c>
      <c r="B275" s="458">
        <v>2</v>
      </c>
      <c r="C275" s="458">
        <v>2</v>
      </c>
      <c r="D275" s="458" t="s">
        <v>758</v>
      </c>
      <c r="E275" s="457" t="s">
        <v>267</v>
      </c>
      <c r="F275" s="590"/>
      <c r="G275" s="220">
        <v>500.67552220832147</v>
      </c>
      <c r="H275" s="219">
        <v>0</v>
      </c>
      <c r="I275" s="220">
        <v>0</v>
      </c>
      <c r="J275" s="219">
        <v>0</v>
      </c>
      <c r="K275" s="220">
        <v>0</v>
      </c>
      <c r="L275" s="1236"/>
      <c r="M275"/>
      <c r="N275"/>
      <c r="O275"/>
      <c r="P275"/>
      <c r="Q275"/>
      <c r="R275"/>
      <c r="S275"/>
      <c r="T275"/>
      <c r="U275"/>
      <c r="V275"/>
      <c r="W275"/>
      <c r="X275"/>
    </row>
    <row r="276" spans="1:24" ht="18" thickTop="1" thickBot="1" x14ac:dyDescent="0.35">
      <c r="A276" s="457" t="s">
        <v>2</v>
      </c>
      <c r="B276" s="458">
        <v>2</v>
      </c>
      <c r="C276" s="458">
        <v>2</v>
      </c>
      <c r="D276" s="458" t="s">
        <v>758</v>
      </c>
      <c r="E276" s="457" t="s">
        <v>268</v>
      </c>
      <c r="F276" s="590"/>
      <c r="G276" s="220">
        <v>464.08752722076247</v>
      </c>
      <c r="H276" s="219">
        <v>0</v>
      </c>
      <c r="I276" s="220">
        <v>0</v>
      </c>
      <c r="J276" s="219">
        <v>0</v>
      </c>
      <c r="K276" s="220">
        <v>0</v>
      </c>
      <c r="L276" s="1236"/>
      <c r="M276"/>
      <c r="N276"/>
      <c r="O276"/>
      <c r="P276"/>
      <c r="Q276"/>
      <c r="R276"/>
      <c r="S276"/>
      <c r="T276"/>
      <c r="U276"/>
      <c r="V276"/>
      <c r="W276"/>
      <c r="X276"/>
    </row>
    <row r="277" spans="1:24" ht="18" thickTop="1" thickBot="1" x14ac:dyDescent="0.35">
      <c r="A277" s="457" t="s">
        <v>2</v>
      </c>
      <c r="B277" s="458">
        <v>2</v>
      </c>
      <c r="C277" s="458">
        <v>2</v>
      </c>
      <c r="D277" s="458" t="s">
        <v>765</v>
      </c>
      <c r="E277" s="457" t="s">
        <v>269</v>
      </c>
      <c r="F277" s="590"/>
      <c r="G277" s="220">
        <v>541.51602576991922</v>
      </c>
      <c r="H277" s="219">
        <v>0</v>
      </c>
      <c r="I277" s="220">
        <v>0</v>
      </c>
      <c r="J277" s="219">
        <v>0</v>
      </c>
      <c r="K277" s="220">
        <v>0</v>
      </c>
      <c r="L277" s="1236"/>
      <c r="M277"/>
      <c r="N277"/>
      <c r="O277"/>
      <c r="P277"/>
      <c r="Q277"/>
      <c r="R277"/>
      <c r="S277"/>
      <c r="T277"/>
      <c r="U277"/>
      <c r="V277"/>
      <c r="W277"/>
      <c r="X277"/>
    </row>
    <row r="278" spans="1:24" ht="18" thickTop="1" thickBot="1" x14ac:dyDescent="0.35">
      <c r="A278" s="457" t="s">
        <v>2</v>
      </c>
      <c r="B278" s="458">
        <v>2</v>
      </c>
      <c r="C278" s="458">
        <v>2</v>
      </c>
      <c r="D278" s="458" t="s">
        <v>758</v>
      </c>
      <c r="E278" s="457" t="s">
        <v>270</v>
      </c>
      <c r="F278" s="590"/>
      <c r="G278" s="220">
        <v>588.00472919522838</v>
      </c>
      <c r="H278" s="219">
        <v>0</v>
      </c>
      <c r="I278" s="220">
        <v>0</v>
      </c>
      <c r="J278" s="219">
        <v>0</v>
      </c>
      <c r="K278" s="220">
        <v>0</v>
      </c>
      <c r="L278" s="1236"/>
      <c r="M278"/>
      <c r="N278"/>
      <c r="O278"/>
      <c r="P278"/>
      <c r="Q278"/>
      <c r="R278"/>
      <c r="S278"/>
      <c r="T278"/>
      <c r="U278"/>
      <c r="V278"/>
      <c r="W278"/>
      <c r="X278"/>
    </row>
    <row r="279" spans="1:24" ht="18" thickTop="1" thickBot="1" x14ac:dyDescent="0.35">
      <c r="A279" s="457" t="s">
        <v>2</v>
      </c>
      <c r="B279" s="458">
        <v>2</v>
      </c>
      <c r="C279" s="458">
        <v>2</v>
      </c>
      <c r="D279" s="458" t="s">
        <v>758</v>
      </c>
      <c r="E279" s="457" t="s">
        <v>271</v>
      </c>
      <c r="F279" s="590"/>
      <c r="G279" s="220">
        <v>1363.0031972091285</v>
      </c>
      <c r="H279" s="219">
        <v>0</v>
      </c>
      <c r="I279" s="220">
        <v>0</v>
      </c>
      <c r="J279" s="219">
        <v>0</v>
      </c>
      <c r="K279" s="220">
        <v>0</v>
      </c>
      <c r="L279" s="1236"/>
      <c r="M279"/>
      <c r="N279"/>
      <c r="O279"/>
      <c r="P279"/>
      <c r="Q279"/>
      <c r="R279"/>
      <c r="S279"/>
      <c r="T279"/>
      <c r="U279"/>
      <c r="V279"/>
      <c r="W279"/>
      <c r="X279"/>
    </row>
    <row r="280" spans="1:24" ht="18" thickTop="1" thickBot="1" x14ac:dyDescent="0.35">
      <c r="A280" s="457" t="s">
        <v>2</v>
      </c>
      <c r="B280" s="458">
        <v>2</v>
      </c>
      <c r="C280" s="458">
        <v>2</v>
      </c>
      <c r="D280" s="458" t="s">
        <v>762</v>
      </c>
      <c r="E280" s="457" t="s">
        <v>272</v>
      </c>
      <c r="F280" s="590"/>
      <c r="G280" s="220">
        <v>131.09926147297978</v>
      </c>
      <c r="H280" s="219">
        <v>0</v>
      </c>
      <c r="I280" s="220">
        <v>0</v>
      </c>
      <c r="J280" s="219">
        <v>0</v>
      </c>
      <c r="K280" s="220">
        <v>0</v>
      </c>
      <c r="L280" s="1236"/>
      <c r="M280"/>
      <c r="N280"/>
      <c r="O280"/>
      <c r="P280"/>
      <c r="Q280"/>
      <c r="R280"/>
      <c r="S280"/>
      <c r="T280"/>
      <c r="U280"/>
      <c r="V280"/>
      <c r="W280"/>
      <c r="X280"/>
    </row>
    <row r="281" spans="1:24" ht="18" thickTop="1" thickBot="1" x14ac:dyDescent="0.35">
      <c r="A281" s="457" t="s">
        <v>2</v>
      </c>
      <c r="B281" s="458">
        <v>2</v>
      </c>
      <c r="C281" s="458">
        <v>2</v>
      </c>
      <c r="D281" s="458" t="s">
        <v>762</v>
      </c>
      <c r="E281" s="457" t="s">
        <v>273</v>
      </c>
      <c r="F281" s="590"/>
      <c r="G281" s="220">
        <v>115.9764084691212</v>
      </c>
      <c r="H281" s="219">
        <v>0</v>
      </c>
      <c r="I281" s="220">
        <v>0</v>
      </c>
      <c r="J281" s="219">
        <v>0</v>
      </c>
      <c r="K281" s="220">
        <v>0</v>
      </c>
      <c r="L281" s="1236"/>
      <c r="M281"/>
      <c r="N281"/>
      <c r="O281"/>
      <c r="P281"/>
      <c r="Q281"/>
      <c r="R281"/>
      <c r="S281"/>
      <c r="T281"/>
      <c r="U281"/>
      <c r="V281"/>
      <c r="W281"/>
      <c r="X281"/>
    </row>
    <row r="282" spans="1:24" ht="18" thickTop="1" thickBot="1" x14ac:dyDescent="0.35">
      <c r="A282" s="457" t="s">
        <v>2</v>
      </c>
      <c r="B282" s="458">
        <v>2</v>
      </c>
      <c r="C282" s="458">
        <v>2</v>
      </c>
      <c r="D282" s="458" t="s">
        <v>762</v>
      </c>
      <c r="E282" s="457" t="s">
        <v>274</v>
      </c>
      <c r="F282" s="590"/>
      <c r="G282" s="220">
        <v>80.739708285986737</v>
      </c>
      <c r="H282" s="219">
        <v>0</v>
      </c>
      <c r="I282" s="220">
        <v>0</v>
      </c>
      <c r="J282" s="219">
        <v>0</v>
      </c>
      <c r="K282" s="220">
        <v>0</v>
      </c>
      <c r="L282" s="1236"/>
      <c r="M282"/>
      <c r="N282"/>
      <c r="O282"/>
      <c r="P282"/>
      <c r="Q282"/>
      <c r="R282"/>
      <c r="S282"/>
      <c r="T282"/>
      <c r="U282"/>
      <c r="V282"/>
      <c r="W282"/>
      <c r="X282"/>
    </row>
    <row r="283" spans="1:24" ht="18" thickTop="1" thickBot="1" x14ac:dyDescent="0.35">
      <c r="A283" s="457" t="s">
        <v>2</v>
      </c>
      <c r="B283" s="458">
        <v>2</v>
      </c>
      <c r="C283" s="458">
        <v>2</v>
      </c>
      <c r="D283" s="458" t="s">
        <v>758</v>
      </c>
      <c r="E283" s="457" t="s">
        <v>275</v>
      </c>
      <c r="F283" s="590"/>
      <c r="G283" s="220">
        <v>503.19463598602204</v>
      </c>
      <c r="H283" s="219">
        <v>0</v>
      </c>
      <c r="I283" s="220">
        <v>0</v>
      </c>
      <c r="J283" s="219">
        <v>0</v>
      </c>
      <c r="K283" s="220">
        <v>0</v>
      </c>
      <c r="L283" s="1236"/>
      <c r="M283"/>
      <c r="N283"/>
      <c r="O283"/>
      <c r="P283"/>
      <c r="Q283"/>
      <c r="R283"/>
      <c r="S283"/>
      <c r="T283"/>
      <c r="U283"/>
      <c r="V283"/>
      <c r="W283"/>
      <c r="X283"/>
    </row>
    <row r="284" spans="1:24" ht="18" thickTop="1" thickBot="1" x14ac:dyDescent="0.35">
      <c r="A284" s="457" t="s">
        <v>2</v>
      </c>
      <c r="B284" s="458">
        <v>2</v>
      </c>
      <c r="C284" s="458">
        <v>2</v>
      </c>
      <c r="D284" s="458" t="s">
        <v>758</v>
      </c>
      <c r="E284" s="457" t="s">
        <v>276</v>
      </c>
      <c r="F284" s="590"/>
      <c r="G284" s="220">
        <v>487.22112331094701</v>
      </c>
      <c r="H284" s="219">
        <v>0</v>
      </c>
      <c r="I284" s="220">
        <v>0</v>
      </c>
      <c r="J284" s="219">
        <v>0</v>
      </c>
      <c r="K284" s="220">
        <v>0</v>
      </c>
      <c r="L284" s="1236"/>
      <c r="M284"/>
      <c r="N284"/>
      <c r="O284"/>
      <c r="P284"/>
      <c r="Q284"/>
      <c r="R284"/>
      <c r="S284"/>
      <c r="T284"/>
      <c r="U284"/>
      <c r="V284"/>
      <c r="W284"/>
      <c r="X284"/>
    </row>
    <row r="285" spans="1:24" ht="18" thickTop="1" thickBot="1" x14ac:dyDescent="0.35">
      <c r="A285" s="457" t="s">
        <v>2</v>
      </c>
      <c r="B285" s="458">
        <v>2</v>
      </c>
      <c r="C285" s="458">
        <v>2</v>
      </c>
      <c r="D285" s="458" t="s">
        <v>758</v>
      </c>
      <c r="E285" s="457" t="s">
        <v>277</v>
      </c>
      <c r="F285" s="590"/>
      <c r="G285" s="220">
        <v>575.95699656677687</v>
      </c>
      <c r="H285" s="219">
        <v>0</v>
      </c>
      <c r="I285" s="220">
        <v>0</v>
      </c>
      <c r="J285" s="219">
        <v>0</v>
      </c>
      <c r="K285" s="220">
        <v>0</v>
      </c>
      <c r="L285" s="1236"/>
      <c r="M285"/>
      <c r="N285"/>
      <c r="O285"/>
      <c r="P285"/>
      <c r="Q285"/>
      <c r="R285"/>
      <c r="S285"/>
      <c r="T285"/>
      <c r="U285"/>
      <c r="V285"/>
      <c r="W285"/>
      <c r="X285"/>
    </row>
    <row r="286" spans="1:24" ht="18" thickTop="1" thickBot="1" x14ac:dyDescent="0.35">
      <c r="A286" s="457" t="s">
        <v>2</v>
      </c>
      <c r="B286" s="458">
        <v>2</v>
      </c>
      <c r="C286" s="458">
        <v>2</v>
      </c>
      <c r="D286" s="458" t="s">
        <v>758</v>
      </c>
      <c r="E286" s="457" t="s">
        <v>725</v>
      </c>
      <c r="F286" s="590"/>
      <c r="G286" s="220">
        <v>636.62701422399073</v>
      </c>
      <c r="H286" s="219">
        <v>0</v>
      </c>
      <c r="I286" s="220">
        <v>0</v>
      </c>
      <c r="J286" s="219">
        <v>0</v>
      </c>
      <c r="K286" s="220">
        <v>0</v>
      </c>
      <c r="L286" s="1236"/>
      <c r="M286"/>
      <c r="N286"/>
      <c r="O286"/>
      <c r="P286"/>
      <c r="Q286"/>
      <c r="R286"/>
      <c r="S286"/>
      <c r="T286"/>
      <c r="U286"/>
      <c r="V286"/>
      <c r="W286"/>
      <c r="X286"/>
    </row>
    <row r="287" spans="1:24" ht="18" thickTop="1" thickBot="1" x14ac:dyDescent="0.35">
      <c r="A287" s="457" t="s">
        <v>2</v>
      </c>
      <c r="B287" s="458">
        <v>2</v>
      </c>
      <c r="C287" s="458">
        <v>2</v>
      </c>
      <c r="D287" s="458" t="s">
        <v>758</v>
      </c>
      <c r="E287" s="457" t="s">
        <v>278</v>
      </c>
      <c r="F287" s="590"/>
      <c r="G287" s="220">
        <v>1354.9439415924664</v>
      </c>
      <c r="H287" s="219">
        <v>0</v>
      </c>
      <c r="I287" s="220">
        <v>0</v>
      </c>
      <c r="J287" s="219">
        <v>0</v>
      </c>
      <c r="K287" s="220">
        <v>0</v>
      </c>
      <c r="L287" s="1236"/>
      <c r="M287"/>
      <c r="N287"/>
      <c r="O287"/>
      <c r="P287"/>
      <c r="Q287"/>
      <c r="R287"/>
      <c r="S287"/>
      <c r="T287"/>
      <c r="U287"/>
      <c r="V287"/>
      <c r="W287"/>
      <c r="X287"/>
    </row>
    <row r="288" spans="1:24" ht="18" thickTop="1" thickBot="1" x14ac:dyDescent="0.35">
      <c r="A288" s="457" t="s">
        <v>2</v>
      </c>
      <c r="B288" s="458">
        <v>2</v>
      </c>
      <c r="C288" s="458">
        <v>2</v>
      </c>
      <c r="D288" s="458" t="s">
        <v>758</v>
      </c>
      <c r="E288" s="457" t="s">
        <v>279</v>
      </c>
      <c r="F288" s="590"/>
      <c r="G288" s="220">
        <v>1250.8770611267432</v>
      </c>
      <c r="H288" s="219">
        <v>0</v>
      </c>
      <c r="I288" s="220">
        <v>0</v>
      </c>
      <c r="J288" s="219">
        <v>0</v>
      </c>
      <c r="K288" s="220">
        <v>0</v>
      </c>
      <c r="L288" s="1236"/>
      <c r="M288"/>
      <c r="N288"/>
      <c r="O288"/>
      <c r="P288"/>
      <c r="Q288"/>
      <c r="R288"/>
      <c r="S288"/>
      <c r="T288"/>
      <c r="U288"/>
      <c r="V288"/>
      <c r="W288"/>
      <c r="X288"/>
    </row>
    <row r="289" spans="1:24" ht="18" thickTop="1" thickBot="1" x14ac:dyDescent="0.35">
      <c r="A289" s="457" t="s">
        <v>2</v>
      </c>
      <c r="B289" s="458">
        <v>2</v>
      </c>
      <c r="C289" s="458">
        <v>2</v>
      </c>
      <c r="D289" s="458" t="s">
        <v>758</v>
      </c>
      <c r="E289" s="457" t="s">
        <v>280</v>
      </c>
      <c r="F289" s="590"/>
      <c r="G289" s="220">
        <v>807.34361864477819</v>
      </c>
      <c r="H289" s="219">
        <v>0</v>
      </c>
      <c r="I289" s="220">
        <v>0</v>
      </c>
      <c r="J289" s="219">
        <v>0</v>
      </c>
      <c r="K289" s="220">
        <v>0</v>
      </c>
      <c r="L289" s="1236"/>
      <c r="M289"/>
      <c r="N289"/>
      <c r="O289"/>
      <c r="P289"/>
      <c r="Q289"/>
      <c r="R289"/>
      <c r="S289"/>
      <c r="T289"/>
      <c r="U289"/>
      <c r="V289"/>
      <c r="W289"/>
      <c r="X289"/>
    </row>
    <row r="290" spans="1:24" ht="18" thickTop="1" thickBot="1" x14ac:dyDescent="0.35">
      <c r="A290" s="457" t="s">
        <v>2</v>
      </c>
      <c r="B290" s="458">
        <v>2</v>
      </c>
      <c r="C290" s="458">
        <v>2</v>
      </c>
      <c r="D290" s="458" t="s">
        <v>758</v>
      </c>
      <c r="E290" s="457" t="s">
        <v>281</v>
      </c>
      <c r="F290" s="590"/>
      <c r="G290" s="220">
        <v>66.844297331236419</v>
      </c>
      <c r="H290" s="219">
        <v>0</v>
      </c>
      <c r="I290" s="220">
        <v>0</v>
      </c>
      <c r="J290" s="219">
        <v>0</v>
      </c>
      <c r="K290" s="220">
        <v>0</v>
      </c>
      <c r="L290" s="1236"/>
      <c r="M290"/>
      <c r="N290"/>
      <c r="O290"/>
      <c r="P290"/>
      <c r="Q290"/>
      <c r="R290"/>
      <c r="S290"/>
      <c r="T290"/>
      <c r="U290"/>
      <c r="V290"/>
      <c r="W290"/>
      <c r="X290"/>
    </row>
    <row r="291" spans="1:24" ht="18" thickTop="1" thickBot="1" x14ac:dyDescent="0.35">
      <c r="A291" s="457" t="s">
        <v>2</v>
      </c>
      <c r="B291" s="458">
        <v>2</v>
      </c>
      <c r="C291" s="458">
        <v>2</v>
      </c>
      <c r="D291" s="458" t="s">
        <v>758</v>
      </c>
      <c r="E291" s="457" t="s">
        <v>282</v>
      </c>
      <c r="F291" s="590"/>
      <c r="G291" s="220">
        <v>579.85965323238952</v>
      </c>
      <c r="H291" s="219">
        <v>0</v>
      </c>
      <c r="I291" s="220">
        <v>0</v>
      </c>
      <c r="J291" s="219">
        <v>0</v>
      </c>
      <c r="K291" s="220">
        <v>0</v>
      </c>
      <c r="L291" s="1236"/>
      <c r="M291"/>
      <c r="N291"/>
      <c r="O291"/>
      <c r="P291"/>
      <c r="Q291"/>
      <c r="R291"/>
      <c r="S291"/>
      <c r="T291"/>
      <c r="U291"/>
      <c r="V291"/>
      <c r="W291"/>
      <c r="X291"/>
    </row>
    <row r="292" spans="1:24" ht="18" thickTop="1" thickBot="1" x14ac:dyDescent="0.35">
      <c r="A292" s="457" t="s">
        <v>2</v>
      </c>
      <c r="B292" s="458">
        <v>2</v>
      </c>
      <c r="C292" s="458">
        <v>2</v>
      </c>
      <c r="D292" s="458" t="s">
        <v>758</v>
      </c>
      <c r="E292" s="457" t="s">
        <v>283</v>
      </c>
      <c r="F292" s="590"/>
      <c r="G292" s="220">
        <v>380.52242850387267</v>
      </c>
      <c r="H292" s="219">
        <v>0</v>
      </c>
      <c r="I292" s="220">
        <v>0</v>
      </c>
      <c r="J292" s="219">
        <v>0</v>
      </c>
      <c r="K292" s="220">
        <v>0</v>
      </c>
      <c r="L292" s="1236"/>
      <c r="M292"/>
      <c r="N292"/>
      <c r="O292"/>
      <c r="P292"/>
      <c r="Q292"/>
      <c r="R292"/>
      <c r="S292"/>
      <c r="T292"/>
      <c r="U292"/>
      <c r="V292"/>
      <c r="W292"/>
      <c r="X292"/>
    </row>
    <row r="293" spans="1:24" ht="18" thickTop="1" thickBot="1" x14ac:dyDescent="0.35">
      <c r="A293" s="457" t="s">
        <v>2</v>
      </c>
      <c r="B293" s="458">
        <v>2</v>
      </c>
      <c r="C293" s="458">
        <v>2</v>
      </c>
      <c r="D293" s="458" t="s">
        <v>758</v>
      </c>
      <c r="E293" s="457" t="s">
        <v>284</v>
      </c>
      <c r="F293" s="590"/>
      <c r="G293" s="220">
        <v>530.63829817318822</v>
      </c>
      <c r="H293" s="219">
        <v>0</v>
      </c>
      <c r="I293" s="220">
        <v>0</v>
      </c>
      <c r="J293" s="219">
        <v>0</v>
      </c>
      <c r="K293" s="220">
        <v>0</v>
      </c>
      <c r="L293" s="1236"/>
      <c r="M293"/>
      <c r="N293"/>
      <c r="O293"/>
      <c r="P293"/>
      <c r="Q293"/>
      <c r="R293"/>
      <c r="S293"/>
      <c r="T293"/>
      <c r="U293"/>
      <c r="V293"/>
      <c r="W293"/>
      <c r="X293"/>
    </row>
    <row r="294" spans="1:24" ht="18" thickTop="1" thickBot="1" x14ac:dyDescent="0.35">
      <c r="A294" s="457" t="s">
        <v>2</v>
      </c>
      <c r="B294" s="458">
        <v>2</v>
      </c>
      <c r="C294" s="458">
        <v>2</v>
      </c>
      <c r="D294" s="458" t="s">
        <v>758</v>
      </c>
      <c r="E294" s="457" t="s">
        <v>285</v>
      </c>
      <c r="F294" s="590"/>
      <c r="G294" s="220">
        <v>470.6093298246991</v>
      </c>
      <c r="H294" s="219">
        <v>0</v>
      </c>
      <c r="I294" s="220">
        <v>0</v>
      </c>
      <c r="J294" s="219">
        <v>0</v>
      </c>
      <c r="K294" s="220">
        <v>0</v>
      </c>
      <c r="L294" s="1236"/>
      <c r="M294"/>
      <c r="N294"/>
      <c r="O294"/>
      <c r="P294"/>
      <c r="Q294"/>
      <c r="R294"/>
      <c r="S294"/>
      <c r="T294"/>
      <c r="U294"/>
      <c r="V294"/>
      <c r="W294"/>
      <c r="X294"/>
    </row>
    <row r="295" spans="1:24" ht="18" thickTop="1" thickBot="1" x14ac:dyDescent="0.35">
      <c r="A295" s="457" t="s">
        <v>2</v>
      </c>
      <c r="B295" s="458">
        <v>2</v>
      </c>
      <c r="C295" s="458">
        <v>2</v>
      </c>
      <c r="D295" s="458" t="s">
        <v>758</v>
      </c>
      <c r="E295" s="457" t="s">
        <v>286</v>
      </c>
      <c r="F295" s="590"/>
      <c r="G295" s="220">
        <v>1071.2373992406087</v>
      </c>
      <c r="H295" s="219">
        <v>0</v>
      </c>
      <c r="I295" s="220">
        <v>0</v>
      </c>
      <c r="J295" s="219">
        <v>0</v>
      </c>
      <c r="K295" s="220">
        <v>0</v>
      </c>
      <c r="L295" s="1236"/>
      <c r="M295"/>
      <c r="N295"/>
      <c r="O295"/>
      <c r="P295"/>
      <c r="Q295"/>
      <c r="R295"/>
      <c r="S295"/>
      <c r="T295"/>
      <c r="U295"/>
      <c r="V295"/>
      <c r="W295"/>
      <c r="X295"/>
    </row>
    <row r="296" spans="1:24" ht="18" thickTop="1" thickBot="1" x14ac:dyDescent="0.35">
      <c r="A296" s="457" t="s">
        <v>2</v>
      </c>
      <c r="B296" s="458">
        <v>2</v>
      </c>
      <c r="C296" s="458">
        <v>2</v>
      </c>
      <c r="D296" s="458" t="s">
        <v>758</v>
      </c>
      <c r="E296" s="457" t="s">
        <v>287</v>
      </c>
      <c r="F296" s="590"/>
      <c r="G296" s="220">
        <v>307.30888872204025</v>
      </c>
      <c r="H296" s="219">
        <v>0</v>
      </c>
      <c r="I296" s="220">
        <v>0</v>
      </c>
      <c r="J296" s="219">
        <v>0</v>
      </c>
      <c r="K296" s="220">
        <v>0</v>
      </c>
      <c r="L296" s="1236"/>
      <c r="M296"/>
      <c r="N296"/>
      <c r="O296"/>
      <c r="P296"/>
      <c r="Q296"/>
      <c r="R296"/>
      <c r="S296"/>
      <c r="T296"/>
      <c r="U296"/>
      <c r="V296"/>
      <c r="W296"/>
      <c r="X296"/>
    </row>
    <row r="297" spans="1:24" ht="18" thickTop="1" thickBot="1" x14ac:dyDescent="0.35">
      <c r="A297" s="457" t="s">
        <v>2</v>
      </c>
      <c r="B297" s="458">
        <v>2</v>
      </c>
      <c r="C297" s="458">
        <v>2</v>
      </c>
      <c r="D297" s="458" t="s">
        <v>758</v>
      </c>
      <c r="E297" s="457" t="s">
        <v>288</v>
      </c>
      <c r="F297" s="590"/>
      <c r="G297" s="220">
        <v>507.79799849378105</v>
      </c>
      <c r="H297" s="219">
        <v>0</v>
      </c>
      <c r="I297" s="220">
        <v>0</v>
      </c>
      <c r="J297" s="219">
        <v>0</v>
      </c>
      <c r="K297" s="220">
        <v>0</v>
      </c>
      <c r="L297" s="1236"/>
      <c r="M297"/>
      <c r="N297"/>
      <c r="O297"/>
      <c r="P297"/>
      <c r="Q297"/>
      <c r="R297"/>
      <c r="S297"/>
      <c r="T297"/>
      <c r="U297"/>
      <c r="V297"/>
      <c r="W297"/>
      <c r="X297"/>
    </row>
    <row r="298" spans="1:24" ht="18" thickTop="1" thickBot="1" x14ac:dyDescent="0.35">
      <c r="A298" s="457" t="s">
        <v>2</v>
      </c>
      <c r="B298" s="458">
        <v>2</v>
      </c>
      <c r="C298" s="458">
        <v>2</v>
      </c>
      <c r="D298" s="458" t="s">
        <v>758</v>
      </c>
      <c r="E298" s="457" t="s">
        <v>289</v>
      </c>
      <c r="F298" s="590"/>
      <c r="G298" s="220">
        <v>404.6082760694174</v>
      </c>
      <c r="H298" s="219">
        <v>0</v>
      </c>
      <c r="I298" s="220">
        <v>0</v>
      </c>
      <c r="J298" s="219">
        <v>0</v>
      </c>
      <c r="K298" s="220">
        <v>0</v>
      </c>
      <c r="L298" s="1236"/>
      <c r="M298"/>
      <c r="N298"/>
      <c r="O298"/>
      <c r="P298"/>
      <c r="Q298"/>
      <c r="R298"/>
      <c r="S298"/>
      <c r="T298"/>
      <c r="U298"/>
      <c r="V298"/>
      <c r="W298"/>
      <c r="X298"/>
    </row>
    <row r="299" spans="1:24" ht="18" thickTop="1" thickBot="1" x14ac:dyDescent="0.35">
      <c r="A299" s="457" t="s">
        <v>2</v>
      </c>
      <c r="B299" s="458">
        <v>2</v>
      </c>
      <c r="C299" s="458">
        <v>2</v>
      </c>
      <c r="D299" s="458" t="s">
        <v>758</v>
      </c>
      <c r="E299" s="457" t="s">
        <v>290</v>
      </c>
      <c r="F299" s="590"/>
      <c r="G299" s="220">
        <v>336.58949898266195</v>
      </c>
      <c r="H299" s="219">
        <v>0</v>
      </c>
      <c r="I299" s="220">
        <v>0</v>
      </c>
      <c r="J299" s="219">
        <v>0</v>
      </c>
      <c r="K299" s="220">
        <v>0</v>
      </c>
      <c r="L299" s="1236"/>
      <c r="M299"/>
      <c r="N299"/>
      <c r="O299"/>
      <c r="P299"/>
      <c r="Q299"/>
      <c r="R299"/>
      <c r="S299"/>
      <c r="T299"/>
      <c r="U299"/>
      <c r="V299"/>
      <c r="W299"/>
      <c r="X299"/>
    </row>
    <row r="300" spans="1:24" ht="18" thickTop="1" thickBot="1" x14ac:dyDescent="0.35">
      <c r="A300" s="457" t="s">
        <v>2</v>
      </c>
      <c r="B300" s="458">
        <v>2</v>
      </c>
      <c r="C300" s="458">
        <v>2</v>
      </c>
      <c r="D300" s="458" t="s">
        <v>760</v>
      </c>
      <c r="E300" s="457" t="s">
        <v>291</v>
      </c>
      <c r="F300" s="590"/>
      <c r="G300" s="220">
        <v>357.30918766953408</v>
      </c>
      <c r="H300" s="219">
        <v>0</v>
      </c>
      <c r="I300" s="220">
        <v>0</v>
      </c>
      <c r="J300" s="219">
        <v>0</v>
      </c>
      <c r="K300" s="220">
        <v>0</v>
      </c>
      <c r="L300" s="1236"/>
      <c r="M300"/>
      <c r="N300"/>
      <c r="O300"/>
      <c r="P300"/>
      <c r="Q300"/>
      <c r="R300"/>
      <c r="S300"/>
      <c r="T300"/>
      <c r="U300"/>
      <c r="V300"/>
      <c r="W300"/>
      <c r="X300"/>
    </row>
    <row r="301" spans="1:24" ht="18" thickTop="1" thickBot="1" x14ac:dyDescent="0.35">
      <c r="A301" s="457" t="s">
        <v>2</v>
      </c>
      <c r="B301" s="458">
        <v>2</v>
      </c>
      <c r="C301" s="458">
        <v>2</v>
      </c>
      <c r="D301" s="458" t="s">
        <v>758</v>
      </c>
      <c r="E301" s="457" t="s">
        <v>292</v>
      </c>
      <c r="F301" s="590"/>
      <c r="G301" s="220">
        <v>1193.84679539125</v>
      </c>
      <c r="H301" s="219">
        <v>0</v>
      </c>
      <c r="I301" s="220">
        <v>0</v>
      </c>
      <c r="J301" s="219">
        <v>0</v>
      </c>
      <c r="K301" s="220">
        <v>0</v>
      </c>
      <c r="L301" s="1236"/>
      <c r="M301"/>
      <c r="N301"/>
      <c r="O301"/>
      <c r="P301"/>
      <c r="Q301"/>
      <c r="R301"/>
      <c r="S301"/>
      <c r="T301"/>
      <c r="U301"/>
      <c r="V301"/>
      <c r="W301"/>
      <c r="X301"/>
    </row>
    <row r="302" spans="1:24" ht="18" thickTop="1" thickBot="1" x14ac:dyDescent="0.35">
      <c r="A302" s="457" t="s">
        <v>2</v>
      </c>
      <c r="B302" s="458">
        <v>2</v>
      </c>
      <c r="C302" s="458">
        <v>2</v>
      </c>
      <c r="D302" s="458" t="s">
        <v>758</v>
      </c>
      <c r="E302" s="457" t="s">
        <v>293</v>
      </c>
      <c r="F302" s="590"/>
      <c r="G302" s="220">
        <v>600.37726627743359</v>
      </c>
      <c r="H302" s="219">
        <v>0</v>
      </c>
      <c r="I302" s="220">
        <v>0</v>
      </c>
      <c r="J302" s="219">
        <v>0</v>
      </c>
      <c r="K302" s="220">
        <v>0</v>
      </c>
      <c r="L302" s="1236"/>
      <c r="M302"/>
      <c r="N302"/>
      <c r="O302"/>
      <c r="P302"/>
      <c r="Q302"/>
      <c r="R302"/>
      <c r="S302"/>
      <c r="T302"/>
      <c r="U302"/>
      <c r="V302"/>
      <c r="W302"/>
      <c r="X302"/>
    </row>
    <row r="303" spans="1:24" ht="18" thickTop="1" thickBot="1" x14ac:dyDescent="0.35">
      <c r="A303" s="457" t="s">
        <v>2</v>
      </c>
      <c r="B303" s="458">
        <v>2</v>
      </c>
      <c r="C303" s="458">
        <v>2</v>
      </c>
      <c r="D303" s="458" t="s">
        <v>758</v>
      </c>
      <c r="E303" s="457" t="s">
        <v>294</v>
      </c>
      <c r="F303" s="590"/>
      <c r="G303" s="220">
        <v>560.19639180856348</v>
      </c>
      <c r="H303" s="219">
        <v>0</v>
      </c>
      <c r="I303" s="220">
        <v>0</v>
      </c>
      <c r="J303" s="219">
        <v>0</v>
      </c>
      <c r="K303" s="220">
        <v>0</v>
      </c>
      <c r="L303" s="1236"/>
      <c r="M303"/>
      <c r="N303"/>
      <c r="O303"/>
      <c r="P303"/>
      <c r="Q303"/>
      <c r="R303"/>
      <c r="S303"/>
      <c r="T303"/>
      <c r="U303"/>
      <c r="V303"/>
      <c r="W303"/>
      <c r="X303"/>
    </row>
    <row r="304" spans="1:24" ht="18" thickTop="1" thickBot="1" x14ac:dyDescent="0.35">
      <c r="A304" s="457" t="s">
        <v>2</v>
      </c>
      <c r="B304" s="458">
        <v>2</v>
      </c>
      <c r="C304" s="458">
        <v>2</v>
      </c>
      <c r="D304" s="458" t="s">
        <v>758</v>
      </c>
      <c r="E304" s="457" t="s">
        <v>295</v>
      </c>
      <c r="F304" s="590"/>
      <c r="G304" s="220">
        <v>1723.7495271006012</v>
      </c>
      <c r="H304" s="219">
        <v>0</v>
      </c>
      <c r="I304" s="220">
        <v>0</v>
      </c>
      <c r="J304" s="219">
        <v>0</v>
      </c>
      <c r="K304" s="220">
        <v>0</v>
      </c>
      <c r="L304" s="1236"/>
      <c r="M304"/>
      <c r="N304"/>
      <c r="O304"/>
      <c r="P304"/>
      <c r="Q304"/>
      <c r="R304"/>
      <c r="S304"/>
      <c r="T304"/>
      <c r="U304"/>
      <c r="V304"/>
      <c r="W304"/>
      <c r="X304"/>
    </row>
    <row r="305" spans="1:24" ht="18" thickTop="1" thickBot="1" x14ac:dyDescent="0.35">
      <c r="A305" s="457" t="s">
        <v>2</v>
      </c>
      <c r="B305" s="458">
        <v>2</v>
      </c>
      <c r="C305" s="458">
        <v>2</v>
      </c>
      <c r="D305" s="458" t="s">
        <v>758</v>
      </c>
      <c r="E305" s="457" t="s">
        <v>296</v>
      </c>
      <c r="F305" s="590"/>
      <c r="G305" s="220">
        <v>2686.2943641348315</v>
      </c>
      <c r="H305" s="219">
        <v>0</v>
      </c>
      <c r="I305" s="220">
        <v>0</v>
      </c>
      <c r="J305" s="219">
        <v>0</v>
      </c>
      <c r="K305" s="220">
        <v>0</v>
      </c>
      <c r="L305" s="1236"/>
      <c r="M305"/>
      <c r="N305"/>
      <c r="O305"/>
      <c r="P305"/>
      <c r="Q305"/>
      <c r="R305"/>
      <c r="S305"/>
      <c r="T305"/>
      <c r="U305"/>
      <c r="V305"/>
      <c r="W305"/>
      <c r="X305"/>
    </row>
    <row r="306" spans="1:24" ht="18" thickTop="1" thickBot="1" x14ac:dyDescent="0.35">
      <c r="A306" s="457" t="s">
        <v>2</v>
      </c>
      <c r="B306" s="458">
        <v>2</v>
      </c>
      <c r="C306" s="458">
        <v>2</v>
      </c>
      <c r="D306" s="458" t="s">
        <v>763</v>
      </c>
      <c r="E306" s="457" t="s">
        <v>297</v>
      </c>
      <c r="F306" s="590"/>
      <c r="G306" s="220">
        <v>376.94101510860793</v>
      </c>
      <c r="H306" s="219">
        <v>0</v>
      </c>
      <c r="I306" s="220">
        <v>0</v>
      </c>
      <c r="J306" s="219">
        <v>0</v>
      </c>
      <c r="K306" s="220">
        <v>0</v>
      </c>
      <c r="L306" s="1236"/>
      <c r="M306"/>
      <c r="N306"/>
      <c r="O306"/>
      <c r="P306"/>
      <c r="Q306"/>
      <c r="R306"/>
      <c r="S306"/>
      <c r="T306"/>
      <c r="U306"/>
      <c r="V306"/>
      <c r="W306"/>
      <c r="X306"/>
    </row>
    <row r="307" spans="1:24" ht="18" thickTop="1" thickBot="1" x14ac:dyDescent="0.35">
      <c r="A307" s="457" t="s">
        <v>2</v>
      </c>
      <c r="B307" s="458">
        <v>2</v>
      </c>
      <c r="C307" s="458">
        <v>2</v>
      </c>
      <c r="D307" s="458" t="s">
        <v>758</v>
      </c>
      <c r="E307" s="457" t="s">
        <v>298</v>
      </c>
      <c r="F307" s="590"/>
      <c r="G307" s="220">
        <v>1241.4584591664257</v>
      </c>
      <c r="H307" s="219">
        <v>0</v>
      </c>
      <c r="I307" s="220">
        <v>0</v>
      </c>
      <c r="J307" s="219">
        <v>0</v>
      </c>
      <c r="K307" s="220">
        <v>0</v>
      </c>
      <c r="L307" s="1236"/>
      <c r="M307"/>
      <c r="N307"/>
      <c r="O307"/>
      <c r="P307"/>
      <c r="Q307"/>
      <c r="R307"/>
      <c r="S307"/>
      <c r="T307"/>
      <c r="U307"/>
      <c r="V307"/>
      <c r="W307"/>
      <c r="X307"/>
    </row>
    <row r="308" spans="1:24" ht="18" thickTop="1" thickBot="1" x14ac:dyDescent="0.35">
      <c r="A308" s="457" t="s">
        <v>2</v>
      </c>
      <c r="B308" s="458">
        <v>2</v>
      </c>
      <c r="C308" s="458">
        <v>2</v>
      </c>
      <c r="D308" s="458" t="s">
        <v>758</v>
      </c>
      <c r="E308" s="457" t="s">
        <v>299</v>
      </c>
      <c r="F308" s="590"/>
      <c r="G308" s="220">
        <v>1355.3177393502494</v>
      </c>
      <c r="H308" s="219">
        <v>0</v>
      </c>
      <c r="I308" s="220">
        <v>0</v>
      </c>
      <c r="J308" s="219">
        <v>0</v>
      </c>
      <c r="K308" s="220">
        <v>0</v>
      </c>
      <c r="L308" s="1236"/>
      <c r="M308"/>
      <c r="N308"/>
      <c r="O308"/>
      <c r="P308"/>
      <c r="Q308"/>
      <c r="R308"/>
      <c r="S308"/>
      <c r="T308"/>
      <c r="U308"/>
      <c r="V308"/>
      <c r="W308"/>
      <c r="X308"/>
    </row>
    <row r="309" spans="1:24" ht="18" thickTop="1" thickBot="1" x14ac:dyDescent="0.35">
      <c r="A309" s="457" t="s">
        <v>2</v>
      </c>
      <c r="B309" s="458">
        <v>2</v>
      </c>
      <c r="C309" s="458">
        <v>2</v>
      </c>
      <c r="D309" s="458" t="s">
        <v>758</v>
      </c>
      <c r="E309" s="457" t="s">
        <v>300</v>
      </c>
      <c r="F309" s="590"/>
      <c r="G309" s="220">
        <v>2671.8900825590472</v>
      </c>
      <c r="H309" s="219">
        <v>0</v>
      </c>
      <c r="I309" s="220">
        <v>0</v>
      </c>
      <c r="J309" s="219">
        <v>0</v>
      </c>
      <c r="K309" s="220">
        <v>0</v>
      </c>
      <c r="L309" s="1236"/>
      <c r="M309"/>
      <c r="N309"/>
      <c r="O309"/>
      <c r="P309"/>
      <c r="Q309"/>
      <c r="R309"/>
      <c r="S309"/>
      <c r="T309"/>
      <c r="U309"/>
      <c r="V309"/>
      <c r="W309"/>
      <c r="X309"/>
    </row>
    <row r="310" spans="1:24" ht="18" thickTop="1" thickBot="1" x14ac:dyDescent="0.35">
      <c r="A310" s="457" t="s">
        <v>2</v>
      </c>
      <c r="B310" s="458">
        <v>2</v>
      </c>
      <c r="C310" s="458">
        <v>2</v>
      </c>
      <c r="D310" s="458" t="s">
        <v>758</v>
      </c>
      <c r="E310" s="457" t="s">
        <v>301</v>
      </c>
      <c r="F310" s="590"/>
      <c r="G310" s="220">
        <v>3195.1454941195539</v>
      </c>
      <c r="H310" s="219">
        <v>0</v>
      </c>
      <c r="I310" s="220">
        <v>0</v>
      </c>
      <c r="J310" s="219">
        <v>0</v>
      </c>
      <c r="K310" s="220">
        <v>0</v>
      </c>
      <c r="L310" s="1236"/>
      <c r="M310"/>
      <c r="N310"/>
      <c r="O310"/>
      <c r="P310"/>
      <c r="Q310"/>
      <c r="R310"/>
      <c r="S310"/>
      <c r="T310"/>
      <c r="U310"/>
      <c r="V310"/>
      <c r="W310"/>
      <c r="X310"/>
    </row>
    <row r="311" spans="1:24" ht="18" thickTop="1" thickBot="1" x14ac:dyDescent="0.35">
      <c r="A311" s="457" t="s">
        <v>2</v>
      </c>
      <c r="B311" s="458">
        <v>2</v>
      </c>
      <c r="C311" s="458">
        <v>2</v>
      </c>
      <c r="D311" s="458" t="s">
        <v>758</v>
      </c>
      <c r="E311" s="457" t="s">
        <v>302</v>
      </c>
      <c r="F311" s="590"/>
      <c r="G311" s="220">
        <v>1582.5962816962297</v>
      </c>
      <c r="H311" s="219">
        <v>0</v>
      </c>
      <c r="I311" s="220">
        <v>0</v>
      </c>
      <c r="J311" s="219">
        <v>0</v>
      </c>
      <c r="K311" s="220">
        <v>0</v>
      </c>
      <c r="L311" s="1236"/>
      <c r="M311"/>
      <c r="N311"/>
      <c r="O311"/>
      <c r="P311"/>
      <c r="Q311"/>
      <c r="R311"/>
      <c r="S311"/>
      <c r="T311"/>
      <c r="U311"/>
      <c r="V311"/>
      <c r="W311"/>
      <c r="X311"/>
    </row>
    <row r="312" spans="1:24" ht="18" thickTop="1" thickBot="1" x14ac:dyDescent="0.35">
      <c r="A312" s="457" t="s">
        <v>2</v>
      </c>
      <c r="B312" s="458">
        <v>2</v>
      </c>
      <c r="C312" s="458">
        <v>2</v>
      </c>
      <c r="D312" s="458" t="s">
        <v>758</v>
      </c>
      <c r="E312" s="457" t="s">
        <v>303</v>
      </c>
      <c r="F312" s="590"/>
      <c r="G312" s="220">
        <v>595.68573042571086</v>
      </c>
      <c r="H312" s="219">
        <v>0</v>
      </c>
      <c r="I312" s="220">
        <v>0</v>
      </c>
      <c r="J312" s="219">
        <v>0</v>
      </c>
      <c r="K312" s="220">
        <v>0</v>
      </c>
      <c r="L312" s="1236"/>
      <c r="M312"/>
      <c r="N312"/>
      <c r="O312"/>
      <c r="P312"/>
      <c r="Q312"/>
      <c r="R312"/>
      <c r="S312"/>
      <c r="T312"/>
      <c r="U312"/>
      <c r="V312"/>
      <c r="W312"/>
      <c r="X312"/>
    </row>
    <row r="313" spans="1:24" ht="18" thickTop="1" thickBot="1" x14ac:dyDescent="0.35">
      <c r="A313" s="457" t="s">
        <v>2</v>
      </c>
      <c r="B313" s="458">
        <v>2</v>
      </c>
      <c r="C313" s="458">
        <v>2</v>
      </c>
      <c r="D313" s="458" t="s">
        <v>758</v>
      </c>
      <c r="E313" s="457" t="s">
        <v>304</v>
      </c>
      <c r="F313" s="590"/>
      <c r="G313" s="220">
        <v>739.30767828711794</v>
      </c>
      <c r="H313" s="219">
        <v>0</v>
      </c>
      <c r="I313" s="220">
        <v>0</v>
      </c>
      <c r="J313" s="219">
        <v>0</v>
      </c>
      <c r="K313" s="220">
        <v>0</v>
      </c>
      <c r="L313" s="1236"/>
      <c r="M313"/>
      <c r="N313"/>
      <c r="O313"/>
      <c r="P313"/>
      <c r="Q313"/>
      <c r="R313"/>
      <c r="S313"/>
      <c r="T313"/>
      <c r="U313"/>
      <c r="V313"/>
      <c r="W313"/>
      <c r="X313"/>
    </row>
    <row r="314" spans="1:24" ht="18" thickTop="1" thickBot="1" x14ac:dyDescent="0.35">
      <c r="A314" s="457" t="s">
        <v>2</v>
      </c>
      <c r="B314" s="458">
        <v>2</v>
      </c>
      <c r="C314" s="458">
        <v>2</v>
      </c>
      <c r="D314" s="458" t="s">
        <v>758</v>
      </c>
      <c r="E314" s="457" t="s">
        <v>305</v>
      </c>
      <c r="F314" s="590"/>
      <c r="G314" s="220">
        <v>649.09072250648126</v>
      </c>
      <c r="H314" s="219">
        <v>0</v>
      </c>
      <c r="I314" s="220">
        <v>0</v>
      </c>
      <c r="J314" s="219">
        <v>0</v>
      </c>
      <c r="K314" s="220">
        <v>0</v>
      </c>
      <c r="L314" s="1236"/>
      <c r="M314"/>
      <c r="N314"/>
      <c r="O314"/>
      <c r="P314"/>
      <c r="Q314"/>
      <c r="R314"/>
      <c r="S314"/>
      <c r="T314"/>
      <c r="U314"/>
      <c r="V314"/>
      <c r="W314"/>
      <c r="X314"/>
    </row>
    <row r="315" spans="1:24" ht="18" thickTop="1" thickBot="1" x14ac:dyDescent="0.35">
      <c r="A315" s="457" t="s">
        <v>2</v>
      </c>
      <c r="B315" s="458">
        <v>2</v>
      </c>
      <c r="C315" s="458">
        <v>2</v>
      </c>
      <c r="D315" s="458" t="s">
        <v>758</v>
      </c>
      <c r="E315" s="457" t="s">
        <v>306</v>
      </c>
      <c r="F315" s="590"/>
      <c r="G315" s="220">
        <v>437.71897388338118</v>
      </c>
      <c r="H315" s="219">
        <v>0</v>
      </c>
      <c r="I315" s="220">
        <v>0</v>
      </c>
      <c r="J315" s="219">
        <v>0</v>
      </c>
      <c r="K315" s="220">
        <v>0</v>
      </c>
      <c r="L315" s="1236"/>
      <c r="M315"/>
      <c r="N315"/>
      <c r="O315"/>
      <c r="P315"/>
      <c r="Q315"/>
      <c r="R315"/>
      <c r="S315"/>
      <c r="T315"/>
      <c r="U315"/>
      <c r="V315"/>
      <c r="W315"/>
      <c r="X315"/>
    </row>
    <row r="316" spans="1:24" ht="18" thickTop="1" thickBot="1" x14ac:dyDescent="0.35">
      <c r="A316" s="457" t="s">
        <v>2</v>
      </c>
      <c r="B316" s="458">
        <v>2</v>
      </c>
      <c r="C316" s="458">
        <v>2</v>
      </c>
      <c r="D316" s="458" t="s">
        <v>764</v>
      </c>
      <c r="E316" s="457" t="s">
        <v>307</v>
      </c>
      <c r="F316" s="590"/>
      <c r="G316" s="220">
        <v>11.631489870000001</v>
      </c>
      <c r="H316" s="219">
        <v>0</v>
      </c>
      <c r="I316" s="220">
        <v>0</v>
      </c>
      <c r="J316" s="219">
        <v>0</v>
      </c>
      <c r="K316" s="220">
        <v>0</v>
      </c>
      <c r="L316" s="1236"/>
      <c r="M316"/>
      <c r="N316"/>
      <c r="O316"/>
      <c r="P316"/>
      <c r="Q316"/>
      <c r="R316"/>
      <c r="S316"/>
      <c r="T316"/>
      <c r="U316"/>
      <c r="V316"/>
      <c r="W316"/>
      <c r="X316"/>
    </row>
    <row r="317" spans="1:24" ht="18" thickTop="1" thickBot="1" x14ac:dyDescent="0.35">
      <c r="A317" s="457" t="s">
        <v>2</v>
      </c>
      <c r="B317" s="458">
        <v>2</v>
      </c>
      <c r="C317" s="458">
        <v>2</v>
      </c>
      <c r="D317" s="458" t="s">
        <v>758</v>
      </c>
      <c r="E317" s="457" t="s">
        <v>308</v>
      </c>
      <c r="F317" s="590"/>
      <c r="G317" s="220">
        <v>437.42312048434997</v>
      </c>
      <c r="H317" s="219">
        <v>0</v>
      </c>
      <c r="I317" s="220">
        <v>0</v>
      </c>
      <c r="J317" s="219">
        <v>0</v>
      </c>
      <c r="K317" s="220">
        <v>0</v>
      </c>
      <c r="L317" s="1236"/>
      <c r="M317"/>
      <c r="N317"/>
      <c r="O317"/>
      <c r="P317"/>
      <c r="Q317"/>
      <c r="R317"/>
      <c r="S317"/>
      <c r="T317"/>
      <c r="U317"/>
      <c r="V317"/>
      <c r="W317"/>
      <c r="X317"/>
    </row>
    <row r="318" spans="1:24" ht="18" thickTop="1" thickBot="1" x14ac:dyDescent="0.35">
      <c r="A318" s="457" t="s">
        <v>2</v>
      </c>
      <c r="B318" s="458">
        <v>2</v>
      </c>
      <c r="C318" s="458">
        <v>2</v>
      </c>
      <c r="D318" s="458" t="s">
        <v>758</v>
      </c>
      <c r="E318" s="457" t="s">
        <v>309</v>
      </c>
      <c r="F318" s="590"/>
      <c r="G318" s="220">
        <v>442.06395613021647</v>
      </c>
      <c r="H318" s="219">
        <v>0</v>
      </c>
      <c r="I318" s="220">
        <v>0</v>
      </c>
      <c r="J318" s="219">
        <v>0</v>
      </c>
      <c r="K318" s="220">
        <v>0</v>
      </c>
      <c r="L318" s="1236"/>
      <c r="M318"/>
      <c r="N318"/>
      <c r="O318"/>
      <c r="P318"/>
      <c r="Q318"/>
      <c r="R318"/>
      <c r="S318"/>
      <c r="T318"/>
      <c r="U318"/>
      <c r="V318"/>
      <c r="W318"/>
      <c r="X318"/>
    </row>
    <row r="319" spans="1:24" ht="18" thickTop="1" thickBot="1" x14ac:dyDescent="0.35">
      <c r="A319" s="457" t="s">
        <v>2</v>
      </c>
      <c r="B319" s="458">
        <v>2</v>
      </c>
      <c r="C319" s="458">
        <v>2</v>
      </c>
      <c r="D319" s="458" t="s">
        <v>766</v>
      </c>
      <c r="E319" s="457" t="s">
        <v>310</v>
      </c>
      <c r="F319" s="590"/>
      <c r="G319" s="220">
        <v>402.82212756315528</v>
      </c>
      <c r="H319" s="219">
        <v>0</v>
      </c>
      <c r="I319" s="220">
        <v>0</v>
      </c>
      <c r="J319" s="219">
        <v>0</v>
      </c>
      <c r="K319" s="220">
        <v>0</v>
      </c>
      <c r="L319" s="1236"/>
      <c r="M319"/>
      <c r="N319"/>
      <c r="O319"/>
      <c r="P319"/>
      <c r="Q319"/>
      <c r="R319"/>
      <c r="S319"/>
      <c r="T319"/>
      <c r="U319"/>
      <c r="V319"/>
      <c r="W319"/>
      <c r="X319"/>
    </row>
    <row r="320" spans="1:24" ht="18" thickTop="1" thickBot="1" x14ac:dyDescent="0.35">
      <c r="A320" s="457" t="s">
        <v>2</v>
      </c>
      <c r="B320" s="458">
        <v>2</v>
      </c>
      <c r="C320" s="458">
        <v>2</v>
      </c>
      <c r="D320" s="458" t="s">
        <v>758</v>
      </c>
      <c r="E320" s="457" t="s">
        <v>311</v>
      </c>
      <c r="F320" s="590"/>
      <c r="G320" s="220">
        <v>1060.5526015954122</v>
      </c>
      <c r="H320" s="219">
        <v>0</v>
      </c>
      <c r="I320" s="220">
        <v>0</v>
      </c>
      <c r="J320" s="219">
        <v>0</v>
      </c>
      <c r="K320" s="220">
        <v>0</v>
      </c>
      <c r="L320" s="1236"/>
      <c r="M320"/>
      <c r="N320"/>
      <c r="O320"/>
      <c r="P320"/>
      <c r="Q320"/>
      <c r="R320"/>
      <c r="S320"/>
      <c r="T320"/>
      <c r="U320"/>
      <c r="V320"/>
      <c r="W320"/>
      <c r="X320"/>
    </row>
    <row r="321" spans="1:24" ht="18" thickTop="1" thickBot="1" x14ac:dyDescent="0.35">
      <c r="A321" s="457" t="s">
        <v>2</v>
      </c>
      <c r="B321" s="458">
        <v>2</v>
      </c>
      <c r="C321" s="458">
        <v>2</v>
      </c>
      <c r="D321" s="458" t="s">
        <v>758</v>
      </c>
      <c r="E321" s="457" t="s">
        <v>312</v>
      </c>
      <c r="F321" s="590"/>
      <c r="G321" s="220">
        <v>478.41962551652767</v>
      </c>
      <c r="H321" s="219">
        <v>0</v>
      </c>
      <c r="I321" s="220">
        <v>0</v>
      </c>
      <c r="J321" s="219">
        <v>0</v>
      </c>
      <c r="K321" s="220">
        <v>0</v>
      </c>
      <c r="L321" s="1236"/>
      <c r="M321"/>
      <c r="N321"/>
      <c r="O321"/>
      <c r="P321"/>
      <c r="Q321"/>
      <c r="R321"/>
      <c r="S321"/>
      <c r="T321"/>
      <c r="U321"/>
      <c r="V321"/>
      <c r="W321"/>
      <c r="X321"/>
    </row>
    <row r="322" spans="1:24" ht="18" thickTop="1" thickBot="1" x14ac:dyDescent="0.35">
      <c r="A322" s="457" t="s">
        <v>2</v>
      </c>
      <c r="B322" s="458">
        <v>2</v>
      </c>
      <c r="C322" s="458">
        <v>2</v>
      </c>
      <c r="D322" s="458" t="s">
        <v>758</v>
      </c>
      <c r="E322" s="457" t="s">
        <v>313</v>
      </c>
      <c r="F322" s="590"/>
      <c r="G322" s="220">
        <v>503.74322556634576</v>
      </c>
      <c r="H322" s="219">
        <v>0</v>
      </c>
      <c r="I322" s="220">
        <v>0</v>
      </c>
      <c r="J322" s="219">
        <v>0</v>
      </c>
      <c r="K322" s="220">
        <v>0</v>
      </c>
      <c r="L322" s="1236"/>
      <c r="M322"/>
      <c r="N322"/>
      <c r="O322"/>
      <c r="P322"/>
      <c r="Q322"/>
      <c r="R322"/>
      <c r="S322"/>
      <c r="T322"/>
      <c r="U322"/>
      <c r="V322"/>
      <c r="W322"/>
      <c r="X322"/>
    </row>
    <row r="323" spans="1:24" ht="18" thickTop="1" thickBot="1" x14ac:dyDescent="0.35">
      <c r="A323" s="457" t="s">
        <v>2</v>
      </c>
      <c r="B323" s="458">
        <v>2</v>
      </c>
      <c r="C323" s="458">
        <v>2</v>
      </c>
      <c r="D323" s="458" t="s">
        <v>758</v>
      </c>
      <c r="E323" s="457" t="s">
        <v>946</v>
      </c>
      <c r="F323" s="590"/>
      <c r="G323" s="220">
        <v>260.059472593946</v>
      </c>
      <c r="H323" s="219">
        <v>0</v>
      </c>
      <c r="I323" s="220">
        <v>0</v>
      </c>
      <c r="J323" s="219">
        <v>0</v>
      </c>
      <c r="K323" s="220">
        <v>0</v>
      </c>
      <c r="L323" s="1236"/>
      <c r="M323"/>
      <c r="N323"/>
      <c r="O323"/>
      <c r="P323"/>
      <c r="Q323"/>
      <c r="R323"/>
      <c r="S323"/>
      <c r="T323"/>
      <c r="U323"/>
      <c r="V323"/>
      <c r="W323"/>
      <c r="X323"/>
    </row>
    <row r="324" spans="1:24" ht="18" thickTop="1" thickBot="1" x14ac:dyDescent="0.35">
      <c r="A324" s="457" t="s">
        <v>2</v>
      </c>
      <c r="B324" s="458">
        <v>2</v>
      </c>
      <c r="C324" s="458">
        <v>2</v>
      </c>
      <c r="D324" s="458" t="s">
        <v>758</v>
      </c>
      <c r="E324" s="457" t="s">
        <v>314</v>
      </c>
      <c r="F324" s="590"/>
      <c r="G324" s="220">
        <v>758.28082890911355</v>
      </c>
      <c r="H324" s="219">
        <v>0</v>
      </c>
      <c r="I324" s="220">
        <v>0</v>
      </c>
      <c r="J324" s="219">
        <v>0</v>
      </c>
      <c r="K324" s="220">
        <v>0</v>
      </c>
      <c r="L324" s="1236"/>
      <c r="M324"/>
      <c r="N324"/>
      <c r="O324"/>
      <c r="P324"/>
      <c r="Q324"/>
      <c r="R324"/>
      <c r="S324"/>
      <c r="T324"/>
      <c r="U324"/>
      <c r="V324"/>
      <c r="W324"/>
      <c r="X324"/>
    </row>
    <row r="325" spans="1:24" ht="18" thickTop="1" thickBot="1" x14ac:dyDescent="0.35">
      <c r="A325" s="457" t="s">
        <v>2</v>
      </c>
      <c r="B325" s="458">
        <v>2</v>
      </c>
      <c r="C325" s="458">
        <v>2</v>
      </c>
      <c r="D325" s="458" t="s">
        <v>758</v>
      </c>
      <c r="E325" s="457" t="s">
        <v>315</v>
      </c>
      <c r="F325" s="590"/>
      <c r="G325" s="220">
        <v>1368.0415572288716</v>
      </c>
      <c r="H325" s="219">
        <v>0</v>
      </c>
      <c r="I325" s="220">
        <v>0</v>
      </c>
      <c r="J325" s="219">
        <v>0</v>
      </c>
      <c r="K325" s="220">
        <v>0</v>
      </c>
      <c r="L325" s="1236"/>
      <c r="M325"/>
      <c r="N325"/>
      <c r="O325"/>
      <c r="P325"/>
      <c r="Q325"/>
      <c r="R325"/>
      <c r="S325"/>
      <c r="T325"/>
      <c r="U325"/>
      <c r="V325"/>
      <c r="W325"/>
      <c r="X325"/>
    </row>
    <row r="326" spans="1:24" ht="18" thickTop="1" thickBot="1" x14ac:dyDescent="0.35">
      <c r="A326" s="457" t="s">
        <v>2</v>
      </c>
      <c r="B326" s="458">
        <v>2</v>
      </c>
      <c r="C326" s="458">
        <v>2</v>
      </c>
      <c r="D326" s="458" t="s">
        <v>758</v>
      </c>
      <c r="E326" s="457" t="s">
        <v>316</v>
      </c>
      <c r="F326" s="590"/>
      <c r="G326" s="220">
        <v>1253.4259816895064</v>
      </c>
      <c r="H326" s="219">
        <v>0</v>
      </c>
      <c r="I326" s="220">
        <v>0</v>
      </c>
      <c r="J326" s="219">
        <v>0</v>
      </c>
      <c r="K326" s="220">
        <v>0</v>
      </c>
      <c r="L326" s="1236"/>
      <c r="M326"/>
      <c r="N326"/>
      <c r="O326"/>
      <c r="P326"/>
      <c r="Q326"/>
      <c r="R326"/>
      <c r="S326"/>
      <c r="T326"/>
      <c r="U326"/>
      <c r="V326"/>
      <c r="W326"/>
      <c r="X326"/>
    </row>
    <row r="327" spans="1:24" ht="18" thickTop="1" thickBot="1" x14ac:dyDescent="0.35">
      <c r="A327" s="457" t="s">
        <v>2</v>
      </c>
      <c r="B327" s="458">
        <v>2</v>
      </c>
      <c r="C327" s="458">
        <v>2</v>
      </c>
      <c r="D327" s="458" t="s">
        <v>758</v>
      </c>
      <c r="E327" s="457" t="s">
        <v>317</v>
      </c>
      <c r="F327" s="590"/>
      <c r="G327" s="220">
        <v>446.88584597680523</v>
      </c>
      <c r="H327" s="219">
        <v>0</v>
      </c>
      <c r="I327" s="220">
        <v>0</v>
      </c>
      <c r="J327" s="219">
        <v>0</v>
      </c>
      <c r="K327" s="220">
        <v>0</v>
      </c>
      <c r="L327" s="1236"/>
      <c r="M327"/>
      <c r="N327"/>
      <c r="O327"/>
      <c r="P327"/>
      <c r="Q327"/>
      <c r="R327"/>
      <c r="S327"/>
      <c r="T327"/>
      <c r="U327"/>
      <c r="V327"/>
      <c r="W327"/>
      <c r="X327"/>
    </row>
    <row r="328" spans="1:24" ht="18" thickTop="1" thickBot="1" x14ac:dyDescent="0.35">
      <c r="A328" s="457" t="s">
        <v>2</v>
      </c>
      <c r="B328" s="458">
        <v>2</v>
      </c>
      <c r="C328" s="458">
        <v>2</v>
      </c>
      <c r="D328" s="458" t="s">
        <v>758</v>
      </c>
      <c r="E328" s="457" t="s">
        <v>318</v>
      </c>
      <c r="F328" s="590"/>
      <c r="G328" s="220">
        <v>847.02599351366507</v>
      </c>
      <c r="H328" s="219">
        <v>0</v>
      </c>
      <c r="I328" s="220">
        <v>0</v>
      </c>
      <c r="J328" s="219">
        <v>0</v>
      </c>
      <c r="K328" s="220">
        <v>0</v>
      </c>
      <c r="L328" s="1236"/>
      <c r="M328"/>
      <c r="N328"/>
      <c r="O328"/>
      <c r="P328"/>
      <c r="Q328"/>
      <c r="R328"/>
      <c r="S328"/>
      <c r="T328"/>
      <c r="U328"/>
      <c r="V328"/>
      <c r="W328"/>
      <c r="X328"/>
    </row>
    <row r="329" spans="1:24" ht="18" thickTop="1" thickBot="1" x14ac:dyDescent="0.35">
      <c r="A329" s="457" t="s">
        <v>2</v>
      </c>
      <c r="B329" s="458">
        <v>2</v>
      </c>
      <c r="C329" s="458">
        <v>2</v>
      </c>
      <c r="D329" s="458" t="s">
        <v>758</v>
      </c>
      <c r="E329" s="457" t="s">
        <v>319</v>
      </c>
      <c r="F329" s="590"/>
      <c r="G329" s="220">
        <v>551.77953335515508</v>
      </c>
      <c r="H329" s="219">
        <v>0</v>
      </c>
      <c r="I329" s="220">
        <v>0</v>
      </c>
      <c r="J329" s="219">
        <v>0</v>
      </c>
      <c r="K329" s="220">
        <v>0</v>
      </c>
      <c r="L329" s="1236"/>
      <c r="M329"/>
      <c r="N329"/>
      <c r="O329"/>
      <c r="P329"/>
      <c r="Q329"/>
      <c r="R329"/>
      <c r="S329"/>
      <c r="T329"/>
      <c r="U329"/>
      <c r="V329"/>
      <c r="W329"/>
      <c r="X329"/>
    </row>
    <row r="330" spans="1:24" ht="18" thickTop="1" thickBot="1" x14ac:dyDescent="0.35">
      <c r="A330" s="457" t="s">
        <v>2</v>
      </c>
      <c r="B330" s="458">
        <v>2</v>
      </c>
      <c r="C330" s="458">
        <v>2</v>
      </c>
      <c r="D330" s="458" t="s">
        <v>758</v>
      </c>
      <c r="E330" s="457" t="s">
        <v>320</v>
      </c>
      <c r="F330" s="590"/>
      <c r="G330" s="220">
        <v>228.78403189031388</v>
      </c>
      <c r="H330" s="219">
        <v>0</v>
      </c>
      <c r="I330" s="220">
        <v>0</v>
      </c>
      <c r="J330" s="219">
        <v>0</v>
      </c>
      <c r="K330" s="220">
        <v>0</v>
      </c>
      <c r="L330" s="1236"/>
      <c r="M330"/>
      <c r="N330"/>
      <c r="O330"/>
      <c r="P330"/>
      <c r="Q330"/>
      <c r="R330"/>
      <c r="S330"/>
      <c r="T330"/>
      <c r="U330"/>
      <c r="V330"/>
      <c r="W330"/>
      <c r="X330"/>
    </row>
    <row r="331" spans="1:24" ht="18" thickTop="1" thickBot="1" x14ac:dyDescent="0.35">
      <c r="A331" s="457" t="s">
        <v>2</v>
      </c>
      <c r="B331" s="458">
        <v>2</v>
      </c>
      <c r="C331" s="458">
        <v>2</v>
      </c>
      <c r="D331" s="458" t="s">
        <v>758</v>
      </c>
      <c r="E331" s="457" t="s">
        <v>321</v>
      </c>
      <c r="F331" s="590"/>
      <c r="G331" s="220">
        <v>691.94269739405308</v>
      </c>
      <c r="H331" s="219">
        <v>0</v>
      </c>
      <c r="I331" s="220">
        <v>0</v>
      </c>
      <c r="J331" s="219">
        <v>0</v>
      </c>
      <c r="K331" s="220">
        <v>0</v>
      </c>
      <c r="L331" s="1236"/>
      <c r="M331"/>
      <c r="N331"/>
      <c r="O331"/>
      <c r="P331"/>
      <c r="Q331"/>
      <c r="R331"/>
      <c r="S331"/>
      <c r="T331"/>
      <c r="U331"/>
      <c r="V331"/>
      <c r="W331"/>
      <c r="X331"/>
    </row>
    <row r="332" spans="1:24" ht="18" thickTop="1" thickBot="1" x14ac:dyDescent="0.35">
      <c r="A332" s="457" t="s">
        <v>2</v>
      </c>
      <c r="B332" s="458">
        <v>2</v>
      </c>
      <c r="C332" s="458">
        <v>2</v>
      </c>
      <c r="D332" s="458" t="s">
        <v>758</v>
      </c>
      <c r="E332" s="457" t="s">
        <v>322</v>
      </c>
      <c r="F332" s="590"/>
      <c r="G332" s="220">
        <v>377.16286926466643</v>
      </c>
      <c r="H332" s="219">
        <v>0</v>
      </c>
      <c r="I332" s="220">
        <v>0</v>
      </c>
      <c r="J332" s="219">
        <v>0</v>
      </c>
      <c r="K332" s="220">
        <v>0</v>
      </c>
      <c r="L332" s="1236"/>
      <c r="M332"/>
      <c r="N332"/>
      <c r="O332"/>
      <c r="P332"/>
      <c r="Q332"/>
      <c r="R332"/>
      <c r="S332"/>
      <c r="T332"/>
      <c r="U332"/>
      <c r="V332"/>
      <c r="W332"/>
      <c r="X332"/>
    </row>
    <row r="333" spans="1:24" ht="18" thickTop="1" thickBot="1" x14ac:dyDescent="0.35">
      <c r="A333" s="457" t="s">
        <v>2</v>
      </c>
      <c r="B333" s="458">
        <v>2</v>
      </c>
      <c r="C333" s="458">
        <v>2</v>
      </c>
      <c r="D333" s="458" t="s">
        <v>758</v>
      </c>
      <c r="E333" s="457" t="s">
        <v>323</v>
      </c>
      <c r="F333" s="590"/>
      <c r="G333" s="220">
        <v>485.78097062057566</v>
      </c>
      <c r="H333" s="219">
        <v>0</v>
      </c>
      <c r="I333" s="220">
        <v>0</v>
      </c>
      <c r="J333" s="219">
        <v>0</v>
      </c>
      <c r="K333" s="220">
        <v>0</v>
      </c>
      <c r="L333" s="1236"/>
      <c r="M333"/>
      <c r="N333"/>
      <c r="O333"/>
      <c r="P333"/>
      <c r="Q333"/>
      <c r="R333"/>
      <c r="S333"/>
      <c r="T333"/>
      <c r="U333"/>
      <c r="V333"/>
      <c r="W333"/>
      <c r="X333"/>
    </row>
    <row r="334" spans="1:24" ht="18" thickTop="1" thickBot="1" x14ac:dyDescent="0.35">
      <c r="A334" s="457" t="s">
        <v>2</v>
      </c>
      <c r="B334" s="458">
        <v>2</v>
      </c>
      <c r="C334" s="458">
        <v>2</v>
      </c>
      <c r="D334" s="458" t="s">
        <v>758</v>
      </c>
      <c r="E334" s="457" t="s">
        <v>324</v>
      </c>
      <c r="F334" s="590"/>
      <c r="G334" s="220">
        <v>633.56358585992461</v>
      </c>
      <c r="H334" s="219">
        <v>0</v>
      </c>
      <c r="I334" s="220">
        <v>0</v>
      </c>
      <c r="J334" s="219">
        <v>0</v>
      </c>
      <c r="K334" s="220">
        <v>0</v>
      </c>
      <c r="L334" s="1236"/>
      <c r="M334"/>
      <c r="N334"/>
      <c r="O334"/>
      <c r="P334"/>
      <c r="Q334"/>
      <c r="R334"/>
      <c r="S334"/>
      <c r="T334"/>
      <c r="U334"/>
      <c r="V334"/>
      <c r="W334"/>
      <c r="X334"/>
    </row>
    <row r="335" spans="1:24" ht="18" thickTop="1" thickBot="1" x14ac:dyDescent="0.35">
      <c r="A335" s="457" t="s">
        <v>2</v>
      </c>
      <c r="B335" s="458">
        <v>2</v>
      </c>
      <c r="C335" s="458">
        <v>2</v>
      </c>
      <c r="D335" s="458" t="s">
        <v>758</v>
      </c>
      <c r="E335" s="457" t="s">
        <v>325</v>
      </c>
      <c r="F335" s="590"/>
      <c r="G335" s="220">
        <v>639.12324022907865</v>
      </c>
      <c r="H335" s="219">
        <v>0</v>
      </c>
      <c r="I335" s="220">
        <v>0</v>
      </c>
      <c r="J335" s="219">
        <v>0</v>
      </c>
      <c r="K335" s="220">
        <v>0</v>
      </c>
      <c r="L335" s="1236"/>
      <c r="M335"/>
      <c r="N335"/>
      <c r="O335"/>
      <c r="P335"/>
      <c r="Q335"/>
      <c r="R335"/>
      <c r="S335"/>
      <c r="T335"/>
      <c r="U335"/>
      <c r="V335"/>
      <c r="W335"/>
      <c r="X335"/>
    </row>
    <row r="336" spans="1:24" ht="18" thickTop="1" thickBot="1" x14ac:dyDescent="0.35">
      <c r="A336" s="457" t="s">
        <v>2</v>
      </c>
      <c r="B336" s="458">
        <v>2</v>
      </c>
      <c r="C336" s="458">
        <v>2</v>
      </c>
      <c r="D336" s="458" t="s">
        <v>758</v>
      </c>
      <c r="E336" s="457" t="s">
        <v>326</v>
      </c>
      <c r="F336" s="590"/>
      <c r="G336" s="220">
        <v>11.888217981865223</v>
      </c>
      <c r="H336" s="219">
        <v>0</v>
      </c>
      <c r="I336" s="220">
        <v>0</v>
      </c>
      <c r="J336" s="219">
        <v>0</v>
      </c>
      <c r="K336" s="220">
        <v>0</v>
      </c>
      <c r="L336" s="1236"/>
      <c r="M336"/>
      <c r="N336"/>
      <c r="O336"/>
      <c r="P336"/>
      <c r="Q336"/>
      <c r="R336"/>
      <c r="S336"/>
      <c r="T336"/>
      <c r="U336"/>
      <c r="V336"/>
      <c r="W336"/>
      <c r="X336"/>
    </row>
    <row r="337" spans="1:24" ht="18" thickTop="1" thickBot="1" x14ac:dyDescent="0.35">
      <c r="A337" s="457" t="s">
        <v>2</v>
      </c>
      <c r="B337" s="458">
        <v>2</v>
      </c>
      <c r="C337" s="458">
        <v>2</v>
      </c>
      <c r="D337" s="458" t="s">
        <v>758</v>
      </c>
      <c r="E337" s="457" t="s">
        <v>327</v>
      </c>
      <c r="F337" s="590"/>
      <c r="G337" s="220">
        <v>57.716217471337423</v>
      </c>
      <c r="H337" s="219">
        <v>0</v>
      </c>
      <c r="I337" s="220">
        <v>0</v>
      </c>
      <c r="J337" s="219">
        <v>0</v>
      </c>
      <c r="K337" s="220">
        <v>0</v>
      </c>
      <c r="L337" s="1236"/>
      <c r="M337"/>
      <c r="N337"/>
      <c r="O337"/>
      <c r="P337"/>
      <c r="Q337"/>
      <c r="R337"/>
      <c r="S337"/>
      <c r="T337"/>
      <c r="U337"/>
      <c r="V337"/>
      <c r="W337"/>
      <c r="X337"/>
    </row>
    <row r="338" spans="1:24" ht="18" thickTop="1" thickBot="1" x14ac:dyDescent="0.35">
      <c r="A338" s="457" t="s">
        <v>2</v>
      </c>
      <c r="B338" s="458">
        <v>2</v>
      </c>
      <c r="C338" s="458">
        <v>2</v>
      </c>
      <c r="D338" s="458" t="s">
        <v>758</v>
      </c>
      <c r="E338" s="457" t="s">
        <v>328</v>
      </c>
      <c r="F338" s="590"/>
      <c r="G338" s="220">
        <v>1529.8068805186417</v>
      </c>
      <c r="H338" s="219">
        <v>0</v>
      </c>
      <c r="I338" s="220">
        <v>0</v>
      </c>
      <c r="J338" s="219">
        <v>0</v>
      </c>
      <c r="K338" s="220">
        <v>0</v>
      </c>
      <c r="L338" s="1236"/>
      <c r="M338"/>
      <c r="N338"/>
      <c r="O338"/>
      <c r="P338"/>
      <c r="Q338"/>
      <c r="R338"/>
      <c r="S338"/>
      <c r="T338"/>
      <c r="U338"/>
      <c r="V338"/>
      <c r="W338"/>
      <c r="X338"/>
    </row>
    <row r="339" spans="1:24" ht="18" thickTop="1" thickBot="1" x14ac:dyDescent="0.35">
      <c r="A339" s="457" t="s">
        <v>2</v>
      </c>
      <c r="B339" s="458">
        <v>2</v>
      </c>
      <c r="C339" s="458">
        <v>2</v>
      </c>
      <c r="D339" s="458" t="s">
        <v>758</v>
      </c>
      <c r="E339" s="457" t="s">
        <v>329</v>
      </c>
      <c r="F339" s="590"/>
      <c r="G339" s="220">
        <v>104.94324369303777</v>
      </c>
      <c r="H339" s="219">
        <v>0</v>
      </c>
      <c r="I339" s="220">
        <v>0</v>
      </c>
      <c r="J339" s="219">
        <v>0</v>
      </c>
      <c r="K339" s="220">
        <v>0</v>
      </c>
      <c r="L339" s="1236"/>
      <c r="M339"/>
      <c r="N339"/>
      <c r="O339"/>
      <c r="P339"/>
      <c r="Q339"/>
      <c r="R339"/>
      <c r="S339"/>
      <c r="T339"/>
      <c r="U339"/>
      <c r="V339"/>
      <c r="W339"/>
      <c r="X339"/>
    </row>
    <row r="340" spans="1:24" ht="18" thickTop="1" thickBot="1" x14ac:dyDescent="0.35">
      <c r="A340" s="457" t="s">
        <v>2</v>
      </c>
      <c r="B340" s="458">
        <v>2</v>
      </c>
      <c r="C340" s="458">
        <v>2</v>
      </c>
      <c r="D340" s="458" t="s">
        <v>758</v>
      </c>
      <c r="E340" s="457" t="s">
        <v>330</v>
      </c>
      <c r="F340" s="590"/>
      <c r="G340" s="220">
        <v>625.15426761137348</v>
      </c>
      <c r="H340" s="219">
        <v>0</v>
      </c>
      <c r="I340" s="220">
        <v>0</v>
      </c>
      <c r="J340" s="219">
        <v>0</v>
      </c>
      <c r="K340" s="220">
        <v>0</v>
      </c>
      <c r="L340" s="1236"/>
      <c r="M340"/>
      <c r="N340"/>
      <c r="O340"/>
      <c r="P340"/>
      <c r="Q340"/>
      <c r="R340"/>
      <c r="S340"/>
      <c r="T340"/>
      <c r="U340"/>
      <c r="V340"/>
      <c r="W340"/>
      <c r="X340"/>
    </row>
    <row r="341" spans="1:24" ht="18" thickTop="1" thickBot="1" x14ac:dyDescent="0.35">
      <c r="A341" s="457" t="s">
        <v>2</v>
      </c>
      <c r="B341" s="458">
        <v>2</v>
      </c>
      <c r="C341" s="458">
        <v>2</v>
      </c>
      <c r="D341" s="458" t="s">
        <v>758</v>
      </c>
      <c r="E341" s="457" t="s">
        <v>331</v>
      </c>
      <c r="F341" s="590"/>
      <c r="G341" s="220">
        <v>21.620696246149002</v>
      </c>
      <c r="H341" s="219">
        <v>0</v>
      </c>
      <c r="I341" s="220">
        <v>0</v>
      </c>
      <c r="J341" s="219">
        <v>0</v>
      </c>
      <c r="K341" s="220">
        <v>0</v>
      </c>
      <c r="L341" s="1236"/>
      <c r="M341"/>
      <c r="N341"/>
      <c r="O341"/>
      <c r="P341"/>
      <c r="Q341"/>
      <c r="R341"/>
      <c r="S341"/>
      <c r="T341"/>
      <c r="U341"/>
      <c r="V341"/>
      <c r="W341"/>
      <c r="X341"/>
    </row>
    <row r="342" spans="1:24" ht="18" thickTop="1" thickBot="1" x14ac:dyDescent="0.35">
      <c r="A342" s="457" t="s">
        <v>2</v>
      </c>
      <c r="B342" s="458">
        <v>2</v>
      </c>
      <c r="C342" s="458">
        <v>2</v>
      </c>
      <c r="D342" s="458" t="s">
        <v>760</v>
      </c>
      <c r="E342" s="457" t="s">
        <v>332</v>
      </c>
      <c r="F342" s="590"/>
      <c r="G342" s="220">
        <v>355.96508826033659</v>
      </c>
      <c r="H342" s="219">
        <v>0</v>
      </c>
      <c r="I342" s="220">
        <v>0</v>
      </c>
      <c r="J342" s="219">
        <v>0</v>
      </c>
      <c r="K342" s="220">
        <v>0</v>
      </c>
      <c r="L342" s="1236"/>
      <c r="M342"/>
      <c r="N342"/>
      <c r="O342"/>
      <c r="P342"/>
      <c r="Q342"/>
      <c r="R342"/>
      <c r="S342"/>
      <c r="T342"/>
      <c r="U342"/>
      <c r="V342"/>
      <c r="W342"/>
      <c r="X342"/>
    </row>
    <row r="343" spans="1:24" ht="18" thickTop="1" thickBot="1" x14ac:dyDescent="0.35">
      <c r="A343" s="457" t="s">
        <v>2</v>
      </c>
      <c r="B343" s="458">
        <v>2</v>
      </c>
      <c r="C343" s="458">
        <v>2</v>
      </c>
      <c r="D343" s="458" t="s">
        <v>766</v>
      </c>
      <c r="E343" s="457" t="s">
        <v>333</v>
      </c>
      <c r="F343" s="590"/>
      <c r="G343" s="220">
        <v>570.65116561515561</v>
      </c>
      <c r="H343" s="219">
        <v>0</v>
      </c>
      <c r="I343" s="220">
        <v>0</v>
      </c>
      <c r="J343" s="219">
        <v>0</v>
      </c>
      <c r="K343" s="220">
        <v>0</v>
      </c>
      <c r="L343" s="1236"/>
      <c r="M343"/>
      <c r="N343"/>
      <c r="O343"/>
      <c r="P343"/>
      <c r="Q343"/>
      <c r="R343"/>
      <c r="S343"/>
      <c r="T343"/>
      <c r="U343"/>
      <c r="V343"/>
      <c r="W343"/>
      <c r="X343"/>
    </row>
    <row r="344" spans="1:24" ht="18" thickTop="1" thickBot="1" x14ac:dyDescent="0.35">
      <c r="A344" s="457" t="s">
        <v>2</v>
      </c>
      <c r="B344" s="458">
        <v>2</v>
      </c>
      <c r="C344" s="458">
        <v>2</v>
      </c>
      <c r="D344" s="458" t="s">
        <v>758</v>
      </c>
      <c r="E344" s="457" t="s">
        <v>334</v>
      </c>
      <c r="F344" s="590"/>
      <c r="G344" s="220">
        <v>2617.7543216781955</v>
      </c>
      <c r="H344" s="219">
        <v>0</v>
      </c>
      <c r="I344" s="220">
        <v>0</v>
      </c>
      <c r="J344" s="219">
        <v>0</v>
      </c>
      <c r="K344" s="220">
        <v>0</v>
      </c>
      <c r="L344" s="1236"/>
      <c r="M344"/>
      <c r="N344"/>
      <c r="O344"/>
      <c r="P344"/>
      <c r="Q344"/>
      <c r="R344"/>
      <c r="S344"/>
      <c r="T344"/>
      <c r="U344"/>
      <c r="V344"/>
      <c r="W344"/>
      <c r="X344"/>
    </row>
    <row r="345" spans="1:24" ht="18" thickTop="1" thickBot="1" x14ac:dyDescent="0.35">
      <c r="A345" s="457" t="s">
        <v>2</v>
      </c>
      <c r="B345" s="458">
        <v>2</v>
      </c>
      <c r="C345" s="458">
        <v>2</v>
      </c>
      <c r="D345" s="458" t="s">
        <v>758</v>
      </c>
      <c r="E345" s="457" t="s">
        <v>335</v>
      </c>
      <c r="F345" s="590"/>
      <c r="G345" s="220">
        <v>902.8840746758583</v>
      </c>
      <c r="H345" s="219">
        <v>0</v>
      </c>
      <c r="I345" s="220">
        <v>0</v>
      </c>
      <c r="J345" s="219">
        <v>0</v>
      </c>
      <c r="K345" s="220">
        <v>0</v>
      </c>
      <c r="L345" s="1236"/>
      <c r="M345"/>
      <c r="N345"/>
      <c r="O345"/>
      <c r="P345"/>
      <c r="Q345"/>
      <c r="R345"/>
      <c r="S345"/>
      <c r="T345"/>
      <c r="U345"/>
      <c r="V345"/>
      <c r="W345"/>
      <c r="X345"/>
    </row>
    <row r="346" spans="1:24" ht="18" thickTop="1" thickBot="1" x14ac:dyDescent="0.35">
      <c r="A346" s="457" t="s">
        <v>2</v>
      </c>
      <c r="B346" s="458">
        <v>2</v>
      </c>
      <c r="C346" s="458">
        <v>2</v>
      </c>
      <c r="D346" s="458" t="s">
        <v>758</v>
      </c>
      <c r="E346" s="457" t="s">
        <v>336</v>
      </c>
      <c r="F346" s="590"/>
      <c r="G346" s="220">
        <v>1108.5865394332229</v>
      </c>
      <c r="H346" s="219">
        <v>0</v>
      </c>
      <c r="I346" s="220">
        <v>0</v>
      </c>
      <c r="J346" s="219">
        <v>0</v>
      </c>
      <c r="K346" s="220">
        <v>0</v>
      </c>
      <c r="L346" s="1236"/>
      <c r="M346"/>
      <c r="N346"/>
      <c r="O346"/>
      <c r="P346"/>
      <c r="Q346"/>
      <c r="R346"/>
      <c r="S346"/>
      <c r="T346"/>
      <c r="U346"/>
      <c r="V346"/>
      <c r="W346"/>
      <c r="X346"/>
    </row>
    <row r="347" spans="1:24" ht="18" thickTop="1" thickBot="1" x14ac:dyDescent="0.35">
      <c r="A347" s="457" t="s">
        <v>2</v>
      </c>
      <c r="B347" s="458">
        <v>2</v>
      </c>
      <c r="C347" s="458">
        <v>2</v>
      </c>
      <c r="D347" s="458" t="s">
        <v>758</v>
      </c>
      <c r="E347" s="457" t="s">
        <v>337</v>
      </c>
      <c r="F347" s="590"/>
      <c r="G347" s="220">
        <v>521.63773864060352</v>
      </c>
      <c r="H347" s="219">
        <v>0</v>
      </c>
      <c r="I347" s="220">
        <v>0</v>
      </c>
      <c r="J347" s="219">
        <v>0</v>
      </c>
      <c r="K347" s="220">
        <v>0</v>
      </c>
      <c r="L347" s="1236"/>
      <c r="M347"/>
      <c r="N347"/>
      <c r="O347"/>
      <c r="P347"/>
      <c r="Q347"/>
      <c r="R347"/>
      <c r="S347"/>
      <c r="T347"/>
      <c r="U347"/>
      <c r="V347"/>
      <c r="W347"/>
      <c r="X347"/>
    </row>
    <row r="348" spans="1:24" ht="18" thickTop="1" thickBot="1" x14ac:dyDescent="0.35">
      <c r="A348" s="457" t="s">
        <v>2</v>
      </c>
      <c r="B348" s="458">
        <v>2</v>
      </c>
      <c r="C348" s="458">
        <v>2</v>
      </c>
      <c r="D348" s="458" t="s">
        <v>758</v>
      </c>
      <c r="E348" s="457" t="s">
        <v>338</v>
      </c>
      <c r="F348" s="590"/>
      <c r="G348" s="220">
        <v>66.734454387425842</v>
      </c>
      <c r="H348" s="219">
        <v>0</v>
      </c>
      <c r="I348" s="220">
        <v>0</v>
      </c>
      <c r="J348" s="219">
        <v>0</v>
      </c>
      <c r="K348" s="220">
        <v>0</v>
      </c>
      <c r="L348" s="1236"/>
      <c r="M348"/>
      <c r="N348"/>
      <c r="O348"/>
      <c r="P348"/>
      <c r="Q348"/>
      <c r="R348"/>
      <c r="S348"/>
      <c r="T348"/>
      <c r="U348"/>
      <c r="V348"/>
      <c r="W348"/>
      <c r="X348"/>
    </row>
    <row r="349" spans="1:24" ht="18" thickTop="1" thickBot="1" x14ac:dyDescent="0.35">
      <c r="A349" s="457" t="s">
        <v>2</v>
      </c>
      <c r="B349" s="458">
        <v>2</v>
      </c>
      <c r="C349" s="458">
        <v>2</v>
      </c>
      <c r="D349" s="458" t="s">
        <v>758</v>
      </c>
      <c r="E349" s="457" t="s">
        <v>339</v>
      </c>
      <c r="F349" s="590"/>
      <c r="G349" s="220">
        <v>429.77155714910418</v>
      </c>
      <c r="H349" s="219">
        <v>0</v>
      </c>
      <c r="I349" s="220">
        <v>0</v>
      </c>
      <c r="J349" s="219">
        <v>0</v>
      </c>
      <c r="K349" s="220">
        <v>0</v>
      </c>
      <c r="L349" s="1236"/>
      <c r="M349"/>
      <c r="N349"/>
      <c r="O349"/>
      <c r="P349"/>
      <c r="Q349"/>
      <c r="R349"/>
      <c r="S349"/>
      <c r="T349"/>
      <c r="U349"/>
      <c r="V349"/>
      <c r="W349"/>
      <c r="X349"/>
    </row>
    <row r="350" spans="1:24" ht="18" thickTop="1" thickBot="1" x14ac:dyDescent="0.35">
      <c r="A350" s="457" t="s">
        <v>2</v>
      </c>
      <c r="B350" s="458">
        <v>2</v>
      </c>
      <c r="C350" s="458">
        <v>2</v>
      </c>
      <c r="D350" s="458" t="s">
        <v>758</v>
      </c>
      <c r="E350" s="457" t="s">
        <v>74</v>
      </c>
      <c r="F350" s="590"/>
      <c r="G350" s="220">
        <v>487.00940849080018</v>
      </c>
      <c r="H350" s="219">
        <v>0</v>
      </c>
      <c r="I350" s="220">
        <v>0</v>
      </c>
      <c r="J350" s="219">
        <v>0</v>
      </c>
      <c r="K350" s="220">
        <v>0</v>
      </c>
      <c r="L350" s="1236"/>
      <c r="M350"/>
      <c r="N350"/>
      <c r="O350"/>
      <c r="P350"/>
      <c r="Q350"/>
      <c r="R350"/>
      <c r="S350"/>
      <c r="T350"/>
      <c r="U350"/>
      <c r="V350"/>
      <c r="W350"/>
      <c r="X350"/>
    </row>
    <row r="351" spans="1:24" ht="18" thickTop="1" thickBot="1" x14ac:dyDescent="0.35">
      <c r="A351" s="457" t="s">
        <v>2</v>
      </c>
      <c r="B351" s="458">
        <v>2</v>
      </c>
      <c r="C351" s="458">
        <v>2</v>
      </c>
      <c r="D351" s="458" t="s">
        <v>758</v>
      </c>
      <c r="E351" s="457" t="s">
        <v>340</v>
      </c>
      <c r="F351" s="590"/>
      <c r="G351" s="220">
        <v>546.14383975710052</v>
      </c>
      <c r="H351" s="219">
        <v>0</v>
      </c>
      <c r="I351" s="220">
        <v>0</v>
      </c>
      <c r="J351" s="219">
        <v>0</v>
      </c>
      <c r="K351" s="220">
        <v>0</v>
      </c>
      <c r="L351" s="1236"/>
      <c r="M351"/>
      <c r="N351"/>
      <c r="O351"/>
      <c r="P351"/>
      <c r="Q351"/>
      <c r="R351"/>
      <c r="S351"/>
      <c r="T351"/>
      <c r="U351"/>
      <c r="V351"/>
      <c r="W351"/>
      <c r="X351"/>
    </row>
    <row r="352" spans="1:24" ht="18" thickTop="1" thickBot="1" x14ac:dyDescent="0.35">
      <c r="A352" s="457" t="s">
        <v>2</v>
      </c>
      <c r="B352" s="458">
        <v>2</v>
      </c>
      <c r="C352" s="458">
        <v>2</v>
      </c>
      <c r="D352" s="458" t="s">
        <v>758</v>
      </c>
      <c r="E352" s="457" t="s">
        <v>341</v>
      </c>
      <c r="F352" s="590"/>
      <c r="G352" s="220">
        <v>548.74482092333403</v>
      </c>
      <c r="H352" s="219">
        <v>0</v>
      </c>
      <c r="I352" s="220">
        <v>0</v>
      </c>
      <c r="J352" s="219">
        <v>0</v>
      </c>
      <c r="K352" s="220">
        <v>0</v>
      </c>
      <c r="L352" s="1236"/>
      <c r="M352"/>
      <c r="N352"/>
      <c r="O352"/>
      <c r="P352"/>
      <c r="Q352"/>
      <c r="R352"/>
      <c r="S352"/>
      <c r="T352"/>
      <c r="U352"/>
      <c r="V352"/>
      <c r="W352"/>
      <c r="X352"/>
    </row>
    <row r="353" spans="1:24" ht="18" thickTop="1" thickBot="1" x14ac:dyDescent="0.35">
      <c r="A353" s="457" t="s">
        <v>2</v>
      </c>
      <c r="B353" s="458">
        <v>2</v>
      </c>
      <c r="C353" s="458">
        <v>2</v>
      </c>
      <c r="D353" s="458" t="s">
        <v>758</v>
      </c>
      <c r="E353" s="457" t="s">
        <v>342</v>
      </c>
      <c r="F353" s="590"/>
      <c r="G353" s="220">
        <v>1914.1615470828849</v>
      </c>
      <c r="H353" s="219">
        <v>0</v>
      </c>
      <c r="I353" s="220">
        <v>0</v>
      </c>
      <c r="J353" s="219">
        <v>0</v>
      </c>
      <c r="K353" s="220">
        <v>0</v>
      </c>
      <c r="L353" s="1236"/>
      <c r="M353"/>
      <c r="N353"/>
      <c r="O353"/>
      <c r="P353"/>
      <c r="Q353"/>
      <c r="R353"/>
      <c r="S353"/>
      <c r="T353"/>
      <c r="U353"/>
      <c r="V353"/>
      <c r="W353"/>
      <c r="X353"/>
    </row>
    <row r="354" spans="1:24" ht="18" thickTop="1" thickBot="1" x14ac:dyDescent="0.35">
      <c r="A354" s="1500" t="s">
        <v>2</v>
      </c>
      <c r="B354" s="1501">
        <v>2</v>
      </c>
      <c r="C354" s="1501">
        <v>2</v>
      </c>
      <c r="D354" s="1501" t="s">
        <v>758</v>
      </c>
      <c r="E354" s="1500" t="s">
        <v>1332</v>
      </c>
      <c r="F354" s="590"/>
      <c r="G354" s="220">
        <f>1722.85209578054-540</f>
        <v>1182.8520957805399</v>
      </c>
      <c r="H354" s="219">
        <v>0</v>
      </c>
      <c r="I354" s="220">
        <v>0</v>
      </c>
      <c r="J354" s="219">
        <v>0</v>
      </c>
      <c r="K354" s="220">
        <v>0</v>
      </c>
      <c r="L354" s="1236"/>
      <c r="M354"/>
      <c r="N354"/>
      <c r="O354"/>
      <c r="P354"/>
      <c r="Q354"/>
      <c r="R354"/>
      <c r="S354"/>
      <c r="T354"/>
      <c r="U354"/>
      <c r="V354"/>
      <c r="W354"/>
      <c r="X354"/>
    </row>
    <row r="355" spans="1:24" ht="18" thickTop="1" thickBot="1" x14ac:dyDescent="0.35">
      <c r="A355" s="1500" t="s">
        <v>2</v>
      </c>
      <c r="B355" s="1501">
        <v>2</v>
      </c>
      <c r="C355" s="1501">
        <v>2</v>
      </c>
      <c r="D355" s="1501" t="s">
        <v>758</v>
      </c>
      <c r="E355" s="1500" t="s">
        <v>343</v>
      </c>
      <c r="F355" s="590"/>
      <c r="G355" s="220">
        <f>3110.1875545441+87.7402162741354</f>
        <v>3197.9277708182353</v>
      </c>
      <c r="H355" s="219">
        <v>0</v>
      </c>
      <c r="I355" s="220">
        <v>0</v>
      </c>
      <c r="J355" s="219">
        <v>0</v>
      </c>
      <c r="K355" s="220">
        <v>0</v>
      </c>
      <c r="L355" s="1236"/>
      <c r="M355"/>
      <c r="N355"/>
      <c r="O355"/>
      <c r="P355"/>
      <c r="Q355"/>
      <c r="R355"/>
      <c r="S355"/>
      <c r="T355"/>
      <c r="U355"/>
      <c r="V355"/>
      <c r="W355"/>
      <c r="X355"/>
    </row>
    <row r="356" spans="1:24" ht="18" thickTop="1" thickBot="1" x14ac:dyDescent="0.35">
      <c r="A356" s="457" t="s">
        <v>2</v>
      </c>
      <c r="B356" s="458">
        <v>2</v>
      </c>
      <c r="C356" s="458">
        <v>2</v>
      </c>
      <c r="D356" s="458" t="s">
        <v>758</v>
      </c>
      <c r="E356" s="457" t="s">
        <v>344</v>
      </c>
      <c r="F356" s="590"/>
      <c r="G356" s="220">
        <v>20.074246442250001</v>
      </c>
      <c r="H356" s="219">
        <v>0</v>
      </c>
      <c r="I356" s="220">
        <v>0</v>
      </c>
      <c r="J356" s="219">
        <v>0</v>
      </c>
      <c r="K356" s="220">
        <v>0</v>
      </c>
      <c r="L356" s="1236"/>
      <c r="M356"/>
      <c r="N356"/>
      <c r="O356"/>
      <c r="P356"/>
      <c r="Q356"/>
      <c r="R356"/>
      <c r="S356"/>
      <c r="T356"/>
      <c r="U356"/>
      <c r="V356"/>
      <c r="W356"/>
      <c r="X356"/>
    </row>
    <row r="357" spans="1:24" ht="18" thickTop="1" thickBot="1" x14ac:dyDescent="0.35">
      <c r="A357" s="457" t="s">
        <v>2</v>
      </c>
      <c r="B357" s="458">
        <v>2</v>
      </c>
      <c r="C357" s="458">
        <v>2</v>
      </c>
      <c r="D357" s="458" t="s">
        <v>758</v>
      </c>
      <c r="E357" s="457" t="s">
        <v>345</v>
      </c>
      <c r="F357" s="590"/>
      <c r="G357" s="220">
        <v>734.01074393501858</v>
      </c>
      <c r="H357" s="219">
        <v>0</v>
      </c>
      <c r="I357" s="220">
        <v>0</v>
      </c>
      <c r="J357" s="219">
        <v>0</v>
      </c>
      <c r="K357" s="220">
        <v>0</v>
      </c>
      <c r="L357" s="1236"/>
      <c r="M357"/>
      <c r="N357"/>
      <c r="O357"/>
      <c r="P357"/>
      <c r="Q357"/>
      <c r="R357"/>
      <c r="S357"/>
      <c r="T357"/>
      <c r="U357"/>
      <c r="V357"/>
      <c r="W357"/>
      <c r="X357"/>
    </row>
    <row r="358" spans="1:24" ht="18" thickTop="1" thickBot="1" x14ac:dyDescent="0.35">
      <c r="A358" s="457" t="s">
        <v>2</v>
      </c>
      <c r="B358" s="458">
        <v>2</v>
      </c>
      <c r="C358" s="458">
        <v>2</v>
      </c>
      <c r="D358" s="458" t="s">
        <v>758</v>
      </c>
      <c r="E358" s="457" t="s">
        <v>346</v>
      </c>
      <c r="F358" s="590"/>
      <c r="G358" s="220">
        <v>581.48857223896937</v>
      </c>
      <c r="H358" s="219">
        <v>0</v>
      </c>
      <c r="I358" s="220">
        <v>0</v>
      </c>
      <c r="J358" s="219">
        <v>0</v>
      </c>
      <c r="K358" s="220">
        <v>0</v>
      </c>
      <c r="L358" s="1236"/>
      <c r="M358"/>
      <c r="N358"/>
      <c r="O358"/>
      <c r="P358"/>
      <c r="Q358"/>
      <c r="R358"/>
      <c r="S358"/>
      <c r="T358"/>
      <c r="U358"/>
      <c r="V358"/>
      <c r="W358"/>
      <c r="X358"/>
    </row>
    <row r="359" spans="1:24" ht="18" thickTop="1" thickBot="1" x14ac:dyDescent="0.35">
      <c r="A359" s="457" t="s">
        <v>2</v>
      </c>
      <c r="B359" s="458">
        <v>2</v>
      </c>
      <c r="C359" s="458">
        <v>2</v>
      </c>
      <c r="D359" s="458" t="s">
        <v>758</v>
      </c>
      <c r="E359" s="457" t="s">
        <v>347</v>
      </c>
      <c r="F359" s="590"/>
      <c r="G359" s="220">
        <v>1436.3401747386692</v>
      </c>
      <c r="H359" s="219">
        <v>0</v>
      </c>
      <c r="I359" s="220">
        <v>0</v>
      </c>
      <c r="J359" s="219">
        <v>0</v>
      </c>
      <c r="K359" s="220">
        <v>0</v>
      </c>
      <c r="L359" s="1236"/>
      <c r="M359"/>
      <c r="N359"/>
      <c r="O359"/>
      <c r="P359"/>
      <c r="Q359"/>
      <c r="R359"/>
      <c r="S359"/>
      <c r="T359"/>
      <c r="U359"/>
      <c r="V359"/>
      <c r="W359"/>
      <c r="X359"/>
    </row>
    <row r="360" spans="1:24" ht="18" thickTop="1" thickBot="1" x14ac:dyDescent="0.35">
      <c r="A360" s="457" t="s">
        <v>2</v>
      </c>
      <c r="B360" s="458">
        <v>2</v>
      </c>
      <c r="C360" s="458">
        <v>2</v>
      </c>
      <c r="D360" s="458" t="s">
        <v>758</v>
      </c>
      <c r="E360" s="457" t="s">
        <v>348</v>
      </c>
      <c r="F360" s="590"/>
      <c r="G360" s="220">
        <v>782.55373460734472</v>
      </c>
      <c r="H360" s="219">
        <v>0</v>
      </c>
      <c r="I360" s="220">
        <v>0</v>
      </c>
      <c r="J360" s="219">
        <v>0</v>
      </c>
      <c r="K360" s="220">
        <v>0</v>
      </c>
      <c r="L360" s="1236"/>
      <c r="M360"/>
      <c r="N360"/>
      <c r="O360"/>
      <c r="P360"/>
      <c r="Q360"/>
      <c r="R360"/>
      <c r="S360"/>
      <c r="T360"/>
      <c r="U360"/>
      <c r="V360"/>
      <c r="W360"/>
      <c r="X360"/>
    </row>
    <row r="361" spans="1:24" ht="18" thickTop="1" thickBot="1" x14ac:dyDescent="0.35">
      <c r="A361" s="457" t="s">
        <v>2</v>
      </c>
      <c r="B361" s="458">
        <v>2</v>
      </c>
      <c r="C361" s="458">
        <v>2</v>
      </c>
      <c r="D361" s="458" t="s">
        <v>758</v>
      </c>
      <c r="E361" s="457" t="s">
        <v>608</v>
      </c>
      <c r="F361" s="590"/>
      <c r="G361" s="220">
        <v>705.00689296666633</v>
      </c>
      <c r="H361" s="219">
        <v>0</v>
      </c>
      <c r="I361" s="220">
        <v>0</v>
      </c>
      <c r="J361" s="219">
        <v>0</v>
      </c>
      <c r="K361" s="220">
        <v>0</v>
      </c>
      <c r="L361" s="1236"/>
      <c r="M361"/>
      <c r="N361"/>
      <c r="O361"/>
      <c r="P361"/>
      <c r="Q361"/>
      <c r="R361"/>
      <c r="S361"/>
      <c r="T361"/>
      <c r="U361"/>
      <c r="V361"/>
      <c r="W361"/>
      <c r="X361"/>
    </row>
    <row r="362" spans="1:24" ht="18" thickTop="1" thickBot="1" x14ac:dyDescent="0.35">
      <c r="A362" s="457" t="s">
        <v>2</v>
      </c>
      <c r="B362" s="458">
        <v>2</v>
      </c>
      <c r="C362" s="458">
        <v>2</v>
      </c>
      <c r="D362" s="458" t="s">
        <v>758</v>
      </c>
      <c r="E362" s="457" t="s">
        <v>349</v>
      </c>
      <c r="F362" s="590"/>
      <c r="G362" s="220">
        <v>3149.3127344760333</v>
      </c>
      <c r="H362" s="219">
        <v>0</v>
      </c>
      <c r="I362" s="220">
        <v>0</v>
      </c>
      <c r="J362" s="219">
        <v>0</v>
      </c>
      <c r="K362" s="220">
        <v>0</v>
      </c>
      <c r="L362" s="1236"/>
      <c r="M362"/>
      <c r="N362"/>
      <c r="O362"/>
      <c r="P362"/>
      <c r="Q362"/>
      <c r="R362"/>
      <c r="S362"/>
      <c r="T362"/>
      <c r="U362"/>
      <c r="V362"/>
      <c r="W362"/>
      <c r="X362"/>
    </row>
    <row r="363" spans="1:24" ht="18" thickTop="1" thickBot="1" x14ac:dyDescent="0.35">
      <c r="A363" s="457" t="s">
        <v>2</v>
      </c>
      <c r="B363" s="458">
        <v>2</v>
      </c>
      <c r="C363" s="458">
        <v>2</v>
      </c>
      <c r="D363" s="458" t="s">
        <v>758</v>
      </c>
      <c r="E363" s="457" t="s">
        <v>350</v>
      </c>
      <c r="F363" s="590"/>
      <c r="G363" s="220">
        <v>443.12717312721361</v>
      </c>
      <c r="H363" s="219">
        <v>0</v>
      </c>
      <c r="I363" s="220">
        <v>0</v>
      </c>
      <c r="J363" s="219">
        <v>0</v>
      </c>
      <c r="K363" s="220">
        <v>0</v>
      </c>
      <c r="L363" s="1236"/>
      <c r="M363"/>
      <c r="N363"/>
      <c r="O363"/>
      <c r="P363"/>
      <c r="Q363"/>
      <c r="R363"/>
      <c r="S363"/>
      <c r="T363"/>
      <c r="U363"/>
      <c r="V363"/>
      <c r="W363"/>
      <c r="X363"/>
    </row>
    <row r="364" spans="1:24" ht="18" thickTop="1" thickBot="1" x14ac:dyDescent="0.35">
      <c r="A364" s="457" t="s">
        <v>2</v>
      </c>
      <c r="B364" s="458">
        <v>2</v>
      </c>
      <c r="C364" s="458">
        <v>2</v>
      </c>
      <c r="D364" s="458" t="s">
        <v>758</v>
      </c>
      <c r="E364" s="457" t="s">
        <v>351</v>
      </c>
      <c r="F364" s="590"/>
      <c r="G364" s="220">
        <v>535.89229572471095</v>
      </c>
      <c r="H364" s="219">
        <v>0</v>
      </c>
      <c r="I364" s="220">
        <v>0</v>
      </c>
      <c r="J364" s="219">
        <v>0</v>
      </c>
      <c r="K364" s="220">
        <v>0</v>
      </c>
      <c r="L364" s="1236"/>
      <c r="M364"/>
      <c r="N364"/>
      <c r="O364"/>
      <c r="P364"/>
      <c r="Q364"/>
      <c r="R364"/>
      <c r="S364"/>
      <c r="T364"/>
      <c r="U364"/>
      <c r="V364"/>
      <c r="W364"/>
      <c r="X364"/>
    </row>
    <row r="365" spans="1:24" ht="18" thickTop="1" thickBot="1" x14ac:dyDescent="0.35">
      <c r="A365" s="457" t="s">
        <v>2</v>
      </c>
      <c r="B365" s="458">
        <v>2</v>
      </c>
      <c r="C365" s="458">
        <v>2</v>
      </c>
      <c r="D365" s="458" t="s">
        <v>758</v>
      </c>
      <c r="E365" s="457" t="s">
        <v>352</v>
      </c>
      <c r="F365" s="590"/>
      <c r="G365" s="220">
        <v>289.4830699654193</v>
      </c>
      <c r="H365" s="219">
        <v>0</v>
      </c>
      <c r="I365" s="220">
        <v>0</v>
      </c>
      <c r="J365" s="219">
        <v>0</v>
      </c>
      <c r="K365" s="220">
        <v>0</v>
      </c>
      <c r="L365" s="1236"/>
      <c r="M365"/>
      <c r="N365"/>
      <c r="O365"/>
      <c r="P365"/>
      <c r="Q365"/>
      <c r="R365"/>
      <c r="S365"/>
      <c r="T365"/>
      <c r="U365"/>
      <c r="V365"/>
      <c r="W365"/>
      <c r="X365"/>
    </row>
    <row r="366" spans="1:24" ht="18" thickTop="1" thickBot="1" x14ac:dyDescent="0.35">
      <c r="A366" s="457" t="s">
        <v>2</v>
      </c>
      <c r="B366" s="458">
        <v>2</v>
      </c>
      <c r="C366" s="458">
        <v>2</v>
      </c>
      <c r="D366" s="458" t="s">
        <v>758</v>
      </c>
      <c r="E366" s="457" t="s">
        <v>353</v>
      </c>
      <c r="F366" s="590"/>
      <c r="G366" s="220">
        <v>527.61135709829045</v>
      </c>
      <c r="H366" s="219">
        <v>0</v>
      </c>
      <c r="I366" s="220">
        <v>0</v>
      </c>
      <c r="J366" s="219">
        <v>0</v>
      </c>
      <c r="K366" s="220">
        <v>0</v>
      </c>
      <c r="L366" s="1236"/>
      <c r="M366"/>
      <c r="N366"/>
      <c r="O366"/>
      <c r="P366"/>
      <c r="Q366"/>
      <c r="R366"/>
      <c r="S366"/>
      <c r="T366"/>
      <c r="U366"/>
      <c r="V366"/>
      <c r="W366"/>
      <c r="X366"/>
    </row>
    <row r="367" spans="1:24" ht="18" thickTop="1" thickBot="1" x14ac:dyDescent="0.35">
      <c r="A367" s="457" t="s">
        <v>2</v>
      </c>
      <c r="B367" s="458">
        <v>2</v>
      </c>
      <c r="C367" s="458">
        <v>2</v>
      </c>
      <c r="D367" s="458" t="s">
        <v>766</v>
      </c>
      <c r="E367" s="457" t="s">
        <v>354</v>
      </c>
      <c r="F367" s="590"/>
      <c r="G367" s="220">
        <v>139.74399354521105</v>
      </c>
      <c r="H367" s="219">
        <v>0</v>
      </c>
      <c r="I367" s="220">
        <v>0</v>
      </c>
      <c r="J367" s="219">
        <v>0</v>
      </c>
      <c r="K367" s="220">
        <v>0</v>
      </c>
      <c r="L367" s="1236"/>
      <c r="M367"/>
      <c r="N367"/>
      <c r="O367"/>
      <c r="P367"/>
      <c r="Q367"/>
      <c r="R367"/>
      <c r="S367"/>
      <c r="T367"/>
      <c r="U367"/>
      <c r="V367"/>
      <c r="W367"/>
      <c r="X367"/>
    </row>
    <row r="368" spans="1:24" ht="18" thickTop="1" thickBot="1" x14ac:dyDescent="0.35">
      <c r="A368" s="457" t="s">
        <v>2</v>
      </c>
      <c r="B368" s="458">
        <v>2</v>
      </c>
      <c r="C368" s="458">
        <v>2</v>
      </c>
      <c r="D368" s="458" t="s">
        <v>758</v>
      </c>
      <c r="E368" s="457" t="s">
        <v>355</v>
      </c>
      <c r="F368" s="590"/>
      <c r="G368" s="220">
        <v>712.67535345076578</v>
      </c>
      <c r="H368" s="219">
        <v>0</v>
      </c>
      <c r="I368" s="220">
        <v>0</v>
      </c>
      <c r="J368" s="219">
        <v>0</v>
      </c>
      <c r="K368" s="220">
        <v>0</v>
      </c>
      <c r="L368" s="1236"/>
      <c r="M368"/>
      <c r="N368"/>
      <c r="O368"/>
      <c r="P368"/>
      <c r="Q368"/>
      <c r="R368"/>
      <c r="S368"/>
      <c r="T368"/>
      <c r="U368"/>
      <c r="V368"/>
      <c r="W368"/>
      <c r="X368"/>
    </row>
    <row r="369" spans="1:24" ht="18" thickTop="1" thickBot="1" x14ac:dyDescent="0.35">
      <c r="A369" s="457" t="s">
        <v>2</v>
      </c>
      <c r="B369" s="458">
        <v>2</v>
      </c>
      <c r="C369" s="458">
        <v>2</v>
      </c>
      <c r="D369" s="458" t="s">
        <v>758</v>
      </c>
      <c r="E369" s="457" t="s">
        <v>356</v>
      </c>
      <c r="F369" s="590"/>
      <c r="G369" s="220">
        <v>172.77827667530431</v>
      </c>
      <c r="H369" s="219">
        <v>0</v>
      </c>
      <c r="I369" s="220">
        <v>0</v>
      </c>
      <c r="J369" s="219">
        <v>0</v>
      </c>
      <c r="K369" s="220">
        <v>0</v>
      </c>
      <c r="L369" s="1236"/>
      <c r="M369"/>
      <c r="N369"/>
      <c r="O369"/>
      <c r="P369"/>
      <c r="Q369"/>
      <c r="R369"/>
      <c r="S369"/>
      <c r="T369"/>
      <c r="U369"/>
      <c r="V369"/>
      <c r="W369"/>
      <c r="X369"/>
    </row>
    <row r="370" spans="1:24" ht="18" thickTop="1" thickBot="1" x14ac:dyDescent="0.35">
      <c r="A370" s="457" t="s">
        <v>2</v>
      </c>
      <c r="B370" s="458">
        <v>2</v>
      </c>
      <c r="C370" s="458">
        <v>2</v>
      </c>
      <c r="D370" s="458" t="s">
        <v>758</v>
      </c>
      <c r="E370" s="457" t="s">
        <v>64</v>
      </c>
      <c r="F370" s="590"/>
      <c r="G370" s="220">
        <v>694.03057301041463</v>
      </c>
      <c r="H370" s="219">
        <v>0</v>
      </c>
      <c r="I370" s="220">
        <v>0</v>
      </c>
      <c r="J370" s="219">
        <v>0</v>
      </c>
      <c r="K370" s="220">
        <v>0</v>
      </c>
      <c r="L370" s="1236"/>
      <c r="M370"/>
      <c r="N370"/>
      <c r="O370"/>
      <c r="P370"/>
      <c r="Q370"/>
      <c r="R370"/>
      <c r="S370"/>
      <c r="T370"/>
      <c r="U370"/>
      <c r="V370"/>
      <c r="W370"/>
      <c r="X370"/>
    </row>
    <row r="371" spans="1:24" ht="18" thickTop="1" thickBot="1" x14ac:dyDescent="0.35">
      <c r="A371" s="457" t="s">
        <v>2</v>
      </c>
      <c r="B371" s="458">
        <v>2</v>
      </c>
      <c r="C371" s="458">
        <v>2</v>
      </c>
      <c r="D371" s="458" t="s">
        <v>758</v>
      </c>
      <c r="E371" s="457" t="s">
        <v>357</v>
      </c>
      <c r="F371" s="590"/>
      <c r="G371" s="220">
        <v>502.64777420383029</v>
      </c>
      <c r="H371" s="219">
        <v>0</v>
      </c>
      <c r="I371" s="220">
        <v>0</v>
      </c>
      <c r="J371" s="219">
        <v>0</v>
      </c>
      <c r="K371" s="220">
        <v>0</v>
      </c>
      <c r="L371" s="1236"/>
      <c r="M371"/>
      <c r="N371"/>
      <c r="O371"/>
      <c r="P371"/>
      <c r="Q371"/>
      <c r="R371"/>
      <c r="S371"/>
      <c r="T371"/>
      <c r="U371"/>
      <c r="V371"/>
      <c r="W371"/>
      <c r="X371"/>
    </row>
    <row r="372" spans="1:24" ht="18" thickTop="1" thickBot="1" x14ac:dyDescent="0.35">
      <c r="A372" s="457" t="s">
        <v>2</v>
      </c>
      <c r="B372" s="458">
        <v>2</v>
      </c>
      <c r="C372" s="458">
        <v>2</v>
      </c>
      <c r="D372" s="458" t="s">
        <v>758</v>
      </c>
      <c r="E372" s="457" t="s">
        <v>358</v>
      </c>
      <c r="F372" s="590"/>
      <c r="G372" s="220">
        <v>631.33061909457047</v>
      </c>
      <c r="H372" s="219">
        <v>0</v>
      </c>
      <c r="I372" s="220">
        <v>0</v>
      </c>
      <c r="J372" s="219">
        <v>0</v>
      </c>
      <c r="K372" s="220">
        <v>0</v>
      </c>
      <c r="L372" s="1236"/>
      <c r="M372"/>
      <c r="N372"/>
      <c r="O372"/>
      <c r="P372"/>
      <c r="Q372"/>
      <c r="R372"/>
      <c r="S372"/>
      <c r="T372"/>
      <c r="U372"/>
      <c r="V372"/>
      <c r="W372"/>
      <c r="X372"/>
    </row>
    <row r="373" spans="1:24" ht="18" thickTop="1" thickBot="1" x14ac:dyDescent="0.35">
      <c r="A373" s="457" t="s">
        <v>2</v>
      </c>
      <c r="B373" s="458">
        <v>2</v>
      </c>
      <c r="C373" s="458">
        <v>2</v>
      </c>
      <c r="D373" s="458" t="s">
        <v>758</v>
      </c>
      <c r="E373" s="457" t="s">
        <v>359</v>
      </c>
      <c r="F373" s="590"/>
      <c r="G373" s="220">
        <v>3011.5943336644664</v>
      </c>
      <c r="H373" s="219">
        <v>0</v>
      </c>
      <c r="I373" s="220">
        <v>0</v>
      </c>
      <c r="J373" s="219">
        <v>0</v>
      </c>
      <c r="K373" s="220">
        <v>0</v>
      </c>
      <c r="L373" s="1236"/>
      <c r="M373"/>
      <c r="N373"/>
      <c r="O373"/>
      <c r="P373"/>
      <c r="Q373"/>
      <c r="R373"/>
      <c r="S373"/>
      <c r="T373"/>
      <c r="U373"/>
      <c r="V373"/>
      <c r="W373"/>
      <c r="X373"/>
    </row>
    <row r="374" spans="1:24" ht="18" thickTop="1" thickBot="1" x14ac:dyDescent="0.35">
      <c r="A374" s="457" t="s">
        <v>2</v>
      </c>
      <c r="B374" s="458">
        <v>2</v>
      </c>
      <c r="C374" s="458">
        <v>2</v>
      </c>
      <c r="D374" s="458" t="s">
        <v>758</v>
      </c>
      <c r="E374" s="457" t="s">
        <v>360</v>
      </c>
      <c r="F374" s="590"/>
      <c r="G374" s="220">
        <v>475.79405722613274</v>
      </c>
      <c r="H374" s="219">
        <v>0</v>
      </c>
      <c r="I374" s="220">
        <v>0</v>
      </c>
      <c r="J374" s="219">
        <v>0</v>
      </c>
      <c r="K374" s="220">
        <v>0</v>
      </c>
      <c r="L374" s="1236"/>
      <c r="M374"/>
      <c r="N374"/>
      <c r="O374"/>
      <c r="P374"/>
      <c r="Q374"/>
      <c r="R374"/>
      <c r="S374"/>
      <c r="T374"/>
      <c r="U374"/>
      <c r="V374"/>
      <c r="W374"/>
      <c r="X374"/>
    </row>
    <row r="375" spans="1:24" ht="18" thickTop="1" thickBot="1" x14ac:dyDescent="0.35">
      <c r="A375" s="457" t="s">
        <v>2</v>
      </c>
      <c r="B375" s="458">
        <v>2</v>
      </c>
      <c r="C375" s="458">
        <v>2</v>
      </c>
      <c r="D375" s="458" t="s">
        <v>758</v>
      </c>
      <c r="E375" s="457" t="s">
        <v>361</v>
      </c>
      <c r="F375" s="590"/>
      <c r="G375" s="220">
        <v>602.62137733616316</v>
      </c>
      <c r="H375" s="219">
        <v>0</v>
      </c>
      <c r="I375" s="220">
        <v>0</v>
      </c>
      <c r="J375" s="219">
        <v>0</v>
      </c>
      <c r="K375" s="220">
        <v>0</v>
      </c>
      <c r="L375" s="1236"/>
      <c r="M375"/>
      <c r="N375"/>
      <c r="O375"/>
      <c r="P375"/>
      <c r="Q375"/>
      <c r="R375"/>
      <c r="S375"/>
      <c r="T375"/>
      <c r="U375"/>
      <c r="V375"/>
      <c r="W375"/>
      <c r="X375"/>
    </row>
    <row r="376" spans="1:24" ht="18" thickTop="1" thickBot="1" x14ac:dyDescent="0.35">
      <c r="A376" s="457" t="s">
        <v>2</v>
      </c>
      <c r="B376" s="458">
        <v>2</v>
      </c>
      <c r="C376" s="458">
        <v>2</v>
      </c>
      <c r="D376" s="458" t="s">
        <v>758</v>
      </c>
      <c r="E376" s="457" t="s">
        <v>362</v>
      </c>
      <c r="F376" s="590"/>
      <c r="G376" s="220">
        <v>518.48881161978886</v>
      </c>
      <c r="H376" s="219">
        <v>0</v>
      </c>
      <c r="I376" s="220">
        <v>0</v>
      </c>
      <c r="J376" s="219">
        <v>0</v>
      </c>
      <c r="K376" s="220">
        <v>0</v>
      </c>
      <c r="L376" s="1236"/>
      <c r="M376"/>
      <c r="N376"/>
      <c r="O376"/>
      <c r="P376"/>
      <c r="Q376"/>
      <c r="R376"/>
      <c r="S376"/>
      <c r="T376"/>
      <c r="U376"/>
      <c r="V376"/>
      <c r="W376"/>
      <c r="X376"/>
    </row>
    <row r="377" spans="1:24" ht="18" thickTop="1" thickBot="1" x14ac:dyDescent="0.35">
      <c r="A377" s="457" t="s">
        <v>2</v>
      </c>
      <c r="B377" s="458">
        <v>2</v>
      </c>
      <c r="C377" s="458">
        <v>2</v>
      </c>
      <c r="D377" s="458" t="s">
        <v>768</v>
      </c>
      <c r="E377" s="457" t="s">
        <v>363</v>
      </c>
      <c r="F377" s="590"/>
      <c r="G377" s="220">
        <v>9.3014798368241749</v>
      </c>
      <c r="H377" s="219">
        <v>0</v>
      </c>
      <c r="I377" s="220">
        <v>0</v>
      </c>
      <c r="J377" s="219">
        <v>0</v>
      </c>
      <c r="K377" s="220">
        <v>0</v>
      </c>
      <c r="L377" s="1236"/>
      <c r="M377"/>
      <c r="N377"/>
      <c r="O377"/>
      <c r="P377"/>
      <c r="Q377"/>
      <c r="R377"/>
      <c r="S377"/>
      <c r="T377"/>
      <c r="U377"/>
      <c r="V377"/>
      <c r="W377"/>
      <c r="X377"/>
    </row>
    <row r="378" spans="1:24" ht="18" thickTop="1" thickBot="1" x14ac:dyDescent="0.35">
      <c r="A378" s="457" t="s">
        <v>2</v>
      </c>
      <c r="B378" s="458">
        <v>2</v>
      </c>
      <c r="C378" s="458">
        <v>2</v>
      </c>
      <c r="D378" s="458" t="s">
        <v>758</v>
      </c>
      <c r="E378" s="457" t="s">
        <v>364</v>
      </c>
      <c r="F378" s="590"/>
      <c r="G378" s="220">
        <v>560.85774723154668</v>
      </c>
      <c r="H378" s="219">
        <v>0</v>
      </c>
      <c r="I378" s="220">
        <v>0</v>
      </c>
      <c r="J378" s="219">
        <v>0</v>
      </c>
      <c r="K378" s="220">
        <v>0</v>
      </c>
      <c r="L378" s="1236"/>
      <c r="M378"/>
      <c r="N378"/>
      <c r="O378"/>
      <c r="P378"/>
      <c r="Q378"/>
      <c r="R378"/>
      <c r="S378"/>
      <c r="T378"/>
      <c r="U378"/>
      <c r="V378"/>
      <c r="W378"/>
      <c r="X378"/>
    </row>
    <row r="379" spans="1:24" ht="18" thickTop="1" thickBot="1" x14ac:dyDescent="0.35">
      <c r="A379" s="457" t="s">
        <v>2</v>
      </c>
      <c r="B379" s="458">
        <v>2</v>
      </c>
      <c r="C379" s="458">
        <v>2</v>
      </c>
      <c r="D379" s="458" t="s">
        <v>758</v>
      </c>
      <c r="E379" s="457" t="s">
        <v>365</v>
      </c>
      <c r="F379" s="590"/>
      <c r="G379" s="220">
        <v>736.36788355743113</v>
      </c>
      <c r="H379" s="219">
        <v>0</v>
      </c>
      <c r="I379" s="220">
        <v>0</v>
      </c>
      <c r="J379" s="219">
        <v>0</v>
      </c>
      <c r="K379" s="220">
        <v>0</v>
      </c>
      <c r="L379" s="1236"/>
      <c r="M379"/>
      <c r="N379"/>
      <c r="O379"/>
      <c r="P379"/>
      <c r="Q379"/>
      <c r="R379"/>
      <c r="S379"/>
      <c r="T379"/>
      <c r="U379"/>
      <c r="V379"/>
      <c r="W379"/>
      <c r="X379"/>
    </row>
    <row r="380" spans="1:24" ht="18" thickTop="1" thickBot="1" x14ac:dyDescent="0.35">
      <c r="A380" s="457" t="s">
        <v>2</v>
      </c>
      <c r="B380" s="458">
        <v>2</v>
      </c>
      <c r="C380" s="458">
        <v>2</v>
      </c>
      <c r="D380" s="458" t="s">
        <v>758</v>
      </c>
      <c r="E380" s="457" t="s">
        <v>366</v>
      </c>
      <c r="F380" s="590"/>
      <c r="G380" s="220">
        <v>463.75667508104937</v>
      </c>
      <c r="H380" s="219">
        <v>0</v>
      </c>
      <c r="I380" s="220">
        <v>0</v>
      </c>
      <c r="J380" s="219">
        <v>0</v>
      </c>
      <c r="K380" s="220">
        <v>0</v>
      </c>
      <c r="L380" s="1236"/>
      <c r="M380"/>
      <c r="N380"/>
      <c r="O380"/>
      <c r="P380"/>
      <c r="Q380"/>
      <c r="R380"/>
      <c r="S380"/>
      <c r="T380"/>
      <c r="U380"/>
      <c r="V380"/>
      <c r="W380"/>
      <c r="X380"/>
    </row>
    <row r="381" spans="1:24" ht="18" thickTop="1" thickBot="1" x14ac:dyDescent="0.35">
      <c r="A381" s="457" t="s">
        <v>2</v>
      </c>
      <c r="B381" s="458">
        <v>2</v>
      </c>
      <c r="C381" s="458">
        <v>2</v>
      </c>
      <c r="D381" s="458" t="s">
        <v>758</v>
      </c>
      <c r="E381" s="457" t="s">
        <v>367</v>
      </c>
      <c r="F381" s="590"/>
      <c r="G381" s="220">
        <v>755.44385593879701</v>
      </c>
      <c r="H381" s="219">
        <v>0</v>
      </c>
      <c r="I381" s="220">
        <v>0</v>
      </c>
      <c r="J381" s="219">
        <v>0</v>
      </c>
      <c r="K381" s="220">
        <v>0</v>
      </c>
      <c r="L381" s="1236"/>
      <c r="M381"/>
      <c r="N381"/>
      <c r="O381"/>
      <c r="P381"/>
      <c r="Q381"/>
      <c r="R381"/>
      <c r="S381"/>
      <c r="T381"/>
      <c r="U381"/>
      <c r="V381"/>
      <c r="W381"/>
      <c r="X381"/>
    </row>
    <row r="382" spans="1:24" ht="18" thickTop="1" thickBot="1" x14ac:dyDescent="0.35">
      <c r="A382" s="457" t="s">
        <v>2</v>
      </c>
      <c r="B382" s="458">
        <v>2</v>
      </c>
      <c r="C382" s="458">
        <v>2</v>
      </c>
      <c r="D382" s="458" t="s">
        <v>758</v>
      </c>
      <c r="E382" s="457" t="s">
        <v>368</v>
      </c>
      <c r="F382" s="590"/>
      <c r="G382" s="220">
        <v>685.76883180518212</v>
      </c>
      <c r="H382" s="219">
        <v>0</v>
      </c>
      <c r="I382" s="220">
        <v>0</v>
      </c>
      <c r="J382" s="219">
        <v>0</v>
      </c>
      <c r="K382" s="220">
        <v>0</v>
      </c>
      <c r="L382" s="1236"/>
      <c r="M382"/>
      <c r="N382"/>
      <c r="O382"/>
      <c r="P382"/>
      <c r="Q382"/>
      <c r="R382"/>
      <c r="S382"/>
      <c r="T382"/>
      <c r="U382"/>
      <c r="V382"/>
      <c r="W382"/>
      <c r="X382"/>
    </row>
    <row r="383" spans="1:24" ht="18" thickTop="1" thickBot="1" x14ac:dyDescent="0.35">
      <c r="A383" s="457" t="s">
        <v>2</v>
      </c>
      <c r="B383" s="458">
        <v>2</v>
      </c>
      <c r="C383" s="458">
        <v>2</v>
      </c>
      <c r="D383" s="458" t="s">
        <v>758</v>
      </c>
      <c r="E383" s="457" t="s">
        <v>369</v>
      </c>
      <c r="F383" s="590"/>
      <c r="G383" s="220">
        <v>1573.8216391573173</v>
      </c>
      <c r="H383" s="219">
        <v>0</v>
      </c>
      <c r="I383" s="220">
        <v>0</v>
      </c>
      <c r="J383" s="219">
        <v>0</v>
      </c>
      <c r="K383" s="220">
        <v>0</v>
      </c>
      <c r="L383" s="1236"/>
      <c r="M383"/>
      <c r="N383"/>
      <c r="O383"/>
      <c r="P383"/>
      <c r="Q383"/>
      <c r="R383"/>
      <c r="S383"/>
      <c r="T383"/>
      <c r="U383"/>
      <c r="V383"/>
      <c r="W383"/>
      <c r="X383"/>
    </row>
    <row r="384" spans="1:24" ht="18" thickTop="1" thickBot="1" x14ac:dyDescent="0.35">
      <c r="A384" s="457" t="s">
        <v>2</v>
      </c>
      <c r="B384" s="458">
        <v>2</v>
      </c>
      <c r="C384" s="458">
        <v>2</v>
      </c>
      <c r="D384" s="458" t="s">
        <v>758</v>
      </c>
      <c r="E384" s="457" t="s">
        <v>370</v>
      </c>
      <c r="F384" s="590"/>
      <c r="G384" s="220">
        <v>500.53565369881073</v>
      </c>
      <c r="H384" s="219">
        <v>0</v>
      </c>
      <c r="I384" s="220">
        <v>0</v>
      </c>
      <c r="J384" s="219">
        <v>0</v>
      </c>
      <c r="K384" s="220">
        <v>0</v>
      </c>
      <c r="L384" s="1236"/>
      <c r="M384"/>
      <c r="N384"/>
      <c r="O384"/>
      <c r="P384"/>
      <c r="Q384"/>
      <c r="R384"/>
      <c r="S384"/>
      <c r="T384"/>
      <c r="U384"/>
      <c r="V384"/>
      <c r="W384"/>
      <c r="X384"/>
    </row>
    <row r="385" spans="1:24" ht="18" thickTop="1" thickBot="1" x14ac:dyDescent="0.35">
      <c r="A385" s="457" t="s">
        <v>2</v>
      </c>
      <c r="B385" s="458">
        <v>2</v>
      </c>
      <c r="C385" s="458">
        <v>2</v>
      </c>
      <c r="D385" s="458" t="s">
        <v>758</v>
      </c>
      <c r="E385" s="457" t="s">
        <v>371</v>
      </c>
      <c r="F385" s="590"/>
      <c r="G385" s="220">
        <v>671.54536519342275</v>
      </c>
      <c r="H385" s="219">
        <v>0</v>
      </c>
      <c r="I385" s="220">
        <v>0</v>
      </c>
      <c r="J385" s="219">
        <v>0</v>
      </c>
      <c r="K385" s="220">
        <v>0</v>
      </c>
      <c r="L385" s="1236"/>
      <c r="M385"/>
      <c r="N385"/>
      <c r="O385"/>
      <c r="P385"/>
      <c r="Q385"/>
      <c r="R385"/>
      <c r="S385"/>
      <c r="T385"/>
      <c r="U385"/>
      <c r="V385"/>
      <c r="W385"/>
      <c r="X385"/>
    </row>
    <row r="386" spans="1:24" ht="18" thickTop="1" thickBot="1" x14ac:dyDescent="0.35">
      <c r="A386" s="457" t="s">
        <v>2</v>
      </c>
      <c r="B386" s="458">
        <v>2</v>
      </c>
      <c r="C386" s="458">
        <v>2</v>
      </c>
      <c r="D386" s="458" t="s">
        <v>758</v>
      </c>
      <c r="E386" s="457" t="s">
        <v>372</v>
      </c>
      <c r="F386" s="590"/>
      <c r="G386" s="220">
        <v>627.32136219395647</v>
      </c>
      <c r="H386" s="219">
        <v>0</v>
      </c>
      <c r="I386" s="220">
        <v>0</v>
      </c>
      <c r="J386" s="219">
        <v>0</v>
      </c>
      <c r="K386" s="220">
        <v>0</v>
      </c>
      <c r="L386" s="1236"/>
      <c r="M386"/>
      <c r="N386"/>
      <c r="O386"/>
      <c r="P386"/>
      <c r="Q386"/>
      <c r="R386"/>
      <c r="S386"/>
      <c r="T386"/>
      <c r="U386"/>
      <c r="V386"/>
      <c r="W386"/>
      <c r="X386"/>
    </row>
    <row r="387" spans="1:24" ht="18" thickTop="1" thickBot="1" x14ac:dyDescent="0.35">
      <c r="A387" s="457" t="s">
        <v>2</v>
      </c>
      <c r="B387" s="458">
        <v>2</v>
      </c>
      <c r="C387" s="458">
        <v>2</v>
      </c>
      <c r="D387" s="458" t="s">
        <v>758</v>
      </c>
      <c r="E387" s="457" t="s">
        <v>373</v>
      </c>
      <c r="F387" s="590"/>
      <c r="G387" s="220">
        <v>539.98646831265637</v>
      </c>
      <c r="H387" s="219">
        <v>0</v>
      </c>
      <c r="I387" s="220">
        <v>0</v>
      </c>
      <c r="J387" s="219">
        <v>0</v>
      </c>
      <c r="K387" s="220">
        <v>0</v>
      </c>
      <c r="L387" s="1236"/>
      <c r="M387"/>
      <c r="N387"/>
      <c r="O387"/>
      <c r="P387"/>
      <c r="Q387"/>
      <c r="R387"/>
      <c r="S387"/>
      <c r="T387"/>
      <c r="U387"/>
      <c r="V387"/>
      <c r="W387"/>
      <c r="X387"/>
    </row>
    <row r="388" spans="1:24" ht="18" thickTop="1" thickBot="1" x14ac:dyDescent="0.35">
      <c r="A388" s="457" t="s">
        <v>2</v>
      </c>
      <c r="B388" s="458">
        <v>2</v>
      </c>
      <c r="C388" s="458">
        <v>2</v>
      </c>
      <c r="D388" s="458" t="s">
        <v>758</v>
      </c>
      <c r="E388" s="457" t="s">
        <v>374</v>
      </c>
      <c r="F388" s="590"/>
      <c r="G388" s="220">
        <v>628.2360063093364</v>
      </c>
      <c r="H388" s="219">
        <v>0</v>
      </c>
      <c r="I388" s="220">
        <v>0</v>
      </c>
      <c r="J388" s="219">
        <v>0</v>
      </c>
      <c r="K388" s="220">
        <v>0</v>
      </c>
      <c r="L388" s="1236"/>
      <c r="M388"/>
      <c r="N388"/>
      <c r="O388"/>
      <c r="P388"/>
      <c r="Q388"/>
      <c r="R388"/>
      <c r="S388"/>
      <c r="T388"/>
      <c r="U388"/>
      <c r="V388"/>
      <c r="W388"/>
      <c r="X388"/>
    </row>
    <row r="389" spans="1:24" ht="18" thickTop="1" thickBot="1" x14ac:dyDescent="0.35">
      <c r="A389" s="457" t="s">
        <v>2</v>
      </c>
      <c r="B389" s="458">
        <v>2</v>
      </c>
      <c r="C389" s="458">
        <v>2</v>
      </c>
      <c r="D389" s="458" t="s">
        <v>767</v>
      </c>
      <c r="E389" s="457" t="s">
        <v>375</v>
      </c>
      <c r="F389" s="590"/>
      <c r="G389" s="220">
        <v>105.32447617364173</v>
      </c>
      <c r="H389" s="219">
        <v>0</v>
      </c>
      <c r="I389" s="220">
        <v>0</v>
      </c>
      <c r="J389" s="219">
        <v>0</v>
      </c>
      <c r="K389" s="220">
        <v>0</v>
      </c>
      <c r="L389" s="1236"/>
      <c r="M389"/>
      <c r="N389"/>
      <c r="O389"/>
      <c r="P389"/>
      <c r="Q389"/>
      <c r="R389"/>
      <c r="S389"/>
      <c r="T389"/>
      <c r="U389"/>
      <c r="V389"/>
      <c r="W389"/>
      <c r="X389"/>
    </row>
    <row r="390" spans="1:24" ht="18" thickTop="1" thickBot="1" x14ac:dyDescent="0.35">
      <c r="A390" s="457" t="s">
        <v>2</v>
      </c>
      <c r="B390" s="458">
        <v>2</v>
      </c>
      <c r="C390" s="458">
        <v>2</v>
      </c>
      <c r="D390" s="458" t="s">
        <v>767</v>
      </c>
      <c r="E390" s="457" t="s">
        <v>376</v>
      </c>
      <c r="F390" s="590"/>
      <c r="G390" s="220">
        <v>185.67327637168307</v>
      </c>
      <c r="H390" s="219">
        <v>0</v>
      </c>
      <c r="I390" s="220">
        <v>0</v>
      </c>
      <c r="J390" s="219">
        <v>0</v>
      </c>
      <c r="K390" s="220">
        <v>0</v>
      </c>
      <c r="L390" s="1236"/>
      <c r="M390"/>
      <c r="N390"/>
      <c r="O390"/>
      <c r="P390"/>
      <c r="Q390"/>
      <c r="R390"/>
      <c r="S390"/>
      <c r="T390"/>
      <c r="U390"/>
      <c r="V390"/>
      <c r="W390"/>
      <c r="X390"/>
    </row>
    <row r="391" spans="1:24" ht="18" thickTop="1" thickBot="1" x14ac:dyDescent="0.35">
      <c r="A391" s="457" t="s">
        <v>2</v>
      </c>
      <c r="B391" s="458">
        <v>2</v>
      </c>
      <c r="C391" s="458">
        <v>2</v>
      </c>
      <c r="D391" s="458" t="s">
        <v>758</v>
      </c>
      <c r="E391" s="457" t="s">
        <v>377</v>
      </c>
      <c r="F391" s="590"/>
      <c r="G391" s="220">
        <v>1467.1520419960402</v>
      </c>
      <c r="H391" s="219">
        <v>0</v>
      </c>
      <c r="I391" s="220">
        <v>0</v>
      </c>
      <c r="J391" s="219">
        <v>0</v>
      </c>
      <c r="K391" s="220">
        <v>0</v>
      </c>
      <c r="L391" s="1236"/>
      <c r="M391"/>
      <c r="N391"/>
      <c r="O391"/>
      <c r="P391"/>
      <c r="Q391"/>
      <c r="R391"/>
      <c r="S391"/>
      <c r="T391"/>
      <c r="U391"/>
      <c r="V391"/>
      <c r="W391"/>
      <c r="X391"/>
    </row>
    <row r="392" spans="1:24" ht="18" thickTop="1" thickBot="1" x14ac:dyDescent="0.35">
      <c r="A392" s="457" t="s">
        <v>2</v>
      </c>
      <c r="B392" s="458">
        <v>2</v>
      </c>
      <c r="C392" s="458">
        <v>2</v>
      </c>
      <c r="D392" s="458" t="s">
        <v>758</v>
      </c>
      <c r="E392" s="457" t="s">
        <v>378</v>
      </c>
      <c r="F392" s="590"/>
      <c r="G392" s="220">
        <v>1130.5483618946016</v>
      </c>
      <c r="H392" s="219">
        <v>0</v>
      </c>
      <c r="I392" s="220">
        <v>0</v>
      </c>
      <c r="J392" s="219">
        <v>0</v>
      </c>
      <c r="K392" s="220">
        <v>0</v>
      </c>
      <c r="L392" s="1236"/>
      <c r="M392"/>
      <c r="N392"/>
      <c r="O392"/>
      <c r="P392"/>
      <c r="Q392"/>
      <c r="R392"/>
      <c r="S392"/>
      <c r="T392"/>
      <c r="U392"/>
      <c r="V392"/>
      <c r="W392"/>
      <c r="X392"/>
    </row>
    <row r="393" spans="1:24" ht="18" thickTop="1" thickBot="1" x14ac:dyDescent="0.35">
      <c r="A393" s="457" t="s">
        <v>2</v>
      </c>
      <c r="B393" s="458">
        <v>2</v>
      </c>
      <c r="C393" s="458">
        <v>2</v>
      </c>
      <c r="D393" s="458" t="s">
        <v>758</v>
      </c>
      <c r="E393" s="457" t="s">
        <v>379</v>
      </c>
      <c r="F393" s="590"/>
      <c r="G393" s="220">
        <v>507.83698643389209</v>
      </c>
      <c r="H393" s="219">
        <v>0</v>
      </c>
      <c r="I393" s="220">
        <v>0</v>
      </c>
      <c r="J393" s="219">
        <v>0</v>
      </c>
      <c r="K393" s="220">
        <v>0</v>
      </c>
      <c r="L393" s="1236"/>
      <c r="M393"/>
      <c r="N393"/>
      <c r="O393"/>
      <c r="P393"/>
      <c r="Q393"/>
      <c r="R393"/>
      <c r="S393"/>
      <c r="T393"/>
      <c r="U393"/>
      <c r="V393"/>
      <c r="W393"/>
      <c r="X393"/>
    </row>
    <row r="394" spans="1:24" ht="18" thickTop="1" thickBot="1" x14ac:dyDescent="0.35">
      <c r="A394" s="457" t="s">
        <v>2</v>
      </c>
      <c r="B394" s="458">
        <v>2</v>
      </c>
      <c r="C394" s="458">
        <v>2</v>
      </c>
      <c r="D394" s="458" t="s">
        <v>758</v>
      </c>
      <c r="E394" s="457" t="s">
        <v>380</v>
      </c>
      <c r="F394" s="590"/>
      <c r="G394" s="220">
        <v>1010.4978167933649</v>
      </c>
      <c r="H394" s="219">
        <v>0</v>
      </c>
      <c r="I394" s="220">
        <v>0</v>
      </c>
      <c r="J394" s="219">
        <v>0</v>
      </c>
      <c r="K394" s="220">
        <v>0</v>
      </c>
      <c r="L394" s="1236"/>
      <c r="M394"/>
      <c r="N394"/>
      <c r="O394"/>
      <c r="P394"/>
      <c r="Q394"/>
      <c r="R394"/>
      <c r="S394"/>
      <c r="T394"/>
      <c r="U394"/>
      <c r="V394"/>
      <c r="W394"/>
      <c r="X394"/>
    </row>
    <row r="395" spans="1:24" ht="18" thickTop="1" thickBot="1" x14ac:dyDescent="0.35">
      <c r="A395" s="457" t="s">
        <v>2</v>
      </c>
      <c r="B395" s="458">
        <v>2</v>
      </c>
      <c r="C395" s="458">
        <v>2</v>
      </c>
      <c r="D395" s="458" t="s">
        <v>758</v>
      </c>
      <c r="E395" s="457" t="s">
        <v>381</v>
      </c>
      <c r="F395" s="590"/>
      <c r="G395" s="220">
        <v>634.73281961842247</v>
      </c>
      <c r="H395" s="219">
        <v>0</v>
      </c>
      <c r="I395" s="220">
        <v>0</v>
      </c>
      <c r="J395" s="219">
        <v>0</v>
      </c>
      <c r="K395" s="220">
        <v>0</v>
      </c>
      <c r="L395" s="1236"/>
      <c r="M395"/>
      <c r="N395"/>
      <c r="O395"/>
      <c r="P395"/>
      <c r="Q395"/>
      <c r="R395"/>
      <c r="S395"/>
      <c r="T395"/>
      <c r="U395"/>
      <c r="V395"/>
      <c r="W395"/>
      <c r="X395"/>
    </row>
    <row r="396" spans="1:24" ht="18" thickTop="1" thickBot="1" x14ac:dyDescent="0.35">
      <c r="A396" s="457" t="s">
        <v>2</v>
      </c>
      <c r="B396" s="458">
        <v>2</v>
      </c>
      <c r="C396" s="458">
        <v>2</v>
      </c>
      <c r="D396" s="458" t="s">
        <v>758</v>
      </c>
      <c r="E396" s="457" t="s">
        <v>382</v>
      </c>
      <c r="F396" s="590"/>
      <c r="G396" s="220">
        <v>611.53425978565917</v>
      </c>
      <c r="H396" s="219">
        <v>0</v>
      </c>
      <c r="I396" s="220">
        <v>0</v>
      </c>
      <c r="J396" s="219">
        <v>0</v>
      </c>
      <c r="K396" s="220">
        <v>0</v>
      </c>
      <c r="L396" s="1236"/>
      <c r="M396"/>
      <c r="N396"/>
      <c r="O396"/>
      <c r="P396"/>
      <c r="Q396"/>
      <c r="R396"/>
      <c r="S396"/>
      <c r="T396"/>
      <c r="U396"/>
      <c r="V396"/>
      <c r="W396"/>
      <c r="X396"/>
    </row>
    <row r="397" spans="1:24" ht="18" thickTop="1" thickBot="1" x14ac:dyDescent="0.35">
      <c r="A397" s="457" t="s">
        <v>2</v>
      </c>
      <c r="B397" s="458">
        <v>2</v>
      </c>
      <c r="C397" s="458">
        <v>2</v>
      </c>
      <c r="D397" s="458" t="s">
        <v>758</v>
      </c>
      <c r="E397" s="457" t="s">
        <v>383</v>
      </c>
      <c r="F397" s="590"/>
      <c r="G397" s="220">
        <v>1023.8864699659596</v>
      </c>
      <c r="H397" s="219">
        <v>0</v>
      </c>
      <c r="I397" s="220">
        <v>0</v>
      </c>
      <c r="J397" s="219">
        <v>0</v>
      </c>
      <c r="K397" s="220">
        <v>0</v>
      </c>
      <c r="L397" s="1236"/>
      <c r="M397"/>
      <c r="N397"/>
      <c r="O397"/>
      <c r="P397"/>
      <c r="Q397"/>
      <c r="R397"/>
      <c r="S397"/>
      <c r="T397"/>
      <c r="U397"/>
      <c r="V397"/>
      <c r="W397"/>
      <c r="X397"/>
    </row>
    <row r="398" spans="1:24" ht="18" thickTop="1" thickBot="1" x14ac:dyDescent="0.35">
      <c r="A398" s="457" t="s">
        <v>2</v>
      </c>
      <c r="B398" s="458">
        <v>2</v>
      </c>
      <c r="C398" s="458">
        <v>2</v>
      </c>
      <c r="D398" s="458" t="s">
        <v>758</v>
      </c>
      <c r="E398" s="457" t="s">
        <v>384</v>
      </c>
      <c r="F398" s="590"/>
      <c r="G398" s="220">
        <v>495.90586585643604</v>
      </c>
      <c r="H398" s="219">
        <v>0</v>
      </c>
      <c r="I398" s="220">
        <v>0</v>
      </c>
      <c r="J398" s="219">
        <v>0</v>
      </c>
      <c r="K398" s="220">
        <v>0</v>
      </c>
      <c r="L398" s="1236"/>
      <c r="M398"/>
      <c r="N398"/>
      <c r="O398"/>
      <c r="P398"/>
      <c r="Q398"/>
      <c r="R398"/>
      <c r="S398"/>
      <c r="T398"/>
      <c r="U398"/>
      <c r="V398"/>
      <c r="W398"/>
      <c r="X398"/>
    </row>
    <row r="399" spans="1:24" ht="18" thickTop="1" thickBot="1" x14ac:dyDescent="0.35">
      <c r="A399" s="1500" t="s">
        <v>2</v>
      </c>
      <c r="B399" s="1501">
        <v>2</v>
      </c>
      <c r="C399" s="1501">
        <v>2</v>
      </c>
      <c r="D399" s="1501" t="s">
        <v>758</v>
      </c>
      <c r="E399" s="1500" t="s">
        <v>385</v>
      </c>
      <c r="F399" s="590"/>
      <c r="G399" s="220">
        <f>3168.5648828297-200</f>
        <v>2968.5648828296999</v>
      </c>
      <c r="H399" s="219">
        <v>0</v>
      </c>
      <c r="I399" s="220">
        <v>0</v>
      </c>
      <c r="J399" s="219">
        <v>0</v>
      </c>
      <c r="K399" s="220">
        <v>0</v>
      </c>
      <c r="L399" s="1236"/>
      <c r="M399"/>
      <c r="N399"/>
      <c r="O399"/>
      <c r="P399"/>
      <c r="Q399"/>
      <c r="R399"/>
      <c r="S399"/>
      <c r="T399"/>
      <c r="U399"/>
      <c r="V399"/>
      <c r="W399"/>
      <c r="X399"/>
    </row>
    <row r="400" spans="1:24" ht="18" thickTop="1" thickBot="1" x14ac:dyDescent="0.35">
      <c r="A400" s="457" t="s">
        <v>2</v>
      </c>
      <c r="B400" s="458">
        <v>2</v>
      </c>
      <c r="C400" s="458">
        <v>2</v>
      </c>
      <c r="D400" s="458" t="s">
        <v>758</v>
      </c>
      <c r="E400" s="457" t="s">
        <v>386</v>
      </c>
      <c r="F400" s="590"/>
      <c r="G400" s="220">
        <v>2951.1910343486825</v>
      </c>
      <c r="H400" s="219">
        <v>0</v>
      </c>
      <c r="I400" s="220">
        <v>0</v>
      </c>
      <c r="J400" s="219">
        <v>0</v>
      </c>
      <c r="K400" s="220">
        <v>0</v>
      </c>
      <c r="L400" s="1236"/>
      <c r="M400"/>
      <c r="N400"/>
      <c r="O400"/>
      <c r="P400"/>
      <c r="Q400"/>
      <c r="R400"/>
      <c r="S400"/>
      <c r="T400"/>
      <c r="U400"/>
      <c r="V400"/>
      <c r="W400"/>
      <c r="X400"/>
    </row>
    <row r="401" spans="1:24" ht="18" thickTop="1" thickBot="1" x14ac:dyDescent="0.35">
      <c r="A401" s="457" t="s">
        <v>2</v>
      </c>
      <c r="B401" s="458">
        <v>2</v>
      </c>
      <c r="C401" s="458">
        <v>2</v>
      </c>
      <c r="D401" s="458" t="s">
        <v>758</v>
      </c>
      <c r="E401" s="457" t="s">
        <v>387</v>
      </c>
      <c r="F401" s="590"/>
      <c r="G401" s="220">
        <v>2055.5335101352302</v>
      </c>
      <c r="H401" s="219">
        <v>0</v>
      </c>
      <c r="I401" s="220">
        <v>0</v>
      </c>
      <c r="J401" s="219">
        <v>0</v>
      </c>
      <c r="K401" s="220">
        <v>0</v>
      </c>
      <c r="L401" s="1236"/>
      <c r="M401"/>
      <c r="N401"/>
      <c r="O401"/>
      <c r="P401"/>
      <c r="Q401"/>
      <c r="R401"/>
      <c r="S401"/>
      <c r="T401"/>
      <c r="U401"/>
      <c r="V401"/>
      <c r="W401"/>
      <c r="X401"/>
    </row>
    <row r="402" spans="1:24" ht="18" thickTop="1" thickBot="1" x14ac:dyDescent="0.35">
      <c r="A402" s="457" t="s">
        <v>2</v>
      </c>
      <c r="B402" s="458">
        <v>2</v>
      </c>
      <c r="C402" s="458">
        <v>2</v>
      </c>
      <c r="D402" s="458" t="s">
        <v>758</v>
      </c>
      <c r="E402" s="457" t="s">
        <v>388</v>
      </c>
      <c r="F402" s="590"/>
      <c r="G402" s="220">
        <v>1249.7902598189257</v>
      </c>
      <c r="H402" s="219">
        <v>0</v>
      </c>
      <c r="I402" s="220">
        <v>0</v>
      </c>
      <c r="J402" s="219">
        <v>0</v>
      </c>
      <c r="K402" s="220">
        <v>0</v>
      </c>
      <c r="L402" s="1236"/>
      <c r="M402"/>
      <c r="N402"/>
      <c r="O402"/>
      <c r="P402"/>
      <c r="Q402"/>
      <c r="R402"/>
      <c r="S402"/>
      <c r="T402"/>
      <c r="U402"/>
      <c r="V402"/>
      <c r="W402"/>
      <c r="X402"/>
    </row>
    <row r="403" spans="1:24" ht="18" thickTop="1" thickBot="1" x14ac:dyDescent="0.35">
      <c r="A403" s="457" t="s">
        <v>2</v>
      </c>
      <c r="B403" s="458">
        <v>2</v>
      </c>
      <c r="C403" s="458">
        <v>2</v>
      </c>
      <c r="D403" s="458" t="s">
        <v>758</v>
      </c>
      <c r="E403" s="457" t="s">
        <v>389</v>
      </c>
      <c r="F403" s="590"/>
      <c r="G403" s="220">
        <v>577.60175175797099</v>
      </c>
      <c r="H403" s="219">
        <v>0</v>
      </c>
      <c r="I403" s="220">
        <v>0</v>
      </c>
      <c r="J403" s="219">
        <v>0</v>
      </c>
      <c r="K403" s="220">
        <v>0</v>
      </c>
      <c r="L403" s="1236"/>
      <c r="M403"/>
      <c r="N403"/>
      <c r="O403"/>
      <c r="P403"/>
      <c r="Q403"/>
      <c r="R403"/>
      <c r="S403"/>
      <c r="T403"/>
      <c r="U403"/>
      <c r="V403"/>
      <c r="W403"/>
      <c r="X403"/>
    </row>
    <row r="404" spans="1:24" ht="18" thickTop="1" thickBot="1" x14ac:dyDescent="0.35">
      <c r="A404" s="457" t="s">
        <v>2</v>
      </c>
      <c r="B404" s="458">
        <v>2</v>
      </c>
      <c r="C404" s="458">
        <v>2</v>
      </c>
      <c r="D404" s="458" t="s">
        <v>758</v>
      </c>
      <c r="E404" s="457" t="s">
        <v>390</v>
      </c>
      <c r="F404" s="590"/>
      <c r="G404" s="220">
        <v>643.59538400266615</v>
      </c>
      <c r="H404" s="219">
        <v>0</v>
      </c>
      <c r="I404" s="220">
        <v>0</v>
      </c>
      <c r="J404" s="219">
        <v>0</v>
      </c>
      <c r="K404" s="220">
        <v>0</v>
      </c>
      <c r="L404" s="1236"/>
      <c r="M404"/>
      <c r="N404"/>
      <c r="O404"/>
      <c r="P404"/>
      <c r="Q404"/>
      <c r="R404"/>
      <c r="S404"/>
      <c r="T404"/>
      <c r="U404"/>
      <c r="V404"/>
      <c r="W404"/>
      <c r="X404"/>
    </row>
    <row r="405" spans="1:24" ht="18" thickTop="1" thickBot="1" x14ac:dyDescent="0.35">
      <c r="A405" s="457" t="s">
        <v>2</v>
      </c>
      <c r="B405" s="458">
        <v>2</v>
      </c>
      <c r="C405" s="458">
        <v>2</v>
      </c>
      <c r="D405" s="458" t="s">
        <v>758</v>
      </c>
      <c r="E405" s="457" t="s">
        <v>391</v>
      </c>
      <c r="F405" s="590"/>
      <c r="G405" s="220">
        <v>660.75988601230608</v>
      </c>
      <c r="H405" s="219">
        <v>0</v>
      </c>
      <c r="I405" s="220">
        <v>0</v>
      </c>
      <c r="J405" s="219">
        <v>0</v>
      </c>
      <c r="K405" s="220">
        <v>0</v>
      </c>
      <c r="L405" s="1236"/>
      <c r="M405"/>
      <c r="N405"/>
      <c r="O405"/>
      <c r="P405"/>
      <c r="Q405"/>
      <c r="R405"/>
      <c r="S405"/>
      <c r="T405"/>
      <c r="U405"/>
      <c r="V405"/>
      <c r="W405"/>
      <c r="X405"/>
    </row>
    <row r="406" spans="1:24" ht="18" thickTop="1" thickBot="1" x14ac:dyDescent="0.35">
      <c r="A406" s="457" t="s">
        <v>2</v>
      </c>
      <c r="B406" s="458">
        <v>2</v>
      </c>
      <c r="C406" s="458">
        <v>2</v>
      </c>
      <c r="D406" s="458" t="s">
        <v>758</v>
      </c>
      <c r="E406" s="457" t="s">
        <v>392</v>
      </c>
      <c r="F406" s="590"/>
      <c r="G406" s="220">
        <v>460.20355984658556</v>
      </c>
      <c r="H406" s="219">
        <v>0</v>
      </c>
      <c r="I406" s="220">
        <v>0</v>
      </c>
      <c r="J406" s="219">
        <v>0</v>
      </c>
      <c r="K406" s="220">
        <v>0</v>
      </c>
      <c r="L406" s="1236"/>
      <c r="M406"/>
      <c r="N406"/>
      <c r="O406"/>
      <c r="P406"/>
      <c r="Q406"/>
      <c r="R406"/>
      <c r="S406"/>
      <c r="T406"/>
      <c r="U406"/>
      <c r="V406"/>
      <c r="W406"/>
      <c r="X406"/>
    </row>
    <row r="407" spans="1:24" ht="18" thickTop="1" thickBot="1" x14ac:dyDescent="0.35">
      <c r="A407" s="457" t="s">
        <v>2</v>
      </c>
      <c r="B407" s="458">
        <v>2</v>
      </c>
      <c r="C407" s="458">
        <v>2</v>
      </c>
      <c r="D407" s="458" t="s">
        <v>758</v>
      </c>
      <c r="E407" s="457" t="s">
        <v>393</v>
      </c>
      <c r="F407" s="590"/>
      <c r="G407" s="220">
        <v>1213.442610472142</v>
      </c>
      <c r="H407" s="219">
        <v>0</v>
      </c>
      <c r="I407" s="220">
        <v>0</v>
      </c>
      <c r="J407" s="219">
        <v>0</v>
      </c>
      <c r="K407" s="220">
        <v>0</v>
      </c>
      <c r="L407" s="1236"/>
      <c r="M407"/>
      <c r="N407"/>
      <c r="O407"/>
      <c r="P407"/>
      <c r="Q407"/>
      <c r="R407"/>
      <c r="S407"/>
      <c r="T407"/>
      <c r="U407"/>
      <c r="V407"/>
      <c r="W407"/>
      <c r="X407"/>
    </row>
    <row r="408" spans="1:24" ht="18" thickTop="1" thickBot="1" x14ac:dyDescent="0.35">
      <c r="A408" s="457" t="s">
        <v>2</v>
      </c>
      <c r="B408" s="458">
        <v>2</v>
      </c>
      <c r="C408" s="458">
        <v>2</v>
      </c>
      <c r="D408" s="458" t="s">
        <v>758</v>
      </c>
      <c r="E408" s="457" t="s">
        <v>394</v>
      </c>
      <c r="F408" s="590"/>
      <c r="G408" s="220">
        <v>697.95877011049686</v>
      </c>
      <c r="H408" s="219">
        <v>0</v>
      </c>
      <c r="I408" s="220">
        <v>0</v>
      </c>
      <c r="J408" s="219">
        <v>0</v>
      </c>
      <c r="K408" s="220">
        <v>0</v>
      </c>
      <c r="L408" s="1236"/>
      <c r="M408"/>
      <c r="N408"/>
      <c r="O408"/>
      <c r="P408"/>
      <c r="Q408"/>
      <c r="R408"/>
      <c r="S408"/>
      <c r="T408"/>
      <c r="U408"/>
      <c r="V408"/>
      <c r="W408"/>
      <c r="X408"/>
    </row>
    <row r="409" spans="1:24" ht="18" thickTop="1" thickBot="1" x14ac:dyDescent="0.35">
      <c r="A409" s="457" t="s">
        <v>2</v>
      </c>
      <c r="B409" s="458">
        <v>2</v>
      </c>
      <c r="C409" s="458">
        <v>2</v>
      </c>
      <c r="D409" s="458" t="s">
        <v>758</v>
      </c>
      <c r="E409" s="457" t="s">
        <v>395</v>
      </c>
      <c r="F409" s="590"/>
      <c r="G409" s="220">
        <v>672.69020966274127</v>
      </c>
      <c r="H409" s="219">
        <v>0</v>
      </c>
      <c r="I409" s="220">
        <v>0</v>
      </c>
      <c r="J409" s="219">
        <v>0</v>
      </c>
      <c r="K409" s="220">
        <v>0</v>
      </c>
      <c r="L409" s="1236"/>
      <c r="M409"/>
      <c r="N409"/>
      <c r="O409"/>
      <c r="P409"/>
      <c r="Q409"/>
      <c r="R409"/>
      <c r="S409"/>
      <c r="T409"/>
      <c r="U409"/>
      <c r="V409"/>
      <c r="W409"/>
      <c r="X409"/>
    </row>
    <row r="410" spans="1:24" ht="18" thickTop="1" thickBot="1" x14ac:dyDescent="0.35">
      <c r="A410" s="457" t="s">
        <v>2</v>
      </c>
      <c r="B410" s="458">
        <v>2</v>
      </c>
      <c r="C410" s="458">
        <v>2</v>
      </c>
      <c r="D410" s="458" t="s">
        <v>758</v>
      </c>
      <c r="E410" s="457" t="s">
        <v>396</v>
      </c>
      <c r="F410" s="590"/>
      <c r="G410" s="220">
        <v>162.83888532336425</v>
      </c>
      <c r="H410" s="219">
        <v>0</v>
      </c>
      <c r="I410" s="220">
        <v>0</v>
      </c>
      <c r="J410" s="219">
        <v>0</v>
      </c>
      <c r="K410" s="220">
        <v>0</v>
      </c>
      <c r="L410" s="1236"/>
      <c r="M410"/>
      <c r="N410"/>
      <c r="O410"/>
      <c r="P410"/>
      <c r="Q410"/>
      <c r="R410"/>
      <c r="S410"/>
      <c r="T410"/>
      <c r="U410"/>
      <c r="V410"/>
      <c r="W410"/>
      <c r="X410"/>
    </row>
    <row r="411" spans="1:24" ht="18" thickTop="1" thickBot="1" x14ac:dyDescent="0.35">
      <c r="A411" s="457" t="s">
        <v>2</v>
      </c>
      <c r="B411" s="458">
        <v>2</v>
      </c>
      <c r="C411" s="458">
        <v>2</v>
      </c>
      <c r="D411" s="458" t="s">
        <v>758</v>
      </c>
      <c r="E411" s="457" t="s">
        <v>397</v>
      </c>
      <c r="F411" s="590"/>
      <c r="G411" s="220">
        <v>1991.4865578634526</v>
      </c>
      <c r="H411" s="219">
        <v>0</v>
      </c>
      <c r="I411" s="220">
        <v>0</v>
      </c>
      <c r="J411" s="219">
        <v>0</v>
      </c>
      <c r="K411" s="220">
        <v>0</v>
      </c>
      <c r="L411" s="1236"/>
      <c r="M411"/>
      <c r="N411"/>
      <c r="O411"/>
      <c r="P411"/>
      <c r="Q411"/>
      <c r="R411"/>
      <c r="S411"/>
      <c r="T411"/>
      <c r="U411"/>
      <c r="V411"/>
      <c r="W411"/>
      <c r="X411"/>
    </row>
    <row r="412" spans="1:24" ht="18" thickTop="1" thickBot="1" x14ac:dyDescent="0.35">
      <c r="A412" s="457" t="s">
        <v>2</v>
      </c>
      <c r="B412" s="458">
        <v>2</v>
      </c>
      <c r="C412" s="458">
        <v>2</v>
      </c>
      <c r="D412" s="458" t="s">
        <v>758</v>
      </c>
      <c r="E412" s="457" t="s">
        <v>1844</v>
      </c>
      <c r="F412" s="590"/>
      <c r="G412" s="220">
        <v>0.58667254430284499</v>
      </c>
      <c r="H412" s="219">
        <v>0</v>
      </c>
      <c r="I412" s="220">
        <v>0</v>
      </c>
      <c r="J412" s="219">
        <v>0</v>
      </c>
      <c r="K412" s="220">
        <v>0</v>
      </c>
      <c r="L412" s="1236"/>
      <c r="M412"/>
      <c r="N412"/>
      <c r="O412"/>
      <c r="P412"/>
      <c r="Q412"/>
      <c r="R412"/>
      <c r="S412"/>
      <c r="T412"/>
      <c r="U412"/>
      <c r="V412"/>
      <c r="W412"/>
      <c r="X412"/>
    </row>
    <row r="413" spans="1:24" ht="18" thickTop="1" thickBot="1" x14ac:dyDescent="0.35">
      <c r="A413" s="457" t="s">
        <v>2</v>
      </c>
      <c r="B413" s="458">
        <v>2</v>
      </c>
      <c r="C413" s="458">
        <v>2</v>
      </c>
      <c r="D413" s="458" t="s">
        <v>758</v>
      </c>
      <c r="E413" s="457" t="s">
        <v>398</v>
      </c>
      <c r="F413" s="590"/>
      <c r="G413" s="220">
        <v>1581.4566683047633</v>
      </c>
      <c r="H413" s="219">
        <v>0</v>
      </c>
      <c r="I413" s="220">
        <v>0</v>
      </c>
      <c r="J413" s="219">
        <v>0</v>
      </c>
      <c r="K413" s="220">
        <v>0</v>
      </c>
      <c r="L413" s="1236"/>
      <c r="M413"/>
      <c r="N413"/>
      <c r="O413"/>
      <c r="P413"/>
      <c r="Q413"/>
      <c r="R413"/>
      <c r="S413"/>
      <c r="T413"/>
      <c r="U413"/>
      <c r="V413"/>
      <c r="W413"/>
      <c r="X413"/>
    </row>
    <row r="414" spans="1:24" ht="18" thickTop="1" thickBot="1" x14ac:dyDescent="0.35">
      <c r="A414" s="457" t="s">
        <v>2</v>
      </c>
      <c r="B414" s="458">
        <v>2</v>
      </c>
      <c r="C414" s="458">
        <v>2</v>
      </c>
      <c r="D414" s="458" t="s">
        <v>758</v>
      </c>
      <c r="E414" s="457" t="s">
        <v>399</v>
      </c>
      <c r="F414" s="590"/>
      <c r="G414" s="220">
        <v>59.838297918574177</v>
      </c>
      <c r="H414" s="219">
        <v>0</v>
      </c>
      <c r="I414" s="220">
        <v>0</v>
      </c>
      <c r="J414" s="219">
        <v>0</v>
      </c>
      <c r="K414" s="220">
        <v>0</v>
      </c>
      <c r="L414" s="1236"/>
      <c r="M414"/>
      <c r="N414"/>
      <c r="O414"/>
      <c r="P414"/>
      <c r="Q414"/>
      <c r="R414"/>
      <c r="S414"/>
      <c r="T414"/>
      <c r="U414"/>
      <c r="V414"/>
      <c r="W414"/>
      <c r="X414"/>
    </row>
    <row r="415" spans="1:24" ht="18" thickTop="1" thickBot="1" x14ac:dyDescent="0.35">
      <c r="A415" s="457" t="s">
        <v>2</v>
      </c>
      <c r="B415" s="458">
        <v>2</v>
      </c>
      <c r="C415" s="458">
        <v>2</v>
      </c>
      <c r="D415" s="458" t="s">
        <v>758</v>
      </c>
      <c r="E415" s="457" t="s">
        <v>400</v>
      </c>
      <c r="F415" s="590"/>
      <c r="G415" s="220">
        <v>2601.9589602232982</v>
      </c>
      <c r="H415" s="219">
        <v>0</v>
      </c>
      <c r="I415" s="220">
        <v>0</v>
      </c>
      <c r="J415" s="219">
        <v>0</v>
      </c>
      <c r="K415" s="220">
        <v>0</v>
      </c>
      <c r="L415" s="1236"/>
      <c r="M415"/>
      <c r="N415"/>
      <c r="O415"/>
      <c r="P415"/>
      <c r="Q415"/>
      <c r="R415"/>
      <c r="S415"/>
      <c r="T415"/>
      <c r="U415"/>
      <c r="V415"/>
      <c r="W415"/>
      <c r="X415"/>
    </row>
    <row r="416" spans="1:24" ht="18" thickTop="1" thickBot="1" x14ac:dyDescent="0.35">
      <c r="A416" s="457" t="s">
        <v>2</v>
      </c>
      <c r="B416" s="458">
        <v>2</v>
      </c>
      <c r="C416" s="458">
        <v>2</v>
      </c>
      <c r="D416" s="458" t="s">
        <v>758</v>
      </c>
      <c r="E416" s="457" t="s">
        <v>401</v>
      </c>
      <c r="F416" s="590"/>
      <c r="G416" s="220">
        <v>558.8825626085702</v>
      </c>
      <c r="H416" s="219">
        <v>0</v>
      </c>
      <c r="I416" s="220">
        <v>0</v>
      </c>
      <c r="J416" s="219">
        <v>0</v>
      </c>
      <c r="K416" s="220">
        <v>0</v>
      </c>
      <c r="L416" s="1236"/>
      <c r="M416"/>
      <c r="N416"/>
      <c r="O416"/>
      <c r="P416"/>
      <c r="Q416"/>
      <c r="R416"/>
      <c r="S416"/>
      <c r="T416"/>
      <c r="U416"/>
      <c r="V416"/>
      <c r="W416"/>
      <c r="X416"/>
    </row>
    <row r="417" spans="1:24" ht="18" thickTop="1" thickBot="1" x14ac:dyDescent="0.35">
      <c r="A417" s="457" t="s">
        <v>2</v>
      </c>
      <c r="B417" s="458">
        <v>2</v>
      </c>
      <c r="C417" s="458">
        <v>2</v>
      </c>
      <c r="D417" s="458" t="s">
        <v>758</v>
      </c>
      <c r="E417" s="457" t="s">
        <v>70</v>
      </c>
      <c r="F417" s="590"/>
      <c r="G417" s="220">
        <v>440.74081171030411</v>
      </c>
      <c r="H417" s="219">
        <v>0</v>
      </c>
      <c r="I417" s="220">
        <v>0</v>
      </c>
      <c r="J417" s="219">
        <v>0</v>
      </c>
      <c r="K417" s="220">
        <v>0</v>
      </c>
      <c r="L417" s="1236"/>
      <c r="M417"/>
      <c r="N417"/>
      <c r="O417"/>
      <c r="P417"/>
      <c r="Q417"/>
      <c r="R417"/>
      <c r="S417"/>
      <c r="T417"/>
      <c r="U417"/>
      <c r="V417"/>
      <c r="W417"/>
      <c r="X417"/>
    </row>
    <row r="418" spans="1:24" ht="18" thickTop="1" thickBot="1" x14ac:dyDescent="0.35">
      <c r="A418" s="457" t="s">
        <v>2</v>
      </c>
      <c r="B418" s="458">
        <v>2</v>
      </c>
      <c r="C418" s="458">
        <v>2</v>
      </c>
      <c r="D418" s="458" t="s">
        <v>758</v>
      </c>
      <c r="E418" s="457" t="s">
        <v>402</v>
      </c>
      <c r="F418" s="590"/>
      <c r="G418" s="220">
        <v>615.00087288798159</v>
      </c>
      <c r="H418" s="219">
        <v>0</v>
      </c>
      <c r="I418" s="220">
        <v>0</v>
      </c>
      <c r="J418" s="219">
        <v>0</v>
      </c>
      <c r="K418" s="220">
        <v>0</v>
      </c>
      <c r="L418" s="1236"/>
      <c r="M418"/>
      <c r="N418"/>
      <c r="O418"/>
      <c r="P418"/>
      <c r="Q418"/>
      <c r="R418"/>
      <c r="S418"/>
      <c r="T418"/>
      <c r="U418"/>
      <c r="V418"/>
      <c r="W418"/>
      <c r="X418"/>
    </row>
    <row r="419" spans="1:24" ht="18" thickTop="1" thickBot="1" x14ac:dyDescent="0.35">
      <c r="A419" s="457" t="s">
        <v>2</v>
      </c>
      <c r="B419" s="458">
        <v>2</v>
      </c>
      <c r="C419" s="458">
        <v>2</v>
      </c>
      <c r="D419" s="458" t="s">
        <v>758</v>
      </c>
      <c r="E419" s="457" t="s">
        <v>403</v>
      </c>
      <c r="F419" s="590"/>
      <c r="G419" s="220">
        <v>747.68149781435613</v>
      </c>
      <c r="H419" s="219">
        <v>0</v>
      </c>
      <c r="I419" s="220">
        <v>0</v>
      </c>
      <c r="J419" s="219">
        <v>0</v>
      </c>
      <c r="K419" s="220">
        <v>0</v>
      </c>
      <c r="L419" s="1236"/>
      <c r="M419"/>
      <c r="N419"/>
      <c r="O419"/>
      <c r="P419"/>
      <c r="Q419"/>
      <c r="R419"/>
      <c r="S419"/>
      <c r="T419"/>
      <c r="U419"/>
      <c r="V419"/>
      <c r="W419"/>
      <c r="X419"/>
    </row>
    <row r="420" spans="1:24" ht="18" thickTop="1" thickBot="1" x14ac:dyDescent="0.35">
      <c r="A420" s="457" t="s">
        <v>2</v>
      </c>
      <c r="B420" s="458">
        <v>2</v>
      </c>
      <c r="C420" s="458">
        <v>2</v>
      </c>
      <c r="D420" s="458" t="s">
        <v>758</v>
      </c>
      <c r="E420" s="457" t="s">
        <v>404</v>
      </c>
      <c r="F420" s="590"/>
      <c r="G420" s="220">
        <v>763.11584202904544</v>
      </c>
      <c r="H420" s="219">
        <v>0</v>
      </c>
      <c r="I420" s="220">
        <v>0</v>
      </c>
      <c r="J420" s="219">
        <v>0</v>
      </c>
      <c r="K420" s="220">
        <v>0</v>
      </c>
      <c r="L420" s="1236"/>
      <c r="M420"/>
      <c r="N420"/>
      <c r="O420"/>
      <c r="P420"/>
      <c r="Q420"/>
      <c r="R420"/>
      <c r="S420"/>
      <c r="T420"/>
      <c r="U420"/>
      <c r="V420"/>
      <c r="W420"/>
      <c r="X420"/>
    </row>
    <row r="421" spans="1:24" ht="18" thickTop="1" thickBot="1" x14ac:dyDescent="0.35">
      <c r="A421" s="457" t="s">
        <v>2</v>
      </c>
      <c r="B421" s="458">
        <v>2</v>
      </c>
      <c r="C421" s="458">
        <v>2</v>
      </c>
      <c r="D421" s="458" t="s">
        <v>758</v>
      </c>
      <c r="E421" s="457" t="s">
        <v>405</v>
      </c>
      <c r="F421" s="590"/>
      <c r="G421" s="220">
        <v>130.22254034276986</v>
      </c>
      <c r="H421" s="219">
        <v>0</v>
      </c>
      <c r="I421" s="220">
        <v>0</v>
      </c>
      <c r="J421" s="219">
        <v>0</v>
      </c>
      <c r="K421" s="220">
        <v>0</v>
      </c>
      <c r="L421" s="1236"/>
      <c r="M421"/>
      <c r="N421"/>
      <c r="O421"/>
      <c r="P421"/>
      <c r="Q421"/>
      <c r="R421"/>
      <c r="S421"/>
      <c r="T421"/>
      <c r="U421"/>
      <c r="V421"/>
      <c r="W421"/>
      <c r="X421"/>
    </row>
    <row r="422" spans="1:24" ht="18" thickTop="1" thickBot="1" x14ac:dyDescent="0.35">
      <c r="A422" s="457" t="s">
        <v>2</v>
      </c>
      <c r="B422" s="458">
        <v>2</v>
      </c>
      <c r="C422" s="458">
        <v>2</v>
      </c>
      <c r="D422" s="458" t="s">
        <v>758</v>
      </c>
      <c r="E422" s="457" t="s">
        <v>406</v>
      </c>
      <c r="F422" s="590"/>
      <c r="G422" s="220">
        <v>562.73283348481209</v>
      </c>
      <c r="H422" s="219">
        <v>0</v>
      </c>
      <c r="I422" s="220">
        <v>0</v>
      </c>
      <c r="J422" s="219">
        <v>0</v>
      </c>
      <c r="K422" s="220">
        <v>0</v>
      </c>
      <c r="L422" s="1236"/>
      <c r="M422"/>
      <c r="N422"/>
      <c r="O422"/>
      <c r="P422"/>
      <c r="Q422"/>
      <c r="R422"/>
      <c r="S422"/>
      <c r="T422"/>
      <c r="U422"/>
      <c r="V422"/>
      <c r="W422"/>
      <c r="X422"/>
    </row>
    <row r="423" spans="1:24" ht="18" thickTop="1" thickBot="1" x14ac:dyDescent="0.35">
      <c r="A423" s="457" t="s">
        <v>2</v>
      </c>
      <c r="B423" s="458">
        <v>2</v>
      </c>
      <c r="C423" s="458">
        <v>2</v>
      </c>
      <c r="D423" s="458" t="s">
        <v>758</v>
      </c>
      <c r="E423" s="457" t="s">
        <v>407</v>
      </c>
      <c r="F423" s="590"/>
      <c r="G423" s="220">
        <v>30.045448775392053</v>
      </c>
      <c r="H423" s="219">
        <v>0</v>
      </c>
      <c r="I423" s="220">
        <v>0</v>
      </c>
      <c r="J423" s="219">
        <v>0</v>
      </c>
      <c r="K423" s="220">
        <v>0</v>
      </c>
      <c r="L423" s="1236"/>
      <c r="M423"/>
      <c r="N423"/>
      <c r="O423"/>
      <c r="P423"/>
      <c r="Q423"/>
      <c r="R423"/>
      <c r="S423"/>
      <c r="T423"/>
      <c r="U423"/>
      <c r="V423"/>
      <c r="W423"/>
      <c r="X423"/>
    </row>
    <row r="424" spans="1:24" ht="18" thickTop="1" thickBot="1" x14ac:dyDescent="0.35">
      <c r="A424" s="457" t="s">
        <v>2</v>
      </c>
      <c r="B424" s="458">
        <v>2</v>
      </c>
      <c r="C424" s="458">
        <v>2</v>
      </c>
      <c r="D424" s="458" t="s">
        <v>758</v>
      </c>
      <c r="E424" s="457" t="s">
        <v>67</v>
      </c>
      <c r="F424" s="590"/>
      <c r="G424" s="220">
        <v>518.01616711665827</v>
      </c>
      <c r="H424" s="219">
        <v>0</v>
      </c>
      <c r="I424" s="220">
        <v>0</v>
      </c>
      <c r="J424" s="219">
        <v>0</v>
      </c>
      <c r="K424" s="220">
        <v>0</v>
      </c>
      <c r="L424" s="1236"/>
      <c r="M424"/>
      <c r="N424"/>
      <c r="O424"/>
      <c r="P424"/>
      <c r="Q424"/>
      <c r="R424"/>
      <c r="S424"/>
      <c r="T424"/>
      <c r="U424"/>
      <c r="V424"/>
      <c r="W424"/>
      <c r="X424"/>
    </row>
    <row r="425" spans="1:24" ht="18" thickTop="1" thickBot="1" x14ac:dyDescent="0.35">
      <c r="A425" s="457" t="s">
        <v>2</v>
      </c>
      <c r="B425" s="458">
        <v>2</v>
      </c>
      <c r="C425" s="458">
        <v>2</v>
      </c>
      <c r="D425" s="458" t="s">
        <v>758</v>
      </c>
      <c r="E425" s="457" t="s">
        <v>72</v>
      </c>
      <c r="F425" s="590"/>
      <c r="G425" s="220">
        <v>2521.3714614026694</v>
      </c>
      <c r="H425" s="219">
        <v>0</v>
      </c>
      <c r="I425" s="220">
        <v>0</v>
      </c>
      <c r="J425" s="219">
        <v>0</v>
      </c>
      <c r="K425" s="220">
        <v>0</v>
      </c>
      <c r="L425" s="1236"/>
      <c r="M425"/>
      <c r="N425"/>
      <c r="O425"/>
      <c r="P425"/>
      <c r="Q425"/>
      <c r="R425"/>
      <c r="S425"/>
      <c r="T425"/>
      <c r="U425"/>
      <c r="V425"/>
      <c r="W425"/>
      <c r="X425"/>
    </row>
    <row r="426" spans="1:24" ht="18" thickTop="1" thickBot="1" x14ac:dyDescent="0.35">
      <c r="A426" s="457" t="s">
        <v>2</v>
      </c>
      <c r="B426" s="458">
        <v>2</v>
      </c>
      <c r="C426" s="458">
        <v>2</v>
      </c>
      <c r="D426" s="458" t="s">
        <v>758</v>
      </c>
      <c r="E426" s="457" t="s">
        <v>408</v>
      </c>
      <c r="F426" s="590"/>
      <c r="G426" s="220">
        <v>1057.4261410122908</v>
      </c>
      <c r="H426" s="219">
        <v>0</v>
      </c>
      <c r="I426" s="220">
        <v>0</v>
      </c>
      <c r="J426" s="219">
        <v>0</v>
      </c>
      <c r="K426" s="220">
        <v>0</v>
      </c>
      <c r="L426" s="1236"/>
      <c r="M426"/>
      <c r="N426"/>
      <c r="O426"/>
      <c r="P426"/>
      <c r="Q426"/>
      <c r="R426"/>
      <c r="S426"/>
      <c r="T426"/>
      <c r="U426"/>
      <c r="V426"/>
      <c r="W426"/>
      <c r="X426"/>
    </row>
    <row r="427" spans="1:24" ht="18" thickTop="1" thickBot="1" x14ac:dyDescent="0.35">
      <c r="A427" s="457" t="s">
        <v>2</v>
      </c>
      <c r="B427" s="458">
        <v>2</v>
      </c>
      <c r="C427" s="458">
        <v>2</v>
      </c>
      <c r="D427" s="458" t="s">
        <v>758</v>
      </c>
      <c r="E427" s="457" t="s">
        <v>409</v>
      </c>
      <c r="F427" s="590"/>
      <c r="G427" s="220">
        <v>716.05952433259245</v>
      </c>
      <c r="H427" s="219">
        <v>0</v>
      </c>
      <c r="I427" s="220">
        <v>0</v>
      </c>
      <c r="J427" s="219">
        <v>0</v>
      </c>
      <c r="K427" s="220">
        <v>0</v>
      </c>
      <c r="L427" s="1236"/>
      <c r="M427"/>
      <c r="N427"/>
      <c r="O427"/>
      <c r="P427"/>
      <c r="Q427"/>
      <c r="R427"/>
      <c r="S427"/>
      <c r="T427"/>
      <c r="U427"/>
      <c r="V427"/>
      <c r="W427"/>
      <c r="X427"/>
    </row>
    <row r="428" spans="1:24" ht="18" thickTop="1" thickBot="1" x14ac:dyDescent="0.35">
      <c r="A428" s="457" t="s">
        <v>2</v>
      </c>
      <c r="B428" s="458">
        <v>2</v>
      </c>
      <c r="C428" s="458">
        <v>2</v>
      </c>
      <c r="D428" s="458" t="s">
        <v>758</v>
      </c>
      <c r="E428" s="457" t="s">
        <v>410</v>
      </c>
      <c r="F428" s="590"/>
      <c r="G428" s="220">
        <v>1262.0208631074793</v>
      </c>
      <c r="H428" s="219">
        <v>0</v>
      </c>
      <c r="I428" s="220">
        <v>0</v>
      </c>
      <c r="J428" s="219">
        <v>0</v>
      </c>
      <c r="K428" s="220">
        <v>0</v>
      </c>
      <c r="L428" s="1236"/>
      <c r="M428"/>
      <c r="N428"/>
      <c r="O428"/>
      <c r="P428"/>
      <c r="Q428"/>
      <c r="R428"/>
      <c r="S428"/>
      <c r="T428"/>
      <c r="U428"/>
      <c r="V428"/>
      <c r="W428"/>
      <c r="X428"/>
    </row>
    <row r="429" spans="1:24" ht="18" thickTop="1" thickBot="1" x14ac:dyDescent="0.35">
      <c r="A429" s="457" t="s">
        <v>2</v>
      </c>
      <c r="B429" s="458">
        <v>2</v>
      </c>
      <c r="C429" s="458">
        <v>2</v>
      </c>
      <c r="D429" s="458" t="s">
        <v>758</v>
      </c>
      <c r="E429" s="457" t="s">
        <v>411</v>
      </c>
      <c r="F429" s="590"/>
      <c r="G429" s="220">
        <v>751.3795595210255</v>
      </c>
      <c r="H429" s="219">
        <v>0</v>
      </c>
      <c r="I429" s="220">
        <v>0</v>
      </c>
      <c r="J429" s="219">
        <v>0</v>
      </c>
      <c r="K429" s="220">
        <v>0</v>
      </c>
      <c r="L429" s="1236"/>
      <c r="M429"/>
      <c r="N429"/>
      <c r="O429"/>
      <c r="P429"/>
      <c r="Q429"/>
      <c r="R429"/>
      <c r="S429"/>
      <c r="T429"/>
      <c r="U429"/>
      <c r="V429"/>
      <c r="W429"/>
      <c r="X429"/>
    </row>
    <row r="430" spans="1:24" ht="18" thickTop="1" thickBot="1" x14ac:dyDescent="0.35">
      <c r="A430" s="457" t="s">
        <v>2</v>
      </c>
      <c r="B430" s="458">
        <v>2</v>
      </c>
      <c r="C430" s="458">
        <v>2</v>
      </c>
      <c r="D430" s="458" t="s">
        <v>758</v>
      </c>
      <c r="E430" s="457" t="s">
        <v>412</v>
      </c>
      <c r="F430" s="590"/>
      <c r="G430" s="220">
        <v>470.54766178764351</v>
      </c>
      <c r="H430" s="219">
        <v>0</v>
      </c>
      <c r="I430" s="220">
        <v>0</v>
      </c>
      <c r="J430" s="219">
        <v>0</v>
      </c>
      <c r="K430" s="220">
        <v>0</v>
      </c>
      <c r="L430" s="1236"/>
      <c r="M430"/>
      <c r="N430"/>
      <c r="O430"/>
      <c r="P430"/>
      <c r="Q430"/>
      <c r="R430"/>
      <c r="S430"/>
      <c r="T430"/>
      <c r="U430"/>
      <c r="V430"/>
      <c r="W430"/>
      <c r="X430"/>
    </row>
    <row r="431" spans="1:24" ht="18" thickTop="1" thickBot="1" x14ac:dyDescent="0.35">
      <c r="A431" s="457" t="s">
        <v>2</v>
      </c>
      <c r="B431" s="458">
        <v>2</v>
      </c>
      <c r="C431" s="458">
        <v>2</v>
      </c>
      <c r="D431" s="458" t="s">
        <v>758</v>
      </c>
      <c r="E431" s="457" t="s">
        <v>413</v>
      </c>
      <c r="F431" s="590"/>
      <c r="G431" s="220">
        <v>651.89845638281372</v>
      </c>
      <c r="H431" s="219">
        <v>0</v>
      </c>
      <c r="I431" s="220">
        <v>0</v>
      </c>
      <c r="J431" s="219">
        <v>0</v>
      </c>
      <c r="K431" s="220">
        <v>0</v>
      </c>
      <c r="L431" s="1236"/>
      <c r="M431"/>
      <c r="N431"/>
      <c r="O431"/>
      <c r="P431"/>
      <c r="Q431"/>
      <c r="R431"/>
      <c r="S431"/>
      <c r="T431"/>
      <c r="U431"/>
      <c r="V431"/>
      <c r="W431"/>
      <c r="X431"/>
    </row>
    <row r="432" spans="1:24" ht="18" thickTop="1" thickBot="1" x14ac:dyDescent="0.35">
      <c r="A432" s="457" t="s">
        <v>2</v>
      </c>
      <c r="B432" s="458">
        <v>2</v>
      </c>
      <c r="C432" s="458">
        <v>2</v>
      </c>
      <c r="D432" s="458" t="s">
        <v>758</v>
      </c>
      <c r="E432" s="457" t="s">
        <v>414</v>
      </c>
      <c r="F432" s="590"/>
      <c r="G432" s="220">
        <v>672.2881833755838</v>
      </c>
      <c r="H432" s="219">
        <v>0</v>
      </c>
      <c r="I432" s="220">
        <v>0</v>
      </c>
      <c r="J432" s="219">
        <v>0</v>
      </c>
      <c r="K432" s="220">
        <v>0</v>
      </c>
      <c r="L432" s="1236"/>
      <c r="M432"/>
      <c r="N432"/>
      <c r="O432"/>
      <c r="P432"/>
      <c r="Q432"/>
      <c r="R432"/>
      <c r="S432"/>
      <c r="T432"/>
      <c r="U432"/>
      <c r="V432"/>
      <c r="W432"/>
      <c r="X432"/>
    </row>
    <row r="433" spans="1:24" ht="18" thickTop="1" thickBot="1" x14ac:dyDescent="0.35">
      <c r="A433" s="457" t="s">
        <v>2</v>
      </c>
      <c r="B433" s="458">
        <v>2</v>
      </c>
      <c r="C433" s="458">
        <v>2</v>
      </c>
      <c r="D433" s="458" t="s">
        <v>758</v>
      </c>
      <c r="E433" s="457" t="s">
        <v>415</v>
      </c>
      <c r="F433" s="590"/>
      <c r="G433" s="220">
        <v>452.17223437707821</v>
      </c>
      <c r="H433" s="219">
        <v>0</v>
      </c>
      <c r="I433" s="220">
        <v>0</v>
      </c>
      <c r="J433" s="219">
        <v>0</v>
      </c>
      <c r="K433" s="220">
        <v>0</v>
      </c>
      <c r="L433" s="1236"/>
      <c r="M433"/>
      <c r="N433"/>
      <c r="O433"/>
      <c r="P433"/>
      <c r="Q433"/>
      <c r="R433"/>
      <c r="S433"/>
      <c r="T433"/>
      <c r="U433"/>
      <c r="V433"/>
      <c r="W433"/>
      <c r="X433"/>
    </row>
    <row r="434" spans="1:24" ht="18" thickTop="1" thickBot="1" x14ac:dyDescent="0.35">
      <c r="A434" s="457" t="s">
        <v>2</v>
      </c>
      <c r="B434" s="458">
        <v>2</v>
      </c>
      <c r="C434" s="458">
        <v>2</v>
      </c>
      <c r="D434" s="458" t="s">
        <v>758</v>
      </c>
      <c r="E434" s="457" t="s">
        <v>416</v>
      </c>
      <c r="F434" s="590"/>
      <c r="G434" s="220">
        <v>664.67229872564019</v>
      </c>
      <c r="H434" s="219">
        <v>0</v>
      </c>
      <c r="I434" s="220">
        <v>0</v>
      </c>
      <c r="J434" s="219">
        <v>0</v>
      </c>
      <c r="K434" s="220">
        <v>0</v>
      </c>
      <c r="L434" s="1236"/>
      <c r="M434"/>
      <c r="N434"/>
      <c r="O434"/>
      <c r="P434"/>
      <c r="Q434"/>
      <c r="R434"/>
      <c r="S434"/>
      <c r="T434"/>
      <c r="U434"/>
      <c r="V434"/>
      <c r="W434"/>
      <c r="X434"/>
    </row>
    <row r="435" spans="1:24" ht="18" thickTop="1" thickBot="1" x14ac:dyDescent="0.35">
      <c r="A435" s="457" t="s">
        <v>2</v>
      </c>
      <c r="B435" s="458">
        <v>2</v>
      </c>
      <c r="C435" s="458">
        <v>2</v>
      </c>
      <c r="D435" s="458" t="s">
        <v>758</v>
      </c>
      <c r="E435" s="457" t="s">
        <v>417</v>
      </c>
      <c r="F435" s="590"/>
      <c r="G435" s="220">
        <v>589.93764092142862</v>
      </c>
      <c r="H435" s="219">
        <v>0</v>
      </c>
      <c r="I435" s="220">
        <v>0</v>
      </c>
      <c r="J435" s="219">
        <v>0</v>
      </c>
      <c r="K435" s="220">
        <v>0</v>
      </c>
      <c r="L435" s="1236"/>
      <c r="M435"/>
      <c r="N435"/>
      <c r="O435"/>
      <c r="P435"/>
      <c r="Q435"/>
      <c r="R435"/>
      <c r="S435"/>
      <c r="T435"/>
      <c r="U435"/>
      <c r="V435"/>
      <c r="W435"/>
      <c r="X435"/>
    </row>
    <row r="436" spans="1:24" ht="18" thickTop="1" thickBot="1" x14ac:dyDescent="0.35">
      <c r="A436" s="457" t="s">
        <v>2</v>
      </c>
      <c r="B436" s="458">
        <v>2</v>
      </c>
      <c r="C436" s="458">
        <v>2</v>
      </c>
      <c r="D436" s="458" t="s">
        <v>758</v>
      </c>
      <c r="E436" s="457" t="s">
        <v>418</v>
      </c>
      <c r="F436" s="590"/>
      <c r="G436" s="220">
        <v>572.73022504950256</v>
      </c>
      <c r="H436" s="219">
        <v>0</v>
      </c>
      <c r="I436" s="220">
        <v>0</v>
      </c>
      <c r="J436" s="219">
        <v>0</v>
      </c>
      <c r="K436" s="220">
        <v>0</v>
      </c>
      <c r="L436" s="1236"/>
      <c r="M436"/>
      <c r="N436"/>
      <c r="O436"/>
      <c r="P436"/>
      <c r="Q436"/>
      <c r="R436"/>
      <c r="S436"/>
      <c r="T436"/>
      <c r="U436"/>
      <c r="V436"/>
      <c r="W436"/>
      <c r="X436"/>
    </row>
    <row r="437" spans="1:24" ht="18" thickTop="1" thickBot="1" x14ac:dyDescent="0.35">
      <c r="A437" s="457" t="s">
        <v>2</v>
      </c>
      <c r="B437" s="458">
        <v>2</v>
      </c>
      <c r="C437" s="458">
        <v>2</v>
      </c>
      <c r="D437" s="458" t="s">
        <v>758</v>
      </c>
      <c r="E437" s="457" t="s">
        <v>947</v>
      </c>
      <c r="F437" s="590"/>
      <c r="G437" s="220">
        <v>696.09065135678577</v>
      </c>
      <c r="H437" s="219"/>
      <c r="I437" s="220"/>
      <c r="J437" s="219"/>
      <c r="K437" s="220"/>
      <c r="L437" s="1236"/>
      <c r="M437"/>
      <c r="N437"/>
      <c r="O437"/>
      <c r="P437"/>
      <c r="Q437"/>
      <c r="R437"/>
      <c r="S437"/>
      <c r="T437"/>
      <c r="U437"/>
      <c r="V437"/>
      <c r="W437"/>
      <c r="X437"/>
    </row>
    <row r="438" spans="1:24" ht="18" thickTop="1" thickBot="1" x14ac:dyDescent="0.35">
      <c r="A438" s="457" t="s">
        <v>2</v>
      </c>
      <c r="B438" s="458">
        <v>2</v>
      </c>
      <c r="C438" s="458">
        <v>2</v>
      </c>
      <c r="D438" s="458" t="s">
        <v>758</v>
      </c>
      <c r="E438" s="457" t="s">
        <v>419</v>
      </c>
      <c r="F438" s="590"/>
      <c r="G438" s="220">
        <v>395.82653660109065</v>
      </c>
      <c r="H438" s="219">
        <v>0</v>
      </c>
      <c r="I438" s="220">
        <v>0</v>
      </c>
      <c r="J438" s="219">
        <v>0</v>
      </c>
      <c r="K438" s="220">
        <v>0</v>
      </c>
      <c r="L438" s="1236"/>
      <c r="M438"/>
      <c r="N438"/>
      <c r="O438"/>
      <c r="P438"/>
      <c r="Q438"/>
      <c r="R438"/>
      <c r="S438"/>
      <c r="T438"/>
      <c r="U438"/>
      <c r="V438"/>
      <c r="W438"/>
      <c r="X438"/>
    </row>
    <row r="439" spans="1:24" ht="18" thickTop="1" thickBot="1" x14ac:dyDescent="0.35">
      <c r="A439" s="457" t="s">
        <v>2</v>
      </c>
      <c r="B439" s="458">
        <v>2</v>
      </c>
      <c r="C439" s="458">
        <v>2</v>
      </c>
      <c r="D439" s="458" t="s">
        <v>758</v>
      </c>
      <c r="E439" s="457" t="s">
        <v>420</v>
      </c>
      <c r="F439" s="590"/>
      <c r="G439" s="220">
        <v>481.79110740121854</v>
      </c>
      <c r="H439" s="219">
        <v>0</v>
      </c>
      <c r="I439" s="220">
        <v>0</v>
      </c>
      <c r="J439" s="219">
        <v>0</v>
      </c>
      <c r="K439" s="220">
        <v>0</v>
      </c>
      <c r="L439" s="1236"/>
      <c r="M439"/>
      <c r="N439"/>
      <c r="O439"/>
      <c r="P439"/>
      <c r="Q439"/>
      <c r="R439"/>
      <c r="S439"/>
      <c r="T439"/>
      <c r="U439"/>
      <c r="V439"/>
      <c r="W439"/>
      <c r="X439"/>
    </row>
    <row r="440" spans="1:24" ht="18" thickTop="1" thickBot="1" x14ac:dyDescent="0.35">
      <c r="A440" s="457" t="s">
        <v>2</v>
      </c>
      <c r="B440" s="458">
        <v>2</v>
      </c>
      <c r="C440" s="458">
        <v>2</v>
      </c>
      <c r="D440" s="458" t="s">
        <v>758</v>
      </c>
      <c r="E440" s="457" t="s">
        <v>1333</v>
      </c>
      <c r="F440" s="457"/>
      <c r="G440" s="220">
        <v>264.75900397023582</v>
      </c>
      <c r="H440" s="219">
        <v>0</v>
      </c>
      <c r="I440" s="220">
        <v>0</v>
      </c>
      <c r="J440" s="219"/>
      <c r="K440" s="220">
        <v>0</v>
      </c>
      <c r="L440" s="1236"/>
      <c r="M440"/>
      <c r="N440"/>
      <c r="O440"/>
      <c r="P440"/>
      <c r="Q440"/>
      <c r="R440"/>
      <c r="S440"/>
      <c r="T440"/>
      <c r="U440"/>
      <c r="V440"/>
      <c r="W440"/>
      <c r="X440"/>
    </row>
    <row r="441" spans="1:24" ht="18" thickTop="1" thickBot="1" x14ac:dyDescent="0.35">
      <c r="A441" s="457" t="s">
        <v>2</v>
      </c>
      <c r="B441" s="458">
        <v>2</v>
      </c>
      <c r="C441" s="458">
        <v>2</v>
      </c>
      <c r="D441" s="458" t="s">
        <v>758</v>
      </c>
      <c r="E441" s="457" t="s">
        <v>421</v>
      </c>
      <c r="F441" s="590"/>
      <c r="G441" s="220">
        <v>417.67374323406227</v>
      </c>
      <c r="H441" s="219">
        <v>0</v>
      </c>
      <c r="I441" s="220">
        <v>0</v>
      </c>
      <c r="J441" s="219">
        <v>0</v>
      </c>
      <c r="K441" s="220">
        <v>0</v>
      </c>
      <c r="L441" s="1236"/>
      <c r="M441"/>
      <c r="N441"/>
      <c r="O441"/>
      <c r="P441"/>
      <c r="Q441"/>
      <c r="R441"/>
      <c r="S441"/>
      <c r="T441"/>
      <c r="U441"/>
      <c r="V441"/>
      <c r="W441"/>
      <c r="X441"/>
    </row>
    <row r="442" spans="1:24" ht="18" thickTop="1" thickBot="1" x14ac:dyDescent="0.35">
      <c r="A442" s="457" t="s">
        <v>2</v>
      </c>
      <c r="B442" s="458">
        <v>2</v>
      </c>
      <c r="C442" s="458">
        <v>2</v>
      </c>
      <c r="D442" s="458" t="s">
        <v>758</v>
      </c>
      <c r="E442" s="457" t="s">
        <v>422</v>
      </c>
      <c r="F442" s="590"/>
      <c r="G442" s="220">
        <v>486.44906694158772</v>
      </c>
      <c r="H442" s="219">
        <v>0</v>
      </c>
      <c r="I442" s="220">
        <v>0</v>
      </c>
      <c r="J442" s="219">
        <v>0</v>
      </c>
      <c r="K442" s="220">
        <v>0</v>
      </c>
      <c r="L442" s="1236"/>
      <c r="M442"/>
      <c r="N442"/>
      <c r="O442"/>
      <c r="P442"/>
      <c r="Q442"/>
      <c r="R442"/>
      <c r="S442"/>
      <c r="T442"/>
      <c r="U442"/>
      <c r="V442"/>
      <c r="W442"/>
      <c r="X442"/>
    </row>
    <row r="443" spans="1:24" ht="18" thickTop="1" thickBot="1" x14ac:dyDescent="0.35">
      <c r="A443" s="457" t="s">
        <v>2</v>
      </c>
      <c r="B443" s="458">
        <v>2</v>
      </c>
      <c r="C443" s="458">
        <v>2</v>
      </c>
      <c r="D443" s="458" t="s">
        <v>758</v>
      </c>
      <c r="E443" s="457" t="s">
        <v>423</v>
      </c>
      <c r="F443" s="590"/>
      <c r="G443" s="220">
        <v>747.46831093407968</v>
      </c>
      <c r="H443" s="219">
        <v>0</v>
      </c>
      <c r="I443" s="220">
        <v>0</v>
      </c>
      <c r="J443" s="219">
        <v>0</v>
      </c>
      <c r="K443" s="220">
        <v>0</v>
      </c>
      <c r="L443" s="1236"/>
      <c r="M443"/>
      <c r="N443"/>
      <c r="O443"/>
      <c r="P443"/>
      <c r="Q443"/>
      <c r="R443"/>
      <c r="S443"/>
      <c r="T443"/>
      <c r="U443"/>
      <c r="V443"/>
      <c r="W443"/>
      <c r="X443"/>
    </row>
    <row r="444" spans="1:24" ht="18" thickTop="1" thickBot="1" x14ac:dyDescent="0.35">
      <c r="A444" s="457" t="s">
        <v>2</v>
      </c>
      <c r="B444" s="458">
        <v>2</v>
      </c>
      <c r="C444" s="458">
        <v>2</v>
      </c>
      <c r="D444" s="458" t="s">
        <v>758</v>
      </c>
      <c r="E444" s="457" t="s">
        <v>68</v>
      </c>
      <c r="F444" s="590"/>
      <c r="G444" s="220">
        <v>494.25428444594701</v>
      </c>
      <c r="H444" s="219">
        <v>0</v>
      </c>
      <c r="I444" s="220">
        <v>0</v>
      </c>
      <c r="J444" s="219">
        <v>0</v>
      </c>
      <c r="K444" s="220">
        <v>0</v>
      </c>
      <c r="L444" s="1236"/>
      <c r="M444"/>
      <c r="N444"/>
      <c r="O444"/>
      <c r="P444"/>
      <c r="Q444"/>
      <c r="R444"/>
      <c r="S444"/>
      <c r="T444"/>
      <c r="U444"/>
      <c r="V444"/>
      <c r="W444"/>
      <c r="X444"/>
    </row>
    <row r="445" spans="1:24" ht="18" thickTop="1" thickBot="1" x14ac:dyDescent="0.35">
      <c r="A445" s="457" t="s">
        <v>2</v>
      </c>
      <c r="B445" s="458">
        <v>2</v>
      </c>
      <c r="C445" s="458">
        <v>2</v>
      </c>
      <c r="D445" s="458" t="s">
        <v>758</v>
      </c>
      <c r="E445" s="457" t="s">
        <v>424</v>
      </c>
      <c r="F445" s="590"/>
      <c r="G445" s="220">
        <v>487.40430181888445</v>
      </c>
      <c r="H445" s="219">
        <v>0</v>
      </c>
      <c r="I445" s="220">
        <v>0</v>
      </c>
      <c r="J445" s="219">
        <v>0</v>
      </c>
      <c r="K445" s="220">
        <v>0</v>
      </c>
      <c r="L445" s="1236"/>
      <c r="M445"/>
      <c r="N445"/>
      <c r="O445"/>
      <c r="P445"/>
      <c r="Q445"/>
      <c r="R445"/>
      <c r="S445"/>
      <c r="T445"/>
      <c r="U445"/>
      <c r="V445"/>
      <c r="W445"/>
      <c r="X445"/>
    </row>
    <row r="446" spans="1:24" ht="18" thickTop="1" thickBot="1" x14ac:dyDescent="0.35">
      <c r="A446" s="457" t="s">
        <v>2</v>
      </c>
      <c r="B446" s="458">
        <v>2</v>
      </c>
      <c r="C446" s="458">
        <v>2</v>
      </c>
      <c r="D446" s="458" t="s">
        <v>758</v>
      </c>
      <c r="E446" s="457" t="s">
        <v>425</v>
      </c>
      <c r="F446" s="590"/>
      <c r="G446" s="220">
        <v>597.49365448225956</v>
      </c>
      <c r="H446" s="219">
        <v>0</v>
      </c>
      <c r="I446" s="220">
        <v>0</v>
      </c>
      <c r="J446" s="219">
        <v>0</v>
      </c>
      <c r="K446" s="220">
        <v>0</v>
      </c>
      <c r="L446" s="1236"/>
      <c r="M446"/>
      <c r="N446"/>
      <c r="O446"/>
      <c r="P446"/>
      <c r="Q446"/>
      <c r="R446"/>
      <c r="S446"/>
      <c r="T446"/>
      <c r="U446"/>
      <c r="V446"/>
      <c r="W446"/>
      <c r="X446"/>
    </row>
    <row r="447" spans="1:24" ht="18" thickTop="1" thickBot="1" x14ac:dyDescent="0.35">
      <c r="A447" s="457" t="s">
        <v>2</v>
      </c>
      <c r="B447" s="458">
        <v>2</v>
      </c>
      <c r="C447" s="458">
        <v>2</v>
      </c>
      <c r="D447" s="458" t="s">
        <v>758</v>
      </c>
      <c r="E447" s="457" t="s">
        <v>71</v>
      </c>
      <c r="F447" s="590"/>
      <c r="G447" s="220">
        <v>2542.4832072464324</v>
      </c>
      <c r="H447" s="219">
        <v>0</v>
      </c>
      <c r="I447" s="220">
        <v>0</v>
      </c>
      <c r="J447" s="219">
        <v>0</v>
      </c>
      <c r="K447" s="220">
        <v>0</v>
      </c>
      <c r="L447" s="1236"/>
      <c r="M447"/>
      <c r="N447"/>
      <c r="O447"/>
      <c r="P447"/>
      <c r="Q447"/>
      <c r="R447"/>
      <c r="S447"/>
      <c r="T447"/>
      <c r="U447"/>
      <c r="V447"/>
      <c r="W447"/>
      <c r="X447"/>
    </row>
    <row r="448" spans="1:24" ht="18" thickTop="1" thickBot="1" x14ac:dyDescent="0.35">
      <c r="A448" s="457" t="s">
        <v>2</v>
      </c>
      <c r="B448" s="458">
        <v>2</v>
      </c>
      <c r="C448" s="458">
        <v>2</v>
      </c>
      <c r="D448" s="458" t="s">
        <v>758</v>
      </c>
      <c r="E448" s="457" t="s">
        <v>426</v>
      </c>
      <c r="F448" s="590"/>
      <c r="G448" s="220">
        <v>526.77706860285002</v>
      </c>
      <c r="H448" s="219">
        <v>0</v>
      </c>
      <c r="I448" s="220">
        <v>0</v>
      </c>
      <c r="J448" s="219">
        <v>0</v>
      </c>
      <c r="K448" s="220">
        <v>0</v>
      </c>
      <c r="L448" s="1236"/>
      <c r="M448"/>
      <c r="N448"/>
      <c r="O448"/>
      <c r="P448"/>
      <c r="Q448"/>
      <c r="R448"/>
      <c r="S448"/>
      <c r="T448"/>
      <c r="U448"/>
      <c r="V448"/>
      <c r="W448"/>
      <c r="X448"/>
    </row>
    <row r="449" spans="1:24" ht="18" thickTop="1" thickBot="1" x14ac:dyDescent="0.35">
      <c r="A449" s="457" t="s">
        <v>2</v>
      </c>
      <c r="B449" s="458">
        <v>2</v>
      </c>
      <c r="C449" s="458">
        <v>2</v>
      </c>
      <c r="D449" s="458" t="s">
        <v>758</v>
      </c>
      <c r="E449" s="457" t="s">
        <v>427</v>
      </c>
      <c r="F449" s="590"/>
      <c r="G449" s="220">
        <v>23.196085052540401</v>
      </c>
      <c r="H449" s="219">
        <v>0</v>
      </c>
      <c r="I449" s="220">
        <v>0</v>
      </c>
      <c r="J449" s="219">
        <v>0</v>
      </c>
      <c r="K449" s="220">
        <v>0</v>
      </c>
      <c r="L449" s="1236"/>
      <c r="M449"/>
      <c r="N449"/>
      <c r="O449"/>
      <c r="P449"/>
      <c r="Q449"/>
      <c r="R449"/>
      <c r="S449"/>
      <c r="T449"/>
      <c r="U449"/>
      <c r="V449"/>
      <c r="W449"/>
      <c r="X449"/>
    </row>
    <row r="450" spans="1:24" ht="18" thickTop="1" thickBot="1" x14ac:dyDescent="0.35">
      <c r="A450" s="457" t="s">
        <v>2</v>
      </c>
      <c r="B450" s="458">
        <v>2</v>
      </c>
      <c r="C450" s="458">
        <v>2</v>
      </c>
      <c r="D450" s="458" t="s">
        <v>758</v>
      </c>
      <c r="E450" s="457" t="s">
        <v>428</v>
      </c>
      <c r="F450" s="590"/>
      <c r="G450" s="220">
        <v>101.04131858846026</v>
      </c>
      <c r="H450" s="219">
        <v>0</v>
      </c>
      <c r="I450" s="220">
        <v>0</v>
      </c>
      <c r="J450" s="219">
        <v>0</v>
      </c>
      <c r="K450" s="220">
        <v>0</v>
      </c>
      <c r="L450" s="1236"/>
      <c r="M450"/>
      <c r="N450"/>
      <c r="O450"/>
      <c r="P450"/>
      <c r="Q450"/>
      <c r="R450"/>
      <c r="S450"/>
      <c r="T450"/>
      <c r="U450"/>
      <c r="V450"/>
      <c r="W450"/>
      <c r="X450"/>
    </row>
    <row r="451" spans="1:24" ht="18" thickTop="1" thickBot="1" x14ac:dyDescent="0.35">
      <c r="A451" s="457" t="s">
        <v>2</v>
      </c>
      <c r="B451" s="458">
        <v>2</v>
      </c>
      <c r="C451" s="458">
        <v>2</v>
      </c>
      <c r="D451" s="458" t="s">
        <v>758</v>
      </c>
      <c r="E451" s="457" t="s">
        <v>429</v>
      </c>
      <c r="F451" s="590"/>
      <c r="G451" s="220">
        <v>1062.6587890374053</v>
      </c>
      <c r="H451" s="219">
        <v>0</v>
      </c>
      <c r="I451" s="220">
        <v>0</v>
      </c>
      <c r="J451" s="219">
        <v>0</v>
      </c>
      <c r="K451" s="220">
        <v>0</v>
      </c>
      <c r="L451" s="1236"/>
      <c r="M451"/>
      <c r="N451"/>
      <c r="O451"/>
      <c r="P451"/>
      <c r="Q451"/>
      <c r="R451"/>
      <c r="S451"/>
      <c r="T451"/>
      <c r="U451"/>
      <c r="V451"/>
      <c r="W451"/>
      <c r="X451"/>
    </row>
    <row r="452" spans="1:24" ht="18" thickTop="1" thickBot="1" x14ac:dyDescent="0.35">
      <c r="A452" s="457" t="s">
        <v>2</v>
      </c>
      <c r="B452" s="458">
        <v>2</v>
      </c>
      <c r="C452" s="458">
        <v>2</v>
      </c>
      <c r="D452" s="458" t="s">
        <v>758</v>
      </c>
      <c r="E452" s="457" t="s">
        <v>69</v>
      </c>
      <c r="F452" s="590"/>
      <c r="G452" s="220">
        <v>684.17508269726625</v>
      </c>
      <c r="H452" s="219">
        <v>0</v>
      </c>
      <c r="I452" s="220">
        <v>0</v>
      </c>
      <c r="J452" s="219">
        <v>0</v>
      </c>
      <c r="K452" s="220">
        <v>0</v>
      </c>
      <c r="L452" s="1236"/>
      <c r="M452"/>
      <c r="N452"/>
      <c r="O452"/>
      <c r="P452"/>
      <c r="Q452"/>
      <c r="R452"/>
      <c r="S452"/>
      <c r="T452"/>
      <c r="U452"/>
      <c r="V452"/>
      <c r="W452"/>
      <c r="X452"/>
    </row>
    <row r="453" spans="1:24" ht="18" thickTop="1" thickBot="1" x14ac:dyDescent="0.35">
      <c r="A453" s="457" t="s">
        <v>2</v>
      </c>
      <c r="B453" s="458">
        <v>2</v>
      </c>
      <c r="C453" s="458">
        <v>2</v>
      </c>
      <c r="D453" s="458" t="s">
        <v>758</v>
      </c>
      <c r="E453" s="457" t="s">
        <v>430</v>
      </c>
      <c r="F453" s="590"/>
      <c r="G453" s="220">
        <v>815.45146957414124</v>
      </c>
      <c r="H453" s="219">
        <v>0</v>
      </c>
      <c r="I453" s="220">
        <v>0</v>
      </c>
      <c r="J453" s="219">
        <v>0</v>
      </c>
      <c r="K453" s="220">
        <v>0</v>
      </c>
      <c r="L453" s="1236"/>
      <c r="M453"/>
      <c r="N453"/>
      <c r="O453"/>
      <c r="P453"/>
      <c r="Q453"/>
      <c r="R453"/>
      <c r="S453"/>
      <c r="T453"/>
      <c r="U453"/>
      <c r="V453"/>
      <c r="W453"/>
      <c r="X453"/>
    </row>
    <row r="454" spans="1:24" ht="18" thickTop="1" thickBot="1" x14ac:dyDescent="0.35">
      <c r="A454" s="457" t="s">
        <v>2</v>
      </c>
      <c r="B454" s="458">
        <v>2</v>
      </c>
      <c r="C454" s="458">
        <v>2</v>
      </c>
      <c r="D454" s="458" t="s">
        <v>765</v>
      </c>
      <c r="E454" s="457" t="s">
        <v>431</v>
      </c>
      <c r="F454" s="590"/>
      <c r="G454" s="220">
        <v>551.11638447736368</v>
      </c>
      <c r="H454" s="219">
        <v>0</v>
      </c>
      <c r="I454" s="220">
        <v>0</v>
      </c>
      <c r="J454" s="219">
        <v>0</v>
      </c>
      <c r="K454" s="220">
        <v>0</v>
      </c>
      <c r="L454" s="1236"/>
      <c r="M454"/>
      <c r="N454"/>
      <c r="O454"/>
      <c r="P454"/>
      <c r="Q454"/>
      <c r="R454"/>
      <c r="S454"/>
      <c r="T454"/>
      <c r="U454"/>
      <c r="V454"/>
      <c r="W454"/>
      <c r="X454"/>
    </row>
    <row r="455" spans="1:24" ht="18" thickTop="1" thickBot="1" x14ac:dyDescent="0.35">
      <c r="A455" s="457" t="s">
        <v>2</v>
      </c>
      <c r="B455" s="458">
        <v>2</v>
      </c>
      <c r="C455" s="458">
        <v>2</v>
      </c>
      <c r="D455" s="458" t="s">
        <v>765</v>
      </c>
      <c r="E455" s="457" t="s">
        <v>432</v>
      </c>
      <c r="F455" s="590"/>
      <c r="G455" s="220">
        <v>770.84336346119596</v>
      </c>
      <c r="H455" s="219">
        <v>0</v>
      </c>
      <c r="I455" s="220">
        <v>0</v>
      </c>
      <c r="J455" s="219">
        <v>0</v>
      </c>
      <c r="K455" s="220">
        <v>0</v>
      </c>
      <c r="L455" s="1236"/>
      <c r="M455"/>
      <c r="N455"/>
      <c r="O455"/>
      <c r="P455"/>
      <c r="Q455"/>
      <c r="R455"/>
      <c r="S455"/>
      <c r="T455"/>
      <c r="U455"/>
      <c r="V455"/>
      <c r="W455"/>
      <c r="X455"/>
    </row>
    <row r="456" spans="1:24" ht="18" thickTop="1" thickBot="1" x14ac:dyDescent="0.35">
      <c r="A456" s="457" t="s">
        <v>2</v>
      </c>
      <c r="B456" s="458">
        <v>2</v>
      </c>
      <c r="C456" s="458">
        <v>2</v>
      </c>
      <c r="D456" s="458" t="s">
        <v>758</v>
      </c>
      <c r="E456" s="457" t="s">
        <v>433</v>
      </c>
      <c r="F456" s="590"/>
      <c r="G456" s="220">
        <v>962.0874490112634</v>
      </c>
      <c r="H456" s="219">
        <v>0</v>
      </c>
      <c r="I456" s="220">
        <v>0</v>
      </c>
      <c r="J456" s="219">
        <v>0</v>
      </c>
      <c r="K456" s="220">
        <v>0</v>
      </c>
      <c r="L456" s="1236"/>
      <c r="M456"/>
      <c r="N456"/>
      <c r="O456"/>
      <c r="P456"/>
      <c r="Q456"/>
      <c r="R456"/>
      <c r="S456"/>
      <c r="T456"/>
      <c r="U456"/>
      <c r="V456"/>
      <c r="W456"/>
      <c r="X456"/>
    </row>
    <row r="457" spans="1:24" ht="18" thickTop="1" thickBot="1" x14ac:dyDescent="0.35">
      <c r="A457" s="457" t="s">
        <v>2</v>
      </c>
      <c r="B457" s="458">
        <v>2</v>
      </c>
      <c r="C457" s="458">
        <v>2</v>
      </c>
      <c r="D457" s="458" t="s">
        <v>758</v>
      </c>
      <c r="E457" s="457" t="s">
        <v>434</v>
      </c>
      <c r="F457" s="590"/>
      <c r="G457" s="220">
        <v>530.99216956666885</v>
      </c>
      <c r="H457" s="219">
        <v>0</v>
      </c>
      <c r="I457" s="220">
        <v>0</v>
      </c>
      <c r="J457" s="219">
        <v>0</v>
      </c>
      <c r="K457" s="220">
        <v>0</v>
      </c>
      <c r="L457" s="1236"/>
      <c r="M457"/>
      <c r="N457"/>
      <c r="O457"/>
      <c r="P457"/>
      <c r="Q457"/>
      <c r="R457"/>
      <c r="S457"/>
      <c r="T457"/>
      <c r="U457"/>
      <c r="V457"/>
      <c r="W457"/>
      <c r="X457"/>
    </row>
    <row r="458" spans="1:24" ht="18" thickTop="1" thickBot="1" x14ac:dyDescent="0.35">
      <c r="A458" s="457" t="s">
        <v>2</v>
      </c>
      <c r="B458" s="458">
        <v>2</v>
      </c>
      <c r="C458" s="458">
        <v>2</v>
      </c>
      <c r="D458" s="458" t="s">
        <v>758</v>
      </c>
      <c r="E458" s="457" t="s">
        <v>435</v>
      </c>
      <c r="F458" s="590"/>
      <c r="G458" s="220">
        <v>467.21910646460543</v>
      </c>
      <c r="H458" s="219">
        <v>0</v>
      </c>
      <c r="I458" s="220">
        <v>0</v>
      </c>
      <c r="J458" s="219">
        <v>0</v>
      </c>
      <c r="K458" s="220">
        <v>0</v>
      </c>
      <c r="L458" s="1236"/>
      <c r="M458"/>
      <c r="N458"/>
      <c r="O458"/>
      <c r="P458"/>
      <c r="Q458"/>
      <c r="R458"/>
      <c r="S458"/>
      <c r="T458"/>
      <c r="U458"/>
      <c r="V458"/>
      <c r="W458"/>
      <c r="X458"/>
    </row>
    <row r="459" spans="1:24" ht="18" thickTop="1" thickBot="1" x14ac:dyDescent="0.35">
      <c r="A459" s="457" t="s">
        <v>2</v>
      </c>
      <c r="B459" s="458">
        <v>2</v>
      </c>
      <c r="C459" s="458">
        <v>2</v>
      </c>
      <c r="D459" s="458" t="s">
        <v>758</v>
      </c>
      <c r="E459" s="457" t="s">
        <v>436</v>
      </c>
      <c r="F459" s="590"/>
      <c r="G459" s="220">
        <v>565.28643491492176</v>
      </c>
      <c r="H459" s="219">
        <v>0</v>
      </c>
      <c r="I459" s="220">
        <v>0</v>
      </c>
      <c r="J459" s="219">
        <v>0</v>
      </c>
      <c r="K459" s="220">
        <v>0</v>
      </c>
      <c r="L459" s="1236"/>
      <c r="M459"/>
      <c r="N459"/>
      <c r="O459"/>
      <c r="P459"/>
      <c r="Q459"/>
      <c r="R459"/>
      <c r="S459"/>
      <c r="T459"/>
      <c r="U459"/>
      <c r="V459"/>
      <c r="W459"/>
      <c r="X459"/>
    </row>
    <row r="460" spans="1:24" ht="18" thickTop="1" thickBot="1" x14ac:dyDescent="0.35">
      <c r="A460" s="457" t="s">
        <v>2</v>
      </c>
      <c r="B460" s="458">
        <v>2</v>
      </c>
      <c r="C460" s="458">
        <v>2</v>
      </c>
      <c r="D460" s="458" t="s">
        <v>758</v>
      </c>
      <c r="E460" s="457" t="s">
        <v>437</v>
      </c>
      <c r="F460" s="590"/>
      <c r="G460" s="220">
        <v>693.45676937897861</v>
      </c>
      <c r="H460" s="219">
        <v>0</v>
      </c>
      <c r="I460" s="220">
        <v>0</v>
      </c>
      <c r="J460" s="219">
        <v>0</v>
      </c>
      <c r="K460" s="220">
        <v>0</v>
      </c>
      <c r="L460" s="1236"/>
      <c r="M460"/>
      <c r="N460"/>
      <c r="O460"/>
      <c r="P460"/>
      <c r="Q460"/>
      <c r="R460"/>
      <c r="S460"/>
      <c r="T460"/>
      <c r="U460"/>
      <c r="V460"/>
      <c r="W460"/>
      <c r="X460"/>
    </row>
    <row r="461" spans="1:24" ht="18" thickTop="1" thickBot="1" x14ac:dyDescent="0.35">
      <c r="A461" s="457" t="s">
        <v>2</v>
      </c>
      <c r="B461" s="458">
        <v>2</v>
      </c>
      <c r="C461" s="458">
        <v>2</v>
      </c>
      <c r="D461" s="458" t="s">
        <v>758</v>
      </c>
      <c r="E461" s="457" t="s">
        <v>438</v>
      </c>
      <c r="F461" s="590"/>
      <c r="G461" s="220">
        <v>529.26134949130437</v>
      </c>
      <c r="H461" s="219">
        <v>0</v>
      </c>
      <c r="I461" s="220">
        <v>0</v>
      </c>
      <c r="J461" s="219">
        <v>0</v>
      </c>
      <c r="K461" s="220">
        <v>0</v>
      </c>
      <c r="L461" s="1236"/>
      <c r="M461"/>
      <c r="N461"/>
      <c r="O461"/>
      <c r="P461"/>
      <c r="Q461"/>
      <c r="R461"/>
      <c r="S461"/>
      <c r="T461"/>
      <c r="U461"/>
      <c r="V461"/>
      <c r="W461"/>
      <c r="X461"/>
    </row>
    <row r="462" spans="1:24" ht="18" thickTop="1" thickBot="1" x14ac:dyDescent="0.35">
      <c r="A462" s="457" t="s">
        <v>2</v>
      </c>
      <c r="B462" s="458">
        <v>2</v>
      </c>
      <c r="C462" s="458">
        <v>2</v>
      </c>
      <c r="D462" s="458" t="s">
        <v>758</v>
      </c>
      <c r="E462" s="457" t="s">
        <v>439</v>
      </c>
      <c r="F462" s="590"/>
      <c r="G462" s="220">
        <v>439.44519314928232</v>
      </c>
      <c r="H462" s="219">
        <v>0</v>
      </c>
      <c r="I462" s="220">
        <v>0</v>
      </c>
      <c r="J462" s="219">
        <v>0</v>
      </c>
      <c r="K462" s="220">
        <v>0</v>
      </c>
      <c r="L462" s="1236"/>
      <c r="M462"/>
      <c r="N462"/>
      <c r="O462"/>
      <c r="P462"/>
      <c r="Q462"/>
      <c r="R462"/>
      <c r="S462"/>
      <c r="T462"/>
      <c r="U462"/>
      <c r="V462"/>
      <c r="W462"/>
      <c r="X462"/>
    </row>
    <row r="463" spans="1:24" ht="18" thickTop="1" thickBot="1" x14ac:dyDescent="0.35">
      <c r="A463" s="457" t="s">
        <v>2</v>
      </c>
      <c r="B463" s="458">
        <v>2</v>
      </c>
      <c r="C463" s="458">
        <v>2</v>
      </c>
      <c r="D463" s="458" t="s">
        <v>758</v>
      </c>
      <c r="E463" s="457" t="s">
        <v>440</v>
      </c>
      <c r="F463" s="590"/>
      <c r="G463" s="220">
        <v>647.10861783114035</v>
      </c>
      <c r="H463" s="219">
        <v>0</v>
      </c>
      <c r="I463" s="220">
        <v>0</v>
      </c>
      <c r="J463" s="219">
        <v>0</v>
      </c>
      <c r="K463" s="220">
        <v>0</v>
      </c>
      <c r="L463" s="1236"/>
      <c r="M463"/>
      <c r="N463"/>
      <c r="O463"/>
      <c r="P463"/>
      <c r="Q463"/>
      <c r="R463"/>
      <c r="S463"/>
      <c r="T463"/>
      <c r="U463"/>
      <c r="V463"/>
      <c r="W463"/>
      <c r="X463"/>
    </row>
    <row r="464" spans="1:24" ht="18" thickTop="1" thickBot="1" x14ac:dyDescent="0.35">
      <c r="A464" s="457" t="s">
        <v>2</v>
      </c>
      <c r="B464" s="458">
        <v>2</v>
      </c>
      <c r="C464" s="458">
        <v>2</v>
      </c>
      <c r="D464" s="458" t="s">
        <v>758</v>
      </c>
      <c r="E464" s="457" t="s">
        <v>441</v>
      </c>
      <c r="F464" s="590"/>
      <c r="G464" s="220">
        <v>1570.6301300863922</v>
      </c>
      <c r="H464" s="219">
        <v>0</v>
      </c>
      <c r="I464" s="220">
        <v>0</v>
      </c>
      <c r="J464" s="219">
        <v>0</v>
      </c>
      <c r="K464" s="220">
        <v>0</v>
      </c>
      <c r="L464" s="1236"/>
      <c r="M464"/>
      <c r="N464"/>
      <c r="O464"/>
      <c r="P464"/>
      <c r="Q464"/>
      <c r="R464"/>
      <c r="S464"/>
      <c r="T464"/>
      <c r="U464"/>
      <c r="V464"/>
      <c r="W464"/>
      <c r="X464"/>
    </row>
    <row r="465" spans="1:24" ht="18" thickTop="1" thickBot="1" x14ac:dyDescent="0.35">
      <c r="A465" s="457" t="s">
        <v>2</v>
      </c>
      <c r="B465" s="458">
        <v>2</v>
      </c>
      <c r="C465" s="458">
        <v>2</v>
      </c>
      <c r="D465" s="458" t="s">
        <v>758</v>
      </c>
      <c r="E465" s="457" t="s">
        <v>442</v>
      </c>
      <c r="F465" s="590"/>
      <c r="G465" s="220">
        <v>507.10930345350778</v>
      </c>
      <c r="H465" s="219">
        <v>0</v>
      </c>
      <c r="I465" s="220">
        <v>0</v>
      </c>
      <c r="J465" s="219">
        <v>0</v>
      </c>
      <c r="K465" s="220">
        <v>0</v>
      </c>
      <c r="L465" s="1236"/>
      <c r="M465"/>
      <c r="N465"/>
      <c r="O465"/>
      <c r="P465"/>
      <c r="Q465"/>
      <c r="R465"/>
      <c r="S465"/>
      <c r="T465"/>
      <c r="U465"/>
      <c r="V465"/>
      <c r="W465"/>
      <c r="X465"/>
    </row>
    <row r="466" spans="1:24" ht="18" thickTop="1" thickBot="1" x14ac:dyDescent="0.35">
      <c r="A466" s="457" t="s">
        <v>2</v>
      </c>
      <c r="B466" s="458">
        <v>2</v>
      </c>
      <c r="C466" s="458">
        <v>2</v>
      </c>
      <c r="D466" s="458" t="s">
        <v>758</v>
      </c>
      <c r="E466" s="457" t="s">
        <v>443</v>
      </c>
      <c r="F466" s="590"/>
      <c r="G466" s="220">
        <v>1501.2692757958646</v>
      </c>
      <c r="H466" s="219">
        <v>0</v>
      </c>
      <c r="I466" s="220">
        <v>0</v>
      </c>
      <c r="J466" s="219">
        <v>0</v>
      </c>
      <c r="K466" s="220">
        <v>0</v>
      </c>
      <c r="L466" s="1236"/>
      <c r="M466"/>
      <c r="N466"/>
      <c r="O466"/>
      <c r="P466"/>
      <c r="Q466"/>
      <c r="R466"/>
      <c r="S466"/>
      <c r="T466"/>
      <c r="U466"/>
      <c r="V466"/>
      <c r="W466"/>
      <c r="X466"/>
    </row>
    <row r="467" spans="1:24" ht="18" thickTop="1" thickBot="1" x14ac:dyDescent="0.35">
      <c r="A467" s="457" t="s">
        <v>2</v>
      </c>
      <c r="B467" s="458">
        <v>2</v>
      </c>
      <c r="C467" s="458">
        <v>2</v>
      </c>
      <c r="D467" s="458" t="s">
        <v>758</v>
      </c>
      <c r="E467" s="457" t="s">
        <v>444</v>
      </c>
      <c r="F467" s="590"/>
      <c r="G467" s="220">
        <v>357.86262929089173</v>
      </c>
      <c r="H467" s="219">
        <v>0</v>
      </c>
      <c r="I467" s="220">
        <v>0</v>
      </c>
      <c r="J467" s="219">
        <v>0</v>
      </c>
      <c r="K467" s="220">
        <v>0</v>
      </c>
      <c r="L467" s="1236"/>
      <c r="M467"/>
      <c r="N467"/>
      <c r="O467"/>
      <c r="P467"/>
      <c r="Q467"/>
      <c r="R467"/>
      <c r="S467"/>
      <c r="T467"/>
      <c r="U467"/>
      <c r="V467"/>
      <c r="W467"/>
      <c r="X467"/>
    </row>
    <row r="468" spans="1:24" ht="18" thickTop="1" thickBot="1" x14ac:dyDescent="0.35">
      <c r="A468" s="457" t="s">
        <v>2</v>
      </c>
      <c r="B468" s="458">
        <v>2</v>
      </c>
      <c r="C468" s="458">
        <v>2</v>
      </c>
      <c r="D468" s="458" t="s">
        <v>758</v>
      </c>
      <c r="E468" s="457" t="s">
        <v>445</v>
      </c>
      <c r="F468" s="590"/>
      <c r="G468" s="220">
        <v>1191.3956760760805</v>
      </c>
      <c r="H468" s="219">
        <v>0</v>
      </c>
      <c r="I468" s="220">
        <v>0</v>
      </c>
      <c r="J468" s="219">
        <v>0</v>
      </c>
      <c r="K468" s="220">
        <v>0</v>
      </c>
      <c r="L468" s="1236"/>
      <c r="M468"/>
      <c r="N468"/>
      <c r="O468"/>
      <c r="P468"/>
      <c r="Q468"/>
      <c r="R468"/>
      <c r="S468"/>
      <c r="T468"/>
      <c r="U468"/>
      <c r="V468"/>
      <c r="W468"/>
      <c r="X468"/>
    </row>
    <row r="469" spans="1:24" ht="18" thickTop="1" thickBot="1" x14ac:dyDescent="0.35">
      <c r="A469" s="457" t="s">
        <v>2</v>
      </c>
      <c r="B469" s="458">
        <v>2</v>
      </c>
      <c r="C469" s="458">
        <v>2</v>
      </c>
      <c r="D469" s="458" t="s">
        <v>758</v>
      </c>
      <c r="E469" s="457" t="s">
        <v>446</v>
      </c>
      <c r="F469" s="590"/>
      <c r="G469" s="220">
        <v>2799.6301433496146</v>
      </c>
      <c r="H469" s="219">
        <v>0</v>
      </c>
      <c r="I469" s="220">
        <v>0</v>
      </c>
      <c r="J469" s="219">
        <v>0</v>
      </c>
      <c r="K469" s="220">
        <v>0</v>
      </c>
      <c r="L469" s="1236"/>
      <c r="M469"/>
      <c r="N469"/>
      <c r="O469"/>
      <c r="P469"/>
      <c r="Q469"/>
      <c r="R469"/>
      <c r="S469"/>
      <c r="T469"/>
      <c r="U469"/>
      <c r="V469"/>
      <c r="W469"/>
      <c r="X469"/>
    </row>
    <row r="470" spans="1:24" ht="18" thickTop="1" thickBot="1" x14ac:dyDescent="0.35">
      <c r="A470" s="457" t="s">
        <v>2</v>
      </c>
      <c r="B470" s="458">
        <v>2</v>
      </c>
      <c r="C470" s="458">
        <v>2</v>
      </c>
      <c r="D470" s="458" t="s">
        <v>758</v>
      </c>
      <c r="E470" s="457" t="s">
        <v>447</v>
      </c>
      <c r="F470" s="590"/>
      <c r="G470" s="220">
        <v>1560.9995286983849</v>
      </c>
      <c r="H470" s="219">
        <v>0</v>
      </c>
      <c r="I470" s="220">
        <v>0</v>
      </c>
      <c r="J470" s="219">
        <v>0</v>
      </c>
      <c r="K470" s="220">
        <v>0</v>
      </c>
      <c r="L470" s="1236"/>
      <c r="M470"/>
      <c r="N470"/>
      <c r="O470"/>
      <c r="P470"/>
      <c r="Q470"/>
      <c r="R470"/>
      <c r="S470"/>
      <c r="T470"/>
      <c r="U470"/>
      <c r="V470"/>
      <c r="W470"/>
      <c r="X470"/>
    </row>
    <row r="471" spans="1:24" ht="18" thickTop="1" thickBot="1" x14ac:dyDescent="0.35">
      <c r="A471" s="457" t="s">
        <v>2</v>
      </c>
      <c r="B471" s="458">
        <v>2</v>
      </c>
      <c r="C471" s="458">
        <v>2</v>
      </c>
      <c r="D471" s="458" t="s">
        <v>758</v>
      </c>
      <c r="E471" s="457" t="s">
        <v>448</v>
      </c>
      <c r="F471" s="590"/>
      <c r="G471" s="220">
        <v>377.54970255111607</v>
      </c>
      <c r="H471" s="219">
        <v>0</v>
      </c>
      <c r="I471" s="220">
        <v>0</v>
      </c>
      <c r="J471" s="219">
        <v>0</v>
      </c>
      <c r="K471" s="220">
        <v>0</v>
      </c>
      <c r="L471" s="1236"/>
      <c r="M471"/>
      <c r="N471"/>
      <c r="O471"/>
      <c r="P471"/>
      <c r="Q471"/>
      <c r="R471"/>
      <c r="S471"/>
      <c r="T471"/>
      <c r="U471"/>
      <c r="V471"/>
      <c r="W471"/>
      <c r="X471"/>
    </row>
    <row r="472" spans="1:24" ht="18" thickTop="1" thickBot="1" x14ac:dyDescent="0.35">
      <c r="A472" s="457" t="s">
        <v>2</v>
      </c>
      <c r="B472" s="458">
        <v>2</v>
      </c>
      <c r="C472" s="458">
        <v>2</v>
      </c>
      <c r="D472" s="458" t="s">
        <v>758</v>
      </c>
      <c r="E472" s="457" t="s">
        <v>449</v>
      </c>
      <c r="F472" s="590"/>
      <c r="G472" s="220">
        <v>434.51736712864982</v>
      </c>
      <c r="H472" s="219">
        <v>0</v>
      </c>
      <c r="I472" s="220">
        <v>0</v>
      </c>
      <c r="J472" s="219">
        <v>0</v>
      </c>
      <c r="K472" s="220">
        <v>0</v>
      </c>
      <c r="L472" s="1236"/>
      <c r="M472"/>
      <c r="N472"/>
      <c r="O472"/>
      <c r="P472"/>
      <c r="Q472"/>
      <c r="R472"/>
      <c r="S472"/>
      <c r="T472"/>
      <c r="U472"/>
      <c r="V472"/>
      <c r="W472"/>
      <c r="X472"/>
    </row>
    <row r="473" spans="1:24" ht="18" thickTop="1" thickBot="1" x14ac:dyDescent="0.35">
      <c r="A473" s="457" t="s">
        <v>2</v>
      </c>
      <c r="B473" s="458">
        <v>2</v>
      </c>
      <c r="C473" s="458">
        <v>2</v>
      </c>
      <c r="D473" s="458" t="s">
        <v>758</v>
      </c>
      <c r="E473" s="457" t="s">
        <v>450</v>
      </c>
      <c r="F473" s="590"/>
      <c r="G473" s="220">
        <v>449.27392500158669</v>
      </c>
      <c r="H473" s="219">
        <v>0</v>
      </c>
      <c r="I473" s="220">
        <v>0</v>
      </c>
      <c r="J473" s="219">
        <v>0</v>
      </c>
      <c r="K473" s="220">
        <v>0</v>
      </c>
      <c r="L473" s="1236"/>
      <c r="M473"/>
      <c r="N473"/>
      <c r="O473"/>
      <c r="P473"/>
      <c r="Q473"/>
      <c r="R473"/>
      <c r="S473"/>
      <c r="T473"/>
      <c r="U473"/>
      <c r="V473"/>
      <c r="W473"/>
      <c r="X473"/>
    </row>
    <row r="474" spans="1:24" ht="18" thickTop="1" thickBot="1" x14ac:dyDescent="0.35">
      <c r="A474" s="457" t="s">
        <v>2</v>
      </c>
      <c r="B474" s="458">
        <v>2</v>
      </c>
      <c r="C474" s="458">
        <v>2</v>
      </c>
      <c r="D474" s="458" t="s">
        <v>758</v>
      </c>
      <c r="E474" s="457" t="s">
        <v>451</v>
      </c>
      <c r="F474" s="590"/>
      <c r="G474" s="220">
        <v>594.64371465266765</v>
      </c>
      <c r="H474" s="219">
        <v>0</v>
      </c>
      <c r="I474" s="220">
        <v>0</v>
      </c>
      <c r="J474" s="219">
        <v>0</v>
      </c>
      <c r="K474" s="220">
        <v>0</v>
      </c>
      <c r="L474" s="1236"/>
      <c r="M474"/>
      <c r="N474"/>
      <c r="O474"/>
      <c r="P474"/>
      <c r="Q474"/>
      <c r="R474"/>
      <c r="S474"/>
      <c r="T474"/>
      <c r="U474"/>
      <c r="V474"/>
      <c r="W474"/>
      <c r="X474"/>
    </row>
    <row r="475" spans="1:24" ht="18" thickTop="1" thickBot="1" x14ac:dyDescent="0.35">
      <c r="A475" s="457" t="s">
        <v>2</v>
      </c>
      <c r="B475" s="458">
        <v>2</v>
      </c>
      <c r="C475" s="458">
        <v>2</v>
      </c>
      <c r="D475" s="458" t="s">
        <v>758</v>
      </c>
      <c r="E475" s="457" t="s">
        <v>452</v>
      </c>
      <c r="F475" s="590"/>
      <c r="G475" s="220">
        <v>290.12164540550191</v>
      </c>
      <c r="H475" s="219">
        <v>0</v>
      </c>
      <c r="I475" s="220">
        <v>0</v>
      </c>
      <c r="J475" s="219">
        <v>0</v>
      </c>
      <c r="K475" s="220">
        <v>0</v>
      </c>
      <c r="L475" s="1236"/>
      <c r="M475"/>
      <c r="N475"/>
      <c r="O475"/>
      <c r="P475"/>
      <c r="Q475"/>
      <c r="R475"/>
      <c r="S475"/>
      <c r="T475"/>
      <c r="U475"/>
      <c r="V475"/>
      <c r="W475"/>
      <c r="X475"/>
    </row>
    <row r="476" spans="1:24" ht="18" thickTop="1" thickBot="1" x14ac:dyDescent="0.35">
      <c r="A476" s="457" t="s">
        <v>2</v>
      </c>
      <c r="B476" s="458">
        <v>2</v>
      </c>
      <c r="C476" s="458">
        <v>2</v>
      </c>
      <c r="D476" s="458" t="s">
        <v>758</v>
      </c>
      <c r="E476" s="457" t="s">
        <v>453</v>
      </c>
      <c r="F476" s="590"/>
      <c r="G476" s="220">
        <v>412.9524357581123</v>
      </c>
      <c r="H476" s="219">
        <v>0</v>
      </c>
      <c r="I476" s="220">
        <v>0</v>
      </c>
      <c r="J476" s="219">
        <v>0</v>
      </c>
      <c r="K476" s="220">
        <v>0</v>
      </c>
      <c r="L476" s="1236"/>
      <c r="M476"/>
      <c r="N476"/>
      <c r="O476"/>
      <c r="P476"/>
      <c r="Q476"/>
      <c r="R476"/>
      <c r="S476"/>
      <c r="T476"/>
      <c r="U476"/>
      <c r="V476"/>
      <c r="W476"/>
      <c r="X476"/>
    </row>
    <row r="477" spans="1:24" ht="18" thickTop="1" thickBot="1" x14ac:dyDescent="0.35">
      <c r="A477" s="457" t="s">
        <v>2</v>
      </c>
      <c r="B477" s="458">
        <v>2</v>
      </c>
      <c r="C477" s="458">
        <v>2</v>
      </c>
      <c r="D477" s="458" t="s">
        <v>758</v>
      </c>
      <c r="E477" s="457" t="s">
        <v>454</v>
      </c>
      <c r="F477" s="590"/>
      <c r="G477" s="220">
        <v>703.72602625586762</v>
      </c>
      <c r="H477" s="219">
        <v>0</v>
      </c>
      <c r="I477" s="220">
        <v>0</v>
      </c>
      <c r="J477" s="219">
        <v>0</v>
      </c>
      <c r="K477" s="220">
        <v>0</v>
      </c>
      <c r="L477" s="1236"/>
      <c r="M477"/>
      <c r="N477"/>
      <c r="O477"/>
      <c r="P477"/>
      <c r="Q477"/>
      <c r="R477"/>
      <c r="S477"/>
      <c r="T477"/>
      <c r="U477"/>
      <c r="V477"/>
      <c r="W477"/>
      <c r="X477"/>
    </row>
    <row r="478" spans="1:24" ht="18" thickTop="1" thickBot="1" x14ac:dyDescent="0.35">
      <c r="A478" s="457" t="s">
        <v>2</v>
      </c>
      <c r="B478" s="458">
        <v>2</v>
      </c>
      <c r="C478" s="458">
        <v>2</v>
      </c>
      <c r="D478" s="458" t="s">
        <v>758</v>
      </c>
      <c r="E478" s="457" t="s">
        <v>455</v>
      </c>
      <c r="F478" s="590"/>
      <c r="G478" s="220">
        <v>787.41487906654072</v>
      </c>
      <c r="H478" s="219">
        <v>0</v>
      </c>
      <c r="I478" s="220">
        <v>0</v>
      </c>
      <c r="J478" s="219">
        <v>0</v>
      </c>
      <c r="K478" s="220">
        <v>0</v>
      </c>
      <c r="L478" s="1236"/>
      <c r="M478"/>
      <c r="N478"/>
      <c r="O478"/>
      <c r="P478"/>
      <c r="Q478"/>
      <c r="R478"/>
      <c r="S478"/>
      <c r="T478"/>
      <c r="U478"/>
      <c r="V478"/>
      <c r="W478"/>
      <c r="X478"/>
    </row>
    <row r="479" spans="1:24" ht="18" thickTop="1" thickBot="1" x14ac:dyDescent="0.35">
      <c r="A479" s="457" t="s">
        <v>2</v>
      </c>
      <c r="B479" s="458">
        <v>2</v>
      </c>
      <c r="C479" s="458">
        <v>2</v>
      </c>
      <c r="D479" s="458" t="s">
        <v>758</v>
      </c>
      <c r="E479" s="457" t="s">
        <v>456</v>
      </c>
      <c r="F479" s="590"/>
      <c r="G479" s="220">
        <v>644.20046934054312</v>
      </c>
      <c r="H479" s="219">
        <v>0</v>
      </c>
      <c r="I479" s="220">
        <v>0</v>
      </c>
      <c r="J479" s="219">
        <v>0</v>
      </c>
      <c r="K479" s="220">
        <v>0</v>
      </c>
      <c r="L479" s="1236"/>
      <c r="M479"/>
      <c r="N479"/>
      <c r="O479"/>
      <c r="P479"/>
      <c r="Q479"/>
      <c r="R479"/>
      <c r="S479"/>
      <c r="T479"/>
      <c r="U479"/>
      <c r="V479"/>
      <c r="W479"/>
      <c r="X479"/>
    </row>
    <row r="480" spans="1:24" ht="18" thickTop="1" thickBot="1" x14ac:dyDescent="0.35">
      <c r="A480" s="457" t="s">
        <v>2</v>
      </c>
      <c r="B480" s="458">
        <v>2</v>
      </c>
      <c r="C480" s="458">
        <v>2</v>
      </c>
      <c r="D480" s="458" t="s">
        <v>758</v>
      </c>
      <c r="E480" s="457" t="s">
        <v>457</v>
      </c>
      <c r="F480" s="590"/>
      <c r="G480" s="220">
        <v>578.39709338736327</v>
      </c>
      <c r="H480" s="219">
        <v>0</v>
      </c>
      <c r="I480" s="220">
        <v>0</v>
      </c>
      <c r="J480" s="219">
        <v>0</v>
      </c>
      <c r="K480" s="220">
        <v>0</v>
      </c>
      <c r="L480" s="1236"/>
      <c r="M480" s="2">
        <f>SUM(L119:L481)</f>
        <v>0</v>
      </c>
      <c r="N480"/>
      <c r="O480"/>
      <c r="P480"/>
      <c r="Q480"/>
      <c r="R480"/>
      <c r="S480"/>
      <c r="T480"/>
      <c r="U480"/>
      <c r="V480"/>
      <c r="W480"/>
      <c r="X480"/>
    </row>
    <row r="481" spans="1:24" ht="18" thickTop="1" thickBot="1" x14ac:dyDescent="0.35">
      <c r="A481" s="457" t="s">
        <v>2</v>
      </c>
      <c r="B481" s="458">
        <v>2</v>
      </c>
      <c r="C481" s="458">
        <v>2</v>
      </c>
      <c r="D481" s="458" t="s">
        <v>758</v>
      </c>
      <c r="E481" s="457" t="s">
        <v>458</v>
      </c>
      <c r="F481" s="590"/>
      <c r="G481" s="220">
        <v>684.37981644930392</v>
      </c>
      <c r="H481" s="219">
        <v>0</v>
      </c>
      <c r="I481" s="220">
        <v>0</v>
      </c>
      <c r="J481" s="219">
        <v>0</v>
      </c>
      <c r="K481" s="220">
        <v>0</v>
      </c>
      <c r="L481" s="1236"/>
      <c r="M481"/>
      <c r="N481"/>
      <c r="O481"/>
      <c r="P481"/>
      <c r="Q481"/>
      <c r="R481"/>
      <c r="S481"/>
      <c r="T481"/>
      <c r="U481"/>
      <c r="V481"/>
      <c r="W481"/>
      <c r="X481"/>
    </row>
    <row r="482" spans="1:24" ht="18" thickTop="1" thickBot="1" x14ac:dyDescent="0.35">
      <c r="A482" s="457" t="s">
        <v>3</v>
      </c>
      <c r="B482" s="458">
        <v>3</v>
      </c>
      <c r="C482" s="458">
        <v>3</v>
      </c>
      <c r="D482" s="673" t="s">
        <v>769</v>
      </c>
      <c r="E482" s="457" t="s">
        <v>609</v>
      </c>
      <c r="F482" s="590"/>
      <c r="G482" s="220">
        <v>5.4883702913039007</v>
      </c>
      <c r="H482" s="219">
        <v>0</v>
      </c>
      <c r="I482" s="220">
        <v>0</v>
      </c>
      <c r="J482" s="219">
        <v>0</v>
      </c>
      <c r="K482" s="220">
        <v>0</v>
      </c>
      <c r="L482" s="1236"/>
      <c r="M482"/>
      <c r="N482"/>
      <c r="O482"/>
      <c r="P482"/>
      <c r="Q482"/>
      <c r="R482"/>
      <c r="S482"/>
      <c r="T482"/>
      <c r="U482"/>
      <c r="V482"/>
      <c r="W482"/>
      <c r="X482"/>
    </row>
    <row r="483" spans="1:24" ht="18" thickTop="1" thickBot="1" x14ac:dyDescent="0.35">
      <c r="A483" s="457" t="s">
        <v>3</v>
      </c>
      <c r="B483" s="458">
        <v>3</v>
      </c>
      <c r="C483" s="458">
        <v>3</v>
      </c>
      <c r="D483" s="673" t="s">
        <v>769</v>
      </c>
      <c r="E483" s="457" t="s">
        <v>459</v>
      </c>
      <c r="F483" s="590"/>
      <c r="G483" s="220">
        <v>45.12457738263474</v>
      </c>
      <c r="H483" s="219">
        <v>0</v>
      </c>
      <c r="I483" s="220">
        <v>0</v>
      </c>
      <c r="J483" s="219">
        <v>0</v>
      </c>
      <c r="K483" s="220">
        <v>0</v>
      </c>
      <c r="L483" s="1236"/>
      <c r="M483"/>
      <c r="N483"/>
      <c r="O483"/>
      <c r="P483"/>
      <c r="Q483"/>
      <c r="R483"/>
      <c r="S483"/>
      <c r="T483"/>
      <c r="U483"/>
      <c r="V483"/>
      <c r="W483"/>
      <c r="X483"/>
    </row>
    <row r="484" spans="1:24" ht="18" thickTop="1" thickBot="1" x14ac:dyDescent="0.35">
      <c r="A484" s="457" t="s">
        <v>3</v>
      </c>
      <c r="B484" s="458">
        <v>3</v>
      </c>
      <c r="C484" s="458">
        <v>3</v>
      </c>
      <c r="D484" s="673" t="s">
        <v>769</v>
      </c>
      <c r="E484" s="457" t="s">
        <v>460</v>
      </c>
      <c r="F484" s="590"/>
      <c r="G484" s="220">
        <v>384.95026090097076</v>
      </c>
      <c r="H484" s="219">
        <v>0</v>
      </c>
      <c r="I484" s="220">
        <v>0</v>
      </c>
      <c r="J484" s="219">
        <v>0</v>
      </c>
      <c r="K484" s="220">
        <v>0</v>
      </c>
      <c r="L484" s="1236"/>
      <c r="M484"/>
      <c r="N484"/>
      <c r="O484"/>
      <c r="P484"/>
      <c r="Q484"/>
      <c r="R484"/>
      <c r="S484"/>
      <c r="T484"/>
      <c r="U484"/>
      <c r="V484"/>
      <c r="W484"/>
      <c r="X484"/>
    </row>
    <row r="485" spans="1:24" ht="18" thickTop="1" thickBot="1" x14ac:dyDescent="0.35">
      <c r="A485" s="457" t="s">
        <v>3</v>
      </c>
      <c r="B485" s="458">
        <v>3</v>
      </c>
      <c r="C485" s="458">
        <v>3</v>
      </c>
      <c r="D485" s="673" t="s">
        <v>769</v>
      </c>
      <c r="E485" s="457" t="s">
        <v>461</v>
      </c>
      <c r="F485" s="590"/>
      <c r="G485" s="220">
        <v>594.65136298708137</v>
      </c>
      <c r="H485" s="219">
        <v>0</v>
      </c>
      <c r="I485" s="220">
        <v>0</v>
      </c>
      <c r="J485" s="219">
        <v>0</v>
      </c>
      <c r="K485" s="220">
        <v>0</v>
      </c>
      <c r="L485" s="1236"/>
      <c r="M485"/>
      <c r="N485"/>
      <c r="O485"/>
      <c r="P485"/>
      <c r="Q485"/>
      <c r="R485"/>
      <c r="S485"/>
      <c r="T485"/>
      <c r="U485"/>
      <c r="V485"/>
      <c r="W485"/>
      <c r="X485"/>
    </row>
    <row r="486" spans="1:24" ht="18" thickTop="1" thickBot="1" x14ac:dyDescent="0.35">
      <c r="A486" s="457" t="s">
        <v>3</v>
      </c>
      <c r="B486" s="458">
        <v>3</v>
      </c>
      <c r="C486" s="458">
        <v>3</v>
      </c>
      <c r="D486" s="673" t="s">
        <v>769</v>
      </c>
      <c r="E486" s="457" t="s">
        <v>462</v>
      </c>
      <c r="F486" s="590"/>
      <c r="G486" s="220">
        <v>1597.2464115941084</v>
      </c>
      <c r="H486" s="219">
        <v>0</v>
      </c>
      <c r="I486" s="220">
        <v>0</v>
      </c>
      <c r="J486" s="219">
        <v>0</v>
      </c>
      <c r="K486" s="220">
        <v>0</v>
      </c>
      <c r="L486" s="1236"/>
      <c r="M486"/>
      <c r="N486"/>
      <c r="O486"/>
      <c r="P486"/>
      <c r="Q486"/>
      <c r="R486"/>
      <c r="S486"/>
      <c r="T486"/>
      <c r="U486"/>
      <c r="V486"/>
      <c r="W486"/>
      <c r="X486"/>
    </row>
    <row r="487" spans="1:24" ht="18" thickTop="1" thickBot="1" x14ac:dyDescent="0.35">
      <c r="A487" s="457" t="s">
        <v>3</v>
      </c>
      <c r="B487" s="458">
        <v>3</v>
      </c>
      <c r="C487" s="458">
        <v>3</v>
      </c>
      <c r="D487" s="673" t="s">
        <v>769</v>
      </c>
      <c r="E487" s="457" t="s">
        <v>1334</v>
      </c>
      <c r="F487" s="590"/>
      <c r="G487" s="220">
        <v>57.434180919365254</v>
      </c>
      <c r="H487" s="219">
        <v>0</v>
      </c>
      <c r="I487" s="220">
        <v>0</v>
      </c>
      <c r="J487" s="219">
        <v>0</v>
      </c>
      <c r="K487" s="220">
        <v>57.434180919365303</v>
      </c>
      <c r="L487" s="1236"/>
      <c r="M487"/>
      <c r="N487"/>
      <c r="O487"/>
      <c r="P487"/>
      <c r="Q487"/>
      <c r="R487"/>
      <c r="S487"/>
      <c r="T487"/>
      <c r="U487"/>
      <c r="V487"/>
      <c r="W487"/>
      <c r="X487"/>
    </row>
    <row r="488" spans="1:24" ht="18" thickTop="1" thickBot="1" x14ac:dyDescent="0.35">
      <c r="A488" s="457" t="s">
        <v>3</v>
      </c>
      <c r="B488" s="458">
        <v>3</v>
      </c>
      <c r="C488" s="458">
        <v>3</v>
      </c>
      <c r="D488" s="673" t="s">
        <v>769</v>
      </c>
      <c r="E488" s="457" t="s">
        <v>463</v>
      </c>
      <c r="F488" s="590"/>
      <c r="G488" s="220">
        <v>369.30839081996857</v>
      </c>
      <c r="H488" s="219">
        <v>0</v>
      </c>
      <c r="I488" s="220">
        <v>0</v>
      </c>
      <c r="J488" s="219">
        <v>0</v>
      </c>
      <c r="K488" s="220">
        <v>0</v>
      </c>
      <c r="L488" s="1236"/>
      <c r="M488"/>
      <c r="N488"/>
      <c r="O488"/>
      <c r="P488"/>
      <c r="Q488"/>
      <c r="R488"/>
      <c r="S488"/>
      <c r="T488"/>
      <c r="U488"/>
      <c r="V488"/>
      <c r="W488"/>
      <c r="X488"/>
    </row>
    <row r="489" spans="1:24" ht="18" thickTop="1" thickBot="1" x14ac:dyDescent="0.35">
      <c r="A489" s="457" t="s">
        <v>3</v>
      </c>
      <c r="B489" s="458">
        <v>3</v>
      </c>
      <c r="C489" s="458">
        <v>3</v>
      </c>
      <c r="D489" s="673" t="s">
        <v>769</v>
      </c>
      <c r="E489" s="457" t="s">
        <v>464</v>
      </c>
      <c r="F489" s="590"/>
      <c r="G489" s="220">
        <v>344.56797875192188</v>
      </c>
      <c r="H489" s="219">
        <v>0</v>
      </c>
      <c r="I489" s="220">
        <v>0</v>
      </c>
      <c r="J489" s="219">
        <v>0</v>
      </c>
      <c r="K489" s="220">
        <v>0</v>
      </c>
      <c r="L489" s="1236"/>
      <c r="M489"/>
      <c r="N489"/>
      <c r="O489"/>
      <c r="P489"/>
      <c r="Q489"/>
      <c r="R489"/>
      <c r="S489"/>
      <c r="T489"/>
      <c r="U489"/>
      <c r="V489"/>
      <c r="W489"/>
      <c r="X489"/>
    </row>
    <row r="490" spans="1:24" ht="18" thickTop="1" thickBot="1" x14ac:dyDescent="0.35">
      <c r="A490" s="457" t="s">
        <v>3</v>
      </c>
      <c r="B490" s="458">
        <v>3</v>
      </c>
      <c r="C490" s="458">
        <v>3</v>
      </c>
      <c r="D490" s="673" t="s">
        <v>770</v>
      </c>
      <c r="E490" s="457" t="s">
        <v>465</v>
      </c>
      <c r="F490" s="590"/>
      <c r="G490" s="220">
        <v>149.19683845741676</v>
      </c>
      <c r="H490" s="219">
        <v>0</v>
      </c>
      <c r="I490" s="220">
        <v>0</v>
      </c>
      <c r="J490" s="219">
        <v>0</v>
      </c>
      <c r="K490" s="220">
        <v>0</v>
      </c>
      <c r="L490" s="1236"/>
      <c r="M490"/>
      <c r="N490"/>
      <c r="O490"/>
      <c r="P490"/>
      <c r="Q490"/>
      <c r="R490"/>
      <c r="S490"/>
      <c r="T490"/>
      <c r="U490"/>
      <c r="V490"/>
      <c r="W490"/>
      <c r="X490"/>
    </row>
    <row r="491" spans="1:24" ht="18" thickTop="1" thickBot="1" x14ac:dyDescent="0.35">
      <c r="A491" s="457" t="s">
        <v>3</v>
      </c>
      <c r="B491" s="458">
        <v>3</v>
      </c>
      <c r="C491" s="458">
        <v>3</v>
      </c>
      <c r="D491" s="673" t="s">
        <v>769</v>
      </c>
      <c r="E491" s="457" t="s">
        <v>466</v>
      </c>
      <c r="F491" s="590"/>
      <c r="G491" s="220">
        <v>323.71488600041096</v>
      </c>
      <c r="H491" s="219">
        <v>0</v>
      </c>
      <c r="I491" s="220">
        <v>0</v>
      </c>
      <c r="J491" s="219">
        <v>0</v>
      </c>
      <c r="K491" s="220">
        <v>0</v>
      </c>
      <c r="L491" s="1236"/>
      <c r="M491"/>
      <c r="N491"/>
      <c r="O491"/>
      <c r="P491"/>
      <c r="Q491"/>
      <c r="R491"/>
      <c r="S491"/>
      <c r="T491"/>
      <c r="U491"/>
      <c r="V491"/>
      <c r="W491"/>
      <c r="X491"/>
    </row>
    <row r="492" spans="1:24" ht="18" thickTop="1" thickBot="1" x14ac:dyDescent="0.35">
      <c r="A492" s="457" t="s">
        <v>3</v>
      </c>
      <c r="B492" s="458">
        <v>3</v>
      </c>
      <c r="C492" s="458">
        <v>3</v>
      </c>
      <c r="D492" s="673" t="s">
        <v>812</v>
      </c>
      <c r="E492" s="457" t="s">
        <v>467</v>
      </c>
      <c r="F492" s="590"/>
      <c r="G492" s="220">
        <v>22.372530592186774</v>
      </c>
      <c r="H492" s="219">
        <v>0</v>
      </c>
      <c r="I492" s="220">
        <v>0</v>
      </c>
      <c r="J492" s="219">
        <v>0</v>
      </c>
      <c r="K492" s="220">
        <v>0</v>
      </c>
      <c r="L492" s="1236"/>
      <c r="M492"/>
      <c r="N492"/>
      <c r="O492"/>
      <c r="P492"/>
      <c r="Q492"/>
      <c r="R492"/>
      <c r="S492"/>
      <c r="T492"/>
      <c r="U492"/>
      <c r="V492"/>
      <c r="W492"/>
      <c r="X492"/>
    </row>
    <row r="493" spans="1:24" ht="18" thickTop="1" thickBot="1" x14ac:dyDescent="0.35">
      <c r="A493" s="457" t="s">
        <v>3</v>
      </c>
      <c r="B493" s="458">
        <v>3</v>
      </c>
      <c r="C493" s="458">
        <v>3</v>
      </c>
      <c r="D493" s="673" t="s">
        <v>769</v>
      </c>
      <c r="E493" s="457" t="s">
        <v>468</v>
      </c>
      <c r="F493" s="590"/>
      <c r="G493" s="220">
        <v>369.7972786675067</v>
      </c>
      <c r="H493" s="219">
        <v>0</v>
      </c>
      <c r="I493" s="220">
        <v>0</v>
      </c>
      <c r="J493" s="219">
        <v>0</v>
      </c>
      <c r="K493" s="220">
        <v>0</v>
      </c>
      <c r="L493" s="1236"/>
      <c r="M493"/>
      <c r="N493"/>
      <c r="O493"/>
      <c r="P493"/>
      <c r="Q493"/>
      <c r="R493"/>
      <c r="S493"/>
      <c r="T493"/>
      <c r="U493"/>
      <c r="V493"/>
      <c r="W493"/>
      <c r="X493"/>
    </row>
    <row r="494" spans="1:24" ht="18" thickTop="1" thickBot="1" x14ac:dyDescent="0.35">
      <c r="A494" s="457" t="s">
        <v>3</v>
      </c>
      <c r="B494" s="458">
        <v>3</v>
      </c>
      <c r="C494" s="458">
        <v>3</v>
      </c>
      <c r="D494" s="673" t="s">
        <v>769</v>
      </c>
      <c r="E494" s="457" t="s">
        <v>469</v>
      </c>
      <c r="F494" s="590"/>
      <c r="G494" s="220">
        <v>480.81326065332559</v>
      </c>
      <c r="H494" s="219">
        <v>0</v>
      </c>
      <c r="I494" s="220">
        <v>0</v>
      </c>
      <c r="J494" s="219">
        <v>0</v>
      </c>
      <c r="K494" s="220">
        <v>0</v>
      </c>
      <c r="L494" s="1236"/>
      <c r="M494"/>
      <c r="N494"/>
      <c r="O494"/>
      <c r="P494"/>
      <c r="Q494"/>
      <c r="R494"/>
      <c r="S494"/>
      <c r="T494"/>
      <c r="U494"/>
      <c r="V494"/>
      <c r="W494"/>
      <c r="X494"/>
    </row>
    <row r="495" spans="1:24" ht="18" thickTop="1" thickBot="1" x14ac:dyDescent="0.35">
      <c r="A495" s="457" t="s">
        <v>3</v>
      </c>
      <c r="B495" s="458">
        <v>3</v>
      </c>
      <c r="C495" s="458">
        <v>3</v>
      </c>
      <c r="D495" s="673" t="s">
        <v>769</v>
      </c>
      <c r="E495" s="457" t="s">
        <v>470</v>
      </c>
      <c r="F495" s="590"/>
      <c r="G495" s="220">
        <v>276.86606067424304</v>
      </c>
      <c r="H495" s="219">
        <v>0</v>
      </c>
      <c r="I495" s="220">
        <v>0</v>
      </c>
      <c r="J495" s="219">
        <v>0</v>
      </c>
      <c r="K495" s="220">
        <v>0</v>
      </c>
      <c r="L495" s="1236"/>
      <c r="M495" s="2"/>
      <c r="N495"/>
      <c r="O495"/>
      <c r="P495"/>
      <c r="Q495"/>
      <c r="R495"/>
      <c r="S495"/>
      <c r="T495"/>
      <c r="U495"/>
      <c r="V495"/>
      <c r="W495"/>
      <c r="X495"/>
    </row>
    <row r="496" spans="1:24" ht="18" thickTop="1" thickBot="1" x14ac:dyDescent="0.35">
      <c r="A496" s="457" t="s">
        <v>3</v>
      </c>
      <c r="B496" s="458">
        <v>3</v>
      </c>
      <c r="C496" s="458">
        <v>3</v>
      </c>
      <c r="D496" s="673" t="s">
        <v>770</v>
      </c>
      <c r="E496" s="457" t="s">
        <v>471</v>
      </c>
      <c r="F496" s="590"/>
      <c r="G496" s="220">
        <v>143.94398240064342</v>
      </c>
      <c r="H496" s="219">
        <v>0</v>
      </c>
      <c r="I496" s="220">
        <v>0</v>
      </c>
      <c r="J496" s="219">
        <v>0</v>
      </c>
      <c r="K496" s="220">
        <v>0</v>
      </c>
      <c r="L496" s="1236"/>
      <c r="M496"/>
      <c r="N496"/>
      <c r="O496"/>
      <c r="P496"/>
      <c r="Q496"/>
      <c r="R496"/>
      <c r="S496"/>
      <c r="T496"/>
      <c r="U496"/>
      <c r="V496"/>
      <c r="W496"/>
      <c r="X496"/>
    </row>
    <row r="497" spans="1:24" ht="18" thickTop="1" thickBot="1" x14ac:dyDescent="0.35">
      <c r="A497" s="457" t="s">
        <v>4</v>
      </c>
      <c r="B497" s="458">
        <v>4</v>
      </c>
      <c r="C497" s="458">
        <v>4</v>
      </c>
      <c r="D497" s="458" t="s">
        <v>4</v>
      </c>
      <c r="E497" s="457" t="s">
        <v>472</v>
      </c>
      <c r="F497" s="590"/>
      <c r="G497" s="220">
        <v>721.06374384006472</v>
      </c>
      <c r="H497" s="219">
        <v>0</v>
      </c>
      <c r="I497" s="220">
        <v>0</v>
      </c>
      <c r="J497" s="219">
        <v>0</v>
      </c>
      <c r="K497" s="220">
        <v>0</v>
      </c>
      <c r="L497" s="1236"/>
      <c r="M497"/>
      <c r="N497"/>
      <c r="O497"/>
      <c r="P497"/>
      <c r="Q497"/>
      <c r="R497"/>
      <c r="S497"/>
      <c r="T497"/>
      <c r="U497"/>
      <c r="V497"/>
      <c r="W497"/>
      <c r="X497"/>
    </row>
    <row r="498" spans="1:24" ht="18" thickTop="1" thickBot="1" x14ac:dyDescent="0.35">
      <c r="A498" s="457" t="s">
        <v>4</v>
      </c>
      <c r="B498" s="458">
        <v>4</v>
      </c>
      <c r="C498" s="458">
        <v>4</v>
      </c>
      <c r="D498" s="458" t="s">
        <v>771</v>
      </c>
      <c r="E498" s="457" t="s">
        <v>473</v>
      </c>
      <c r="F498" s="590"/>
      <c r="G498" s="220">
        <v>106.02369765184696</v>
      </c>
      <c r="H498" s="219">
        <v>0</v>
      </c>
      <c r="I498" s="220">
        <v>0</v>
      </c>
      <c r="J498" s="219">
        <v>0</v>
      </c>
      <c r="K498" s="220">
        <v>0</v>
      </c>
      <c r="L498" s="1236"/>
      <c r="M498"/>
      <c r="N498"/>
      <c r="O498"/>
      <c r="P498"/>
      <c r="Q498"/>
      <c r="R498"/>
      <c r="S498"/>
      <c r="T498"/>
      <c r="U498"/>
      <c r="V498"/>
      <c r="W498"/>
      <c r="X498"/>
    </row>
    <row r="499" spans="1:24" ht="18" thickTop="1" thickBot="1" x14ac:dyDescent="0.35">
      <c r="A499" s="457" t="s">
        <v>4</v>
      </c>
      <c r="B499" s="458">
        <v>4</v>
      </c>
      <c r="C499" s="458">
        <v>4</v>
      </c>
      <c r="D499" s="458" t="s">
        <v>771</v>
      </c>
      <c r="E499" s="457" t="s">
        <v>474</v>
      </c>
      <c r="F499" s="590"/>
      <c r="G499" s="220">
        <v>126.64495432896807</v>
      </c>
      <c r="H499" s="219">
        <v>0</v>
      </c>
      <c r="I499" s="220">
        <v>0</v>
      </c>
      <c r="J499" s="219">
        <v>0</v>
      </c>
      <c r="K499" s="220">
        <v>0</v>
      </c>
      <c r="L499" s="1236"/>
      <c r="M499"/>
      <c r="N499"/>
      <c r="O499"/>
      <c r="P499"/>
      <c r="Q499"/>
      <c r="R499"/>
      <c r="S499"/>
      <c r="T499"/>
      <c r="U499"/>
      <c r="V499"/>
      <c r="W499"/>
      <c r="X499"/>
    </row>
    <row r="500" spans="1:24" ht="18" thickTop="1" thickBot="1" x14ac:dyDescent="0.35">
      <c r="A500" s="457" t="s">
        <v>4</v>
      </c>
      <c r="B500" s="458">
        <v>4</v>
      </c>
      <c r="C500" s="458">
        <v>4</v>
      </c>
      <c r="D500" s="458" t="s">
        <v>771</v>
      </c>
      <c r="E500" s="457" t="s">
        <v>475</v>
      </c>
      <c r="F500" s="590"/>
      <c r="G500" s="220">
        <v>84.332171709560782</v>
      </c>
      <c r="H500" s="219">
        <v>0</v>
      </c>
      <c r="I500" s="220">
        <v>0</v>
      </c>
      <c r="J500" s="219">
        <v>0</v>
      </c>
      <c r="K500" s="220">
        <v>0</v>
      </c>
      <c r="L500" s="1236"/>
      <c r="M500"/>
      <c r="N500"/>
      <c r="O500"/>
      <c r="P500"/>
      <c r="Q500"/>
      <c r="R500"/>
      <c r="S500"/>
      <c r="T500"/>
      <c r="U500"/>
      <c r="V500"/>
      <c r="W500"/>
      <c r="X500"/>
    </row>
    <row r="501" spans="1:24" ht="18" thickTop="1" thickBot="1" x14ac:dyDescent="0.35">
      <c r="A501" s="457" t="s">
        <v>4</v>
      </c>
      <c r="B501" s="458">
        <v>4</v>
      </c>
      <c r="C501" s="458">
        <v>4</v>
      </c>
      <c r="D501" s="458" t="s">
        <v>4</v>
      </c>
      <c r="E501" s="457" t="s">
        <v>66</v>
      </c>
      <c r="F501" s="590"/>
      <c r="G501" s="220">
        <v>42.994513125739175</v>
      </c>
      <c r="H501" s="219">
        <v>0</v>
      </c>
      <c r="I501" s="220">
        <v>0</v>
      </c>
      <c r="J501" s="219">
        <v>0</v>
      </c>
      <c r="K501" s="220">
        <v>0</v>
      </c>
      <c r="L501" s="1236"/>
      <c r="M501"/>
      <c r="N501"/>
      <c r="O501"/>
      <c r="P501"/>
      <c r="Q501"/>
      <c r="R501"/>
      <c r="S501"/>
      <c r="T501"/>
      <c r="U501"/>
      <c r="V501"/>
      <c r="W501"/>
      <c r="X501"/>
    </row>
    <row r="502" spans="1:24" ht="18" thickTop="1" thickBot="1" x14ac:dyDescent="0.35">
      <c r="A502" s="457" t="s">
        <v>4</v>
      </c>
      <c r="B502" s="458">
        <v>4</v>
      </c>
      <c r="C502" s="458">
        <v>4</v>
      </c>
      <c r="D502" s="458" t="s">
        <v>4</v>
      </c>
      <c r="E502" s="457" t="s">
        <v>476</v>
      </c>
      <c r="F502" s="590"/>
      <c r="G502" s="220">
        <v>1375.2186617822654</v>
      </c>
      <c r="H502" s="219">
        <v>0</v>
      </c>
      <c r="I502" s="220">
        <v>0</v>
      </c>
      <c r="J502" s="219">
        <v>0</v>
      </c>
      <c r="K502" s="220">
        <v>0</v>
      </c>
      <c r="L502" s="1236"/>
      <c r="M502"/>
      <c r="N502"/>
      <c r="O502"/>
      <c r="P502"/>
      <c r="Q502"/>
      <c r="R502"/>
      <c r="S502"/>
      <c r="T502"/>
      <c r="U502"/>
      <c r="V502"/>
      <c r="W502"/>
      <c r="X502"/>
    </row>
    <row r="503" spans="1:24" ht="18" thickTop="1" thickBot="1" x14ac:dyDescent="0.35">
      <c r="A503" s="457" t="s">
        <v>4</v>
      </c>
      <c r="B503" s="458">
        <v>4</v>
      </c>
      <c r="C503" s="458">
        <v>4</v>
      </c>
      <c r="D503" s="458" t="s">
        <v>4</v>
      </c>
      <c r="E503" s="457" t="s">
        <v>477</v>
      </c>
      <c r="F503" s="590"/>
      <c r="G503" s="220">
        <v>682.15824143712234</v>
      </c>
      <c r="H503" s="219">
        <v>0</v>
      </c>
      <c r="I503" s="220">
        <v>0</v>
      </c>
      <c r="J503" s="219">
        <v>0</v>
      </c>
      <c r="K503" s="220">
        <v>0</v>
      </c>
      <c r="L503" s="1236"/>
      <c r="M503"/>
      <c r="N503"/>
      <c r="O503"/>
      <c r="P503"/>
      <c r="Q503"/>
      <c r="R503"/>
      <c r="S503"/>
      <c r="T503"/>
      <c r="U503"/>
      <c r="V503"/>
      <c r="W503"/>
      <c r="X503"/>
    </row>
    <row r="504" spans="1:24" ht="18" thickTop="1" thickBot="1" x14ac:dyDescent="0.35">
      <c r="A504" s="457" t="s">
        <v>4</v>
      </c>
      <c r="B504" s="458">
        <v>4</v>
      </c>
      <c r="C504" s="458">
        <v>4</v>
      </c>
      <c r="D504" s="458" t="s">
        <v>4</v>
      </c>
      <c r="E504" s="457" t="s">
        <v>478</v>
      </c>
      <c r="F504" s="590"/>
      <c r="G504" s="220">
        <v>323.62279437926941</v>
      </c>
      <c r="H504" s="219">
        <v>0</v>
      </c>
      <c r="I504" s="220">
        <v>0</v>
      </c>
      <c r="J504" s="219">
        <v>0</v>
      </c>
      <c r="K504" s="220">
        <v>0</v>
      </c>
      <c r="L504" s="1236"/>
      <c r="M504"/>
      <c r="N504"/>
      <c r="O504"/>
      <c r="P504"/>
      <c r="Q504"/>
      <c r="R504"/>
      <c r="S504"/>
      <c r="T504"/>
      <c r="U504"/>
      <c r="V504"/>
      <c r="W504"/>
      <c r="X504"/>
    </row>
    <row r="505" spans="1:24" ht="18" thickTop="1" thickBot="1" x14ac:dyDescent="0.35">
      <c r="A505" s="457" t="s">
        <v>4</v>
      </c>
      <c r="B505" s="458">
        <v>4</v>
      </c>
      <c r="C505" s="458">
        <v>4</v>
      </c>
      <c r="D505" s="458" t="s">
        <v>772</v>
      </c>
      <c r="E505" s="457" t="s">
        <v>479</v>
      </c>
      <c r="F505" s="590"/>
      <c r="G505" s="220">
        <v>4.4281422184999997</v>
      </c>
      <c r="H505" s="219">
        <v>0</v>
      </c>
      <c r="I505" s="220">
        <v>0</v>
      </c>
      <c r="J505" s="219">
        <v>0</v>
      </c>
      <c r="K505" s="220">
        <v>0</v>
      </c>
      <c r="L505" s="1236"/>
      <c r="M505"/>
      <c r="N505"/>
      <c r="O505"/>
      <c r="P505"/>
      <c r="Q505"/>
      <c r="R505"/>
      <c r="S505"/>
      <c r="T505"/>
      <c r="U505"/>
      <c r="V505"/>
      <c r="W505"/>
      <c r="X505"/>
    </row>
    <row r="506" spans="1:24" ht="18" thickTop="1" thickBot="1" x14ac:dyDescent="0.35">
      <c r="A506" s="457" t="s">
        <v>4</v>
      </c>
      <c r="B506" s="458">
        <v>4</v>
      </c>
      <c r="C506" s="458">
        <v>4</v>
      </c>
      <c r="D506" s="458" t="s">
        <v>773</v>
      </c>
      <c r="E506" s="457" t="s">
        <v>480</v>
      </c>
      <c r="F506" s="590"/>
      <c r="G506" s="220">
        <v>67.108323738255805</v>
      </c>
      <c r="H506" s="219">
        <v>0</v>
      </c>
      <c r="I506" s="220">
        <v>0</v>
      </c>
      <c r="J506" s="219">
        <v>0</v>
      </c>
      <c r="K506" s="220">
        <v>0</v>
      </c>
      <c r="L506" s="1236"/>
      <c r="M506"/>
      <c r="N506"/>
      <c r="O506"/>
      <c r="P506"/>
      <c r="Q506"/>
      <c r="R506"/>
      <c r="S506"/>
      <c r="T506"/>
      <c r="U506"/>
      <c r="V506"/>
      <c r="W506"/>
      <c r="X506"/>
    </row>
    <row r="507" spans="1:24" ht="18" thickTop="1" thickBot="1" x14ac:dyDescent="0.35">
      <c r="A507" s="457" t="s">
        <v>4</v>
      </c>
      <c r="B507" s="458">
        <v>4</v>
      </c>
      <c r="C507" s="458">
        <v>4</v>
      </c>
      <c r="D507" s="458" t="s">
        <v>773</v>
      </c>
      <c r="E507" s="457" t="s">
        <v>481</v>
      </c>
      <c r="F507" s="590"/>
      <c r="G507" s="220">
        <v>42.175651689671497</v>
      </c>
      <c r="H507" s="219">
        <v>0</v>
      </c>
      <c r="I507" s="220">
        <v>0</v>
      </c>
      <c r="J507" s="219">
        <v>0</v>
      </c>
      <c r="K507" s="220">
        <v>0</v>
      </c>
      <c r="L507" s="1236"/>
      <c r="M507"/>
      <c r="N507"/>
      <c r="O507"/>
      <c r="P507"/>
      <c r="Q507"/>
      <c r="R507"/>
      <c r="S507"/>
      <c r="T507"/>
      <c r="U507"/>
      <c r="V507"/>
      <c r="W507"/>
      <c r="X507"/>
    </row>
    <row r="508" spans="1:24" ht="18" thickTop="1" thickBot="1" x14ac:dyDescent="0.35">
      <c r="A508" s="457" t="s">
        <v>4</v>
      </c>
      <c r="B508" s="458">
        <v>4</v>
      </c>
      <c r="C508" s="458">
        <v>4</v>
      </c>
      <c r="D508" s="458" t="s">
        <v>773</v>
      </c>
      <c r="E508" s="457" t="s">
        <v>482</v>
      </c>
      <c r="F508" s="590"/>
      <c r="G508" s="220">
        <v>14.551704078686775</v>
      </c>
      <c r="H508" s="219">
        <v>0</v>
      </c>
      <c r="I508" s="220">
        <v>0</v>
      </c>
      <c r="J508" s="219">
        <v>0</v>
      </c>
      <c r="K508" s="220">
        <v>0</v>
      </c>
      <c r="L508" s="1236"/>
      <c r="M508"/>
      <c r="N508"/>
      <c r="O508"/>
      <c r="P508"/>
      <c r="Q508"/>
      <c r="R508"/>
      <c r="S508"/>
      <c r="T508"/>
      <c r="U508"/>
      <c r="V508"/>
      <c r="W508"/>
      <c r="X508"/>
    </row>
    <row r="509" spans="1:24" ht="18" thickTop="1" thickBot="1" x14ac:dyDescent="0.35">
      <c r="A509" s="457" t="s">
        <v>4</v>
      </c>
      <c r="B509" s="458">
        <v>4</v>
      </c>
      <c r="C509" s="458">
        <v>4</v>
      </c>
      <c r="D509" s="458" t="s">
        <v>777</v>
      </c>
      <c r="E509" s="457" t="s">
        <v>726</v>
      </c>
      <c r="F509" s="590"/>
      <c r="G509" s="220">
        <v>623.259835299977</v>
      </c>
      <c r="H509" s="219">
        <v>0</v>
      </c>
      <c r="I509" s="220">
        <v>0</v>
      </c>
      <c r="J509" s="219">
        <v>0</v>
      </c>
      <c r="K509" s="220">
        <v>0</v>
      </c>
      <c r="L509" s="1236"/>
      <c r="M509"/>
      <c r="N509"/>
      <c r="O509"/>
      <c r="P509"/>
      <c r="Q509"/>
      <c r="R509"/>
      <c r="S509"/>
      <c r="T509"/>
      <c r="U509"/>
      <c r="V509"/>
      <c r="W509"/>
      <c r="X509"/>
    </row>
    <row r="510" spans="1:24" ht="18" thickTop="1" thickBot="1" x14ac:dyDescent="0.35">
      <c r="A510" s="457" t="s">
        <v>4</v>
      </c>
      <c r="B510" s="458">
        <v>4</v>
      </c>
      <c r="C510" s="458">
        <v>4</v>
      </c>
      <c r="D510" s="458" t="s">
        <v>813</v>
      </c>
      <c r="E510" s="457" t="s">
        <v>1335</v>
      </c>
      <c r="F510" s="457"/>
      <c r="G510" s="220">
        <v>10.637126500000001</v>
      </c>
      <c r="H510" s="219"/>
      <c r="I510" s="220"/>
      <c r="J510" s="219"/>
      <c r="K510" s="220"/>
      <c r="L510" s="1236"/>
      <c r="M510"/>
      <c r="N510"/>
      <c r="O510"/>
      <c r="P510"/>
      <c r="Q510"/>
      <c r="R510"/>
      <c r="S510"/>
      <c r="T510"/>
      <c r="U510"/>
      <c r="V510"/>
      <c r="W510"/>
      <c r="X510"/>
    </row>
    <row r="511" spans="1:24" ht="18" thickTop="1" thickBot="1" x14ac:dyDescent="0.35">
      <c r="A511" s="457" t="s">
        <v>4</v>
      </c>
      <c r="B511" s="458">
        <v>4</v>
      </c>
      <c r="C511" s="458">
        <v>4</v>
      </c>
      <c r="D511" s="458" t="s">
        <v>774</v>
      </c>
      <c r="E511" s="457" t="s">
        <v>483</v>
      </c>
      <c r="F511" s="590"/>
      <c r="G511" s="220">
        <v>9.4904639829999997</v>
      </c>
      <c r="H511" s="219">
        <v>0</v>
      </c>
      <c r="I511" s="220">
        <v>0</v>
      </c>
      <c r="J511" s="219">
        <v>0</v>
      </c>
      <c r="K511" s="220">
        <v>0</v>
      </c>
      <c r="L511" s="1236"/>
      <c r="M511"/>
      <c r="N511"/>
      <c r="O511"/>
      <c r="P511"/>
      <c r="Q511"/>
      <c r="R511"/>
      <c r="S511"/>
      <c r="T511"/>
      <c r="U511"/>
      <c r="V511"/>
      <c r="W511"/>
      <c r="X511"/>
    </row>
    <row r="512" spans="1:24" ht="18" thickTop="1" thickBot="1" x14ac:dyDescent="0.35">
      <c r="A512" s="457" t="s">
        <v>4</v>
      </c>
      <c r="B512" s="458">
        <v>4</v>
      </c>
      <c r="C512" s="458">
        <v>4</v>
      </c>
      <c r="D512" s="458" t="s">
        <v>4</v>
      </c>
      <c r="E512" s="457" t="s">
        <v>484</v>
      </c>
      <c r="F512" s="590"/>
      <c r="G512" s="220">
        <v>611.36358616956136</v>
      </c>
      <c r="H512" s="219">
        <v>0</v>
      </c>
      <c r="I512" s="220">
        <v>0</v>
      </c>
      <c r="J512" s="219">
        <v>0</v>
      </c>
      <c r="K512" s="220">
        <v>0</v>
      </c>
      <c r="L512" s="1236"/>
      <c r="M512"/>
      <c r="N512"/>
      <c r="O512"/>
      <c r="P512"/>
      <c r="Q512"/>
      <c r="R512"/>
      <c r="S512"/>
      <c r="T512"/>
      <c r="U512"/>
      <c r="V512"/>
      <c r="W512"/>
      <c r="X512"/>
    </row>
    <row r="513" spans="1:24" ht="18" thickTop="1" thickBot="1" x14ac:dyDescent="0.35">
      <c r="A513" s="457" t="s">
        <v>4</v>
      </c>
      <c r="B513" s="458">
        <v>4</v>
      </c>
      <c r="C513" s="458">
        <v>4</v>
      </c>
      <c r="D513" s="458" t="s">
        <v>4</v>
      </c>
      <c r="E513" s="457" t="s">
        <v>485</v>
      </c>
      <c r="F513" s="590"/>
      <c r="G513" s="220">
        <v>113.67943762175</v>
      </c>
      <c r="H513" s="219">
        <v>0</v>
      </c>
      <c r="I513" s="220">
        <v>0</v>
      </c>
      <c r="J513" s="219">
        <v>0</v>
      </c>
      <c r="K513" s="220">
        <v>113.67943762175</v>
      </c>
      <c r="L513" s="1236"/>
      <c r="M513"/>
      <c r="N513"/>
      <c r="O513"/>
      <c r="P513"/>
      <c r="Q513"/>
      <c r="R513"/>
      <c r="S513"/>
      <c r="T513"/>
      <c r="U513"/>
      <c r="V513"/>
      <c r="W513"/>
      <c r="X513"/>
    </row>
    <row r="514" spans="1:24" ht="18" thickTop="1" thickBot="1" x14ac:dyDescent="0.35">
      <c r="A514" s="457" t="s">
        <v>4</v>
      </c>
      <c r="B514" s="458">
        <v>4</v>
      </c>
      <c r="C514" s="458">
        <v>4</v>
      </c>
      <c r="D514" s="458" t="s">
        <v>4</v>
      </c>
      <c r="E514" s="457" t="s">
        <v>486</v>
      </c>
      <c r="F514" s="590"/>
      <c r="G514" s="220">
        <v>337.92855802048837</v>
      </c>
      <c r="H514" s="219">
        <v>0</v>
      </c>
      <c r="I514" s="220">
        <v>0</v>
      </c>
      <c r="J514" s="219">
        <v>0</v>
      </c>
      <c r="K514" s="220">
        <v>0</v>
      </c>
      <c r="L514" s="1236"/>
      <c r="M514"/>
      <c r="N514"/>
      <c r="O514"/>
      <c r="P514"/>
      <c r="Q514"/>
      <c r="R514"/>
      <c r="S514"/>
      <c r="T514"/>
      <c r="U514"/>
      <c r="V514"/>
      <c r="W514"/>
      <c r="X514"/>
    </row>
    <row r="515" spans="1:24" ht="18" thickTop="1" thickBot="1" x14ac:dyDescent="0.35">
      <c r="A515" s="457" t="s">
        <v>4</v>
      </c>
      <c r="B515" s="458">
        <v>4</v>
      </c>
      <c r="C515" s="458">
        <v>4</v>
      </c>
      <c r="D515" s="458" t="s">
        <v>775</v>
      </c>
      <c r="E515" s="457" t="s">
        <v>487</v>
      </c>
      <c r="F515" s="590"/>
      <c r="G515" s="220">
        <v>118.12786774776488</v>
      </c>
      <c r="H515" s="219">
        <v>0</v>
      </c>
      <c r="I515" s="220">
        <v>0</v>
      </c>
      <c r="J515" s="219">
        <v>0</v>
      </c>
      <c r="K515" s="220">
        <v>0</v>
      </c>
      <c r="L515" s="1236"/>
      <c r="M515"/>
      <c r="N515"/>
      <c r="O515"/>
      <c r="P515"/>
      <c r="Q515"/>
      <c r="R515"/>
      <c r="S515"/>
      <c r="T515"/>
      <c r="U515"/>
      <c r="V515"/>
      <c r="W515"/>
      <c r="X515"/>
    </row>
    <row r="516" spans="1:24" ht="18" thickTop="1" thickBot="1" x14ac:dyDescent="0.35">
      <c r="A516" s="457" t="s">
        <v>4</v>
      </c>
      <c r="B516" s="458">
        <v>4</v>
      </c>
      <c r="C516" s="458">
        <v>4</v>
      </c>
      <c r="D516" s="458" t="s">
        <v>775</v>
      </c>
      <c r="E516" s="457" t="s">
        <v>488</v>
      </c>
      <c r="F516" s="590"/>
      <c r="G516" s="220">
        <v>65.475576797981347</v>
      </c>
      <c r="H516" s="219">
        <v>0</v>
      </c>
      <c r="I516" s="220">
        <v>0</v>
      </c>
      <c r="J516" s="219">
        <v>0</v>
      </c>
      <c r="K516" s="220">
        <v>0</v>
      </c>
      <c r="L516" s="1236"/>
      <c r="M516"/>
      <c r="N516"/>
      <c r="O516"/>
      <c r="P516"/>
      <c r="Q516"/>
      <c r="R516"/>
      <c r="S516"/>
      <c r="T516"/>
      <c r="U516"/>
      <c r="V516"/>
      <c r="W516"/>
      <c r="X516"/>
    </row>
    <row r="517" spans="1:24" ht="18" thickTop="1" thickBot="1" x14ac:dyDescent="0.35">
      <c r="A517" s="457" t="s">
        <v>4</v>
      </c>
      <c r="B517" s="458">
        <v>4</v>
      </c>
      <c r="C517" s="458">
        <v>4</v>
      </c>
      <c r="D517" s="458" t="s">
        <v>775</v>
      </c>
      <c r="E517" s="457" t="s">
        <v>489</v>
      </c>
      <c r="F517" s="590"/>
      <c r="G517" s="220">
        <v>35.939318588973798</v>
      </c>
      <c r="H517" s="219">
        <v>0</v>
      </c>
      <c r="I517" s="220">
        <v>0</v>
      </c>
      <c r="J517" s="219">
        <v>0</v>
      </c>
      <c r="K517" s="220">
        <v>0</v>
      </c>
      <c r="L517" s="1236"/>
      <c r="M517"/>
      <c r="N517"/>
      <c r="O517"/>
      <c r="P517"/>
      <c r="Q517"/>
      <c r="R517"/>
      <c r="S517"/>
      <c r="T517"/>
      <c r="U517"/>
      <c r="V517"/>
      <c r="W517"/>
      <c r="X517"/>
    </row>
    <row r="518" spans="1:24" ht="18" thickTop="1" thickBot="1" x14ac:dyDescent="0.35">
      <c r="A518" s="457" t="s">
        <v>4</v>
      </c>
      <c r="B518" s="458">
        <v>4</v>
      </c>
      <c r="C518" s="458">
        <v>4</v>
      </c>
      <c r="D518" s="458" t="s">
        <v>776</v>
      </c>
      <c r="E518" s="457" t="s">
        <v>490</v>
      </c>
      <c r="F518" s="590"/>
      <c r="G518" s="220">
        <v>10.228566347999999</v>
      </c>
      <c r="H518" s="219">
        <v>0</v>
      </c>
      <c r="I518" s="220">
        <v>0</v>
      </c>
      <c r="J518" s="219">
        <v>0</v>
      </c>
      <c r="K518" s="220">
        <v>0</v>
      </c>
      <c r="L518" s="1236"/>
      <c r="M518"/>
      <c r="N518"/>
      <c r="O518"/>
      <c r="P518"/>
      <c r="Q518"/>
      <c r="R518"/>
      <c r="S518"/>
      <c r="T518"/>
      <c r="U518"/>
      <c r="V518"/>
      <c r="W518"/>
      <c r="X518"/>
    </row>
    <row r="519" spans="1:24" ht="18" thickTop="1" thickBot="1" x14ac:dyDescent="0.35">
      <c r="A519" s="457" t="s">
        <v>4</v>
      </c>
      <c r="B519" s="458">
        <v>4</v>
      </c>
      <c r="C519" s="458">
        <v>4</v>
      </c>
      <c r="D519" s="458" t="s">
        <v>777</v>
      </c>
      <c r="E519" s="457" t="s">
        <v>491</v>
      </c>
      <c r="F519" s="590"/>
      <c r="G519" s="220">
        <v>427.96456942371634</v>
      </c>
      <c r="H519" s="219">
        <v>0</v>
      </c>
      <c r="I519" s="220">
        <v>0</v>
      </c>
      <c r="J519" s="219">
        <v>0</v>
      </c>
      <c r="K519" s="220">
        <v>0</v>
      </c>
      <c r="L519" s="1236"/>
      <c r="M519"/>
      <c r="N519"/>
      <c r="O519"/>
      <c r="P519"/>
      <c r="Q519"/>
      <c r="R519"/>
      <c r="S519"/>
      <c r="T519"/>
      <c r="U519"/>
      <c r="V519"/>
      <c r="W519"/>
      <c r="X519"/>
    </row>
    <row r="520" spans="1:24" ht="18" thickTop="1" thickBot="1" x14ac:dyDescent="0.35">
      <c r="A520" s="457" t="s">
        <v>4</v>
      </c>
      <c r="B520" s="458">
        <v>4</v>
      </c>
      <c r="C520" s="458">
        <v>4</v>
      </c>
      <c r="D520" s="458" t="s">
        <v>4</v>
      </c>
      <c r="E520" s="457" t="s">
        <v>492</v>
      </c>
      <c r="F520" s="590"/>
      <c r="G520" s="220">
        <v>578.17200366095165</v>
      </c>
      <c r="H520" s="219">
        <v>0</v>
      </c>
      <c r="I520" s="220">
        <v>0</v>
      </c>
      <c r="J520" s="219">
        <v>0</v>
      </c>
      <c r="K520" s="220">
        <v>0</v>
      </c>
      <c r="L520" s="1236"/>
      <c r="M520"/>
      <c r="N520"/>
      <c r="O520"/>
      <c r="P520"/>
      <c r="Q520"/>
      <c r="R520"/>
      <c r="S520"/>
      <c r="T520"/>
      <c r="U520"/>
      <c r="V520"/>
      <c r="W520"/>
      <c r="X520"/>
    </row>
    <row r="521" spans="1:24" ht="18" thickTop="1" thickBot="1" x14ac:dyDescent="0.35">
      <c r="A521" s="457" t="s">
        <v>4</v>
      </c>
      <c r="B521" s="458">
        <v>4</v>
      </c>
      <c r="C521" s="458">
        <v>4</v>
      </c>
      <c r="D521" s="458" t="s">
        <v>777</v>
      </c>
      <c r="E521" s="457" t="s">
        <v>493</v>
      </c>
      <c r="F521" s="590"/>
      <c r="G521" s="220">
        <v>411.61791980973169</v>
      </c>
      <c r="H521" s="219">
        <v>0</v>
      </c>
      <c r="I521" s="220">
        <v>0</v>
      </c>
      <c r="J521" s="219">
        <v>0</v>
      </c>
      <c r="K521" s="220">
        <v>0</v>
      </c>
      <c r="L521" s="1236"/>
      <c r="M521"/>
      <c r="N521"/>
      <c r="O521"/>
      <c r="P521"/>
      <c r="Q521"/>
      <c r="R521"/>
      <c r="S521"/>
      <c r="T521"/>
      <c r="U521"/>
      <c r="V521"/>
      <c r="W521"/>
      <c r="X521"/>
    </row>
    <row r="522" spans="1:24" ht="18" thickTop="1" thickBot="1" x14ac:dyDescent="0.35">
      <c r="A522" s="457" t="s">
        <v>4</v>
      </c>
      <c r="B522" s="458">
        <v>4</v>
      </c>
      <c r="C522" s="458">
        <v>4</v>
      </c>
      <c r="D522" s="458" t="s">
        <v>777</v>
      </c>
      <c r="E522" s="457" t="s">
        <v>494</v>
      </c>
      <c r="F522" s="590"/>
      <c r="G522" s="220">
        <v>887.41578497987405</v>
      </c>
      <c r="H522" s="219">
        <v>0</v>
      </c>
      <c r="I522" s="220">
        <v>0</v>
      </c>
      <c r="J522" s="219">
        <v>0</v>
      </c>
      <c r="K522" s="220">
        <v>0</v>
      </c>
      <c r="L522" s="1236"/>
      <c r="M522"/>
      <c r="N522"/>
      <c r="O522"/>
      <c r="P522"/>
      <c r="Q522"/>
      <c r="R522"/>
      <c r="S522"/>
      <c r="T522"/>
      <c r="U522"/>
      <c r="V522"/>
      <c r="W522"/>
      <c r="X522"/>
    </row>
    <row r="523" spans="1:24" ht="18" thickTop="1" thickBot="1" x14ac:dyDescent="0.35">
      <c r="A523" s="457" t="s">
        <v>4</v>
      </c>
      <c r="B523" s="458">
        <v>4</v>
      </c>
      <c r="C523" s="458">
        <v>4</v>
      </c>
      <c r="D523" s="458" t="s">
        <v>777</v>
      </c>
      <c r="E523" s="457" t="s">
        <v>495</v>
      </c>
      <c r="F523" s="590"/>
      <c r="G523" s="220">
        <v>722.97208593099492</v>
      </c>
      <c r="H523" s="219">
        <v>0</v>
      </c>
      <c r="I523" s="220">
        <v>0</v>
      </c>
      <c r="J523" s="219">
        <v>0</v>
      </c>
      <c r="K523" s="220">
        <v>0</v>
      </c>
      <c r="L523" s="1236"/>
      <c r="M523"/>
      <c r="N523"/>
      <c r="O523"/>
      <c r="P523"/>
      <c r="Q523"/>
      <c r="R523"/>
      <c r="S523"/>
      <c r="T523"/>
      <c r="U523"/>
      <c r="V523"/>
      <c r="W523"/>
      <c r="X523"/>
    </row>
    <row r="524" spans="1:24" ht="18" thickTop="1" thickBot="1" x14ac:dyDescent="0.35">
      <c r="A524" s="457" t="s">
        <v>4</v>
      </c>
      <c r="B524" s="458">
        <v>4</v>
      </c>
      <c r="C524" s="458">
        <v>4</v>
      </c>
      <c r="D524" s="458" t="s">
        <v>778</v>
      </c>
      <c r="E524" s="457" t="s">
        <v>496</v>
      </c>
      <c r="F524" s="590"/>
      <c r="G524" s="220">
        <v>167.82305064524999</v>
      </c>
      <c r="H524" s="219">
        <v>0</v>
      </c>
      <c r="I524" s="220">
        <v>0</v>
      </c>
      <c r="J524" s="219">
        <v>0</v>
      </c>
      <c r="K524" s="220">
        <v>0</v>
      </c>
      <c r="L524" s="1236"/>
      <c r="M524"/>
      <c r="N524"/>
      <c r="O524"/>
      <c r="P524"/>
      <c r="Q524"/>
      <c r="R524"/>
      <c r="S524"/>
      <c r="T524"/>
      <c r="U524"/>
      <c r="V524"/>
      <c r="W524"/>
      <c r="X524"/>
    </row>
    <row r="525" spans="1:24" ht="18" thickTop="1" thickBot="1" x14ac:dyDescent="0.35">
      <c r="A525" s="457" t="s">
        <v>4</v>
      </c>
      <c r="B525" s="458">
        <v>4</v>
      </c>
      <c r="C525" s="458">
        <v>4</v>
      </c>
      <c r="D525" s="458" t="s">
        <v>778</v>
      </c>
      <c r="E525" s="457" t="s">
        <v>497</v>
      </c>
      <c r="F525" s="590"/>
      <c r="G525" s="220">
        <v>99.498641992750009</v>
      </c>
      <c r="H525" s="219">
        <v>0</v>
      </c>
      <c r="I525" s="220">
        <v>0</v>
      </c>
      <c r="J525" s="219">
        <v>0</v>
      </c>
      <c r="K525" s="220">
        <v>0</v>
      </c>
      <c r="L525" s="1236"/>
      <c r="M525"/>
      <c r="N525"/>
      <c r="O525"/>
      <c r="P525"/>
      <c r="Q525"/>
      <c r="R525"/>
      <c r="S525"/>
      <c r="T525"/>
      <c r="U525"/>
      <c r="V525"/>
      <c r="W525"/>
      <c r="X525"/>
    </row>
    <row r="526" spans="1:24" ht="18" thickTop="1" thickBot="1" x14ac:dyDescent="0.35">
      <c r="A526" s="457" t="s">
        <v>4</v>
      </c>
      <c r="B526" s="458">
        <v>4</v>
      </c>
      <c r="C526" s="458">
        <v>4</v>
      </c>
      <c r="D526" s="458" t="s">
        <v>778</v>
      </c>
      <c r="E526" s="457" t="s">
        <v>498</v>
      </c>
      <c r="F526" s="590"/>
      <c r="G526" s="220">
        <v>51.392118277500003</v>
      </c>
      <c r="H526" s="219">
        <v>0</v>
      </c>
      <c r="I526" s="220">
        <v>0</v>
      </c>
      <c r="J526" s="219">
        <v>0</v>
      </c>
      <c r="K526" s="220">
        <v>0</v>
      </c>
      <c r="L526" s="1236"/>
      <c r="M526"/>
      <c r="N526"/>
      <c r="O526"/>
      <c r="P526"/>
      <c r="Q526"/>
      <c r="R526"/>
      <c r="S526"/>
      <c r="T526"/>
      <c r="U526"/>
      <c r="V526"/>
      <c r="W526"/>
      <c r="X526"/>
    </row>
    <row r="527" spans="1:24" ht="18" thickTop="1" thickBot="1" x14ac:dyDescent="0.35">
      <c r="A527" s="457" t="s">
        <v>4</v>
      </c>
      <c r="B527" s="458">
        <v>4</v>
      </c>
      <c r="C527" s="458">
        <v>4</v>
      </c>
      <c r="D527" s="458" t="s">
        <v>778</v>
      </c>
      <c r="E527" s="457" t="s">
        <v>499</v>
      </c>
      <c r="F527" s="590"/>
      <c r="G527" s="220">
        <v>410.34548671983862</v>
      </c>
      <c r="H527" s="219">
        <v>0</v>
      </c>
      <c r="I527" s="220">
        <v>0</v>
      </c>
      <c r="J527" s="219">
        <v>0</v>
      </c>
      <c r="K527" s="220">
        <v>0</v>
      </c>
      <c r="L527" s="1236"/>
      <c r="M527"/>
      <c r="N527"/>
      <c r="O527"/>
      <c r="P527"/>
      <c r="Q527"/>
      <c r="R527"/>
      <c r="S527"/>
      <c r="T527"/>
      <c r="U527"/>
      <c r="V527"/>
      <c r="W527"/>
      <c r="X527"/>
    </row>
    <row r="528" spans="1:24" ht="18" thickTop="1" thickBot="1" x14ac:dyDescent="0.35">
      <c r="A528" s="457" t="s">
        <v>4</v>
      </c>
      <c r="B528" s="458">
        <v>4</v>
      </c>
      <c r="C528" s="458">
        <v>4</v>
      </c>
      <c r="D528" s="458" t="s">
        <v>779</v>
      </c>
      <c r="E528" s="457" t="s">
        <v>500</v>
      </c>
      <c r="F528" s="590"/>
      <c r="G528" s="220">
        <v>315.18903867918965</v>
      </c>
      <c r="H528" s="219">
        <v>0</v>
      </c>
      <c r="I528" s="220">
        <v>0</v>
      </c>
      <c r="J528" s="219">
        <v>0</v>
      </c>
      <c r="K528" s="220">
        <v>0</v>
      </c>
      <c r="L528" s="1236"/>
      <c r="M528"/>
      <c r="N528"/>
      <c r="O528"/>
      <c r="P528"/>
      <c r="Q528"/>
      <c r="R528"/>
      <c r="S528"/>
      <c r="T528"/>
      <c r="U528"/>
      <c r="V528"/>
      <c r="W528"/>
      <c r="X528"/>
    </row>
    <row r="529" spans="1:24" ht="18" thickTop="1" thickBot="1" x14ac:dyDescent="0.35">
      <c r="A529" s="457" t="s">
        <v>4</v>
      </c>
      <c r="B529" s="458">
        <v>4</v>
      </c>
      <c r="C529" s="458">
        <v>4</v>
      </c>
      <c r="D529" s="458" t="s">
        <v>779</v>
      </c>
      <c r="E529" s="457" t="s">
        <v>501</v>
      </c>
      <c r="F529" s="590"/>
      <c r="G529" s="220">
        <v>209.7521182177922</v>
      </c>
      <c r="H529" s="219">
        <v>0</v>
      </c>
      <c r="I529" s="220">
        <v>0</v>
      </c>
      <c r="J529" s="219">
        <v>0</v>
      </c>
      <c r="K529" s="220">
        <v>0</v>
      </c>
      <c r="L529" s="1236"/>
      <c r="M529" s="2"/>
      <c r="N529"/>
      <c r="O529"/>
      <c r="P529"/>
      <c r="Q529"/>
      <c r="R529"/>
      <c r="S529"/>
      <c r="T529"/>
      <c r="U529"/>
      <c r="V529"/>
      <c r="W529"/>
      <c r="X529"/>
    </row>
    <row r="530" spans="1:24" ht="18" thickTop="1" thickBot="1" x14ac:dyDescent="0.35">
      <c r="A530" s="457" t="s">
        <v>5</v>
      </c>
      <c r="B530" s="458">
        <v>5</v>
      </c>
      <c r="C530" s="458">
        <v>5</v>
      </c>
      <c r="D530" s="458" t="s">
        <v>781</v>
      </c>
      <c r="E530" s="457" t="s">
        <v>502</v>
      </c>
      <c r="F530" s="590"/>
      <c r="G530" s="220">
        <v>34.781403330724054</v>
      </c>
      <c r="H530" s="219">
        <v>0</v>
      </c>
      <c r="I530" s="220">
        <v>0</v>
      </c>
      <c r="J530" s="219">
        <v>0</v>
      </c>
      <c r="K530" s="220">
        <v>0</v>
      </c>
      <c r="L530" s="1236"/>
      <c r="M530"/>
      <c r="N530"/>
      <c r="O530"/>
      <c r="P530"/>
      <c r="Q530"/>
      <c r="R530"/>
      <c r="S530"/>
      <c r="T530"/>
      <c r="U530"/>
      <c r="V530"/>
      <c r="W530"/>
      <c r="X530"/>
    </row>
    <row r="531" spans="1:24" ht="18" thickTop="1" thickBot="1" x14ac:dyDescent="0.35">
      <c r="A531" s="457" t="s">
        <v>5</v>
      </c>
      <c r="B531" s="458">
        <v>5</v>
      </c>
      <c r="C531" s="458">
        <v>5</v>
      </c>
      <c r="D531" s="458" t="s">
        <v>781</v>
      </c>
      <c r="E531" s="457" t="s">
        <v>948</v>
      </c>
      <c r="F531" s="590"/>
      <c r="G531" s="220">
        <v>15.26370706725865</v>
      </c>
      <c r="H531" s="219">
        <v>0</v>
      </c>
      <c r="I531" s="220">
        <v>0</v>
      </c>
      <c r="J531" s="219">
        <v>0</v>
      </c>
      <c r="K531" s="220">
        <v>15.2637070672587</v>
      </c>
      <c r="L531" s="1236"/>
      <c r="M531"/>
      <c r="N531"/>
      <c r="O531"/>
      <c r="P531"/>
      <c r="Q531"/>
      <c r="R531"/>
      <c r="S531"/>
      <c r="T531"/>
      <c r="U531"/>
      <c r="V531"/>
      <c r="W531"/>
      <c r="X531"/>
    </row>
    <row r="532" spans="1:24" ht="18" thickTop="1" thickBot="1" x14ac:dyDescent="0.35">
      <c r="A532" s="457" t="s">
        <v>5</v>
      </c>
      <c r="B532" s="458">
        <v>5</v>
      </c>
      <c r="C532" s="458">
        <v>5</v>
      </c>
      <c r="D532" s="458" t="s">
        <v>782</v>
      </c>
      <c r="E532" s="457" t="s">
        <v>503</v>
      </c>
      <c r="F532" s="590"/>
      <c r="G532" s="220">
        <v>21.413458903862022</v>
      </c>
      <c r="H532" s="219">
        <v>0</v>
      </c>
      <c r="I532" s="220">
        <v>0</v>
      </c>
      <c r="J532" s="219">
        <v>0</v>
      </c>
      <c r="K532" s="220">
        <v>0</v>
      </c>
      <c r="L532" s="1236"/>
      <c r="M532"/>
      <c r="N532"/>
      <c r="O532"/>
      <c r="P532"/>
      <c r="Q532"/>
      <c r="R532"/>
      <c r="S532"/>
      <c r="T532"/>
      <c r="U532"/>
      <c r="V532"/>
      <c r="W532"/>
      <c r="X532"/>
    </row>
    <row r="533" spans="1:24" ht="18" thickTop="1" thickBot="1" x14ac:dyDescent="0.35">
      <c r="A533" s="457" t="s">
        <v>5</v>
      </c>
      <c r="B533" s="458">
        <v>5</v>
      </c>
      <c r="C533" s="458">
        <v>5</v>
      </c>
      <c r="D533" s="458" t="s">
        <v>780</v>
      </c>
      <c r="E533" s="457" t="s">
        <v>504</v>
      </c>
      <c r="F533" s="590"/>
      <c r="G533" s="220">
        <v>5.8566528020000002</v>
      </c>
      <c r="H533" s="219">
        <v>0</v>
      </c>
      <c r="I533" s="220">
        <v>0</v>
      </c>
      <c r="J533" s="219">
        <v>0</v>
      </c>
      <c r="K533" s="220">
        <v>0</v>
      </c>
      <c r="L533" s="1236"/>
      <c r="M533" s="2"/>
      <c r="N533"/>
      <c r="O533"/>
      <c r="P533"/>
      <c r="Q533"/>
      <c r="R533"/>
      <c r="S533"/>
      <c r="T533"/>
      <c r="U533"/>
      <c r="V533"/>
      <c r="W533"/>
      <c r="X533"/>
    </row>
    <row r="534" spans="1:24" ht="18" thickTop="1" thickBot="1" x14ac:dyDescent="0.35">
      <c r="A534" s="457" t="s">
        <v>6</v>
      </c>
      <c r="B534" s="458">
        <v>6</v>
      </c>
      <c r="C534" s="458">
        <v>6</v>
      </c>
      <c r="D534" s="459" t="s">
        <v>783</v>
      </c>
      <c r="E534" s="457" t="s">
        <v>505</v>
      </c>
      <c r="F534" s="590"/>
      <c r="G534" s="220">
        <v>35.24500215939203</v>
      </c>
      <c r="H534" s="219">
        <v>0</v>
      </c>
      <c r="I534" s="220">
        <v>0</v>
      </c>
      <c r="J534" s="219">
        <v>0</v>
      </c>
      <c r="K534" s="220">
        <v>0</v>
      </c>
      <c r="L534" s="1236"/>
      <c r="M534"/>
      <c r="N534"/>
      <c r="O534"/>
      <c r="P534"/>
      <c r="Q534"/>
      <c r="R534"/>
      <c r="S534"/>
      <c r="T534"/>
      <c r="U534"/>
      <c r="V534"/>
      <c r="W534"/>
      <c r="X534"/>
    </row>
    <row r="535" spans="1:24" ht="18" thickTop="1" thickBot="1" x14ac:dyDescent="0.35">
      <c r="A535" s="457" t="s">
        <v>6</v>
      </c>
      <c r="B535" s="458">
        <v>6</v>
      </c>
      <c r="C535" s="458">
        <v>6</v>
      </c>
      <c r="D535" s="458" t="s">
        <v>6</v>
      </c>
      <c r="E535" s="457" t="s">
        <v>506</v>
      </c>
      <c r="F535" s="590"/>
      <c r="G535" s="220">
        <v>162.45919985077279</v>
      </c>
      <c r="H535" s="219">
        <v>0</v>
      </c>
      <c r="I535" s="220">
        <v>0</v>
      </c>
      <c r="J535" s="219">
        <v>0</v>
      </c>
      <c r="K535" s="220">
        <v>0</v>
      </c>
      <c r="L535" s="1236"/>
      <c r="M535"/>
      <c r="N535"/>
      <c r="O535"/>
      <c r="P535"/>
      <c r="Q535"/>
      <c r="R535"/>
      <c r="S535"/>
      <c r="T535"/>
      <c r="U535"/>
      <c r="V535"/>
      <c r="W535"/>
      <c r="X535"/>
    </row>
    <row r="536" spans="1:24" ht="18" thickTop="1" thickBot="1" x14ac:dyDescent="0.35">
      <c r="A536" s="457" t="s">
        <v>6</v>
      </c>
      <c r="B536" s="458">
        <v>6</v>
      </c>
      <c r="C536" s="458">
        <v>6</v>
      </c>
      <c r="D536" s="458" t="s">
        <v>6</v>
      </c>
      <c r="E536" s="457" t="s">
        <v>507</v>
      </c>
      <c r="F536" s="590"/>
      <c r="G536" s="220">
        <v>125.99833151728323</v>
      </c>
      <c r="H536" s="219">
        <v>0</v>
      </c>
      <c r="I536" s="220">
        <v>0</v>
      </c>
      <c r="J536" s="219">
        <v>0</v>
      </c>
      <c r="K536" s="220">
        <v>0</v>
      </c>
      <c r="L536" s="1236"/>
      <c r="M536" s="2"/>
      <c r="N536"/>
      <c r="O536"/>
      <c r="P536"/>
      <c r="Q536"/>
      <c r="R536"/>
      <c r="S536"/>
      <c r="T536"/>
      <c r="U536"/>
      <c r="V536"/>
      <c r="W536"/>
      <c r="X536"/>
    </row>
    <row r="537" spans="1:24" ht="18" thickTop="1" thickBot="1" x14ac:dyDescent="0.35">
      <c r="A537" s="457" t="s">
        <v>7</v>
      </c>
      <c r="B537" s="458">
        <v>7</v>
      </c>
      <c r="C537" s="458">
        <v>7</v>
      </c>
      <c r="D537" s="458" t="s">
        <v>816</v>
      </c>
      <c r="E537" s="457" t="s">
        <v>508</v>
      </c>
      <c r="F537" s="590"/>
      <c r="G537" s="220">
        <v>936.92404893597507</v>
      </c>
      <c r="H537" s="219">
        <v>0</v>
      </c>
      <c r="I537" s="220">
        <v>0</v>
      </c>
      <c r="J537" s="219">
        <v>0</v>
      </c>
      <c r="K537" s="220">
        <v>0</v>
      </c>
      <c r="L537" s="1236"/>
      <c r="M537"/>
      <c r="N537"/>
      <c r="O537"/>
      <c r="P537"/>
      <c r="Q537"/>
      <c r="R537"/>
      <c r="S537"/>
      <c r="T537"/>
      <c r="U537"/>
      <c r="V537"/>
      <c r="W537"/>
      <c r="X537"/>
    </row>
    <row r="538" spans="1:24" ht="18" thickTop="1" thickBot="1" x14ac:dyDescent="0.35">
      <c r="A538" s="457" t="s">
        <v>7</v>
      </c>
      <c r="B538" s="458">
        <v>7</v>
      </c>
      <c r="C538" s="458">
        <v>7</v>
      </c>
      <c r="D538" s="458" t="s">
        <v>509</v>
      </c>
      <c r="E538" s="457" t="s">
        <v>847</v>
      </c>
      <c r="F538" s="590"/>
      <c r="G538" s="220">
        <v>7.9415139064511253</v>
      </c>
      <c r="H538" s="219">
        <v>0</v>
      </c>
      <c r="I538" s="220">
        <v>0</v>
      </c>
      <c r="J538" s="219">
        <v>0</v>
      </c>
      <c r="K538" s="220">
        <v>0</v>
      </c>
      <c r="L538" s="1236"/>
      <c r="M538"/>
      <c r="N538"/>
      <c r="O538"/>
      <c r="P538"/>
      <c r="Q538"/>
      <c r="R538"/>
      <c r="S538"/>
      <c r="T538"/>
      <c r="U538"/>
      <c r="V538"/>
      <c r="W538"/>
      <c r="X538"/>
    </row>
    <row r="539" spans="1:24" ht="18" thickTop="1" thickBot="1" x14ac:dyDescent="0.35">
      <c r="A539" s="457" t="s">
        <v>7</v>
      </c>
      <c r="B539" s="458">
        <v>7</v>
      </c>
      <c r="C539" s="458">
        <v>7</v>
      </c>
      <c r="D539" s="458" t="s">
        <v>816</v>
      </c>
      <c r="E539" s="457" t="s">
        <v>510</v>
      </c>
      <c r="F539" s="590"/>
      <c r="G539" s="220">
        <v>477.71237726722507</v>
      </c>
      <c r="H539" s="219">
        <v>0</v>
      </c>
      <c r="I539" s="220">
        <v>0</v>
      </c>
      <c r="J539" s="219">
        <v>0</v>
      </c>
      <c r="K539" s="220">
        <v>0</v>
      </c>
      <c r="L539" s="1236"/>
      <c r="M539"/>
      <c r="N539"/>
      <c r="O539"/>
      <c r="P539"/>
      <c r="Q539"/>
      <c r="R539"/>
      <c r="S539"/>
      <c r="T539"/>
      <c r="U539"/>
      <c r="V539"/>
      <c r="W539"/>
      <c r="X539"/>
    </row>
    <row r="540" spans="1:24" ht="18" thickTop="1" thickBot="1" x14ac:dyDescent="0.35">
      <c r="A540" s="457" t="s">
        <v>7</v>
      </c>
      <c r="B540" s="458">
        <v>7</v>
      </c>
      <c r="C540" s="458">
        <v>7</v>
      </c>
      <c r="D540" s="458" t="s">
        <v>816</v>
      </c>
      <c r="E540" s="457" t="s">
        <v>511</v>
      </c>
      <c r="F540" s="590"/>
      <c r="G540" s="220">
        <v>362.97895088451992</v>
      </c>
      <c r="H540" s="219">
        <v>0</v>
      </c>
      <c r="I540" s="220">
        <v>0</v>
      </c>
      <c r="J540" s="219">
        <v>0</v>
      </c>
      <c r="K540" s="220">
        <v>0</v>
      </c>
      <c r="L540" s="1236"/>
      <c r="M540"/>
      <c r="N540"/>
      <c r="O540"/>
      <c r="P540"/>
      <c r="Q540"/>
      <c r="R540"/>
      <c r="S540"/>
      <c r="T540"/>
      <c r="U540"/>
      <c r="V540"/>
      <c r="W540"/>
      <c r="X540"/>
    </row>
    <row r="541" spans="1:24" ht="18" thickTop="1" thickBot="1" x14ac:dyDescent="0.35">
      <c r="A541" s="457" t="s">
        <v>7</v>
      </c>
      <c r="B541" s="458">
        <v>7</v>
      </c>
      <c r="C541" s="458">
        <v>7</v>
      </c>
      <c r="D541" s="458" t="s">
        <v>512</v>
      </c>
      <c r="E541" s="457" t="s">
        <v>512</v>
      </c>
      <c r="F541" s="590"/>
      <c r="G541" s="220">
        <v>5.9849289500000005</v>
      </c>
      <c r="H541" s="219">
        <v>0</v>
      </c>
      <c r="I541" s="220">
        <v>0</v>
      </c>
      <c r="J541" s="219">
        <v>0</v>
      </c>
      <c r="K541" s="220">
        <v>0</v>
      </c>
      <c r="L541" s="1236"/>
      <c r="M541"/>
      <c r="N541"/>
      <c r="O541"/>
      <c r="P541"/>
      <c r="Q541"/>
      <c r="R541"/>
      <c r="S541"/>
      <c r="T541"/>
      <c r="U541"/>
      <c r="V541"/>
      <c r="W541"/>
      <c r="X541"/>
    </row>
    <row r="542" spans="1:24" ht="18" thickTop="1" thickBot="1" x14ac:dyDescent="0.35">
      <c r="A542" s="457" t="s">
        <v>7</v>
      </c>
      <c r="B542" s="458">
        <v>7</v>
      </c>
      <c r="C542" s="458">
        <v>7</v>
      </c>
      <c r="D542" s="458" t="s">
        <v>814</v>
      </c>
      <c r="E542" s="457" t="s">
        <v>513</v>
      </c>
      <c r="F542" s="590"/>
      <c r="G542" s="220">
        <v>49.632851267949953</v>
      </c>
      <c r="H542" s="219">
        <v>0</v>
      </c>
      <c r="I542" s="220">
        <v>0</v>
      </c>
      <c r="J542" s="219">
        <v>0</v>
      </c>
      <c r="K542" s="220">
        <v>0</v>
      </c>
      <c r="L542" s="1236"/>
      <c r="M542"/>
      <c r="N542"/>
      <c r="O542"/>
      <c r="P542"/>
      <c r="Q542"/>
      <c r="R542"/>
      <c r="S542"/>
      <c r="T542"/>
      <c r="U542"/>
      <c r="V542"/>
      <c r="W542"/>
      <c r="X542"/>
    </row>
    <row r="543" spans="1:24" ht="18" thickTop="1" thickBot="1" x14ac:dyDescent="0.35">
      <c r="A543" s="457" t="s">
        <v>7</v>
      </c>
      <c r="B543" s="458">
        <v>7</v>
      </c>
      <c r="C543" s="458">
        <v>7</v>
      </c>
      <c r="D543" s="458" t="s">
        <v>814</v>
      </c>
      <c r="E543" s="457" t="s">
        <v>514</v>
      </c>
      <c r="F543" s="590"/>
      <c r="G543" s="220">
        <v>28.579308507850097</v>
      </c>
      <c r="H543" s="219">
        <v>0</v>
      </c>
      <c r="I543" s="220">
        <v>0</v>
      </c>
      <c r="J543" s="219">
        <v>0</v>
      </c>
      <c r="K543" s="220">
        <v>0</v>
      </c>
      <c r="L543" s="1236"/>
      <c r="M543"/>
      <c r="N543"/>
      <c r="O543"/>
      <c r="P543"/>
      <c r="Q543"/>
      <c r="R543"/>
      <c r="S543"/>
      <c r="T543"/>
      <c r="U543"/>
      <c r="V543"/>
      <c r="W543"/>
      <c r="X543"/>
    </row>
    <row r="544" spans="1:24" ht="18" thickTop="1" thickBot="1" x14ac:dyDescent="0.35">
      <c r="A544" s="457" t="s">
        <v>7</v>
      </c>
      <c r="B544" s="458">
        <v>7</v>
      </c>
      <c r="C544" s="458">
        <v>7</v>
      </c>
      <c r="D544" s="458" t="s">
        <v>814</v>
      </c>
      <c r="E544" s="457" t="s">
        <v>515</v>
      </c>
      <c r="F544" s="590"/>
      <c r="G544" s="220">
        <v>19.268599349999999</v>
      </c>
      <c r="H544" s="219">
        <v>0</v>
      </c>
      <c r="I544" s="220">
        <v>0</v>
      </c>
      <c r="J544" s="219">
        <v>0</v>
      </c>
      <c r="K544" s="220">
        <v>0</v>
      </c>
      <c r="L544" s="1236"/>
      <c r="M544"/>
      <c r="N544"/>
      <c r="O544"/>
      <c r="P544"/>
      <c r="Q544"/>
      <c r="R544"/>
      <c r="S544"/>
      <c r="T544"/>
      <c r="U544"/>
      <c r="V544"/>
      <c r="W544"/>
      <c r="X544"/>
    </row>
    <row r="545" spans="1:24" ht="18" thickTop="1" thickBot="1" x14ac:dyDescent="0.35">
      <c r="A545" s="457" t="s">
        <v>7</v>
      </c>
      <c r="B545" s="458">
        <v>7</v>
      </c>
      <c r="C545" s="458">
        <v>7</v>
      </c>
      <c r="D545" s="458" t="s">
        <v>815</v>
      </c>
      <c r="E545" s="457" t="s">
        <v>516</v>
      </c>
      <c r="F545" s="590"/>
      <c r="G545" s="220">
        <v>37.723535850000005</v>
      </c>
      <c r="H545" s="219">
        <v>0</v>
      </c>
      <c r="I545" s="220">
        <v>0</v>
      </c>
      <c r="J545" s="219">
        <v>0</v>
      </c>
      <c r="K545" s="220">
        <v>0</v>
      </c>
      <c r="L545" s="1236"/>
      <c r="M545"/>
      <c r="N545"/>
      <c r="O545"/>
      <c r="P545"/>
      <c r="Q545"/>
      <c r="R545"/>
      <c r="S545"/>
      <c r="T545"/>
      <c r="U545"/>
      <c r="V545"/>
      <c r="W545"/>
      <c r="X545"/>
    </row>
    <row r="546" spans="1:24" ht="18" thickTop="1" thickBot="1" x14ac:dyDescent="0.35">
      <c r="A546" s="457" t="s">
        <v>7</v>
      </c>
      <c r="B546" s="458">
        <v>7</v>
      </c>
      <c r="C546" s="458">
        <v>7</v>
      </c>
      <c r="D546" s="458" t="s">
        <v>784</v>
      </c>
      <c r="E546" s="457" t="s">
        <v>517</v>
      </c>
      <c r="F546" s="590"/>
      <c r="G546" s="220">
        <v>29.646662784839101</v>
      </c>
      <c r="H546" s="219">
        <v>0</v>
      </c>
      <c r="I546" s="220">
        <v>0</v>
      </c>
      <c r="J546" s="219">
        <v>0</v>
      </c>
      <c r="K546" s="220">
        <v>0</v>
      </c>
      <c r="L546" s="1236"/>
      <c r="M546"/>
      <c r="N546"/>
      <c r="O546"/>
      <c r="P546"/>
      <c r="Q546"/>
      <c r="R546"/>
      <c r="S546"/>
      <c r="T546"/>
      <c r="U546"/>
      <c r="V546"/>
      <c r="W546"/>
      <c r="X546"/>
    </row>
    <row r="547" spans="1:24" ht="18" thickTop="1" thickBot="1" x14ac:dyDescent="0.35">
      <c r="A547" s="457" t="s">
        <v>7</v>
      </c>
      <c r="B547" s="458">
        <v>7</v>
      </c>
      <c r="C547" s="458">
        <v>7</v>
      </c>
      <c r="D547" s="458" t="s">
        <v>816</v>
      </c>
      <c r="E547" s="457" t="s">
        <v>518</v>
      </c>
      <c r="F547" s="590"/>
      <c r="G547" s="220">
        <v>459.93575014879997</v>
      </c>
      <c r="H547" s="219">
        <v>0</v>
      </c>
      <c r="I547" s="220">
        <v>0</v>
      </c>
      <c r="J547" s="219">
        <v>0</v>
      </c>
      <c r="K547" s="220">
        <v>0</v>
      </c>
      <c r="L547" s="1236"/>
      <c r="M547"/>
      <c r="N547"/>
      <c r="O547"/>
      <c r="P547"/>
      <c r="Q547"/>
      <c r="R547"/>
      <c r="S547"/>
      <c r="T547"/>
      <c r="U547"/>
      <c r="V547"/>
      <c r="W547"/>
      <c r="X547"/>
    </row>
    <row r="548" spans="1:24" ht="18" thickTop="1" thickBot="1" x14ac:dyDescent="0.35">
      <c r="A548" s="457" t="s">
        <v>7</v>
      </c>
      <c r="B548" s="458">
        <v>7</v>
      </c>
      <c r="C548" s="458">
        <v>7</v>
      </c>
      <c r="D548" s="458" t="s">
        <v>816</v>
      </c>
      <c r="E548" s="457" t="s">
        <v>519</v>
      </c>
      <c r="F548" s="590"/>
      <c r="G548" s="220">
        <v>302.77585137820017</v>
      </c>
      <c r="H548" s="219">
        <v>0</v>
      </c>
      <c r="I548" s="220">
        <v>0</v>
      </c>
      <c r="J548" s="219">
        <v>0</v>
      </c>
      <c r="K548" s="220">
        <v>0</v>
      </c>
      <c r="L548" s="1236"/>
      <c r="M548"/>
      <c r="N548"/>
      <c r="O548"/>
      <c r="P548"/>
      <c r="Q548"/>
      <c r="R548"/>
      <c r="S548"/>
      <c r="T548"/>
      <c r="U548"/>
      <c r="V548"/>
      <c r="W548"/>
      <c r="X548"/>
    </row>
    <row r="549" spans="1:24" ht="18" thickTop="1" thickBot="1" x14ac:dyDescent="0.35">
      <c r="A549" s="457" t="s">
        <v>7</v>
      </c>
      <c r="B549" s="458">
        <v>7</v>
      </c>
      <c r="C549" s="458">
        <v>7</v>
      </c>
      <c r="D549" s="458" t="s">
        <v>816</v>
      </c>
      <c r="E549" s="457" t="s">
        <v>520</v>
      </c>
      <c r="F549" s="590"/>
      <c r="G549" s="220">
        <v>463.51819301290004</v>
      </c>
      <c r="H549" s="219">
        <v>0</v>
      </c>
      <c r="I549" s="220">
        <v>0</v>
      </c>
      <c r="J549" s="219">
        <v>0</v>
      </c>
      <c r="K549" s="220">
        <v>0</v>
      </c>
      <c r="L549" s="1236"/>
      <c r="M549" s="2"/>
      <c r="N549"/>
      <c r="O549"/>
      <c r="P549"/>
      <c r="Q549"/>
      <c r="R549"/>
      <c r="S549"/>
      <c r="T549"/>
      <c r="U549"/>
      <c r="V549"/>
      <c r="W549"/>
      <c r="X549"/>
    </row>
    <row r="550" spans="1:24" ht="18" thickTop="1" thickBot="1" x14ac:dyDescent="0.35">
      <c r="A550" s="457" t="s">
        <v>8</v>
      </c>
      <c r="B550" s="458">
        <v>8</v>
      </c>
      <c r="C550" s="458">
        <v>8</v>
      </c>
      <c r="D550" s="458" t="s">
        <v>785</v>
      </c>
      <c r="E550" s="457" t="s">
        <v>521</v>
      </c>
      <c r="F550" s="590"/>
      <c r="G550" s="220">
        <v>9.3593137463075244</v>
      </c>
      <c r="H550" s="219">
        <v>0</v>
      </c>
      <c r="I550" s="220">
        <v>0</v>
      </c>
      <c r="J550" s="219">
        <v>0</v>
      </c>
      <c r="K550" s="220">
        <v>0</v>
      </c>
      <c r="L550" s="1236"/>
      <c r="M550"/>
      <c r="N550"/>
      <c r="O550"/>
      <c r="P550"/>
      <c r="Q550"/>
      <c r="R550"/>
      <c r="S550"/>
      <c r="T550"/>
      <c r="U550"/>
      <c r="V550"/>
      <c r="W550"/>
      <c r="X550"/>
    </row>
    <row r="551" spans="1:24" ht="18" thickTop="1" thickBot="1" x14ac:dyDescent="0.35">
      <c r="A551" s="457" t="s">
        <v>8</v>
      </c>
      <c r="B551" s="458">
        <v>8</v>
      </c>
      <c r="C551" s="458">
        <v>8</v>
      </c>
      <c r="D551" s="458" t="s">
        <v>786</v>
      </c>
      <c r="E551" s="457" t="s">
        <v>522</v>
      </c>
      <c r="F551" s="590"/>
      <c r="G551" s="220">
        <v>385.21133944992704</v>
      </c>
      <c r="H551" s="219">
        <v>0</v>
      </c>
      <c r="I551" s="220">
        <v>0</v>
      </c>
      <c r="J551" s="219">
        <v>0</v>
      </c>
      <c r="K551" s="220">
        <v>0</v>
      </c>
      <c r="L551" s="1236"/>
      <c r="M551"/>
      <c r="N551"/>
      <c r="O551"/>
      <c r="P551"/>
      <c r="Q551"/>
      <c r="R551"/>
      <c r="S551"/>
      <c r="T551"/>
      <c r="U551"/>
      <c r="V551"/>
      <c r="W551"/>
      <c r="X551"/>
    </row>
    <row r="552" spans="1:24" ht="18" thickTop="1" thickBot="1" x14ac:dyDescent="0.35">
      <c r="A552" s="457" t="s">
        <v>8</v>
      </c>
      <c r="B552" s="458">
        <v>8</v>
      </c>
      <c r="C552" s="458">
        <v>8</v>
      </c>
      <c r="D552" s="458" t="s">
        <v>786</v>
      </c>
      <c r="E552" s="457" t="s">
        <v>523</v>
      </c>
      <c r="F552" s="590"/>
      <c r="G552" s="220">
        <v>291.7760478676293</v>
      </c>
      <c r="H552" s="219">
        <v>0</v>
      </c>
      <c r="I552" s="220">
        <v>0</v>
      </c>
      <c r="J552" s="219">
        <v>0</v>
      </c>
      <c r="K552" s="220">
        <v>0</v>
      </c>
      <c r="L552" s="1236"/>
      <c r="M552"/>
      <c r="N552"/>
      <c r="O552"/>
      <c r="P552"/>
      <c r="Q552"/>
      <c r="R552"/>
      <c r="S552"/>
      <c r="T552"/>
      <c r="U552"/>
      <c r="V552"/>
      <c r="W552"/>
      <c r="X552"/>
    </row>
    <row r="553" spans="1:24" ht="18" thickTop="1" thickBot="1" x14ac:dyDescent="0.35">
      <c r="A553" s="457" t="s">
        <v>8</v>
      </c>
      <c r="B553" s="458">
        <v>8</v>
      </c>
      <c r="C553" s="458">
        <v>8</v>
      </c>
      <c r="D553" s="458" t="s">
        <v>786</v>
      </c>
      <c r="E553" s="457" t="s">
        <v>524</v>
      </c>
      <c r="F553" s="590"/>
      <c r="G553" s="220">
        <v>316.52590749121839</v>
      </c>
      <c r="H553" s="219">
        <v>0</v>
      </c>
      <c r="I553" s="220">
        <v>0</v>
      </c>
      <c r="J553" s="219">
        <v>0</v>
      </c>
      <c r="K553" s="220">
        <v>0</v>
      </c>
      <c r="L553" s="1236"/>
      <c r="M553" s="2"/>
      <c r="N553"/>
      <c r="O553"/>
      <c r="P553"/>
      <c r="Q553"/>
      <c r="R553"/>
      <c r="S553"/>
      <c r="T553"/>
      <c r="U553"/>
      <c r="V553"/>
      <c r="W553"/>
      <c r="X553"/>
    </row>
    <row r="554" spans="1:24" ht="18" thickTop="1" thickBot="1" x14ac:dyDescent="0.35">
      <c r="A554" s="457" t="s">
        <v>9</v>
      </c>
      <c r="B554" s="458">
        <v>9</v>
      </c>
      <c r="C554" s="458">
        <v>9</v>
      </c>
      <c r="D554" s="458" t="s">
        <v>787</v>
      </c>
      <c r="E554" s="457" t="s">
        <v>525</v>
      </c>
      <c r="F554" s="590"/>
      <c r="G554" s="220">
        <v>45.643708860750003</v>
      </c>
      <c r="H554" s="219">
        <v>0</v>
      </c>
      <c r="I554" s="220">
        <v>0</v>
      </c>
      <c r="J554" s="219">
        <v>0</v>
      </c>
      <c r="K554" s="220">
        <v>0</v>
      </c>
      <c r="L554" s="1236"/>
      <c r="M554"/>
      <c r="N554"/>
      <c r="O554"/>
      <c r="P554"/>
      <c r="Q554"/>
      <c r="R554"/>
      <c r="S554"/>
      <c r="T554"/>
      <c r="U554"/>
      <c r="V554"/>
      <c r="W554"/>
      <c r="X554"/>
    </row>
    <row r="555" spans="1:24" ht="18" thickTop="1" thickBot="1" x14ac:dyDescent="0.35">
      <c r="A555" s="457" t="s">
        <v>9</v>
      </c>
      <c r="B555" s="458">
        <v>9</v>
      </c>
      <c r="C555" s="458">
        <v>9</v>
      </c>
      <c r="D555" s="458" t="s">
        <v>787</v>
      </c>
      <c r="E555" s="457" t="s">
        <v>526</v>
      </c>
      <c r="F555" s="590"/>
      <c r="G555" s="220">
        <v>66.255901311600013</v>
      </c>
      <c r="H555" s="219">
        <v>0</v>
      </c>
      <c r="I555" s="220">
        <v>0</v>
      </c>
      <c r="J555" s="219">
        <v>0</v>
      </c>
      <c r="K555" s="220">
        <v>0</v>
      </c>
      <c r="L555" s="1236"/>
      <c r="M555"/>
      <c r="N555"/>
      <c r="O555"/>
      <c r="P555"/>
      <c r="Q555"/>
      <c r="R555"/>
      <c r="S555"/>
      <c r="T555"/>
      <c r="U555"/>
      <c r="V555"/>
      <c r="W555"/>
      <c r="X555"/>
    </row>
    <row r="556" spans="1:24" ht="18" thickTop="1" thickBot="1" x14ac:dyDescent="0.35">
      <c r="A556" s="457" t="s">
        <v>9</v>
      </c>
      <c r="B556" s="458">
        <v>9</v>
      </c>
      <c r="C556" s="458">
        <v>9</v>
      </c>
      <c r="D556" s="458" t="s">
        <v>789</v>
      </c>
      <c r="E556" s="457" t="s">
        <v>527</v>
      </c>
      <c r="F556" s="590"/>
      <c r="G556" s="220">
        <v>166.85190647124998</v>
      </c>
      <c r="H556" s="219">
        <v>0</v>
      </c>
      <c r="I556" s="220">
        <v>0</v>
      </c>
      <c r="J556" s="219">
        <v>0</v>
      </c>
      <c r="K556" s="220">
        <v>0</v>
      </c>
      <c r="L556" s="1236"/>
      <c r="M556"/>
      <c r="N556"/>
      <c r="O556"/>
      <c r="P556"/>
      <c r="Q556"/>
      <c r="R556"/>
      <c r="S556"/>
      <c r="T556"/>
      <c r="U556"/>
      <c r="V556"/>
      <c r="W556"/>
      <c r="X556"/>
    </row>
    <row r="557" spans="1:24" ht="18" thickTop="1" thickBot="1" x14ac:dyDescent="0.35">
      <c r="A557" s="457" t="s">
        <v>9</v>
      </c>
      <c r="B557" s="458">
        <v>9</v>
      </c>
      <c r="C557" s="458">
        <v>9</v>
      </c>
      <c r="D557" s="458" t="s">
        <v>789</v>
      </c>
      <c r="E557" s="457" t="s">
        <v>528</v>
      </c>
      <c r="F557" s="590"/>
      <c r="G557" s="220">
        <v>77.626580781750008</v>
      </c>
      <c r="H557" s="219">
        <v>0</v>
      </c>
      <c r="I557" s="220">
        <v>0</v>
      </c>
      <c r="J557" s="219">
        <v>0</v>
      </c>
      <c r="K557" s="220">
        <v>0</v>
      </c>
      <c r="L557" s="1236"/>
      <c r="M557"/>
      <c r="N557"/>
      <c r="O557"/>
      <c r="P557"/>
      <c r="Q557"/>
      <c r="R557"/>
      <c r="S557"/>
      <c r="T557"/>
      <c r="U557"/>
      <c r="V557"/>
      <c r="W557"/>
      <c r="X557"/>
    </row>
    <row r="558" spans="1:24" ht="18" thickTop="1" thickBot="1" x14ac:dyDescent="0.35">
      <c r="A558" s="457" t="s">
        <v>9</v>
      </c>
      <c r="B558" s="458">
        <v>9</v>
      </c>
      <c r="C558" s="458">
        <v>9</v>
      </c>
      <c r="D558" s="458" t="s">
        <v>788</v>
      </c>
      <c r="E558" s="457" t="s">
        <v>529</v>
      </c>
      <c r="F558" s="590"/>
      <c r="G558" s="220">
        <v>139.33472237684998</v>
      </c>
      <c r="H558" s="219">
        <v>0</v>
      </c>
      <c r="I558" s="220">
        <v>0</v>
      </c>
      <c r="J558" s="219">
        <v>0</v>
      </c>
      <c r="K558" s="220">
        <v>0</v>
      </c>
      <c r="L558" s="1236"/>
      <c r="M558"/>
      <c r="N558"/>
      <c r="O558"/>
      <c r="P558"/>
      <c r="Q558"/>
      <c r="R558"/>
      <c r="S558"/>
      <c r="T558"/>
      <c r="U558"/>
      <c r="V558"/>
      <c r="W558"/>
      <c r="X558"/>
    </row>
    <row r="559" spans="1:24" ht="18" thickTop="1" thickBot="1" x14ac:dyDescent="0.35">
      <c r="A559" s="457" t="s">
        <v>9</v>
      </c>
      <c r="B559" s="458">
        <v>9</v>
      </c>
      <c r="C559" s="458">
        <v>9</v>
      </c>
      <c r="D559" s="458" t="s">
        <v>788</v>
      </c>
      <c r="E559" s="457" t="s">
        <v>530</v>
      </c>
      <c r="F559" s="590"/>
      <c r="G559" s="220">
        <v>102.00616400975001</v>
      </c>
      <c r="H559" s="219">
        <v>0</v>
      </c>
      <c r="I559" s="220">
        <v>0</v>
      </c>
      <c r="J559" s="219">
        <v>0</v>
      </c>
      <c r="K559" s="220">
        <v>0</v>
      </c>
      <c r="L559" s="1236"/>
      <c r="M559"/>
      <c r="N559"/>
      <c r="O559"/>
      <c r="P559"/>
      <c r="Q559"/>
      <c r="R559"/>
      <c r="S559"/>
      <c r="T559"/>
      <c r="U559"/>
      <c r="V559"/>
      <c r="W559"/>
      <c r="X559"/>
    </row>
    <row r="560" spans="1:24" ht="18" thickTop="1" thickBot="1" x14ac:dyDescent="0.35">
      <c r="A560" s="457" t="s">
        <v>9</v>
      </c>
      <c r="B560" s="458">
        <v>9</v>
      </c>
      <c r="C560" s="458">
        <v>9</v>
      </c>
      <c r="D560" s="458" t="s">
        <v>788</v>
      </c>
      <c r="E560" s="457" t="s">
        <v>531</v>
      </c>
      <c r="F560" s="590"/>
      <c r="G560" s="220">
        <v>66.687220599999989</v>
      </c>
      <c r="H560" s="219">
        <v>0</v>
      </c>
      <c r="I560" s="220">
        <v>0</v>
      </c>
      <c r="J560" s="219">
        <v>0</v>
      </c>
      <c r="K560" s="220">
        <v>0</v>
      </c>
      <c r="L560" s="1236"/>
      <c r="M560"/>
      <c r="N560"/>
      <c r="O560"/>
      <c r="P560"/>
      <c r="Q560"/>
      <c r="R560"/>
      <c r="S560"/>
      <c r="T560"/>
      <c r="U560"/>
      <c r="V560"/>
      <c r="W560"/>
      <c r="X560"/>
    </row>
    <row r="561" spans="1:24" ht="18" thickTop="1" thickBot="1" x14ac:dyDescent="0.35">
      <c r="A561" s="457" t="s">
        <v>9</v>
      </c>
      <c r="B561" s="458">
        <v>9</v>
      </c>
      <c r="C561" s="458">
        <v>9</v>
      </c>
      <c r="D561" s="458" t="s">
        <v>789</v>
      </c>
      <c r="E561" s="457" t="s">
        <v>532</v>
      </c>
      <c r="F561" s="590"/>
      <c r="G561" s="220">
        <v>162.68944681989998</v>
      </c>
      <c r="H561" s="219">
        <v>0</v>
      </c>
      <c r="I561" s="220">
        <v>0</v>
      </c>
      <c r="J561" s="219">
        <v>0</v>
      </c>
      <c r="K561" s="220">
        <v>0</v>
      </c>
      <c r="L561" s="1236"/>
      <c r="M561"/>
      <c r="N561"/>
      <c r="O561"/>
      <c r="P561"/>
      <c r="Q561"/>
      <c r="R561"/>
      <c r="S561"/>
      <c r="T561"/>
      <c r="U561"/>
      <c r="V561"/>
      <c r="W561"/>
      <c r="X561"/>
    </row>
    <row r="562" spans="1:24" ht="18" thickTop="1" thickBot="1" x14ac:dyDescent="0.35">
      <c r="A562" s="457" t="s">
        <v>9</v>
      </c>
      <c r="B562" s="458">
        <v>9</v>
      </c>
      <c r="C562" s="458">
        <v>9</v>
      </c>
      <c r="D562" s="458" t="s">
        <v>790</v>
      </c>
      <c r="E562" s="457" t="s">
        <v>533</v>
      </c>
      <c r="F562" s="590"/>
      <c r="G562" s="220">
        <v>55.923798780850007</v>
      </c>
      <c r="H562" s="219">
        <v>0</v>
      </c>
      <c r="I562" s="220">
        <v>0</v>
      </c>
      <c r="J562" s="219">
        <v>0</v>
      </c>
      <c r="K562" s="220">
        <v>0</v>
      </c>
      <c r="L562" s="1236"/>
      <c r="M562" s="2"/>
      <c r="N562"/>
      <c r="O562"/>
      <c r="P562"/>
      <c r="Q562"/>
      <c r="R562"/>
      <c r="S562"/>
      <c r="T562"/>
      <c r="U562"/>
      <c r="V562"/>
      <c r="W562"/>
      <c r="X562"/>
    </row>
    <row r="563" spans="1:24" ht="18" thickTop="1" thickBot="1" x14ac:dyDescent="0.35">
      <c r="A563" s="457" t="s">
        <v>10</v>
      </c>
      <c r="B563" s="458">
        <v>10</v>
      </c>
      <c r="C563" s="458">
        <v>10</v>
      </c>
      <c r="D563" s="458" t="s">
        <v>791</v>
      </c>
      <c r="E563" s="457" t="s">
        <v>534</v>
      </c>
      <c r="F563" s="590"/>
      <c r="G563" s="220">
        <v>587.95287101265706</v>
      </c>
      <c r="H563" s="219">
        <v>0</v>
      </c>
      <c r="I563" s="220">
        <v>0</v>
      </c>
      <c r="J563" s="219">
        <v>0</v>
      </c>
      <c r="K563" s="220">
        <v>0</v>
      </c>
      <c r="L563" s="1236"/>
      <c r="M563"/>
      <c r="N563"/>
      <c r="O563"/>
      <c r="P563"/>
      <c r="Q563"/>
      <c r="R563"/>
      <c r="S563"/>
      <c r="T563"/>
      <c r="U563"/>
      <c r="V563"/>
      <c r="W563"/>
      <c r="X563"/>
    </row>
    <row r="564" spans="1:24" ht="18" thickTop="1" thickBot="1" x14ac:dyDescent="0.35">
      <c r="A564" s="457" t="s">
        <v>10</v>
      </c>
      <c r="B564" s="458">
        <v>10</v>
      </c>
      <c r="C564" s="458">
        <v>10</v>
      </c>
      <c r="D564" s="458" t="s">
        <v>792</v>
      </c>
      <c r="E564" s="457" t="s">
        <v>535</v>
      </c>
      <c r="F564" s="590"/>
      <c r="G564" s="220">
        <v>442.25112570090954</v>
      </c>
      <c r="H564" s="219">
        <v>0</v>
      </c>
      <c r="I564" s="220">
        <v>0</v>
      </c>
      <c r="J564" s="219">
        <v>0</v>
      </c>
      <c r="K564" s="220">
        <v>0</v>
      </c>
      <c r="L564" s="1236"/>
      <c r="M564"/>
      <c r="N564"/>
      <c r="O564"/>
      <c r="P564"/>
      <c r="Q564"/>
      <c r="R564"/>
      <c r="S564"/>
      <c r="T564"/>
      <c r="U564"/>
      <c r="V564"/>
      <c r="W564"/>
      <c r="X564"/>
    </row>
    <row r="565" spans="1:24" ht="18" thickTop="1" thickBot="1" x14ac:dyDescent="0.35">
      <c r="A565" s="457" t="s">
        <v>10</v>
      </c>
      <c r="B565" s="458">
        <v>10</v>
      </c>
      <c r="C565" s="458">
        <v>10</v>
      </c>
      <c r="D565" s="458" t="s">
        <v>792</v>
      </c>
      <c r="E565" s="457" t="s">
        <v>536</v>
      </c>
      <c r="F565" s="590"/>
      <c r="G565" s="220">
        <v>738.70170664800503</v>
      </c>
      <c r="H565" s="219">
        <v>0</v>
      </c>
      <c r="I565" s="220">
        <v>0</v>
      </c>
      <c r="J565" s="219">
        <v>0</v>
      </c>
      <c r="K565" s="220">
        <v>0</v>
      </c>
      <c r="L565" s="1236"/>
      <c r="M565"/>
      <c r="N565"/>
      <c r="O565"/>
      <c r="P565"/>
      <c r="Q565"/>
      <c r="R565"/>
      <c r="S565"/>
      <c r="T565"/>
      <c r="U565"/>
      <c r="V565"/>
      <c r="W565"/>
      <c r="X565"/>
    </row>
    <row r="566" spans="1:24" ht="18" thickTop="1" thickBot="1" x14ac:dyDescent="0.35">
      <c r="A566" s="457" t="s">
        <v>10</v>
      </c>
      <c r="B566" s="458">
        <v>10</v>
      </c>
      <c r="C566" s="458">
        <v>10</v>
      </c>
      <c r="D566" s="458" t="s">
        <v>792</v>
      </c>
      <c r="E566" s="457" t="s">
        <v>537</v>
      </c>
      <c r="F566" s="590"/>
      <c r="G566" s="220">
        <v>376.73921452394734</v>
      </c>
      <c r="H566" s="219">
        <v>0</v>
      </c>
      <c r="I566" s="220">
        <v>0</v>
      </c>
      <c r="J566" s="219">
        <v>0</v>
      </c>
      <c r="K566" s="220">
        <v>0</v>
      </c>
      <c r="L566" s="1236"/>
      <c r="M566"/>
      <c r="N566"/>
      <c r="O566"/>
      <c r="P566"/>
      <c r="Q566"/>
      <c r="R566"/>
      <c r="S566"/>
      <c r="T566"/>
      <c r="U566"/>
      <c r="V566"/>
      <c r="W566"/>
      <c r="X566"/>
    </row>
    <row r="567" spans="1:24" ht="18" thickTop="1" thickBot="1" x14ac:dyDescent="0.35">
      <c r="A567" s="457" t="s">
        <v>10</v>
      </c>
      <c r="B567" s="458">
        <v>10</v>
      </c>
      <c r="C567" s="458">
        <v>10</v>
      </c>
      <c r="D567" s="458" t="s">
        <v>793</v>
      </c>
      <c r="E567" s="457" t="s">
        <v>538</v>
      </c>
      <c r="F567" s="590"/>
      <c r="G567" s="220">
        <v>8.7363765528039004</v>
      </c>
      <c r="H567" s="219">
        <v>0</v>
      </c>
      <c r="I567" s="220">
        <v>0</v>
      </c>
      <c r="J567" s="219">
        <v>0</v>
      </c>
      <c r="K567" s="220">
        <v>0</v>
      </c>
      <c r="L567" s="1236"/>
      <c r="M567"/>
      <c r="N567"/>
      <c r="O567"/>
      <c r="P567"/>
      <c r="Q567"/>
      <c r="R567"/>
      <c r="S567"/>
      <c r="T567"/>
      <c r="U567"/>
      <c r="V567"/>
      <c r="W567"/>
      <c r="X567"/>
    </row>
    <row r="568" spans="1:24" ht="18" thickTop="1" thickBot="1" x14ac:dyDescent="0.35">
      <c r="A568" s="457" t="s">
        <v>10</v>
      </c>
      <c r="B568" s="458">
        <v>10</v>
      </c>
      <c r="C568" s="458">
        <v>10</v>
      </c>
      <c r="D568" s="458" t="s">
        <v>791</v>
      </c>
      <c r="E568" s="457" t="s">
        <v>539</v>
      </c>
      <c r="F568" s="590"/>
      <c r="G568" s="220">
        <v>547.89588232858978</v>
      </c>
      <c r="H568" s="219">
        <v>0</v>
      </c>
      <c r="I568" s="220">
        <v>0</v>
      </c>
      <c r="J568" s="219">
        <v>0</v>
      </c>
      <c r="K568" s="220">
        <v>0</v>
      </c>
      <c r="L568" s="1236"/>
      <c r="M568"/>
      <c r="N568"/>
      <c r="O568"/>
      <c r="P568"/>
      <c r="Q568"/>
      <c r="R568"/>
      <c r="S568"/>
      <c r="T568"/>
      <c r="U568"/>
      <c r="V568"/>
      <c r="W568"/>
      <c r="X568"/>
    </row>
    <row r="569" spans="1:24" ht="18" thickTop="1" thickBot="1" x14ac:dyDescent="0.35">
      <c r="A569" s="457" t="s">
        <v>10</v>
      </c>
      <c r="B569" s="458">
        <v>10</v>
      </c>
      <c r="C569" s="458">
        <v>10</v>
      </c>
      <c r="D569" s="458" t="s">
        <v>791</v>
      </c>
      <c r="E569" s="457" t="s">
        <v>540</v>
      </c>
      <c r="F569" s="590"/>
      <c r="G569" s="220">
        <v>427.40831668371834</v>
      </c>
      <c r="H569" s="219">
        <v>0</v>
      </c>
      <c r="I569" s="220">
        <v>0</v>
      </c>
      <c r="J569" s="219">
        <v>0</v>
      </c>
      <c r="K569" s="220">
        <v>0</v>
      </c>
      <c r="L569" s="1236"/>
      <c r="M569"/>
      <c r="N569"/>
      <c r="O569"/>
      <c r="P569"/>
      <c r="Q569"/>
      <c r="R569"/>
      <c r="S569"/>
      <c r="T569"/>
      <c r="U569"/>
      <c r="V569"/>
      <c r="W569"/>
      <c r="X569"/>
    </row>
    <row r="570" spans="1:24" ht="18" thickTop="1" thickBot="1" x14ac:dyDescent="0.35">
      <c r="A570" s="457" t="s">
        <v>10</v>
      </c>
      <c r="B570" s="458">
        <v>10</v>
      </c>
      <c r="C570" s="458">
        <v>10</v>
      </c>
      <c r="D570" s="458" t="s">
        <v>791</v>
      </c>
      <c r="E570" s="457" t="s">
        <v>541</v>
      </c>
      <c r="F570" s="590"/>
      <c r="G570" s="220">
        <v>1291.8134356023147</v>
      </c>
      <c r="H570" s="219">
        <v>0</v>
      </c>
      <c r="I570" s="220">
        <v>0</v>
      </c>
      <c r="J570" s="219">
        <v>0</v>
      </c>
      <c r="K570" s="220">
        <v>0</v>
      </c>
      <c r="L570" s="1236"/>
      <c r="M570"/>
      <c r="N570"/>
      <c r="O570"/>
      <c r="P570"/>
      <c r="Q570"/>
      <c r="R570"/>
      <c r="S570"/>
      <c r="T570"/>
      <c r="U570"/>
      <c r="V570"/>
      <c r="W570"/>
      <c r="X570"/>
    </row>
    <row r="571" spans="1:24" ht="18" thickTop="1" thickBot="1" x14ac:dyDescent="0.35">
      <c r="A571" s="457" t="s">
        <v>10</v>
      </c>
      <c r="B571" s="458">
        <v>10</v>
      </c>
      <c r="C571" s="458">
        <v>10</v>
      </c>
      <c r="D571" s="458" t="s">
        <v>791</v>
      </c>
      <c r="E571" s="457" t="s">
        <v>542</v>
      </c>
      <c r="F571" s="590"/>
      <c r="G571" s="220">
        <v>648.61171759006129</v>
      </c>
      <c r="H571" s="219">
        <v>0</v>
      </c>
      <c r="I571" s="220">
        <v>0</v>
      </c>
      <c r="J571" s="219">
        <v>0</v>
      </c>
      <c r="K571" s="220">
        <v>0</v>
      </c>
      <c r="L571" s="1236"/>
      <c r="M571"/>
      <c r="N571"/>
      <c r="O571"/>
      <c r="P571"/>
      <c r="Q571"/>
      <c r="R571"/>
      <c r="S571"/>
      <c r="T571"/>
      <c r="U571"/>
      <c r="V571"/>
      <c r="W571"/>
      <c r="X571"/>
    </row>
    <row r="572" spans="1:24" ht="18" thickTop="1" thickBot="1" x14ac:dyDescent="0.35">
      <c r="A572" s="457" t="s">
        <v>10</v>
      </c>
      <c r="B572" s="458">
        <v>10</v>
      </c>
      <c r="C572" s="458">
        <v>10</v>
      </c>
      <c r="D572" s="458" t="s">
        <v>792</v>
      </c>
      <c r="E572" s="457" t="s">
        <v>543</v>
      </c>
      <c r="F572" s="590"/>
      <c r="G572" s="220">
        <v>414.60461630339256</v>
      </c>
      <c r="H572" s="219">
        <v>0</v>
      </c>
      <c r="I572" s="220">
        <v>0</v>
      </c>
      <c r="J572" s="219">
        <v>0</v>
      </c>
      <c r="K572" s="220">
        <v>0</v>
      </c>
      <c r="L572" s="1236"/>
      <c r="M572"/>
      <c r="N572"/>
      <c r="O572"/>
      <c r="P572"/>
      <c r="Q572"/>
      <c r="R572"/>
      <c r="S572"/>
      <c r="T572"/>
      <c r="U572"/>
      <c r="V572"/>
      <c r="W572"/>
      <c r="X572"/>
    </row>
    <row r="573" spans="1:24" ht="18" thickTop="1" thickBot="1" x14ac:dyDescent="0.35">
      <c r="A573" s="457" t="s">
        <v>10</v>
      </c>
      <c r="B573" s="458">
        <v>10</v>
      </c>
      <c r="C573" s="458">
        <v>10</v>
      </c>
      <c r="D573" s="458" t="s">
        <v>793</v>
      </c>
      <c r="E573" s="457" t="s">
        <v>544</v>
      </c>
      <c r="F573" s="590"/>
      <c r="G573" s="220">
        <v>364.11105678022074</v>
      </c>
      <c r="H573" s="219">
        <v>0</v>
      </c>
      <c r="I573" s="220">
        <v>0</v>
      </c>
      <c r="J573" s="219">
        <v>0</v>
      </c>
      <c r="K573" s="220">
        <v>0</v>
      </c>
      <c r="L573" s="1236"/>
      <c r="M573"/>
      <c r="N573"/>
      <c r="O573"/>
      <c r="P573"/>
      <c r="Q573"/>
      <c r="R573"/>
      <c r="S573"/>
      <c r="T573"/>
      <c r="U573"/>
      <c r="V573"/>
      <c r="W573"/>
      <c r="X573"/>
    </row>
    <row r="574" spans="1:24" ht="18" thickTop="1" thickBot="1" x14ac:dyDescent="0.35">
      <c r="A574" s="457" t="s">
        <v>10</v>
      </c>
      <c r="B574" s="458">
        <v>10</v>
      </c>
      <c r="C574" s="458">
        <v>10</v>
      </c>
      <c r="D574" s="458" t="s">
        <v>793</v>
      </c>
      <c r="E574" s="457" t="s">
        <v>545</v>
      </c>
      <c r="F574" s="590"/>
      <c r="G574" s="220">
        <v>332.49777744788605</v>
      </c>
      <c r="H574" s="219">
        <v>0</v>
      </c>
      <c r="I574" s="220">
        <v>0</v>
      </c>
      <c r="J574" s="219">
        <v>0</v>
      </c>
      <c r="K574" s="220">
        <v>0</v>
      </c>
      <c r="L574" s="1236"/>
      <c r="M574"/>
      <c r="N574"/>
      <c r="O574"/>
      <c r="P574"/>
      <c r="Q574"/>
      <c r="R574"/>
      <c r="S574"/>
      <c r="T574"/>
      <c r="U574"/>
      <c r="V574"/>
      <c r="W574"/>
      <c r="X574"/>
    </row>
    <row r="575" spans="1:24" ht="18" thickTop="1" thickBot="1" x14ac:dyDescent="0.35">
      <c r="A575" s="457" t="s">
        <v>10</v>
      </c>
      <c r="B575" s="458">
        <v>10</v>
      </c>
      <c r="C575" s="458">
        <v>10</v>
      </c>
      <c r="D575" s="458" t="s">
        <v>793</v>
      </c>
      <c r="E575" s="457" t="s">
        <v>546</v>
      </c>
      <c r="F575" s="590"/>
      <c r="G575" s="220">
        <v>328.25569646717349</v>
      </c>
      <c r="H575" s="219">
        <v>0</v>
      </c>
      <c r="I575" s="220">
        <v>0</v>
      </c>
      <c r="J575" s="219">
        <v>0</v>
      </c>
      <c r="K575" s="220">
        <v>0</v>
      </c>
      <c r="L575" s="1236"/>
      <c r="M575"/>
      <c r="N575"/>
      <c r="O575"/>
      <c r="P575"/>
      <c r="Q575"/>
      <c r="R575"/>
      <c r="S575"/>
      <c r="T575"/>
      <c r="U575"/>
      <c r="V575"/>
      <c r="W575"/>
      <c r="X575"/>
    </row>
    <row r="576" spans="1:24" ht="18" thickTop="1" thickBot="1" x14ac:dyDescent="0.35">
      <c r="A576" s="457" t="s">
        <v>10</v>
      </c>
      <c r="B576" s="458">
        <v>10</v>
      </c>
      <c r="C576" s="458">
        <v>10</v>
      </c>
      <c r="D576" s="458" t="s">
        <v>791</v>
      </c>
      <c r="E576" s="457" t="s">
        <v>547</v>
      </c>
      <c r="F576" s="590"/>
      <c r="G576" s="220">
        <v>642.28420841056959</v>
      </c>
      <c r="H576" s="219">
        <v>0</v>
      </c>
      <c r="I576" s="220">
        <v>0</v>
      </c>
      <c r="J576" s="219">
        <v>0</v>
      </c>
      <c r="K576" s="220">
        <v>0</v>
      </c>
      <c r="L576" s="1236"/>
      <c r="M576"/>
      <c r="N576"/>
      <c r="O576"/>
      <c r="P576"/>
      <c r="Q576"/>
      <c r="R576"/>
      <c r="S576"/>
      <c r="T576"/>
      <c r="U576"/>
      <c r="V576"/>
      <c r="W576"/>
      <c r="X576"/>
    </row>
    <row r="577" spans="1:24" ht="18" thickTop="1" thickBot="1" x14ac:dyDescent="0.35">
      <c r="A577" s="457" t="s">
        <v>10</v>
      </c>
      <c r="B577" s="458">
        <v>10</v>
      </c>
      <c r="C577" s="458">
        <v>10</v>
      </c>
      <c r="D577" s="458" t="s">
        <v>818</v>
      </c>
      <c r="E577" s="457" t="s">
        <v>548</v>
      </c>
      <c r="F577" s="590"/>
      <c r="G577" s="220">
        <v>204.99831442600509</v>
      </c>
      <c r="H577" s="219">
        <v>0</v>
      </c>
      <c r="I577" s="220">
        <v>0</v>
      </c>
      <c r="J577" s="219">
        <v>0</v>
      </c>
      <c r="K577" s="220">
        <v>0</v>
      </c>
      <c r="L577" s="1236"/>
      <c r="M577"/>
      <c r="N577"/>
      <c r="O577"/>
      <c r="P577"/>
      <c r="Q577"/>
      <c r="R577"/>
      <c r="S577"/>
      <c r="T577"/>
      <c r="U577"/>
      <c r="V577"/>
      <c r="W577"/>
      <c r="X577"/>
    </row>
    <row r="578" spans="1:24" ht="18" thickTop="1" thickBot="1" x14ac:dyDescent="0.35">
      <c r="A578" s="457" t="s">
        <v>10</v>
      </c>
      <c r="B578" s="458">
        <v>10</v>
      </c>
      <c r="C578" s="458">
        <v>10</v>
      </c>
      <c r="D578" s="458" t="s">
        <v>792</v>
      </c>
      <c r="E578" s="457" t="s">
        <v>549</v>
      </c>
      <c r="F578" s="590"/>
      <c r="G578" s="220">
        <v>395.80846858676119</v>
      </c>
      <c r="H578" s="219">
        <v>0</v>
      </c>
      <c r="I578" s="220">
        <v>0</v>
      </c>
      <c r="J578" s="219">
        <v>0</v>
      </c>
      <c r="K578" s="220">
        <v>0</v>
      </c>
      <c r="L578" s="1236"/>
      <c r="M578"/>
      <c r="N578"/>
      <c r="O578"/>
      <c r="P578"/>
      <c r="Q578"/>
      <c r="R578"/>
      <c r="S578"/>
      <c r="T578"/>
      <c r="U578"/>
      <c r="V578"/>
      <c r="W578"/>
      <c r="X578"/>
    </row>
    <row r="579" spans="1:24" ht="18" thickTop="1" thickBot="1" x14ac:dyDescent="0.35">
      <c r="A579" s="457" t="s">
        <v>10</v>
      </c>
      <c r="B579" s="458">
        <v>10</v>
      </c>
      <c r="C579" s="458">
        <v>10</v>
      </c>
      <c r="D579" s="458" t="s">
        <v>794</v>
      </c>
      <c r="E579" s="457" t="s">
        <v>550</v>
      </c>
      <c r="F579" s="590"/>
      <c r="G579" s="220">
        <v>483.83125548682926</v>
      </c>
      <c r="H579" s="219">
        <v>0</v>
      </c>
      <c r="I579" s="220">
        <v>0</v>
      </c>
      <c r="J579" s="219">
        <v>0</v>
      </c>
      <c r="K579" s="220">
        <v>0</v>
      </c>
      <c r="L579" s="1236"/>
      <c r="M579"/>
      <c r="N579"/>
      <c r="O579"/>
      <c r="P579"/>
      <c r="Q579"/>
      <c r="R579"/>
      <c r="S579"/>
      <c r="T579"/>
      <c r="U579"/>
      <c r="V579"/>
      <c r="W579"/>
      <c r="X579"/>
    </row>
    <row r="580" spans="1:24" ht="18" thickTop="1" thickBot="1" x14ac:dyDescent="0.35">
      <c r="A580" s="457" t="s">
        <v>10</v>
      </c>
      <c r="B580" s="458">
        <v>10</v>
      </c>
      <c r="C580" s="458">
        <v>10</v>
      </c>
      <c r="D580" s="458" t="s">
        <v>794</v>
      </c>
      <c r="E580" s="457" t="s">
        <v>551</v>
      </c>
      <c r="F580" s="590"/>
      <c r="G580" s="220">
        <v>393.59613869443365</v>
      </c>
      <c r="H580" s="219">
        <v>0</v>
      </c>
      <c r="I580" s="220">
        <v>0</v>
      </c>
      <c r="J580" s="219">
        <v>0</v>
      </c>
      <c r="K580" s="220">
        <v>0</v>
      </c>
      <c r="L580" s="1236"/>
      <c r="M580"/>
      <c r="N580"/>
      <c r="O580"/>
      <c r="P580"/>
      <c r="Q580"/>
      <c r="R580"/>
      <c r="S580"/>
      <c r="T580"/>
      <c r="U580"/>
      <c r="V580"/>
      <c r="W580"/>
      <c r="X580"/>
    </row>
    <row r="581" spans="1:24" ht="18" thickTop="1" thickBot="1" x14ac:dyDescent="0.35">
      <c r="A581" s="457" t="s">
        <v>10</v>
      </c>
      <c r="B581" s="458">
        <v>10</v>
      </c>
      <c r="C581" s="458">
        <v>10</v>
      </c>
      <c r="D581" s="458" t="s">
        <v>794</v>
      </c>
      <c r="E581" s="457" t="s">
        <v>552</v>
      </c>
      <c r="F581" s="590"/>
      <c r="G581" s="220">
        <v>405.93527256169386</v>
      </c>
      <c r="H581" s="219">
        <v>0</v>
      </c>
      <c r="I581" s="220">
        <v>0</v>
      </c>
      <c r="J581" s="219">
        <v>0</v>
      </c>
      <c r="K581" s="220">
        <v>0</v>
      </c>
      <c r="L581" s="1236"/>
      <c r="M581"/>
      <c r="N581"/>
      <c r="O581"/>
      <c r="P581"/>
      <c r="Q581"/>
      <c r="R581"/>
      <c r="S581"/>
      <c r="T581"/>
      <c r="U581"/>
      <c r="V581"/>
      <c r="W581"/>
      <c r="X581"/>
    </row>
    <row r="582" spans="1:24" ht="18" thickTop="1" thickBot="1" x14ac:dyDescent="0.35">
      <c r="A582" s="457" t="s">
        <v>11</v>
      </c>
      <c r="B582" s="458">
        <v>11</v>
      </c>
      <c r="C582" s="458">
        <v>11</v>
      </c>
      <c r="D582" s="458" t="s">
        <v>795</v>
      </c>
      <c r="E582" s="457" t="s">
        <v>553</v>
      </c>
      <c r="F582" s="590"/>
      <c r="G582" s="220">
        <v>279.11283873395422</v>
      </c>
      <c r="H582" s="219">
        <v>0</v>
      </c>
      <c r="I582" s="220">
        <v>0</v>
      </c>
      <c r="J582" s="219">
        <v>0</v>
      </c>
      <c r="K582" s="220">
        <v>0</v>
      </c>
      <c r="L582" s="1236"/>
      <c r="M582" s="2"/>
      <c r="N582"/>
      <c r="O582"/>
      <c r="P582"/>
      <c r="Q582"/>
      <c r="R582"/>
      <c r="S582"/>
      <c r="T582"/>
      <c r="U582"/>
      <c r="V582"/>
      <c r="W582"/>
      <c r="X582"/>
    </row>
    <row r="583" spans="1:24" ht="18" thickTop="1" thickBot="1" x14ac:dyDescent="0.35">
      <c r="A583" s="457" t="s">
        <v>11</v>
      </c>
      <c r="B583" s="458">
        <v>11</v>
      </c>
      <c r="C583" s="458">
        <v>11</v>
      </c>
      <c r="D583" s="458" t="s">
        <v>795</v>
      </c>
      <c r="E583" s="457" t="s">
        <v>554</v>
      </c>
      <c r="F583" s="590"/>
      <c r="G583" s="220">
        <v>77.408519313125012</v>
      </c>
      <c r="H583" s="219">
        <v>0</v>
      </c>
      <c r="I583" s="220">
        <v>0</v>
      </c>
      <c r="J583" s="219">
        <v>0</v>
      </c>
      <c r="K583" s="220">
        <v>0</v>
      </c>
      <c r="L583" s="1236"/>
      <c r="M583"/>
      <c r="N583"/>
      <c r="O583"/>
      <c r="P583"/>
      <c r="Q583"/>
      <c r="R583"/>
      <c r="S583"/>
      <c r="T583"/>
      <c r="U583"/>
      <c r="V583"/>
      <c r="W583"/>
      <c r="X583"/>
    </row>
    <row r="584" spans="1:24" ht="18" thickTop="1" thickBot="1" x14ac:dyDescent="0.35">
      <c r="A584" s="457" t="s">
        <v>11</v>
      </c>
      <c r="B584" s="458">
        <v>11</v>
      </c>
      <c r="C584" s="458">
        <v>11</v>
      </c>
      <c r="D584" s="458" t="s">
        <v>795</v>
      </c>
      <c r="E584" s="457" t="s">
        <v>555</v>
      </c>
      <c r="F584" s="590"/>
      <c r="G584" s="220">
        <v>141.66717633836268</v>
      </c>
      <c r="H584" s="219">
        <v>0</v>
      </c>
      <c r="I584" s="220">
        <v>0</v>
      </c>
      <c r="J584" s="219">
        <v>0</v>
      </c>
      <c r="K584" s="220">
        <v>0</v>
      </c>
      <c r="L584" s="1236"/>
      <c r="M584"/>
      <c r="N584"/>
      <c r="O584"/>
      <c r="P584"/>
      <c r="Q584"/>
      <c r="R584"/>
      <c r="S584"/>
      <c r="T584"/>
      <c r="U584"/>
      <c r="V584"/>
      <c r="W584"/>
      <c r="X584"/>
    </row>
    <row r="585" spans="1:24" ht="18" thickTop="1" thickBot="1" x14ac:dyDescent="0.35">
      <c r="A585" s="457" t="s">
        <v>11</v>
      </c>
      <c r="B585" s="458">
        <v>11</v>
      </c>
      <c r="C585" s="458">
        <v>11</v>
      </c>
      <c r="D585" s="458" t="s">
        <v>819</v>
      </c>
      <c r="E585" s="457" t="s">
        <v>556</v>
      </c>
      <c r="F585" s="590"/>
      <c r="G585" s="220">
        <v>69.244737717255106</v>
      </c>
      <c r="H585" s="219">
        <v>0</v>
      </c>
      <c r="I585" s="220">
        <v>0</v>
      </c>
      <c r="J585" s="219">
        <v>0</v>
      </c>
      <c r="K585" s="220">
        <v>0</v>
      </c>
      <c r="L585" s="1236"/>
      <c r="M585"/>
      <c r="N585"/>
      <c r="O585"/>
      <c r="P585"/>
      <c r="Q585"/>
      <c r="R585"/>
      <c r="S585"/>
      <c r="T585"/>
      <c r="U585"/>
      <c r="V585"/>
      <c r="W585"/>
      <c r="X585"/>
    </row>
    <row r="586" spans="1:24" ht="18" thickTop="1" thickBot="1" x14ac:dyDescent="0.35">
      <c r="A586" s="457" t="s">
        <v>12</v>
      </c>
      <c r="B586" s="458">
        <v>12</v>
      </c>
      <c r="C586" s="458">
        <v>12</v>
      </c>
      <c r="D586" s="458" t="s">
        <v>796</v>
      </c>
      <c r="E586" s="457" t="s">
        <v>557</v>
      </c>
      <c r="F586" s="590"/>
      <c r="G586" s="220">
        <v>94.367979641510559</v>
      </c>
      <c r="H586" s="219">
        <v>0</v>
      </c>
      <c r="I586" s="220">
        <v>0</v>
      </c>
      <c r="J586" s="219">
        <v>0</v>
      </c>
      <c r="K586" s="220">
        <v>0</v>
      </c>
      <c r="L586" s="1236"/>
      <c r="M586" s="2"/>
      <c r="N586"/>
      <c r="O586"/>
      <c r="P586"/>
      <c r="Q586"/>
      <c r="R586"/>
      <c r="S586"/>
      <c r="T586"/>
      <c r="U586"/>
      <c r="V586"/>
      <c r="W586"/>
      <c r="X586"/>
    </row>
    <row r="587" spans="1:24" ht="18" thickTop="1" thickBot="1" x14ac:dyDescent="0.35">
      <c r="A587" s="457" t="s">
        <v>12</v>
      </c>
      <c r="B587" s="458">
        <v>12</v>
      </c>
      <c r="C587" s="458">
        <v>12</v>
      </c>
      <c r="D587" s="458" t="s">
        <v>796</v>
      </c>
      <c r="E587" s="457" t="s">
        <v>558</v>
      </c>
      <c r="F587" s="590"/>
      <c r="G587" s="220">
        <v>55.739692329821501</v>
      </c>
      <c r="H587" s="219">
        <v>0</v>
      </c>
      <c r="I587" s="220">
        <v>0</v>
      </c>
      <c r="J587" s="219">
        <v>0</v>
      </c>
      <c r="K587" s="220">
        <v>0</v>
      </c>
      <c r="L587" s="1236"/>
      <c r="M587"/>
      <c r="N587"/>
      <c r="O587"/>
      <c r="P587"/>
      <c r="Q587"/>
      <c r="R587"/>
      <c r="S587"/>
      <c r="T587"/>
      <c r="U587"/>
      <c r="V587"/>
      <c r="W587"/>
      <c r="X587"/>
    </row>
    <row r="588" spans="1:24" ht="18" thickTop="1" thickBot="1" x14ac:dyDescent="0.35">
      <c r="A588" s="457" t="s">
        <v>12</v>
      </c>
      <c r="B588" s="458">
        <v>12</v>
      </c>
      <c r="C588" s="458">
        <v>12</v>
      </c>
      <c r="D588" s="458" t="s">
        <v>797</v>
      </c>
      <c r="E588" s="457" t="s">
        <v>559</v>
      </c>
      <c r="F588" s="590"/>
      <c r="G588" s="220">
        <v>64.443508114735749</v>
      </c>
      <c r="H588" s="219">
        <v>0</v>
      </c>
      <c r="I588" s="220">
        <v>0</v>
      </c>
      <c r="J588" s="219">
        <v>0</v>
      </c>
      <c r="K588" s="220">
        <v>0</v>
      </c>
      <c r="L588" s="1236"/>
      <c r="M588"/>
      <c r="N588"/>
      <c r="O588"/>
      <c r="P588"/>
      <c r="Q588"/>
      <c r="R588"/>
      <c r="S588"/>
      <c r="T588"/>
      <c r="U588"/>
      <c r="V588"/>
      <c r="W588"/>
      <c r="X588"/>
    </row>
    <row r="589" spans="1:24" ht="18" thickTop="1" thickBot="1" x14ac:dyDescent="0.35">
      <c r="A589" s="457" t="s">
        <v>12</v>
      </c>
      <c r="B589" s="458">
        <v>12</v>
      </c>
      <c r="C589" s="458">
        <v>12</v>
      </c>
      <c r="D589" s="458" t="s">
        <v>797</v>
      </c>
      <c r="E589" s="457" t="s">
        <v>560</v>
      </c>
      <c r="F589" s="590"/>
      <c r="G589" s="220">
        <v>107.38179906018566</v>
      </c>
      <c r="H589" s="219">
        <v>0</v>
      </c>
      <c r="I589" s="220">
        <v>0</v>
      </c>
      <c r="J589" s="219">
        <v>0</v>
      </c>
      <c r="K589" s="220">
        <v>0</v>
      </c>
      <c r="L589" s="1236"/>
      <c r="M589"/>
      <c r="N589"/>
      <c r="O589"/>
      <c r="P589"/>
      <c r="Q589"/>
      <c r="R589"/>
      <c r="S589"/>
      <c r="T589"/>
      <c r="U589"/>
      <c r="V589"/>
      <c r="W589"/>
      <c r="X589"/>
    </row>
    <row r="590" spans="1:24" ht="18" thickTop="1" thickBot="1" x14ac:dyDescent="0.35">
      <c r="A590" s="457" t="s">
        <v>12</v>
      </c>
      <c r="B590" s="458">
        <v>12</v>
      </c>
      <c r="C590" s="458">
        <v>12</v>
      </c>
      <c r="D590" s="458" t="s">
        <v>797</v>
      </c>
      <c r="E590" s="457" t="s">
        <v>561</v>
      </c>
      <c r="F590" s="590"/>
      <c r="G590" s="220">
        <v>26.394321953999999</v>
      </c>
      <c r="H590" s="219">
        <v>0</v>
      </c>
      <c r="I590" s="220">
        <v>0</v>
      </c>
      <c r="J590" s="219">
        <v>0</v>
      </c>
      <c r="K590" s="220">
        <v>0</v>
      </c>
      <c r="L590" s="1236"/>
      <c r="M590"/>
      <c r="N590"/>
      <c r="O590"/>
      <c r="P590"/>
      <c r="Q590"/>
      <c r="R590"/>
      <c r="S590"/>
      <c r="T590"/>
      <c r="U590"/>
      <c r="V590"/>
      <c r="W590"/>
      <c r="X590"/>
    </row>
    <row r="591" spans="1:24" ht="18" thickTop="1" thickBot="1" x14ac:dyDescent="0.35">
      <c r="A591" s="457" t="s">
        <v>12</v>
      </c>
      <c r="B591" s="458">
        <v>12</v>
      </c>
      <c r="C591" s="458">
        <v>12</v>
      </c>
      <c r="D591" s="458" t="s">
        <v>798</v>
      </c>
      <c r="E591" s="457" t="s">
        <v>562</v>
      </c>
      <c r="F591" s="590"/>
      <c r="G591" s="220">
        <v>3.0024744750000001</v>
      </c>
      <c r="H591" s="219">
        <v>0</v>
      </c>
      <c r="I591" s="220">
        <v>0</v>
      </c>
      <c r="J591" s="219">
        <v>0</v>
      </c>
      <c r="K591" s="220">
        <v>0</v>
      </c>
      <c r="L591" s="1236"/>
      <c r="M591"/>
      <c r="N591"/>
      <c r="O591"/>
      <c r="P591"/>
      <c r="Q591"/>
      <c r="R591"/>
      <c r="S591"/>
      <c r="T591"/>
      <c r="U591"/>
      <c r="V591"/>
      <c r="W591"/>
      <c r="X591"/>
    </row>
    <row r="592" spans="1:24" ht="18" thickTop="1" thickBot="1" x14ac:dyDescent="0.35">
      <c r="A592" s="457" t="s">
        <v>12</v>
      </c>
      <c r="B592" s="458">
        <v>12</v>
      </c>
      <c r="C592" s="458">
        <v>12</v>
      </c>
      <c r="D592" s="458" t="s">
        <v>798</v>
      </c>
      <c r="E592" s="457" t="s">
        <v>1845</v>
      </c>
      <c r="F592" s="590"/>
      <c r="G592" s="220">
        <v>2.0016496500000001</v>
      </c>
      <c r="H592" s="219">
        <v>0</v>
      </c>
      <c r="I592" s="220">
        <v>0</v>
      </c>
      <c r="J592" s="219">
        <v>0</v>
      </c>
      <c r="K592" s="220">
        <v>0</v>
      </c>
      <c r="L592" s="1236"/>
      <c r="M592"/>
      <c r="N592"/>
      <c r="O592"/>
      <c r="P592"/>
      <c r="Q592"/>
      <c r="R592"/>
      <c r="S592"/>
      <c r="T592"/>
      <c r="U592"/>
      <c r="V592"/>
      <c r="W592"/>
      <c r="X592"/>
    </row>
    <row r="593" spans="1:24" ht="18" thickTop="1" thickBot="1" x14ac:dyDescent="0.35">
      <c r="A593" s="457" t="s">
        <v>12</v>
      </c>
      <c r="B593" s="458">
        <v>12</v>
      </c>
      <c r="C593" s="458">
        <v>12</v>
      </c>
      <c r="D593" s="458" t="s">
        <v>799</v>
      </c>
      <c r="E593" s="457" t="s">
        <v>563</v>
      </c>
      <c r="F593" s="590"/>
      <c r="G593" s="220">
        <v>546.51927049887672</v>
      </c>
      <c r="H593" s="219">
        <v>0</v>
      </c>
      <c r="I593" s="220">
        <v>0</v>
      </c>
      <c r="J593" s="219">
        <v>0</v>
      </c>
      <c r="K593" s="220">
        <v>0</v>
      </c>
      <c r="L593" s="1236"/>
      <c r="M593"/>
      <c r="N593"/>
      <c r="O593"/>
      <c r="P593"/>
      <c r="Q593"/>
      <c r="R593"/>
      <c r="S593"/>
      <c r="T593"/>
      <c r="U593"/>
      <c r="V593"/>
      <c r="W593"/>
      <c r="X593"/>
    </row>
    <row r="594" spans="1:24" ht="18" thickTop="1" thickBot="1" x14ac:dyDescent="0.35">
      <c r="A594" s="457" t="s">
        <v>12</v>
      </c>
      <c r="B594" s="458">
        <v>12</v>
      </c>
      <c r="C594" s="458">
        <v>12</v>
      </c>
      <c r="D594" s="458" t="s">
        <v>800</v>
      </c>
      <c r="E594" s="457" t="s">
        <v>564</v>
      </c>
      <c r="F594" s="590"/>
      <c r="G594" s="220">
        <v>14.631083109542901</v>
      </c>
      <c r="H594" s="219">
        <v>0</v>
      </c>
      <c r="I594" s="220">
        <v>0</v>
      </c>
      <c r="J594" s="219">
        <v>0</v>
      </c>
      <c r="K594" s="220">
        <v>0</v>
      </c>
      <c r="L594" s="1236"/>
      <c r="M594"/>
      <c r="N594"/>
      <c r="O594"/>
      <c r="P594"/>
      <c r="Q594"/>
      <c r="R594"/>
      <c r="S594"/>
      <c r="T594"/>
      <c r="U594"/>
      <c r="V594"/>
      <c r="W594"/>
      <c r="X594"/>
    </row>
    <row r="595" spans="1:24" ht="18" thickTop="1" thickBot="1" x14ac:dyDescent="0.35">
      <c r="A595" s="457" t="s">
        <v>12</v>
      </c>
      <c r="B595" s="458">
        <v>12</v>
      </c>
      <c r="C595" s="458">
        <v>12</v>
      </c>
      <c r="D595" s="458" t="s">
        <v>800</v>
      </c>
      <c r="E595" s="457" t="s">
        <v>565</v>
      </c>
      <c r="F595" s="590"/>
      <c r="G595" s="220">
        <v>6.045791966439225</v>
      </c>
      <c r="H595" s="219">
        <v>0</v>
      </c>
      <c r="I595" s="220">
        <v>0</v>
      </c>
      <c r="J595" s="219">
        <v>0</v>
      </c>
      <c r="K595" s="220">
        <v>0</v>
      </c>
      <c r="L595" s="1236"/>
      <c r="M595"/>
      <c r="N595"/>
      <c r="O595"/>
      <c r="P595"/>
      <c r="Q595"/>
      <c r="R595"/>
      <c r="S595"/>
      <c r="T595"/>
      <c r="U595"/>
      <c r="V595"/>
      <c r="W595"/>
      <c r="X595"/>
    </row>
    <row r="596" spans="1:24" ht="18" thickTop="1" thickBot="1" x14ac:dyDescent="0.35">
      <c r="A596" s="457" t="s">
        <v>12</v>
      </c>
      <c r="B596" s="458">
        <v>12</v>
      </c>
      <c r="C596" s="458">
        <v>12</v>
      </c>
      <c r="D596" s="458" t="s">
        <v>800</v>
      </c>
      <c r="E596" s="457" t="s">
        <v>566</v>
      </c>
      <c r="F596" s="590"/>
      <c r="G596" s="220">
        <v>10.049091266439225</v>
      </c>
      <c r="H596" s="219">
        <v>0</v>
      </c>
      <c r="I596" s="220">
        <v>0</v>
      </c>
      <c r="J596" s="219">
        <v>0</v>
      </c>
      <c r="K596" s="220">
        <v>0</v>
      </c>
      <c r="L596" s="1236"/>
      <c r="M596"/>
      <c r="N596"/>
      <c r="O596"/>
      <c r="P596"/>
      <c r="Q596"/>
      <c r="R596"/>
      <c r="S596"/>
      <c r="T596"/>
      <c r="U596"/>
      <c r="V596"/>
      <c r="W596"/>
      <c r="X596"/>
    </row>
    <row r="597" spans="1:24" ht="18" thickTop="1" thickBot="1" x14ac:dyDescent="0.35">
      <c r="A597" s="457" t="s">
        <v>12</v>
      </c>
      <c r="B597" s="458">
        <v>12</v>
      </c>
      <c r="C597" s="458">
        <v>12</v>
      </c>
      <c r="D597" s="458" t="s">
        <v>799</v>
      </c>
      <c r="E597" s="457" t="s">
        <v>567</v>
      </c>
      <c r="F597" s="590"/>
      <c r="G597" s="220">
        <v>440.52698631864422</v>
      </c>
      <c r="H597" s="219">
        <v>0</v>
      </c>
      <c r="I597" s="220">
        <v>0</v>
      </c>
      <c r="J597" s="219">
        <v>0</v>
      </c>
      <c r="K597" s="220">
        <v>0</v>
      </c>
      <c r="L597" s="1236"/>
      <c r="M597"/>
      <c r="N597"/>
      <c r="O597"/>
      <c r="P597"/>
      <c r="Q597"/>
      <c r="R597"/>
      <c r="S597"/>
      <c r="T597"/>
      <c r="U597"/>
      <c r="V597"/>
      <c r="W597"/>
      <c r="X597"/>
    </row>
    <row r="598" spans="1:24" ht="18" thickTop="1" thickBot="1" x14ac:dyDescent="0.35">
      <c r="A598" s="457" t="s">
        <v>12</v>
      </c>
      <c r="B598" s="458">
        <v>12</v>
      </c>
      <c r="C598" s="458">
        <v>12</v>
      </c>
      <c r="D598" s="458" t="s">
        <v>799</v>
      </c>
      <c r="E598" s="457" t="s">
        <v>568</v>
      </c>
      <c r="F598" s="590"/>
      <c r="G598" s="220">
        <v>512.32604532792186</v>
      </c>
      <c r="H598" s="219">
        <v>0</v>
      </c>
      <c r="I598" s="220">
        <v>0</v>
      </c>
      <c r="J598" s="219">
        <v>0</v>
      </c>
      <c r="K598" s="220">
        <v>0</v>
      </c>
      <c r="L598" s="1236"/>
      <c r="M598"/>
      <c r="N598"/>
      <c r="O598"/>
      <c r="P598"/>
      <c r="Q598"/>
      <c r="R598"/>
      <c r="S598"/>
      <c r="T598"/>
      <c r="U598"/>
      <c r="V598"/>
      <c r="W598"/>
      <c r="X598"/>
    </row>
    <row r="599" spans="1:24" ht="18" thickTop="1" thickBot="1" x14ac:dyDescent="0.35">
      <c r="A599" s="457" t="s">
        <v>12</v>
      </c>
      <c r="B599" s="458">
        <v>12</v>
      </c>
      <c r="C599" s="458">
        <v>12</v>
      </c>
      <c r="D599" s="458" t="s">
        <v>799</v>
      </c>
      <c r="E599" s="457" t="s">
        <v>569</v>
      </c>
      <c r="F599" s="590"/>
      <c r="G599" s="220">
        <v>520.68323731656733</v>
      </c>
      <c r="H599" s="219">
        <v>0</v>
      </c>
      <c r="I599" s="220">
        <v>0</v>
      </c>
      <c r="J599" s="219">
        <v>0</v>
      </c>
      <c r="K599" s="220">
        <v>0</v>
      </c>
      <c r="L599" s="1236"/>
      <c r="M599"/>
      <c r="N599"/>
      <c r="O599"/>
      <c r="P599"/>
      <c r="Q599"/>
      <c r="R599"/>
      <c r="S599"/>
      <c r="T599"/>
      <c r="U599"/>
      <c r="V599"/>
      <c r="W599"/>
      <c r="X599"/>
    </row>
    <row r="600" spans="1:24" ht="18" thickTop="1" thickBot="1" x14ac:dyDescent="0.35">
      <c r="A600" s="457" t="s">
        <v>12</v>
      </c>
      <c r="B600" s="458">
        <v>12</v>
      </c>
      <c r="C600" s="458">
        <v>12</v>
      </c>
      <c r="D600" s="458" t="s">
        <v>799</v>
      </c>
      <c r="E600" s="457" t="s">
        <v>727</v>
      </c>
      <c r="F600" s="590"/>
      <c r="G600" s="220">
        <v>33.153773517139278</v>
      </c>
      <c r="H600" s="219">
        <v>0</v>
      </c>
      <c r="I600" s="220">
        <v>0</v>
      </c>
      <c r="J600" s="219">
        <v>0</v>
      </c>
      <c r="K600" s="220">
        <v>0</v>
      </c>
      <c r="L600" s="1236"/>
      <c r="M600"/>
      <c r="N600"/>
      <c r="O600"/>
      <c r="P600"/>
      <c r="Q600"/>
      <c r="R600"/>
      <c r="S600"/>
      <c r="T600"/>
      <c r="U600"/>
      <c r="V600"/>
      <c r="W600"/>
      <c r="X600"/>
    </row>
    <row r="601" spans="1:24" ht="18" thickTop="1" thickBot="1" x14ac:dyDescent="0.35">
      <c r="A601" s="457" t="s">
        <v>12</v>
      </c>
      <c r="B601" s="458">
        <v>12</v>
      </c>
      <c r="C601" s="458">
        <v>12</v>
      </c>
      <c r="D601" s="458" t="s">
        <v>799</v>
      </c>
      <c r="E601" s="457" t="s">
        <v>570</v>
      </c>
      <c r="F601" s="590"/>
      <c r="G601" s="220">
        <v>1339.9712187636026</v>
      </c>
      <c r="H601" s="219">
        <v>0</v>
      </c>
      <c r="I601" s="220">
        <v>0</v>
      </c>
      <c r="J601" s="219">
        <v>0</v>
      </c>
      <c r="K601" s="220">
        <v>0</v>
      </c>
      <c r="L601" s="1236"/>
      <c r="M601"/>
      <c r="N601"/>
      <c r="O601"/>
      <c r="P601"/>
      <c r="Q601"/>
      <c r="R601"/>
      <c r="S601"/>
      <c r="T601"/>
      <c r="U601"/>
      <c r="V601"/>
      <c r="W601"/>
      <c r="X601"/>
    </row>
    <row r="602" spans="1:24" ht="18" thickTop="1" thickBot="1" x14ac:dyDescent="0.35">
      <c r="A602" s="457" t="s">
        <v>12</v>
      </c>
      <c r="B602" s="458">
        <v>12</v>
      </c>
      <c r="C602" s="458">
        <v>12</v>
      </c>
      <c r="D602" s="458" t="s">
        <v>799</v>
      </c>
      <c r="E602" s="457" t="s">
        <v>571</v>
      </c>
      <c r="F602" s="590"/>
      <c r="G602" s="220">
        <v>26.48752174613545</v>
      </c>
      <c r="H602" s="219">
        <v>0</v>
      </c>
      <c r="I602" s="220">
        <v>0</v>
      </c>
      <c r="J602" s="219">
        <v>0</v>
      </c>
      <c r="K602" s="220">
        <v>0</v>
      </c>
      <c r="L602" s="1236"/>
      <c r="M602"/>
      <c r="N602"/>
      <c r="O602"/>
      <c r="P602"/>
      <c r="Q602"/>
      <c r="R602"/>
      <c r="S602"/>
      <c r="T602"/>
      <c r="U602"/>
      <c r="V602"/>
      <c r="W602"/>
      <c r="X602"/>
    </row>
    <row r="603" spans="1:24" ht="18" thickTop="1" thickBot="1" x14ac:dyDescent="0.35">
      <c r="A603" s="457" t="s">
        <v>12</v>
      </c>
      <c r="B603" s="458">
        <v>12</v>
      </c>
      <c r="C603" s="458">
        <v>12</v>
      </c>
      <c r="D603" s="458" t="s">
        <v>799</v>
      </c>
      <c r="E603" s="457" t="s">
        <v>572</v>
      </c>
      <c r="F603" s="590"/>
      <c r="G603" s="220">
        <v>87.34760732272575</v>
      </c>
      <c r="H603" s="219">
        <v>0</v>
      </c>
      <c r="I603" s="220">
        <v>0</v>
      </c>
      <c r="J603" s="219">
        <v>0</v>
      </c>
      <c r="K603" s="220">
        <v>0</v>
      </c>
      <c r="L603" s="1236"/>
      <c r="M603"/>
      <c r="N603"/>
      <c r="O603"/>
      <c r="P603"/>
      <c r="Q603"/>
      <c r="R603"/>
      <c r="S603"/>
      <c r="T603"/>
      <c r="U603"/>
      <c r="V603"/>
      <c r="W603"/>
      <c r="X603"/>
    </row>
    <row r="604" spans="1:24" ht="18" thickTop="1" thickBot="1" x14ac:dyDescent="0.35">
      <c r="A604" s="457" t="s">
        <v>12</v>
      </c>
      <c r="B604" s="458">
        <v>12</v>
      </c>
      <c r="C604" s="458">
        <v>12</v>
      </c>
      <c r="D604" s="458" t="s">
        <v>799</v>
      </c>
      <c r="E604" s="457" t="s">
        <v>573</v>
      </c>
      <c r="F604" s="590"/>
      <c r="G604" s="220">
        <v>64.456198258301853</v>
      </c>
      <c r="H604" s="219">
        <v>0</v>
      </c>
      <c r="I604" s="220">
        <v>0</v>
      </c>
      <c r="J604" s="219">
        <v>0</v>
      </c>
      <c r="K604" s="220">
        <v>0</v>
      </c>
      <c r="L604" s="1236"/>
      <c r="M604"/>
      <c r="N604"/>
      <c r="O604"/>
      <c r="P604"/>
      <c r="Q604"/>
      <c r="R604"/>
      <c r="S604"/>
      <c r="T604"/>
      <c r="U604"/>
      <c r="V604"/>
      <c r="W604"/>
      <c r="X604"/>
    </row>
    <row r="605" spans="1:24" ht="18" thickTop="1" thickBot="1" x14ac:dyDescent="0.35">
      <c r="A605" s="457" t="s">
        <v>12</v>
      </c>
      <c r="B605" s="458">
        <v>12</v>
      </c>
      <c r="C605" s="458">
        <v>12</v>
      </c>
      <c r="D605" s="458" t="s">
        <v>799</v>
      </c>
      <c r="E605" s="457" t="s">
        <v>574</v>
      </c>
      <c r="F605" s="590"/>
      <c r="G605" s="220">
        <v>1041.2167205359669</v>
      </c>
      <c r="H605" s="219">
        <v>0</v>
      </c>
      <c r="I605" s="220">
        <v>0</v>
      </c>
      <c r="J605" s="219">
        <v>0</v>
      </c>
      <c r="K605" s="220">
        <v>0</v>
      </c>
      <c r="L605" s="1236"/>
      <c r="M605"/>
      <c r="N605"/>
      <c r="O605"/>
      <c r="P605"/>
      <c r="Q605"/>
      <c r="R605"/>
      <c r="S605"/>
      <c r="T605"/>
      <c r="U605"/>
      <c r="V605"/>
      <c r="W605"/>
      <c r="X605"/>
    </row>
    <row r="606" spans="1:24" ht="18" thickTop="1" thickBot="1" x14ac:dyDescent="0.35">
      <c r="A606" s="457" t="s">
        <v>12</v>
      </c>
      <c r="B606" s="458">
        <v>12</v>
      </c>
      <c r="C606" s="458">
        <v>12</v>
      </c>
      <c r="D606" s="458" t="s">
        <v>801</v>
      </c>
      <c r="E606" s="457" t="s">
        <v>575</v>
      </c>
      <c r="F606" s="590"/>
      <c r="G606" s="220">
        <v>131.25786470251455</v>
      </c>
      <c r="H606" s="219">
        <v>0</v>
      </c>
      <c r="I606" s="220">
        <v>0</v>
      </c>
      <c r="J606" s="219">
        <v>0</v>
      </c>
      <c r="K606" s="220">
        <v>0</v>
      </c>
      <c r="L606" s="1236"/>
      <c r="M606"/>
      <c r="N606"/>
      <c r="O606"/>
      <c r="P606"/>
      <c r="Q606"/>
      <c r="R606"/>
      <c r="S606"/>
      <c r="T606"/>
      <c r="U606"/>
      <c r="V606"/>
      <c r="W606"/>
      <c r="X606"/>
    </row>
    <row r="607" spans="1:24" ht="18" thickTop="1" thickBot="1" x14ac:dyDescent="0.35">
      <c r="A607" s="457" t="s">
        <v>12</v>
      </c>
      <c r="B607" s="458">
        <v>12</v>
      </c>
      <c r="C607" s="458">
        <v>12</v>
      </c>
      <c r="D607" s="458" t="s">
        <v>801</v>
      </c>
      <c r="E607" s="457" t="s">
        <v>576</v>
      </c>
      <c r="F607" s="590"/>
      <c r="G607" s="220">
        <v>80.517706125907054</v>
      </c>
      <c r="H607" s="219">
        <v>0</v>
      </c>
      <c r="I607" s="220">
        <v>0</v>
      </c>
      <c r="J607" s="219">
        <v>0</v>
      </c>
      <c r="K607" s="220">
        <v>0</v>
      </c>
      <c r="L607" s="1236"/>
      <c r="M607"/>
      <c r="N607"/>
      <c r="O607"/>
      <c r="P607"/>
      <c r="Q607"/>
      <c r="R607"/>
      <c r="S607"/>
      <c r="T607"/>
      <c r="U607"/>
      <c r="V607"/>
      <c r="W607"/>
      <c r="X607"/>
    </row>
    <row r="608" spans="1:24" ht="18" thickTop="1" thickBot="1" x14ac:dyDescent="0.35">
      <c r="A608" s="457" t="s">
        <v>12</v>
      </c>
      <c r="B608" s="458">
        <v>12</v>
      </c>
      <c r="C608" s="458">
        <v>12</v>
      </c>
      <c r="D608" s="458" t="s">
        <v>801</v>
      </c>
      <c r="E608" s="457" t="s">
        <v>577</v>
      </c>
      <c r="F608" s="590"/>
      <c r="G608" s="220">
        <v>62.251278375085803</v>
      </c>
      <c r="H608" s="219">
        <v>0</v>
      </c>
      <c r="I608" s="220">
        <v>0</v>
      </c>
      <c r="J608" s="219">
        <v>0</v>
      </c>
      <c r="K608" s="220">
        <v>0</v>
      </c>
      <c r="L608" s="1236"/>
      <c r="M608"/>
      <c r="N608"/>
      <c r="O608"/>
      <c r="P608"/>
      <c r="Q608"/>
      <c r="R608"/>
      <c r="S608"/>
      <c r="T608"/>
      <c r="U608"/>
      <c r="V608"/>
      <c r="W608"/>
      <c r="X608"/>
    </row>
    <row r="609" spans="1:24" ht="18" thickTop="1" thickBot="1" x14ac:dyDescent="0.35">
      <c r="A609" s="457" t="s">
        <v>12</v>
      </c>
      <c r="B609" s="458">
        <v>12</v>
      </c>
      <c r="C609" s="458">
        <v>12</v>
      </c>
      <c r="D609" s="458" t="s">
        <v>802</v>
      </c>
      <c r="E609" s="457" t="s">
        <v>578</v>
      </c>
      <c r="F609" s="590"/>
      <c r="G609" s="220">
        <v>148.15203827719293</v>
      </c>
      <c r="H609" s="219">
        <v>0</v>
      </c>
      <c r="I609" s="220">
        <v>0</v>
      </c>
      <c r="J609" s="219">
        <v>0</v>
      </c>
      <c r="K609" s="220">
        <v>0</v>
      </c>
      <c r="L609" s="1236"/>
      <c r="M609"/>
      <c r="N609"/>
      <c r="O609"/>
      <c r="P609"/>
      <c r="Q609"/>
      <c r="R609"/>
      <c r="S609"/>
      <c r="T609"/>
      <c r="U609"/>
      <c r="V609"/>
      <c r="W609"/>
      <c r="X609"/>
    </row>
    <row r="610" spans="1:24" ht="18" thickTop="1" thickBot="1" x14ac:dyDescent="0.35">
      <c r="A610" s="457" t="s">
        <v>12</v>
      </c>
      <c r="B610" s="458">
        <v>12</v>
      </c>
      <c r="C610" s="458">
        <v>12</v>
      </c>
      <c r="D610" s="458" t="s">
        <v>802</v>
      </c>
      <c r="E610" s="457" t="s">
        <v>579</v>
      </c>
      <c r="F610" s="590"/>
      <c r="G610" s="220">
        <v>101.39862132402503</v>
      </c>
      <c r="H610" s="219">
        <v>0</v>
      </c>
      <c r="I610" s="220">
        <v>0</v>
      </c>
      <c r="J610" s="219">
        <v>0</v>
      </c>
      <c r="K610" s="220">
        <v>0</v>
      </c>
      <c r="L610" s="1236"/>
      <c r="M610"/>
      <c r="N610"/>
      <c r="O610"/>
      <c r="P610"/>
      <c r="Q610"/>
      <c r="R610"/>
      <c r="S610"/>
      <c r="T610"/>
      <c r="U610"/>
      <c r="V610"/>
      <c r="W610"/>
      <c r="X610"/>
    </row>
    <row r="611" spans="1:24" ht="18" thickTop="1" thickBot="1" x14ac:dyDescent="0.35">
      <c r="A611" s="457" t="s">
        <v>12</v>
      </c>
      <c r="B611" s="458">
        <v>12</v>
      </c>
      <c r="C611" s="458">
        <v>12</v>
      </c>
      <c r="D611" s="458" t="s">
        <v>802</v>
      </c>
      <c r="E611" s="457" t="s">
        <v>580</v>
      </c>
      <c r="F611" s="590"/>
      <c r="G611" s="220">
        <v>68.600029712514299</v>
      </c>
      <c r="H611" s="219">
        <v>0</v>
      </c>
      <c r="I611" s="220">
        <v>0</v>
      </c>
      <c r="J611" s="219">
        <v>0</v>
      </c>
      <c r="K611" s="220">
        <v>0</v>
      </c>
      <c r="L611" s="1236"/>
      <c r="M611" s="2"/>
      <c r="N611"/>
      <c r="O611"/>
      <c r="P611"/>
      <c r="Q611"/>
      <c r="R611"/>
      <c r="S611"/>
      <c r="T611"/>
      <c r="U611"/>
      <c r="V611"/>
      <c r="W611"/>
      <c r="X611"/>
    </row>
    <row r="612" spans="1:24" ht="18" thickTop="1" thickBot="1" x14ac:dyDescent="0.35">
      <c r="A612" s="457" t="s">
        <v>14</v>
      </c>
      <c r="B612" s="458">
        <v>14</v>
      </c>
      <c r="C612" s="458">
        <v>14</v>
      </c>
      <c r="D612" s="458" t="s">
        <v>804</v>
      </c>
      <c r="E612" s="457" t="s">
        <v>949</v>
      </c>
      <c r="F612" s="590"/>
      <c r="G612" s="220">
        <v>1.4111725214086499</v>
      </c>
      <c r="H612" s="219"/>
      <c r="I612" s="220"/>
      <c r="J612" s="219"/>
      <c r="K612" s="220"/>
      <c r="L612" s="1236"/>
      <c r="M612"/>
      <c r="N612"/>
      <c r="O612"/>
      <c r="P612"/>
      <c r="Q612"/>
      <c r="R612"/>
      <c r="S612"/>
      <c r="T612"/>
      <c r="U612"/>
      <c r="V612"/>
      <c r="W612"/>
      <c r="X612"/>
    </row>
    <row r="613" spans="1:24" ht="18" thickTop="1" thickBot="1" x14ac:dyDescent="0.35">
      <c r="A613" s="457" t="s">
        <v>14</v>
      </c>
      <c r="B613" s="458">
        <v>14</v>
      </c>
      <c r="C613" s="458">
        <v>14</v>
      </c>
      <c r="D613" s="458" t="s">
        <v>803</v>
      </c>
      <c r="E613" s="457" t="s">
        <v>581</v>
      </c>
      <c r="F613" s="590"/>
      <c r="G613" s="220">
        <v>16.733889585387971</v>
      </c>
      <c r="H613" s="219">
        <v>0</v>
      </c>
      <c r="I613" s="220">
        <v>0</v>
      </c>
      <c r="J613" s="219">
        <v>0</v>
      </c>
      <c r="K613" s="220">
        <v>0</v>
      </c>
      <c r="L613" s="1236"/>
      <c r="M613"/>
      <c r="N613"/>
      <c r="O613"/>
      <c r="P613"/>
      <c r="Q613"/>
      <c r="R613"/>
      <c r="S613"/>
      <c r="T613"/>
      <c r="U613"/>
      <c r="V613"/>
      <c r="W613"/>
      <c r="X613"/>
    </row>
    <row r="614" spans="1:24" ht="18" thickTop="1" thickBot="1" x14ac:dyDescent="0.35">
      <c r="A614" s="457" t="s">
        <v>14</v>
      </c>
      <c r="B614" s="458">
        <v>14</v>
      </c>
      <c r="C614" s="458">
        <v>14</v>
      </c>
      <c r="D614" s="458" t="s">
        <v>804</v>
      </c>
      <c r="E614" s="457" t="s">
        <v>582</v>
      </c>
      <c r="F614" s="590"/>
      <c r="G614" s="220">
        <v>310.11160463736451</v>
      </c>
      <c r="H614" s="219">
        <v>0</v>
      </c>
      <c r="I614" s="220">
        <v>0</v>
      </c>
      <c r="J614" s="219">
        <v>0</v>
      </c>
      <c r="K614" s="220">
        <v>0</v>
      </c>
      <c r="L614" s="1236"/>
      <c r="M614"/>
      <c r="N614"/>
      <c r="O614"/>
      <c r="P614"/>
      <c r="Q614"/>
      <c r="R614"/>
      <c r="S614"/>
      <c r="T614"/>
      <c r="U614"/>
      <c r="V614"/>
      <c r="W614"/>
      <c r="X614"/>
    </row>
    <row r="615" spans="1:24" ht="18" thickTop="1" thickBot="1" x14ac:dyDescent="0.35">
      <c r="A615" s="457" t="s">
        <v>14</v>
      </c>
      <c r="B615" s="458">
        <v>14</v>
      </c>
      <c r="C615" s="458">
        <v>14</v>
      </c>
      <c r="D615" s="458" t="s">
        <v>804</v>
      </c>
      <c r="E615" s="457" t="s">
        <v>583</v>
      </c>
      <c r="F615" s="590"/>
      <c r="G615" s="220">
        <v>180.31483539637068</v>
      </c>
      <c r="H615" s="219">
        <v>0</v>
      </c>
      <c r="I615" s="220">
        <v>0</v>
      </c>
      <c r="J615" s="219">
        <v>0</v>
      </c>
      <c r="K615" s="220">
        <v>0</v>
      </c>
      <c r="L615" s="1236"/>
      <c r="M615"/>
      <c r="N615"/>
      <c r="O615"/>
      <c r="P615"/>
      <c r="Q615"/>
      <c r="R615"/>
      <c r="S615"/>
      <c r="T615"/>
      <c r="U615"/>
      <c r="V615"/>
      <c r="W615"/>
      <c r="X615"/>
    </row>
    <row r="616" spans="1:24" ht="18" thickTop="1" thickBot="1" x14ac:dyDescent="0.35">
      <c r="A616" s="457" t="s">
        <v>14</v>
      </c>
      <c r="B616" s="458">
        <v>14</v>
      </c>
      <c r="C616" s="458">
        <v>14</v>
      </c>
      <c r="D616" s="458" t="s">
        <v>804</v>
      </c>
      <c r="E616" s="457" t="s">
        <v>584</v>
      </c>
      <c r="F616" s="590"/>
      <c r="G616" s="220">
        <v>151.5888984937327</v>
      </c>
      <c r="H616" s="219">
        <v>0</v>
      </c>
      <c r="I616" s="220">
        <v>0</v>
      </c>
      <c r="J616" s="219">
        <v>0</v>
      </c>
      <c r="K616" s="220">
        <v>0</v>
      </c>
      <c r="L616" s="1236"/>
      <c r="M616" s="2"/>
      <c r="N616"/>
      <c r="O616"/>
      <c r="P616"/>
      <c r="Q616"/>
      <c r="R616"/>
      <c r="S616"/>
      <c r="T616"/>
      <c r="U616"/>
      <c r="V616"/>
      <c r="W616"/>
      <c r="X616"/>
    </row>
    <row r="617" spans="1:24" ht="18" thickTop="1" thickBot="1" x14ac:dyDescent="0.35">
      <c r="A617" s="457" t="s">
        <v>15</v>
      </c>
      <c r="B617" s="458">
        <v>15</v>
      </c>
      <c r="C617" s="458">
        <v>15</v>
      </c>
      <c r="D617" s="458" t="s">
        <v>805</v>
      </c>
      <c r="E617" s="457" t="s">
        <v>585</v>
      </c>
      <c r="F617" s="590"/>
      <c r="G617" s="220">
        <v>48.883163745966556</v>
      </c>
      <c r="H617" s="219">
        <v>0</v>
      </c>
      <c r="I617" s="220">
        <v>0</v>
      </c>
      <c r="J617" s="219">
        <v>0</v>
      </c>
      <c r="K617" s="220">
        <v>0</v>
      </c>
      <c r="L617" s="1236"/>
      <c r="M617"/>
      <c r="N617"/>
      <c r="O617"/>
      <c r="P617"/>
      <c r="Q617"/>
      <c r="R617"/>
      <c r="S617"/>
      <c r="T617"/>
      <c r="U617"/>
      <c r="V617"/>
      <c r="W617"/>
      <c r="X617"/>
    </row>
    <row r="618" spans="1:24" ht="18" thickTop="1" thickBot="1" x14ac:dyDescent="0.35">
      <c r="A618" s="457" t="s">
        <v>15</v>
      </c>
      <c r="B618" s="458">
        <v>15</v>
      </c>
      <c r="C618" s="458">
        <v>15</v>
      </c>
      <c r="D618" s="458" t="s">
        <v>806</v>
      </c>
      <c r="E618" s="457" t="s">
        <v>586</v>
      </c>
      <c r="F618" s="590"/>
      <c r="G618" s="220">
        <v>123.21954792399752</v>
      </c>
      <c r="H618" s="219">
        <v>0</v>
      </c>
      <c r="I618" s="220">
        <v>0</v>
      </c>
      <c r="J618" s="219">
        <v>0</v>
      </c>
      <c r="K618" s="220">
        <v>0</v>
      </c>
      <c r="L618" s="1236"/>
      <c r="M618"/>
      <c r="N618"/>
      <c r="O618"/>
      <c r="P618"/>
      <c r="Q618"/>
      <c r="R618"/>
      <c r="S618"/>
      <c r="T618"/>
      <c r="U618"/>
      <c r="V618"/>
      <c r="W618"/>
      <c r="X618"/>
    </row>
    <row r="619" spans="1:24" ht="18" thickTop="1" thickBot="1" x14ac:dyDescent="0.35">
      <c r="A619" s="457" t="s">
        <v>15</v>
      </c>
      <c r="B619" s="458">
        <v>15</v>
      </c>
      <c r="C619" s="458">
        <v>15</v>
      </c>
      <c r="D619" s="458" t="s">
        <v>806</v>
      </c>
      <c r="E619" s="457" t="s">
        <v>587</v>
      </c>
      <c r="F619" s="590"/>
      <c r="G619" s="220">
        <v>145.87223929212936</v>
      </c>
      <c r="H619" s="219">
        <v>0</v>
      </c>
      <c r="I619" s="220">
        <v>0</v>
      </c>
      <c r="J619" s="219">
        <v>0</v>
      </c>
      <c r="K619" s="220">
        <v>0</v>
      </c>
      <c r="L619" s="1236"/>
      <c r="M619"/>
      <c r="N619"/>
      <c r="O619"/>
      <c r="P619"/>
      <c r="Q619"/>
      <c r="R619"/>
      <c r="S619"/>
      <c r="T619"/>
      <c r="U619"/>
      <c r="V619"/>
      <c r="W619"/>
      <c r="X619"/>
    </row>
    <row r="620" spans="1:24" ht="18" thickTop="1" thickBot="1" x14ac:dyDescent="0.35">
      <c r="A620" s="457" t="s">
        <v>15</v>
      </c>
      <c r="B620" s="458">
        <v>15</v>
      </c>
      <c r="C620" s="458">
        <v>15</v>
      </c>
      <c r="D620" s="458" t="s">
        <v>806</v>
      </c>
      <c r="E620" s="457" t="s">
        <v>588</v>
      </c>
      <c r="F620" s="590"/>
      <c r="G620" s="220">
        <v>95.079495771159884</v>
      </c>
      <c r="H620" s="219">
        <v>0</v>
      </c>
      <c r="I620" s="220">
        <v>0</v>
      </c>
      <c r="J620" s="219">
        <v>0</v>
      </c>
      <c r="K620" s="220">
        <v>0</v>
      </c>
      <c r="L620" s="1236"/>
      <c r="M620" s="2"/>
      <c r="N620"/>
      <c r="O620"/>
      <c r="P620"/>
      <c r="Q620"/>
      <c r="R620"/>
      <c r="S620"/>
      <c r="T620"/>
      <c r="U620"/>
      <c r="V620"/>
      <c r="W620"/>
      <c r="X620"/>
    </row>
    <row r="621" spans="1:24" ht="18" thickTop="1" thickBot="1" x14ac:dyDescent="0.35">
      <c r="A621" s="457" t="s">
        <v>16</v>
      </c>
      <c r="B621" s="458">
        <v>16</v>
      </c>
      <c r="C621" s="458">
        <v>16</v>
      </c>
      <c r="D621" s="458" t="s">
        <v>807</v>
      </c>
      <c r="E621" s="457" t="s">
        <v>610</v>
      </c>
      <c r="F621" s="590"/>
      <c r="G621" s="220">
        <v>524.23669940296656</v>
      </c>
      <c r="H621" s="219">
        <v>0</v>
      </c>
      <c r="I621" s="220">
        <v>0</v>
      </c>
      <c r="J621" s="219">
        <v>0</v>
      </c>
      <c r="K621" s="220">
        <v>0</v>
      </c>
      <c r="L621" s="1236"/>
      <c r="M621"/>
      <c r="N621"/>
      <c r="O621"/>
      <c r="P621"/>
      <c r="Q621"/>
      <c r="R621"/>
      <c r="S621"/>
      <c r="T621"/>
      <c r="U621"/>
      <c r="V621"/>
      <c r="W621"/>
      <c r="X621"/>
    </row>
    <row r="622" spans="1:24" ht="18" thickTop="1" thickBot="1" x14ac:dyDescent="0.35">
      <c r="A622" s="457" t="s">
        <v>16</v>
      </c>
      <c r="B622" s="458">
        <v>16</v>
      </c>
      <c r="C622" s="458">
        <v>16</v>
      </c>
      <c r="D622" s="458" t="s">
        <v>807</v>
      </c>
      <c r="E622" s="457" t="s">
        <v>611</v>
      </c>
      <c r="F622" s="590"/>
      <c r="G622" s="220">
        <v>351.81981058046318</v>
      </c>
      <c r="H622" s="219">
        <v>0</v>
      </c>
      <c r="I622" s="220">
        <v>0</v>
      </c>
      <c r="J622" s="219">
        <v>0</v>
      </c>
      <c r="K622" s="220">
        <v>0</v>
      </c>
      <c r="L622" s="1236"/>
      <c r="M622"/>
      <c r="N622"/>
      <c r="O622"/>
      <c r="P622"/>
      <c r="Q622"/>
      <c r="R622"/>
      <c r="S622"/>
      <c r="T622"/>
      <c r="U622"/>
      <c r="V622"/>
      <c r="W622"/>
      <c r="X622"/>
    </row>
    <row r="623" spans="1:24" ht="18" thickTop="1" thickBot="1" x14ac:dyDescent="0.35">
      <c r="A623" s="457" t="s">
        <v>16</v>
      </c>
      <c r="B623" s="458">
        <v>16</v>
      </c>
      <c r="C623" s="458">
        <v>16</v>
      </c>
      <c r="D623" s="458" t="s">
        <v>807</v>
      </c>
      <c r="E623" s="457" t="s">
        <v>612</v>
      </c>
      <c r="F623" s="590"/>
      <c r="G623" s="220">
        <v>391.19539272502186</v>
      </c>
      <c r="H623" s="219">
        <v>0</v>
      </c>
      <c r="I623" s="220">
        <v>0</v>
      </c>
      <c r="J623" s="219">
        <v>0</v>
      </c>
      <c r="K623" s="220">
        <v>0</v>
      </c>
      <c r="L623" s="1236"/>
      <c r="M623"/>
      <c r="N623"/>
      <c r="O623"/>
      <c r="P623"/>
      <c r="Q623"/>
      <c r="R623"/>
      <c r="S623"/>
      <c r="T623"/>
      <c r="U623"/>
      <c r="V623"/>
      <c r="W623"/>
      <c r="X623"/>
    </row>
    <row r="624" spans="1:24" ht="18" thickTop="1" thickBot="1" x14ac:dyDescent="0.35">
      <c r="A624" s="457" t="s">
        <v>16</v>
      </c>
      <c r="B624" s="458">
        <v>16</v>
      </c>
      <c r="C624" s="458">
        <v>16</v>
      </c>
      <c r="D624" s="458" t="s">
        <v>808</v>
      </c>
      <c r="E624" s="457" t="s">
        <v>613</v>
      </c>
      <c r="F624" s="590"/>
      <c r="G624" s="220">
        <v>496.42542304812457</v>
      </c>
      <c r="H624" s="219">
        <v>0</v>
      </c>
      <c r="I624" s="220">
        <v>0</v>
      </c>
      <c r="J624" s="219">
        <v>0</v>
      </c>
      <c r="K624" s="220">
        <v>0</v>
      </c>
      <c r="L624" s="1236"/>
      <c r="M624"/>
      <c r="N624"/>
      <c r="O624"/>
      <c r="P624"/>
      <c r="Q624"/>
      <c r="R624"/>
      <c r="S624"/>
      <c r="T624"/>
      <c r="U624"/>
      <c r="V624"/>
      <c r="W624"/>
      <c r="X624"/>
    </row>
    <row r="625" spans="1:24" ht="18" thickTop="1" thickBot="1" x14ac:dyDescent="0.35">
      <c r="A625" s="457" t="s">
        <v>16</v>
      </c>
      <c r="B625" s="458">
        <v>16</v>
      </c>
      <c r="C625" s="458">
        <v>16</v>
      </c>
      <c r="D625" s="458" t="s">
        <v>807</v>
      </c>
      <c r="E625" s="457" t="s">
        <v>614</v>
      </c>
      <c r="F625" s="590"/>
      <c r="G625" s="220">
        <v>448.53663606052299</v>
      </c>
      <c r="H625" s="219">
        <v>0</v>
      </c>
      <c r="I625" s="220">
        <v>0</v>
      </c>
      <c r="J625" s="219">
        <v>0</v>
      </c>
      <c r="K625" s="220">
        <v>0</v>
      </c>
      <c r="L625" s="1236"/>
      <c r="M625"/>
      <c r="N625"/>
      <c r="O625"/>
      <c r="P625"/>
      <c r="Q625"/>
      <c r="R625"/>
      <c r="S625"/>
      <c r="T625"/>
      <c r="U625"/>
      <c r="V625"/>
      <c r="W625"/>
      <c r="X625"/>
    </row>
    <row r="626" spans="1:24" ht="18" thickTop="1" thickBot="1" x14ac:dyDescent="0.35">
      <c r="A626" s="457" t="s">
        <v>16</v>
      </c>
      <c r="B626" s="458">
        <v>16</v>
      </c>
      <c r="C626" s="458">
        <v>16</v>
      </c>
      <c r="D626" s="458" t="s">
        <v>807</v>
      </c>
      <c r="E626" s="457" t="s">
        <v>615</v>
      </c>
      <c r="F626" s="590"/>
      <c r="G626" s="220">
        <v>344.53643286034475</v>
      </c>
      <c r="H626" s="219">
        <v>0</v>
      </c>
      <c r="I626" s="220">
        <v>0</v>
      </c>
      <c r="J626" s="219">
        <v>0</v>
      </c>
      <c r="K626" s="220">
        <v>0</v>
      </c>
      <c r="L626" s="1236"/>
      <c r="M626"/>
      <c r="N626"/>
      <c r="O626"/>
      <c r="P626"/>
      <c r="Q626"/>
      <c r="R626"/>
      <c r="S626"/>
      <c r="T626"/>
      <c r="U626"/>
      <c r="V626"/>
      <c r="W626"/>
      <c r="X626"/>
    </row>
    <row r="627" spans="1:24" ht="18" thickTop="1" thickBot="1" x14ac:dyDescent="0.35">
      <c r="A627" s="457" t="s">
        <v>16</v>
      </c>
      <c r="B627" s="458">
        <v>16</v>
      </c>
      <c r="C627" s="458">
        <v>16</v>
      </c>
      <c r="D627" s="458" t="s">
        <v>807</v>
      </c>
      <c r="E627" s="457" t="s">
        <v>616</v>
      </c>
      <c r="F627" s="590"/>
      <c r="G627" s="220">
        <v>720.29739955010336</v>
      </c>
      <c r="H627" s="219">
        <v>0</v>
      </c>
      <c r="I627" s="220">
        <v>0</v>
      </c>
      <c r="J627" s="219">
        <v>0</v>
      </c>
      <c r="K627" s="220">
        <v>0</v>
      </c>
      <c r="L627" s="1236"/>
      <c r="M627"/>
      <c r="N627"/>
      <c r="O627"/>
      <c r="P627"/>
      <c r="Q627"/>
      <c r="R627"/>
      <c r="S627"/>
      <c r="T627"/>
      <c r="U627"/>
      <c r="V627"/>
      <c r="W627"/>
      <c r="X627"/>
    </row>
    <row r="628" spans="1:24" ht="18" thickTop="1" thickBot="1" x14ac:dyDescent="0.35">
      <c r="A628" s="457" t="s">
        <v>16</v>
      </c>
      <c r="B628" s="458">
        <v>16</v>
      </c>
      <c r="C628" s="458">
        <v>16</v>
      </c>
      <c r="D628" s="458" t="s">
        <v>807</v>
      </c>
      <c r="E628" s="457" t="s">
        <v>617</v>
      </c>
      <c r="F628" s="590"/>
      <c r="G628" s="220">
        <v>430.8416474360248</v>
      </c>
      <c r="H628" s="219">
        <v>0</v>
      </c>
      <c r="I628" s="220">
        <v>0</v>
      </c>
      <c r="J628" s="219">
        <v>0</v>
      </c>
      <c r="K628" s="220">
        <v>0</v>
      </c>
      <c r="L628" s="1236"/>
      <c r="M628"/>
      <c r="N628"/>
      <c r="O628"/>
      <c r="P628"/>
      <c r="Q628"/>
      <c r="R628"/>
      <c r="S628"/>
      <c r="T628"/>
      <c r="U628"/>
      <c r="V628"/>
      <c r="W628"/>
      <c r="X628"/>
    </row>
    <row r="629" spans="1:24" ht="18" thickTop="1" thickBot="1" x14ac:dyDescent="0.35">
      <c r="A629" s="457" t="s">
        <v>16</v>
      </c>
      <c r="B629" s="458">
        <v>16</v>
      </c>
      <c r="C629" s="458">
        <v>16</v>
      </c>
      <c r="D629" s="458" t="s">
        <v>807</v>
      </c>
      <c r="E629" s="457" t="s">
        <v>618</v>
      </c>
      <c r="F629" s="590"/>
      <c r="G629" s="220">
        <v>898.16915176033046</v>
      </c>
      <c r="H629" s="219">
        <v>0</v>
      </c>
      <c r="I629" s="220">
        <v>0</v>
      </c>
      <c r="J629" s="219">
        <v>0</v>
      </c>
      <c r="K629" s="220">
        <v>0</v>
      </c>
      <c r="L629" s="1236"/>
      <c r="M629"/>
      <c r="N629"/>
      <c r="O629"/>
      <c r="P629"/>
      <c r="Q629"/>
      <c r="R629"/>
      <c r="S629"/>
      <c r="T629"/>
      <c r="U629"/>
      <c r="V629"/>
      <c r="W629"/>
      <c r="X629"/>
    </row>
    <row r="630" spans="1:24" ht="18" thickTop="1" thickBot="1" x14ac:dyDescent="0.35">
      <c r="A630" s="457" t="s">
        <v>16</v>
      </c>
      <c r="B630" s="458">
        <v>16</v>
      </c>
      <c r="C630" s="458">
        <v>16</v>
      </c>
      <c r="D630" s="458" t="s">
        <v>807</v>
      </c>
      <c r="E630" s="457" t="s">
        <v>619</v>
      </c>
      <c r="F630" s="590"/>
      <c r="G630" s="220">
        <v>660.6228749227007</v>
      </c>
      <c r="H630" s="219">
        <v>0</v>
      </c>
      <c r="I630" s="220">
        <v>0</v>
      </c>
      <c r="J630" s="219">
        <v>0</v>
      </c>
      <c r="K630" s="220">
        <v>0</v>
      </c>
      <c r="L630" s="1236"/>
      <c r="M630"/>
      <c r="N630"/>
      <c r="O630"/>
      <c r="P630"/>
      <c r="Q630"/>
      <c r="R630"/>
      <c r="S630"/>
      <c r="T630"/>
      <c r="U630"/>
      <c r="V630"/>
      <c r="W630"/>
      <c r="X630"/>
    </row>
    <row r="631" spans="1:24" ht="18" thickTop="1" thickBot="1" x14ac:dyDescent="0.35">
      <c r="A631" s="457" t="s">
        <v>16</v>
      </c>
      <c r="B631" s="458">
        <v>16</v>
      </c>
      <c r="C631" s="458">
        <v>16</v>
      </c>
      <c r="D631" s="458" t="s">
        <v>807</v>
      </c>
      <c r="E631" s="457" t="s">
        <v>620</v>
      </c>
      <c r="F631" s="590"/>
      <c r="G631" s="220">
        <v>602.69437491966198</v>
      </c>
      <c r="H631" s="219">
        <v>0</v>
      </c>
      <c r="I631" s="220">
        <v>0</v>
      </c>
      <c r="J631" s="219">
        <v>0</v>
      </c>
      <c r="K631" s="220">
        <v>0</v>
      </c>
      <c r="L631" s="1236"/>
      <c r="M631"/>
      <c r="N631"/>
      <c r="O631"/>
      <c r="P631"/>
      <c r="Q631"/>
      <c r="R631"/>
      <c r="S631"/>
      <c r="T631"/>
      <c r="U631"/>
      <c r="V631"/>
      <c r="W631"/>
      <c r="X631"/>
    </row>
    <row r="632" spans="1:24" ht="18" thickTop="1" thickBot="1" x14ac:dyDescent="0.35">
      <c r="A632" s="457" t="s">
        <v>16</v>
      </c>
      <c r="B632" s="458">
        <v>16</v>
      </c>
      <c r="C632" s="458">
        <v>16</v>
      </c>
      <c r="D632" s="458" t="s">
        <v>807</v>
      </c>
      <c r="E632" s="457" t="s">
        <v>621</v>
      </c>
      <c r="F632" s="590"/>
      <c r="G632" s="220">
        <v>478.18661667295515</v>
      </c>
      <c r="H632" s="219">
        <v>0</v>
      </c>
      <c r="I632" s="220">
        <v>0</v>
      </c>
      <c r="J632" s="219">
        <v>0</v>
      </c>
      <c r="K632" s="220">
        <v>0</v>
      </c>
      <c r="L632" s="1236"/>
      <c r="M632"/>
      <c r="N632"/>
      <c r="O632"/>
      <c r="P632"/>
      <c r="Q632"/>
      <c r="R632"/>
      <c r="S632"/>
      <c r="T632"/>
      <c r="U632"/>
      <c r="V632"/>
      <c r="W632"/>
      <c r="X632"/>
    </row>
    <row r="633" spans="1:24" ht="18" thickTop="1" thickBot="1" x14ac:dyDescent="0.35">
      <c r="A633" s="457" t="s">
        <v>16</v>
      </c>
      <c r="B633" s="458">
        <v>16</v>
      </c>
      <c r="C633" s="458">
        <v>16</v>
      </c>
      <c r="D633" s="458" t="s">
        <v>821</v>
      </c>
      <c r="E633" s="457" t="s">
        <v>622</v>
      </c>
      <c r="F633" s="590"/>
      <c r="G633" s="220">
        <v>649.05898231083916</v>
      </c>
      <c r="H633" s="219">
        <v>0</v>
      </c>
      <c r="I633" s="220">
        <v>0</v>
      </c>
      <c r="J633" s="219">
        <v>0</v>
      </c>
      <c r="K633" s="220">
        <v>0</v>
      </c>
      <c r="L633" s="1236"/>
      <c r="M633"/>
      <c r="N633"/>
      <c r="O633"/>
      <c r="P633"/>
      <c r="Q633"/>
      <c r="R633"/>
      <c r="S633"/>
      <c r="T633"/>
      <c r="U633"/>
      <c r="V633"/>
      <c r="W633"/>
      <c r="X633"/>
    </row>
    <row r="634" spans="1:24" ht="18" thickTop="1" thickBot="1" x14ac:dyDescent="0.35">
      <c r="A634" s="457" t="s">
        <v>16</v>
      </c>
      <c r="B634" s="458">
        <v>16</v>
      </c>
      <c r="C634" s="458">
        <v>16</v>
      </c>
      <c r="D634" s="458" t="s">
        <v>807</v>
      </c>
      <c r="E634" s="457" t="s">
        <v>623</v>
      </c>
      <c r="F634" s="590"/>
      <c r="G634" s="220">
        <v>1872.3872063841195</v>
      </c>
      <c r="H634" s="219">
        <v>0</v>
      </c>
      <c r="I634" s="220">
        <v>0</v>
      </c>
      <c r="J634" s="219">
        <v>0</v>
      </c>
      <c r="K634" s="220">
        <v>0</v>
      </c>
      <c r="L634" s="1236"/>
      <c r="M634"/>
      <c r="N634"/>
      <c r="O634"/>
      <c r="P634"/>
      <c r="Q634"/>
      <c r="R634"/>
      <c r="S634"/>
      <c r="T634"/>
      <c r="U634"/>
      <c r="V634"/>
      <c r="W634"/>
      <c r="X634"/>
    </row>
    <row r="635" spans="1:24" ht="18" thickTop="1" thickBot="1" x14ac:dyDescent="0.35">
      <c r="A635" s="457" t="s">
        <v>16</v>
      </c>
      <c r="B635" s="458">
        <v>16</v>
      </c>
      <c r="C635" s="458">
        <v>16</v>
      </c>
      <c r="D635" s="458" t="s">
        <v>807</v>
      </c>
      <c r="E635" s="457" t="s">
        <v>624</v>
      </c>
      <c r="F635" s="590"/>
      <c r="G635" s="220">
        <v>941.53028626038895</v>
      </c>
      <c r="H635" s="219">
        <v>0</v>
      </c>
      <c r="I635" s="220">
        <v>0</v>
      </c>
      <c r="J635" s="219">
        <v>0</v>
      </c>
      <c r="K635" s="220">
        <v>0</v>
      </c>
      <c r="L635" s="1236"/>
      <c r="M635"/>
      <c r="N635"/>
      <c r="O635"/>
      <c r="P635"/>
      <c r="Q635"/>
      <c r="R635"/>
      <c r="S635"/>
      <c r="T635"/>
      <c r="U635"/>
      <c r="V635"/>
      <c r="W635"/>
      <c r="X635"/>
    </row>
    <row r="636" spans="1:24" ht="18" thickTop="1" thickBot="1" x14ac:dyDescent="0.35">
      <c r="A636" s="457" t="s">
        <v>16</v>
      </c>
      <c r="B636" s="458">
        <v>16</v>
      </c>
      <c r="C636" s="458">
        <v>16</v>
      </c>
      <c r="D636" s="458" t="s">
        <v>807</v>
      </c>
      <c r="E636" s="457" t="s">
        <v>625</v>
      </c>
      <c r="F636" s="590"/>
      <c r="G636" s="220">
        <v>440.57735748552528</v>
      </c>
      <c r="H636" s="219">
        <v>0</v>
      </c>
      <c r="I636" s="220">
        <v>0</v>
      </c>
      <c r="J636" s="219">
        <v>0</v>
      </c>
      <c r="K636" s="220">
        <v>0</v>
      </c>
      <c r="L636" s="1236"/>
      <c r="M636"/>
      <c r="N636"/>
      <c r="O636"/>
      <c r="P636"/>
      <c r="Q636"/>
      <c r="R636"/>
      <c r="S636"/>
      <c r="T636"/>
      <c r="U636"/>
      <c r="V636"/>
      <c r="W636"/>
      <c r="X636"/>
    </row>
    <row r="637" spans="1:24" ht="18" thickTop="1" thickBot="1" x14ac:dyDescent="0.35">
      <c r="A637" s="457" t="s">
        <v>16</v>
      </c>
      <c r="B637" s="458">
        <v>16</v>
      </c>
      <c r="C637" s="458">
        <v>16</v>
      </c>
      <c r="D637" s="458" t="s">
        <v>807</v>
      </c>
      <c r="E637" s="457" t="s">
        <v>728</v>
      </c>
      <c r="F637" s="590"/>
      <c r="G637" s="220">
        <v>957.39980696134751</v>
      </c>
      <c r="H637" s="219">
        <v>0</v>
      </c>
      <c r="I637" s="220">
        <v>0</v>
      </c>
      <c r="J637" s="219">
        <v>0</v>
      </c>
      <c r="K637" s="220">
        <v>0</v>
      </c>
      <c r="L637" s="1236"/>
      <c r="M637"/>
      <c r="N637"/>
      <c r="O637"/>
      <c r="P637"/>
      <c r="Q637"/>
      <c r="R637"/>
      <c r="S637"/>
      <c r="T637"/>
      <c r="U637"/>
      <c r="V637"/>
      <c r="W637"/>
      <c r="X637"/>
    </row>
    <row r="638" spans="1:24" ht="18" thickTop="1" thickBot="1" x14ac:dyDescent="0.35">
      <c r="A638" s="457" t="s">
        <v>16</v>
      </c>
      <c r="B638" s="458">
        <v>16</v>
      </c>
      <c r="C638" s="458">
        <v>16</v>
      </c>
      <c r="D638" s="458" t="s">
        <v>807</v>
      </c>
      <c r="E638" s="457" t="s">
        <v>626</v>
      </c>
      <c r="F638" s="590"/>
      <c r="G638" s="220">
        <v>454.72704324008964</v>
      </c>
      <c r="H638" s="219">
        <v>0</v>
      </c>
      <c r="I638" s="220">
        <v>0</v>
      </c>
      <c r="J638" s="219">
        <v>0</v>
      </c>
      <c r="K638" s="220">
        <v>0</v>
      </c>
      <c r="L638" s="1236"/>
      <c r="M638"/>
      <c r="N638"/>
      <c r="O638"/>
      <c r="P638"/>
      <c r="Q638"/>
      <c r="R638"/>
      <c r="S638"/>
      <c r="T638"/>
      <c r="U638"/>
      <c r="V638"/>
      <c r="W638"/>
      <c r="X638"/>
    </row>
    <row r="639" spans="1:24" ht="18" thickTop="1" thickBot="1" x14ac:dyDescent="0.35">
      <c r="A639" s="457" t="s">
        <v>16</v>
      </c>
      <c r="B639" s="458">
        <v>16</v>
      </c>
      <c r="C639" s="458">
        <v>16</v>
      </c>
      <c r="D639" s="458" t="s">
        <v>807</v>
      </c>
      <c r="E639" s="457" t="s">
        <v>627</v>
      </c>
      <c r="F639" s="590"/>
      <c r="G639" s="220">
        <v>282.05286948108272</v>
      </c>
      <c r="H639" s="219">
        <v>0</v>
      </c>
      <c r="I639" s="220">
        <v>0</v>
      </c>
      <c r="J639" s="219">
        <v>0</v>
      </c>
      <c r="K639" s="220">
        <v>0</v>
      </c>
      <c r="L639" s="1236"/>
      <c r="M639"/>
      <c r="N639"/>
      <c r="O639"/>
      <c r="P639"/>
      <c r="Q639"/>
      <c r="R639"/>
      <c r="S639"/>
      <c r="T639"/>
      <c r="U639"/>
      <c r="V639"/>
      <c r="W639"/>
      <c r="X639"/>
    </row>
    <row r="640" spans="1:24" ht="18" thickTop="1" thickBot="1" x14ac:dyDescent="0.35">
      <c r="A640" s="457" t="s">
        <v>16</v>
      </c>
      <c r="B640" s="458">
        <v>16</v>
      </c>
      <c r="C640" s="458">
        <v>16</v>
      </c>
      <c r="D640" s="458" t="s">
        <v>807</v>
      </c>
      <c r="E640" s="457" t="s">
        <v>628</v>
      </c>
      <c r="F640" s="590"/>
      <c r="G640" s="220">
        <v>523.34635430887295</v>
      </c>
      <c r="H640" s="219">
        <v>0</v>
      </c>
      <c r="I640" s="220">
        <v>0</v>
      </c>
      <c r="J640" s="219">
        <v>0</v>
      </c>
      <c r="K640" s="220">
        <v>0</v>
      </c>
      <c r="L640" s="1236"/>
      <c r="M640"/>
      <c r="N640"/>
      <c r="O640"/>
      <c r="P640"/>
      <c r="Q640"/>
      <c r="R640"/>
      <c r="S640"/>
      <c r="T640"/>
      <c r="U640"/>
      <c r="V640"/>
      <c r="W640"/>
      <c r="X640"/>
    </row>
    <row r="641" spans="1:24" ht="18" thickTop="1" thickBot="1" x14ac:dyDescent="0.35">
      <c r="A641" s="457" t="s">
        <v>16</v>
      </c>
      <c r="B641" s="458">
        <v>16</v>
      </c>
      <c r="C641" s="458">
        <v>16</v>
      </c>
      <c r="D641" s="458" t="s">
        <v>807</v>
      </c>
      <c r="E641" s="457" t="s">
        <v>629</v>
      </c>
      <c r="F641" s="590"/>
      <c r="G641" s="220">
        <v>649.58982876833045</v>
      </c>
      <c r="H641" s="219">
        <v>0</v>
      </c>
      <c r="I641" s="220">
        <v>0</v>
      </c>
      <c r="J641" s="219">
        <v>0</v>
      </c>
      <c r="K641" s="220">
        <v>0</v>
      </c>
      <c r="L641" s="1236"/>
      <c r="M641"/>
      <c r="N641"/>
      <c r="O641"/>
      <c r="P641"/>
      <c r="Q641"/>
      <c r="R641"/>
      <c r="S641"/>
      <c r="T641"/>
      <c r="U641"/>
      <c r="V641"/>
      <c r="W641"/>
      <c r="X641"/>
    </row>
    <row r="642" spans="1:24" ht="18" thickTop="1" thickBot="1" x14ac:dyDescent="0.35">
      <c r="A642" s="457" t="s">
        <v>16</v>
      </c>
      <c r="B642" s="458">
        <v>16</v>
      </c>
      <c r="C642" s="458">
        <v>16</v>
      </c>
      <c r="D642" s="458" t="s">
        <v>807</v>
      </c>
      <c r="E642" s="457" t="s">
        <v>630</v>
      </c>
      <c r="F642" s="590"/>
      <c r="G642" s="220">
        <v>1475.1486739433694</v>
      </c>
      <c r="H642" s="219">
        <v>0</v>
      </c>
      <c r="I642" s="220">
        <v>0</v>
      </c>
      <c r="J642" s="219">
        <v>0</v>
      </c>
      <c r="K642" s="220">
        <v>0</v>
      </c>
      <c r="L642" s="1236"/>
      <c r="M642"/>
      <c r="N642"/>
      <c r="O642"/>
      <c r="P642"/>
      <c r="Q642"/>
      <c r="R642"/>
      <c r="S642"/>
      <c r="T642"/>
      <c r="U642"/>
      <c r="V642"/>
      <c r="W642"/>
      <c r="X642"/>
    </row>
    <row r="643" spans="1:24" ht="18" thickTop="1" thickBot="1" x14ac:dyDescent="0.35">
      <c r="A643" s="457" t="s">
        <v>16</v>
      </c>
      <c r="B643" s="458">
        <v>16</v>
      </c>
      <c r="C643" s="458">
        <v>16</v>
      </c>
      <c r="D643" s="458" t="s">
        <v>807</v>
      </c>
      <c r="E643" s="457" t="s">
        <v>631</v>
      </c>
      <c r="F643" s="590"/>
      <c r="G643" s="220">
        <v>372.28528131362071</v>
      </c>
      <c r="H643" s="219">
        <v>0</v>
      </c>
      <c r="I643" s="220">
        <v>0</v>
      </c>
      <c r="J643" s="219">
        <v>0</v>
      </c>
      <c r="K643" s="220">
        <v>0</v>
      </c>
      <c r="L643" s="1236"/>
      <c r="M643"/>
      <c r="N643"/>
      <c r="O643"/>
      <c r="P643"/>
      <c r="Q643"/>
      <c r="R643"/>
      <c r="S643"/>
      <c r="T643"/>
      <c r="U643"/>
      <c r="V643"/>
      <c r="W643"/>
      <c r="X643"/>
    </row>
    <row r="644" spans="1:24" ht="18" thickTop="1" thickBot="1" x14ac:dyDescent="0.35">
      <c r="A644" s="457" t="s">
        <v>16</v>
      </c>
      <c r="B644" s="458">
        <v>16</v>
      </c>
      <c r="C644" s="458">
        <v>16</v>
      </c>
      <c r="D644" s="458" t="s">
        <v>807</v>
      </c>
      <c r="E644" s="457" t="s">
        <v>632</v>
      </c>
      <c r="F644" s="590"/>
      <c r="G644" s="220">
        <v>2096.8203673915746</v>
      </c>
      <c r="H644" s="219">
        <v>0</v>
      </c>
      <c r="I644" s="220">
        <v>0</v>
      </c>
      <c r="J644" s="219">
        <v>0</v>
      </c>
      <c r="K644" s="220">
        <v>0</v>
      </c>
      <c r="L644" s="1236"/>
      <c r="M644"/>
      <c r="N644"/>
      <c r="O644"/>
      <c r="P644"/>
      <c r="Q644"/>
      <c r="R644"/>
      <c r="S644"/>
      <c r="T644"/>
      <c r="U644"/>
      <c r="V644"/>
      <c r="W644"/>
      <c r="X644"/>
    </row>
    <row r="645" spans="1:24" ht="18" thickTop="1" thickBot="1" x14ac:dyDescent="0.35">
      <c r="A645" s="457" t="s">
        <v>16</v>
      </c>
      <c r="B645" s="458">
        <v>16</v>
      </c>
      <c r="C645" s="458">
        <v>16</v>
      </c>
      <c r="D645" s="458" t="s">
        <v>807</v>
      </c>
      <c r="E645" s="457" t="s">
        <v>633</v>
      </c>
      <c r="F645" s="590"/>
      <c r="G645" s="220">
        <v>833.74521644531603</v>
      </c>
      <c r="H645" s="219">
        <v>0</v>
      </c>
      <c r="I645" s="220">
        <v>0</v>
      </c>
      <c r="J645" s="219">
        <v>0</v>
      </c>
      <c r="K645" s="220">
        <v>0</v>
      </c>
      <c r="L645" s="1236"/>
      <c r="M645"/>
      <c r="N645"/>
      <c r="O645"/>
      <c r="P645"/>
      <c r="Q645"/>
      <c r="R645"/>
      <c r="S645"/>
      <c r="T645"/>
      <c r="U645"/>
      <c r="V645"/>
      <c r="W645"/>
      <c r="X645"/>
    </row>
    <row r="646" spans="1:24" ht="18" thickTop="1" thickBot="1" x14ac:dyDescent="0.35">
      <c r="A646" s="457" t="s">
        <v>16</v>
      </c>
      <c r="B646" s="458">
        <v>16</v>
      </c>
      <c r="C646" s="458">
        <v>16</v>
      </c>
      <c r="D646" s="458" t="s">
        <v>807</v>
      </c>
      <c r="E646" s="457" t="s">
        <v>634</v>
      </c>
      <c r="F646" s="590"/>
      <c r="G646" s="220">
        <v>232.22540368196667</v>
      </c>
      <c r="H646" s="219">
        <v>0</v>
      </c>
      <c r="I646" s="220">
        <v>0</v>
      </c>
      <c r="J646" s="219">
        <v>0</v>
      </c>
      <c r="K646" s="220">
        <v>0</v>
      </c>
      <c r="L646" s="1236"/>
      <c r="M646"/>
      <c r="N646"/>
      <c r="O646"/>
      <c r="P646"/>
      <c r="Q646"/>
      <c r="R646"/>
      <c r="S646"/>
      <c r="T646"/>
      <c r="U646"/>
      <c r="V646"/>
      <c r="W646"/>
      <c r="X646"/>
    </row>
    <row r="647" spans="1:24" ht="18" thickTop="1" thickBot="1" x14ac:dyDescent="0.35">
      <c r="A647" s="457" t="s">
        <v>16</v>
      </c>
      <c r="B647" s="458">
        <v>16</v>
      </c>
      <c r="C647" s="458">
        <v>16</v>
      </c>
      <c r="D647" s="458" t="s">
        <v>807</v>
      </c>
      <c r="E647" s="457" t="s">
        <v>635</v>
      </c>
      <c r="F647" s="590"/>
      <c r="G647" s="220">
        <v>470.2405097891201</v>
      </c>
      <c r="H647" s="219">
        <v>0</v>
      </c>
      <c r="I647" s="220">
        <v>0</v>
      </c>
      <c r="J647" s="219">
        <v>0</v>
      </c>
      <c r="K647" s="220">
        <v>0</v>
      </c>
      <c r="L647" s="1236"/>
      <c r="M647"/>
      <c r="N647"/>
      <c r="O647"/>
      <c r="P647"/>
      <c r="Q647"/>
      <c r="R647"/>
      <c r="S647"/>
      <c r="T647"/>
      <c r="U647"/>
      <c r="V647"/>
      <c r="W647"/>
      <c r="X647"/>
    </row>
    <row r="648" spans="1:24" ht="18" thickTop="1" thickBot="1" x14ac:dyDescent="0.35">
      <c r="A648" s="457" t="s">
        <v>16</v>
      </c>
      <c r="B648" s="458">
        <v>16</v>
      </c>
      <c r="C648" s="458">
        <v>16</v>
      </c>
      <c r="D648" s="458" t="s">
        <v>807</v>
      </c>
      <c r="E648" s="457" t="s">
        <v>636</v>
      </c>
      <c r="F648" s="590"/>
      <c r="G648" s="220">
        <v>320.56220922816095</v>
      </c>
      <c r="H648" s="219">
        <v>0</v>
      </c>
      <c r="I648" s="220">
        <v>0</v>
      </c>
      <c r="J648" s="219">
        <v>0</v>
      </c>
      <c r="K648" s="220">
        <v>0</v>
      </c>
      <c r="L648" s="1236"/>
      <c r="M648"/>
      <c r="N648"/>
      <c r="O648"/>
      <c r="P648"/>
      <c r="Q648"/>
      <c r="R648"/>
      <c r="S648"/>
      <c r="T648"/>
      <c r="U648"/>
      <c r="V648"/>
      <c r="W648"/>
      <c r="X648"/>
    </row>
    <row r="649" spans="1:24" ht="18" thickTop="1" thickBot="1" x14ac:dyDescent="0.35">
      <c r="A649" s="457" t="s">
        <v>16</v>
      </c>
      <c r="B649" s="458">
        <v>16</v>
      </c>
      <c r="C649" s="458">
        <v>16</v>
      </c>
      <c r="D649" s="458" t="s">
        <v>808</v>
      </c>
      <c r="E649" s="457" t="s">
        <v>637</v>
      </c>
      <c r="F649" s="590"/>
      <c r="G649" s="220">
        <v>526.5407552231477</v>
      </c>
      <c r="H649" s="219">
        <v>0</v>
      </c>
      <c r="I649" s="220">
        <v>0</v>
      </c>
      <c r="J649" s="219">
        <v>0</v>
      </c>
      <c r="K649" s="220">
        <v>0</v>
      </c>
      <c r="L649" s="1236"/>
      <c r="M649"/>
      <c r="N649"/>
      <c r="O649"/>
      <c r="P649"/>
      <c r="Q649"/>
      <c r="R649"/>
      <c r="S649"/>
      <c r="T649"/>
      <c r="U649"/>
      <c r="V649"/>
      <c r="W649"/>
      <c r="X649"/>
    </row>
    <row r="650" spans="1:24" ht="18" thickTop="1" thickBot="1" x14ac:dyDescent="0.35">
      <c r="A650" s="457" t="s">
        <v>16</v>
      </c>
      <c r="B650" s="458">
        <v>16</v>
      </c>
      <c r="C650" s="458">
        <v>16</v>
      </c>
      <c r="D650" s="458" t="s">
        <v>807</v>
      </c>
      <c r="E650" s="457" t="s">
        <v>638</v>
      </c>
      <c r="F650" s="590"/>
      <c r="G650" s="220">
        <v>223.47725888325337</v>
      </c>
      <c r="H650" s="219">
        <v>0</v>
      </c>
      <c r="I650" s="220">
        <v>0</v>
      </c>
      <c r="J650" s="219">
        <v>0</v>
      </c>
      <c r="K650" s="220">
        <v>0</v>
      </c>
      <c r="L650" s="1236"/>
      <c r="M650"/>
      <c r="N650"/>
      <c r="O650"/>
      <c r="P650"/>
      <c r="Q650"/>
      <c r="R650"/>
      <c r="S650"/>
      <c r="T650"/>
      <c r="U650"/>
      <c r="V650"/>
      <c r="W650"/>
      <c r="X650"/>
    </row>
    <row r="651" spans="1:24" ht="18" thickTop="1" thickBot="1" x14ac:dyDescent="0.35">
      <c r="A651" s="457" t="s">
        <v>16</v>
      </c>
      <c r="B651" s="458">
        <v>16</v>
      </c>
      <c r="C651" s="458">
        <v>16</v>
      </c>
      <c r="D651" s="458" t="s">
        <v>807</v>
      </c>
      <c r="E651" s="457" t="s">
        <v>639</v>
      </c>
      <c r="F651" s="590"/>
      <c r="G651" s="220">
        <v>539.18051250801227</v>
      </c>
      <c r="H651" s="219">
        <v>0</v>
      </c>
      <c r="I651" s="220">
        <v>0</v>
      </c>
      <c r="J651" s="219">
        <v>0</v>
      </c>
      <c r="K651" s="220">
        <v>0</v>
      </c>
      <c r="L651" s="1236"/>
      <c r="M651"/>
      <c r="N651"/>
      <c r="O651"/>
      <c r="P651"/>
      <c r="Q651"/>
      <c r="R651"/>
      <c r="S651"/>
      <c r="T651"/>
      <c r="U651"/>
      <c r="V651"/>
      <c r="W651"/>
      <c r="X651"/>
    </row>
    <row r="652" spans="1:24" ht="18" thickTop="1" thickBot="1" x14ac:dyDescent="0.35">
      <c r="A652" s="457" t="s">
        <v>16</v>
      </c>
      <c r="B652" s="458">
        <v>16</v>
      </c>
      <c r="C652" s="458">
        <v>16</v>
      </c>
      <c r="D652" s="458" t="s">
        <v>807</v>
      </c>
      <c r="E652" s="457" t="s">
        <v>640</v>
      </c>
      <c r="F652" s="590"/>
      <c r="G652" s="220">
        <v>1243.3354797196082</v>
      </c>
      <c r="H652" s="219">
        <v>0</v>
      </c>
      <c r="I652" s="220">
        <v>0</v>
      </c>
      <c r="J652" s="219">
        <v>0</v>
      </c>
      <c r="K652" s="220">
        <v>0</v>
      </c>
      <c r="L652" s="1236"/>
      <c r="M652"/>
      <c r="N652"/>
      <c r="O652"/>
      <c r="P652"/>
      <c r="Q652"/>
      <c r="R652"/>
      <c r="S652"/>
      <c r="T652"/>
      <c r="U652"/>
      <c r="V652"/>
      <c r="W652"/>
      <c r="X652"/>
    </row>
    <row r="653" spans="1:24" ht="18" thickTop="1" thickBot="1" x14ac:dyDescent="0.35">
      <c r="A653" s="457" t="s">
        <v>16</v>
      </c>
      <c r="B653" s="458">
        <v>16</v>
      </c>
      <c r="C653" s="458">
        <v>16</v>
      </c>
      <c r="D653" s="458" t="s">
        <v>807</v>
      </c>
      <c r="E653" s="457" t="s">
        <v>641</v>
      </c>
      <c r="F653" s="590"/>
      <c r="G653" s="220">
        <v>604.89092497518675</v>
      </c>
      <c r="H653" s="219">
        <v>0</v>
      </c>
      <c r="I653" s="220">
        <v>0</v>
      </c>
      <c r="J653" s="219">
        <v>0</v>
      </c>
      <c r="K653" s="220">
        <v>0</v>
      </c>
      <c r="L653" s="1236"/>
      <c r="M653"/>
      <c r="N653"/>
      <c r="O653"/>
      <c r="P653"/>
      <c r="Q653"/>
      <c r="R653"/>
      <c r="S653"/>
      <c r="T653"/>
      <c r="U653"/>
      <c r="V653"/>
      <c r="W653"/>
      <c r="X653"/>
    </row>
    <row r="654" spans="1:24" ht="18" thickTop="1" thickBot="1" x14ac:dyDescent="0.35">
      <c r="A654" s="457" t="s">
        <v>16</v>
      </c>
      <c r="B654" s="458">
        <v>16</v>
      </c>
      <c r="C654" s="458">
        <v>16</v>
      </c>
      <c r="D654" s="458" t="s">
        <v>807</v>
      </c>
      <c r="E654" s="457" t="s">
        <v>642</v>
      </c>
      <c r="F654" s="590"/>
      <c r="G654" s="220">
        <v>479.38017616624143</v>
      </c>
      <c r="H654" s="219">
        <v>0</v>
      </c>
      <c r="I654" s="220">
        <v>0</v>
      </c>
      <c r="J654" s="219">
        <v>0</v>
      </c>
      <c r="K654" s="220">
        <v>0</v>
      </c>
      <c r="L654" s="1236"/>
      <c r="M654"/>
      <c r="N654"/>
      <c r="O654"/>
      <c r="P654"/>
      <c r="Q654"/>
      <c r="R654"/>
      <c r="S654"/>
      <c r="T654"/>
      <c r="U654"/>
      <c r="V654"/>
      <c r="W654"/>
      <c r="X654"/>
    </row>
    <row r="655" spans="1:24" ht="18" thickTop="1" thickBot="1" x14ac:dyDescent="0.35">
      <c r="A655" s="457" t="s">
        <v>16</v>
      </c>
      <c r="B655" s="458">
        <v>16</v>
      </c>
      <c r="C655" s="458">
        <v>16</v>
      </c>
      <c r="D655" s="458" t="s">
        <v>822</v>
      </c>
      <c r="E655" s="457" t="s">
        <v>643</v>
      </c>
      <c r="F655" s="590"/>
      <c r="G655" s="220">
        <v>19.195825938654362</v>
      </c>
      <c r="H655" s="219">
        <v>0</v>
      </c>
      <c r="I655" s="220">
        <v>0</v>
      </c>
      <c r="J655" s="219">
        <v>0</v>
      </c>
      <c r="K655" s="220">
        <v>0</v>
      </c>
      <c r="L655" s="1236"/>
      <c r="M655"/>
      <c r="N655"/>
      <c r="O655"/>
      <c r="P655"/>
      <c r="Q655"/>
      <c r="R655"/>
      <c r="S655"/>
      <c r="T655"/>
      <c r="U655"/>
      <c r="V655"/>
      <c r="W655"/>
      <c r="X655"/>
    </row>
    <row r="656" spans="1:24" ht="18" thickTop="1" thickBot="1" x14ac:dyDescent="0.35">
      <c r="A656" s="457" t="s">
        <v>16</v>
      </c>
      <c r="B656" s="458">
        <v>16</v>
      </c>
      <c r="C656" s="458">
        <v>16</v>
      </c>
      <c r="D656" s="458" t="s">
        <v>807</v>
      </c>
      <c r="E656" s="457" t="s">
        <v>644</v>
      </c>
      <c r="F656" s="590"/>
      <c r="G656" s="220">
        <v>347.95957156396435</v>
      </c>
      <c r="H656" s="219">
        <v>0</v>
      </c>
      <c r="I656" s="220">
        <v>0</v>
      </c>
      <c r="J656" s="219">
        <v>0</v>
      </c>
      <c r="K656" s="220">
        <v>0</v>
      </c>
      <c r="L656" s="1236"/>
      <c r="M656"/>
      <c r="N656"/>
      <c r="O656"/>
      <c r="P656"/>
      <c r="Q656"/>
      <c r="R656"/>
      <c r="S656"/>
      <c r="T656"/>
      <c r="U656"/>
      <c r="V656"/>
      <c r="W656"/>
      <c r="X656"/>
    </row>
    <row r="657" spans="1:24" ht="18" thickTop="1" thickBot="1" x14ac:dyDescent="0.35">
      <c r="A657" s="457" t="s">
        <v>16</v>
      </c>
      <c r="B657" s="458">
        <v>16</v>
      </c>
      <c r="C657" s="458">
        <v>16</v>
      </c>
      <c r="D657" s="458" t="s">
        <v>807</v>
      </c>
      <c r="E657" s="457" t="s">
        <v>645</v>
      </c>
      <c r="F657" s="590"/>
      <c r="G657" s="220">
        <v>398.06567905668567</v>
      </c>
      <c r="H657" s="219">
        <v>0</v>
      </c>
      <c r="I657" s="220">
        <v>0</v>
      </c>
      <c r="J657" s="219">
        <v>0</v>
      </c>
      <c r="K657" s="220">
        <v>0</v>
      </c>
      <c r="L657" s="1236"/>
      <c r="M657"/>
      <c r="N657"/>
      <c r="O657"/>
      <c r="P657"/>
      <c r="Q657"/>
      <c r="R657"/>
      <c r="S657"/>
      <c r="T657"/>
      <c r="U657"/>
      <c r="V657"/>
      <c r="W657"/>
      <c r="X657"/>
    </row>
    <row r="658" spans="1:24" ht="18" thickTop="1" thickBot="1" x14ac:dyDescent="0.35">
      <c r="A658" s="457" t="s">
        <v>16</v>
      </c>
      <c r="B658" s="458">
        <v>16</v>
      </c>
      <c r="C658" s="458">
        <v>16</v>
      </c>
      <c r="D658" s="458" t="s">
        <v>807</v>
      </c>
      <c r="E658" s="457" t="s">
        <v>646</v>
      </c>
      <c r="F658" s="590"/>
      <c r="G658" s="220">
        <v>322.43148647470764</v>
      </c>
      <c r="H658" s="219">
        <v>0</v>
      </c>
      <c r="I658" s="220">
        <v>0</v>
      </c>
      <c r="J658" s="219">
        <v>0</v>
      </c>
      <c r="K658" s="220">
        <v>0</v>
      </c>
      <c r="L658" s="1236"/>
      <c r="M658"/>
      <c r="N658"/>
      <c r="O658"/>
      <c r="P658"/>
      <c r="Q658"/>
      <c r="R658"/>
      <c r="S658"/>
      <c r="T658"/>
      <c r="U658"/>
      <c r="V658"/>
      <c r="W658"/>
      <c r="X658"/>
    </row>
    <row r="659" spans="1:24" ht="18" thickTop="1" thickBot="1" x14ac:dyDescent="0.35">
      <c r="A659" s="457" t="s">
        <v>16</v>
      </c>
      <c r="B659" s="458">
        <v>16</v>
      </c>
      <c r="C659" s="458">
        <v>16</v>
      </c>
      <c r="D659" s="458" t="s">
        <v>807</v>
      </c>
      <c r="E659" s="457" t="s">
        <v>647</v>
      </c>
      <c r="F659" s="590"/>
      <c r="G659" s="220">
        <v>226.47241692300224</v>
      </c>
      <c r="H659" s="219">
        <v>0</v>
      </c>
      <c r="I659" s="220">
        <v>0</v>
      </c>
      <c r="J659" s="219">
        <v>0</v>
      </c>
      <c r="K659" s="220">
        <v>0</v>
      </c>
      <c r="L659" s="1236"/>
      <c r="M659"/>
      <c r="N659"/>
      <c r="O659"/>
      <c r="P659"/>
      <c r="Q659"/>
      <c r="R659"/>
      <c r="S659"/>
      <c r="T659"/>
      <c r="U659"/>
      <c r="V659"/>
      <c r="W659"/>
      <c r="X659"/>
    </row>
    <row r="660" spans="1:24" ht="18" thickTop="1" thickBot="1" x14ac:dyDescent="0.35">
      <c r="A660" s="457" t="s">
        <v>16</v>
      </c>
      <c r="B660" s="458">
        <v>16</v>
      </c>
      <c r="C660" s="458">
        <v>16</v>
      </c>
      <c r="D660" s="458" t="s">
        <v>807</v>
      </c>
      <c r="E660" s="457" t="s">
        <v>648</v>
      </c>
      <c r="F660" s="590"/>
      <c r="G660" s="220">
        <v>323.8791110619764</v>
      </c>
      <c r="H660" s="219">
        <v>0</v>
      </c>
      <c r="I660" s="220">
        <v>0</v>
      </c>
      <c r="J660" s="219">
        <v>0</v>
      </c>
      <c r="K660" s="220">
        <v>0</v>
      </c>
      <c r="L660" s="1236"/>
      <c r="M660"/>
      <c r="N660"/>
      <c r="O660"/>
      <c r="P660"/>
      <c r="Q660"/>
      <c r="R660"/>
      <c r="S660"/>
      <c r="T660"/>
      <c r="U660"/>
      <c r="V660"/>
      <c r="W660"/>
      <c r="X660"/>
    </row>
    <row r="661" spans="1:24" ht="18" thickTop="1" thickBot="1" x14ac:dyDescent="0.35">
      <c r="A661" s="457" t="s">
        <v>16</v>
      </c>
      <c r="B661" s="458">
        <v>16</v>
      </c>
      <c r="C661" s="458">
        <v>16</v>
      </c>
      <c r="D661" s="458" t="s">
        <v>807</v>
      </c>
      <c r="E661" s="457" t="s">
        <v>649</v>
      </c>
      <c r="F661" s="590"/>
      <c r="G661" s="220">
        <v>302.71360285481313</v>
      </c>
      <c r="H661" s="219">
        <v>0</v>
      </c>
      <c r="I661" s="220">
        <v>0</v>
      </c>
      <c r="J661" s="219">
        <v>0</v>
      </c>
      <c r="K661" s="220">
        <v>0</v>
      </c>
      <c r="L661" s="1236"/>
      <c r="M661"/>
      <c r="N661"/>
      <c r="O661"/>
      <c r="P661"/>
      <c r="Q661"/>
      <c r="R661"/>
      <c r="S661"/>
      <c r="T661"/>
      <c r="U661"/>
      <c r="V661"/>
      <c r="W661"/>
      <c r="X661"/>
    </row>
    <row r="662" spans="1:24" ht="18" thickTop="1" thickBot="1" x14ac:dyDescent="0.35">
      <c r="A662" s="457" t="s">
        <v>16</v>
      </c>
      <c r="B662" s="458">
        <v>16</v>
      </c>
      <c r="C662" s="458">
        <v>16</v>
      </c>
      <c r="D662" s="458" t="s">
        <v>823</v>
      </c>
      <c r="E662" s="457" t="s">
        <v>650</v>
      </c>
      <c r="F662" s="590"/>
      <c r="G662" s="220">
        <v>232.61660316891493</v>
      </c>
      <c r="H662" s="219">
        <v>0</v>
      </c>
      <c r="I662" s="220">
        <v>0</v>
      </c>
      <c r="J662" s="219">
        <v>0</v>
      </c>
      <c r="K662" s="220">
        <v>0</v>
      </c>
      <c r="L662" s="1236"/>
      <c r="M662"/>
      <c r="N662"/>
      <c r="O662"/>
      <c r="P662"/>
      <c r="Q662"/>
      <c r="R662"/>
      <c r="S662"/>
      <c r="T662"/>
      <c r="U662"/>
      <c r="V662"/>
      <c r="W662"/>
      <c r="X662"/>
    </row>
    <row r="663" spans="1:24" ht="18" thickTop="1" thickBot="1" x14ac:dyDescent="0.35">
      <c r="A663" s="457" t="s">
        <v>16</v>
      </c>
      <c r="B663" s="458">
        <v>16</v>
      </c>
      <c r="C663" s="458">
        <v>16</v>
      </c>
      <c r="D663" s="458" t="s">
        <v>823</v>
      </c>
      <c r="E663" s="457" t="s">
        <v>651</v>
      </c>
      <c r="F663" s="590"/>
      <c r="G663" s="220">
        <v>320.34461392431001</v>
      </c>
      <c r="H663" s="219">
        <v>0</v>
      </c>
      <c r="I663" s="220">
        <v>0</v>
      </c>
      <c r="J663" s="219">
        <v>0</v>
      </c>
      <c r="K663" s="220">
        <v>0</v>
      </c>
      <c r="L663" s="1236"/>
      <c r="M663"/>
      <c r="N663"/>
      <c r="O663"/>
      <c r="P663"/>
      <c r="Q663"/>
      <c r="R663"/>
      <c r="S663"/>
      <c r="T663"/>
      <c r="U663"/>
      <c r="V663"/>
      <c r="W663"/>
      <c r="X663"/>
    </row>
    <row r="664" spans="1:24" ht="18" thickTop="1" thickBot="1" x14ac:dyDescent="0.35">
      <c r="A664" s="457" t="s">
        <v>16</v>
      </c>
      <c r="B664" s="458">
        <v>16</v>
      </c>
      <c r="C664" s="458">
        <v>16</v>
      </c>
      <c r="D664" s="458" t="s">
        <v>823</v>
      </c>
      <c r="E664" s="457" t="s">
        <v>652</v>
      </c>
      <c r="F664" s="590"/>
      <c r="G664" s="220">
        <v>140.98310350189067</v>
      </c>
      <c r="H664" s="219">
        <v>0</v>
      </c>
      <c r="I664" s="220">
        <v>0</v>
      </c>
      <c r="J664" s="219">
        <v>0</v>
      </c>
      <c r="K664" s="220">
        <v>0</v>
      </c>
      <c r="L664" s="1236"/>
      <c r="M664"/>
      <c r="N664"/>
      <c r="O664"/>
      <c r="P664"/>
      <c r="Q664"/>
      <c r="R664"/>
      <c r="S664"/>
      <c r="T664"/>
      <c r="U664"/>
      <c r="V664"/>
      <c r="W664"/>
      <c r="X664"/>
    </row>
    <row r="665" spans="1:24" ht="18" thickTop="1" thickBot="1" x14ac:dyDescent="0.35">
      <c r="A665" s="457" t="s">
        <v>16</v>
      </c>
      <c r="B665" s="458">
        <v>16</v>
      </c>
      <c r="C665" s="458">
        <v>16</v>
      </c>
      <c r="D665" s="458" t="s">
        <v>807</v>
      </c>
      <c r="E665" s="457" t="s">
        <v>653</v>
      </c>
      <c r="F665" s="590"/>
      <c r="G665" s="220">
        <v>124.9679751538218</v>
      </c>
      <c r="H665" s="219">
        <v>0</v>
      </c>
      <c r="I665" s="220">
        <v>0</v>
      </c>
      <c r="J665" s="219">
        <v>0</v>
      </c>
      <c r="K665" s="220">
        <v>0</v>
      </c>
      <c r="L665" s="1236"/>
      <c r="M665"/>
      <c r="N665"/>
      <c r="O665"/>
      <c r="P665"/>
      <c r="Q665"/>
      <c r="R665"/>
      <c r="S665"/>
      <c r="T665"/>
      <c r="U665"/>
      <c r="V665"/>
      <c r="W665"/>
      <c r="X665"/>
    </row>
    <row r="666" spans="1:24" ht="18" thickTop="1" thickBot="1" x14ac:dyDescent="0.35">
      <c r="A666" s="457" t="s">
        <v>16</v>
      </c>
      <c r="B666" s="458">
        <v>16</v>
      </c>
      <c r="C666" s="458">
        <v>16</v>
      </c>
      <c r="D666" s="458" t="s">
        <v>807</v>
      </c>
      <c r="E666" s="457" t="s">
        <v>654</v>
      </c>
      <c r="F666" s="590"/>
      <c r="G666" s="220">
        <v>264.60280305143687</v>
      </c>
      <c r="H666" s="219">
        <v>0</v>
      </c>
      <c r="I666" s="220">
        <v>0</v>
      </c>
      <c r="J666" s="219">
        <v>0</v>
      </c>
      <c r="K666" s="220">
        <v>0</v>
      </c>
      <c r="L666" s="1236"/>
      <c r="M666"/>
      <c r="N666"/>
      <c r="O666"/>
      <c r="P666"/>
      <c r="Q666"/>
      <c r="R666"/>
      <c r="S666"/>
      <c r="T666"/>
      <c r="U666"/>
      <c r="V666"/>
      <c r="W666"/>
      <c r="X666"/>
    </row>
    <row r="667" spans="1:24" ht="18" thickTop="1" thickBot="1" x14ac:dyDescent="0.35">
      <c r="A667" s="457" t="s">
        <v>16</v>
      </c>
      <c r="B667" s="458">
        <v>16</v>
      </c>
      <c r="C667" s="458">
        <v>16</v>
      </c>
      <c r="D667" s="458" t="s">
        <v>807</v>
      </c>
      <c r="E667" s="457" t="s">
        <v>655</v>
      </c>
      <c r="F667" s="590"/>
      <c r="G667" s="220">
        <v>448.04901795768114</v>
      </c>
      <c r="H667" s="219">
        <v>0</v>
      </c>
      <c r="I667" s="220">
        <v>0</v>
      </c>
      <c r="J667" s="219">
        <v>0</v>
      </c>
      <c r="K667" s="220">
        <v>0</v>
      </c>
      <c r="L667" s="1236"/>
      <c r="M667"/>
      <c r="N667"/>
      <c r="O667"/>
      <c r="P667"/>
      <c r="Q667"/>
      <c r="R667"/>
      <c r="S667"/>
      <c r="T667"/>
      <c r="U667"/>
      <c r="V667"/>
      <c r="W667"/>
      <c r="X667"/>
    </row>
    <row r="668" spans="1:24" ht="18" thickTop="1" thickBot="1" x14ac:dyDescent="0.35">
      <c r="A668" s="457" t="s">
        <v>16</v>
      </c>
      <c r="B668" s="458">
        <v>16</v>
      </c>
      <c r="C668" s="458">
        <v>16</v>
      </c>
      <c r="D668" s="458" t="s">
        <v>807</v>
      </c>
      <c r="E668" s="457" t="s">
        <v>656</v>
      </c>
      <c r="F668" s="590"/>
      <c r="G668" s="220">
        <v>471.394442381803</v>
      </c>
      <c r="H668" s="219">
        <v>0</v>
      </c>
      <c r="I668" s="220">
        <v>0</v>
      </c>
      <c r="J668" s="219">
        <v>0</v>
      </c>
      <c r="K668" s="220">
        <v>0</v>
      </c>
      <c r="L668" s="1236"/>
      <c r="M668"/>
      <c r="N668"/>
      <c r="O668"/>
      <c r="P668"/>
      <c r="Q668"/>
      <c r="R668"/>
      <c r="S668"/>
      <c r="T668"/>
      <c r="U668"/>
      <c r="V668"/>
      <c r="W668"/>
      <c r="X668"/>
    </row>
    <row r="669" spans="1:24" ht="18" thickTop="1" thickBot="1" x14ac:dyDescent="0.35">
      <c r="A669" s="457" t="s">
        <v>16</v>
      </c>
      <c r="B669" s="458">
        <v>16</v>
      </c>
      <c r="C669" s="458">
        <v>16</v>
      </c>
      <c r="D669" s="458" t="s">
        <v>807</v>
      </c>
      <c r="E669" s="457" t="s">
        <v>1336</v>
      </c>
      <c r="F669" s="457"/>
      <c r="G669" s="220">
        <v>813.03019895917816</v>
      </c>
      <c r="H669" s="219"/>
      <c r="I669" s="220"/>
      <c r="J669" s="219"/>
      <c r="K669" s="220"/>
      <c r="L669" s="1236"/>
      <c r="M669"/>
      <c r="N669"/>
      <c r="O669"/>
      <c r="P669"/>
      <c r="Q669"/>
      <c r="R669"/>
      <c r="S669"/>
      <c r="T669"/>
      <c r="U669"/>
      <c r="V669"/>
      <c r="W669"/>
      <c r="X669"/>
    </row>
    <row r="670" spans="1:24" ht="18" thickTop="1" thickBot="1" x14ac:dyDescent="0.35">
      <c r="A670" s="457" t="s">
        <v>16</v>
      </c>
      <c r="B670" s="458">
        <v>16</v>
      </c>
      <c r="C670" s="458">
        <v>16</v>
      </c>
      <c r="D670" s="458" t="s">
        <v>807</v>
      </c>
      <c r="E670" s="457" t="s">
        <v>657</v>
      </c>
      <c r="F670" s="457"/>
      <c r="G670" s="220">
        <v>209.54691687289358</v>
      </c>
      <c r="H670" s="219">
        <v>0</v>
      </c>
      <c r="I670" s="220">
        <v>0</v>
      </c>
      <c r="J670" s="219">
        <v>0</v>
      </c>
      <c r="K670" s="220">
        <v>0</v>
      </c>
      <c r="L670" s="1236"/>
      <c r="M670"/>
      <c r="N670"/>
      <c r="O670"/>
      <c r="P670"/>
      <c r="Q670"/>
      <c r="R670"/>
      <c r="S670"/>
      <c r="T670"/>
      <c r="U670"/>
      <c r="V670"/>
      <c r="W670"/>
      <c r="X670"/>
    </row>
    <row r="671" spans="1:24" ht="18" thickTop="1" thickBot="1" x14ac:dyDescent="0.35">
      <c r="A671" s="457" t="s">
        <v>16</v>
      </c>
      <c r="B671" s="458">
        <v>16</v>
      </c>
      <c r="C671" s="458">
        <v>16</v>
      </c>
      <c r="D671" s="458" t="s">
        <v>807</v>
      </c>
      <c r="E671" s="457" t="s">
        <v>658</v>
      </c>
      <c r="F671" s="457"/>
      <c r="G671" s="220">
        <v>441.52470205320975</v>
      </c>
      <c r="H671" s="219">
        <v>0</v>
      </c>
      <c r="I671" s="220">
        <v>0</v>
      </c>
      <c r="J671" s="219">
        <v>0</v>
      </c>
      <c r="K671" s="220">
        <v>0</v>
      </c>
      <c r="L671" s="1236"/>
      <c r="M671"/>
      <c r="N671"/>
      <c r="O671"/>
      <c r="P671"/>
      <c r="Q671"/>
      <c r="R671"/>
      <c r="S671"/>
      <c r="T671"/>
      <c r="U671"/>
      <c r="V671"/>
      <c r="W671"/>
      <c r="X671"/>
    </row>
    <row r="672" spans="1:24" ht="18" thickTop="1" thickBot="1" x14ac:dyDescent="0.35">
      <c r="A672" s="457" t="s">
        <v>16</v>
      </c>
      <c r="B672" s="458">
        <v>16</v>
      </c>
      <c r="C672" s="458">
        <v>16</v>
      </c>
      <c r="D672" s="458" t="s">
        <v>807</v>
      </c>
      <c r="E672" s="457" t="s">
        <v>659</v>
      </c>
      <c r="F672" s="457"/>
      <c r="G672" s="220">
        <v>838.98175270684771</v>
      </c>
      <c r="H672" s="219">
        <v>0</v>
      </c>
      <c r="I672" s="220">
        <v>0</v>
      </c>
      <c r="J672" s="219">
        <v>0</v>
      </c>
      <c r="K672" s="220">
        <v>0</v>
      </c>
      <c r="L672" s="1236"/>
      <c r="M672"/>
      <c r="N672"/>
      <c r="O672"/>
      <c r="P672"/>
      <c r="Q672"/>
      <c r="R672"/>
      <c r="S672"/>
      <c r="T672"/>
      <c r="U672"/>
      <c r="V672"/>
      <c r="W672"/>
      <c r="X672"/>
    </row>
    <row r="673" spans="1:26" ht="18" thickTop="1" thickBot="1" x14ac:dyDescent="0.35">
      <c r="A673" s="457" t="s">
        <v>16</v>
      </c>
      <c r="B673" s="458">
        <v>16</v>
      </c>
      <c r="C673" s="458">
        <v>16</v>
      </c>
      <c r="D673" s="458" t="s">
        <v>807</v>
      </c>
      <c r="E673" s="457" t="s">
        <v>660</v>
      </c>
      <c r="F673" s="457"/>
      <c r="G673" s="220">
        <v>716.92878560580277</v>
      </c>
      <c r="H673" s="219">
        <v>0</v>
      </c>
      <c r="I673" s="220">
        <v>0</v>
      </c>
      <c r="J673" s="219">
        <v>0</v>
      </c>
      <c r="K673" s="220">
        <v>0</v>
      </c>
      <c r="L673" s="1236"/>
      <c r="M673"/>
      <c r="N673"/>
      <c r="O673"/>
      <c r="P673"/>
      <c r="Q673"/>
      <c r="R673"/>
      <c r="S673"/>
      <c r="T673"/>
      <c r="U673"/>
      <c r="V673"/>
      <c r="W673"/>
      <c r="X673"/>
    </row>
    <row r="674" spans="1:26" ht="18" thickTop="1" thickBot="1" x14ac:dyDescent="0.35">
      <c r="A674" s="457" t="s">
        <v>16</v>
      </c>
      <c r="B674" s="458">
        <v>16</v>
      </c>
      <c r="C674" s="458">
        <v>16</v>
      </c>
      <c r="D674" s="458" t="s">
        <v>807</v>
      </c>
      <c r="E674" s="457" t="s">
        <v>661</v>
      </c>
      <c r="F674" s="457"/>
      <c r="G674" s="220">
        <v>401.57468297250801</v>
      </c>
      <c r="H674" s="219">
        <v>0</v>
      </c>
      <c r="I674" s="220">
        <v>0</v>
      </c>
      <c r="J674" s="219">
        <v>0</v>
      </c>
      <c r="K674" s="220">
        <v>0</v>
      </c>
      <c r="L674" s="1236"/>
      <c r="M674"/>
      <c r="N674"/>
      <c r="O674"/>
      <c r="P674"/>
      <c r="Q674"/>
      <c r="R674"/>
      <c r="S674"/>
      <c r="T674"/>
      <c r="U674"/>
      <c r="V674"/>
      <c r="W674"/>
      <c r="X674"/>
    </row>
    <row r="675" spans="1:26" ht="18" thickTop="1" thickBot="1" x14ac:dyDescent="0.35">
      <c r="A675" s="457" t="s">
        <v>16</v>
      </c>
      <c r="B675" s="458">
        <v>16</v>
      </c>
      <c r="C675" s="458">
        <v>16</v>
      </c>
      <c r="D675" s="458" t="s">
        <v>807</v>
      </c>
      <c r="E675" s="457" t="s">
        <v>662</v>
      </c>
      <c r="F675" s="457"/>
      <c r="G675" s="220">
        <v>370.16190644907476</v>
      </c>
      <c r="H675" s="219">
        <v>0</v>
      </c>
      <c r="I675" s="220">
        <v>0</v>
      </c>
      <c r="J675" s="219">
        <v>0</v>
      </c>
      <c r="K675" s="220">
        <v>0</v>
      </c>
      <c r="L675" s="1236"/>
      <c r="M675"/>
      <c r="N675"/>
      <c r="O675"/>
      <c r="P675"/>
      <c r="Q675"/>
      <c r="R675"/>
      <c r="S675"/>
      <c r="T675"/>
      <c r="U675"/>
      <c r="V675"/>
      <c r="W675"/>
      <c r="X675"/>
    </row>
    <row r="676" spans="1:26" ht="18" thickTop="1" thickBot="1" x14ac:dyDescent="0.35">
      <c r="A676" s="457" t="s">
        <v>16</v>
      </c>
      <c r="B676" s="458">
        <v>16</v>
      </c>
      <c r="C676" s="458">
        <v>16</v>
      </c>
      <c r="D676" s="458" t="s">
        <v>807</v>
      </c>
      <c r="E676" s="457" t="s">
        <v>663</v>
      </c>
      <c r="F676" s="457"/>
      <c r="G676" s="220">
        <v>417.17604068161023</v>
      </c>
      <c r="H676" s="219">
        <v>0</v>
      </c>
      <c r="I676" s="220">
        <v>0</v>
      </c>
      <c r="J676" s="219">
        <v>0</v>
      </c>
      <c r="K676" s="220">
        <v>0</v>
      </c>
      <c r="L676" s="1236"/>
      <c r="M676"/>
      <c r="N676"/>
      <c r="O676"/>
      <c r="P676"/>
      <c r="Q676"/>
      <c r="R676"/>
      <c r="S676"/>
      <c r="T676"/>
      <c r="U676"/>
      <c r="V676"/>
      <c r="W676"/>
      <c r="X676"/>
    </row>
    <row r="677" spans="1:26" ht="18" thickTop="1" thickBot="1" x14ac:dyDescent="0.35">
      <c r="A677" s="457" t="s">
        <v>16</v>
      </c>
      <c r="B677" s="458">
        <v>16</v>
      </c>
      <c r="C677" s="458">
        <v>16</v>
      </c>
      <c r="D677" s="458" t="s">
        <v>807</v>
      </c>
      <c r="E677" s="457" t="s">
        <v>664</v>
      </c>
      <c r="F677" s="457"/>
      <c r="G677" s="220">
        <v>366.85309840504328</v>
      </c>
      <c r="H677" s="219">
        <v>0</v>
      </c>
      <c r="I677" s="220">
        <v>0</v>
      </c>
      <c r="J677" s="219">
        <v>0</v>
      </c>
      <c r="K677" s="220">
        <v>0</v>
      </c>
      <c r="L677" s="1236"/>
      <c r="M677"/>
      <c r="N677"/>
      <c r="O677"/>
      <c r="P677"/>
      <c r="Q677"/>
      <c r="R677"/>
      <c r="S677"/>
      <c r="T677"/>
      <c r="U677"/>
      <c r="V677"/>
      <c r="W677"/>
      <c r="X677"/>
    </row>
    <row r="678" spans="1:26" ht="18" thickTop="1" thickBot="1" x14ac:dyDescent="0.35">
      <c r="A678" s="457" t="s">
        <v>16</v>
      </c>
      <c r="B678" s="458">
        <v>16</v>
      </c>
      <c r="C678" s="458">
        <v>16</v>
      </c>
      <c r="D678" s="458" t="s">
        <v>807</v>
      </c>
      <c r="E678" s="457" t="s">
        <v>665</v>
      </c>
      <c r="F678" s="457"/>
      <c r="G678" s="220">
        <v>434.58883217292538</v>
      </c>
      <c r="H678" s="219">
        <v>0</v>
      </c>
      <c r="I678" s="220">
        <v>0</v>
      </c>
      <c r="J678" s="219">
        <v>0</v>
      </c>
      <c r="K678" s="220">
        <v>0</v>
      </c>
      <c r="L678" s="1236"/>
      <c r="M678"/>
      <c r="N678"/>
      <c r="O678"/>
      <c r="P678"/>
      <c r="Q678"/>
      <c r="R678"/>
      <c r="S678"/>
      <c r="T678"/>
      <c r="U678"/>
      <c r="V678"/>
      <c r="W678"/>
      <c r="X678"/>
    </row>
    <row r="679" spans="1:26" ht="18" thickTop="1" thickBot="1" x14ac:dyDescent="0.35">
      <c r="A679" s="457" t="s">
        <v>16</v>
      </c>
      <c r="B679" s="458">
        <v>16</v>
      </c>
      <c r="C679" s="458">
        <v>16</v>
      </c>
      <c r="D679" s="458" t="s">
        <v>807</v>
      </c>
      <c r="E679" s="457" t="s">
        <v>666</v>
      </c>
      <c r="F679" s="457"/>
      <c r="G679" s="220">
        <v>851.32444957352288</v>
      </c>
      <c r="H679" s="219">
        <v>0</v>
      </c>
      <c r="I679" s="220">
        <v>0</v>
      </c>
      <c r="J679" s="219">
        <v>0</v>
      </c>
      <c r="K679" s="220">
        <v>0</v>
      </c>
      <c r="L679" s="1236"/>
      <c r="M679"/>
      <c r="N679"/>
      <c r="O679"/>
      <c r="P679"/>
      <c r="Q679"/>
      <c r="R679"/>
      <c r="S679"/>
      <c r="T679"/>
      <c r="U679"/>
      <c r="V679"/>
      <c r="W679"/>
      <c r="X679"/>
    </row>
    <row r="680" spans="1:26" ht="18" thickTop="1" thickBot="1" x14ac:dyDescent="0.35">
      <c r="A680" s="457" t="s">
        <v>16</v>
      </c>
      <c r="B680" s="458">
        <v>16</v>
      </c>
      <c r="C680" s="458">
        <v>16</v>
      </c>
      <c r="D680" s="458" t="s">
        <v>807</v>
      </c>
      <c r="E680" s="457" t="s">
        <v>667</v>
      </c>
      <c r="F680" s="457"/>
      <c r="G680" s="220">
        <v>309.76611363306608</v>
      </c>
      <c r="H680" s="219">
        <v>0</v>
      </c>
      <c r="I680" s="220">
        <v>0</v>
      </c>
      <c r="J680" s="219">
        <v>0</v>
      </c>
      <c r="K680" s="220">
        <v>0</v>
      </c>
      <c r="L680" s="1236"/>
      <c r="M680"/>
      <c r="N680"/>
      <c r="O680"/>
      <c r="P680"/>
      <c r="Q680"/>
      <c r="R680"/>
      <c r="S680"/>
      <c r="T680"/>
      <c r="U680"/>
      <c r="V680"/>
      <c r="W680"/>
      <c r="X680"/>
    </row>
    <row r="681" spans="1:26" ht="18" thickTop="1" thickBot="1" x14ac:dyDescent="0.35">
      <c r="A681" s="457" t="s">
        <v>16</v>
      </c>
      <c r="B681" s="458">
        <v>16</v>
      </c>
      <c r="C681" s="458">
        <v>16</v>
      </c>
      <c r="D681" s="458" t="s">
        <v>807</v>
      </c>
      <c r="E681" s="457" t="s">
        <v>1337</v>
      </c>
      <c r="F681" s="457"/>
      <c r="G681" s="220">
        <v>825.51814735597713</v>
      </c>
      <c r="H681" s="219"/>
      <c r="I681" s="220"/>
      <c r="J681" s="219"/>
      <c r="K681" s="220"/>
      <c r="L681" s="1236"/>
      <c r="M681"/>
      <c r="N681"/>
      <c r="O681"/>
      <c r="P681"/>
      <c r="Q681"/>
      <c r="R681"/>
      <c r="S681"/>
      <c r="T681"/>
      <c r="U681"/>
      <c r="V681"/>
      <c r="W681"/>
      <c r="X681"/>
    </row>
    <row r="682" spans="1:26" ht="18" thickTop="1" thickBot="1" x14ac:dyDescent="0.35">
      <c r="A682" s="457" t="s">
        <v>16</v>
      </c>
      <c r="B682" s="458">
        <v>16</v>
      </c>
      <c r="C682" s="458">
        <v>16</v>
      </c>
      <c r="D682" s="458" t="s">
        <v>807</v>
      </c>
      <c r="E682" s="457" t="s">
        <v>668</v>
      </c>
      <c r="F682" s="457"/>
      <c r="G682" s="220">
        <v>318.06724540667074</v>
      </c>
      <c r="H682" s="219">
        <v>0</v>
      </c>
      <c r="I682" s="220">
        <v>0</v>
      </c>
      <c r="J682" s="219">
        <v>0</v>
      </c>
      <c r="K682" s="220">
        <v>0</v>
      </c>
      <c r="L682" s="1236"/>
      <c r="M682"/>
      <c r="N682"/>
      <c r="O682"/>
      <c r="P682"/>
      <c r="Q682"/>
      <c r="R682"/>
      <c r="S682"/>
      <c r="T682"/>
      <c r="U682"/>
      <c r="V682"/>
      <c r="W682"/>
      <c r="X682"/>
    </row>
    <row r="683" spans="1:26" ht="18" thickTop="1" thickBot="1" x14ac:dyDescent="0.35">
      <c r="A683" s="457" t="s">
        <v>16</v>
      </c>
      <c r="B683" s="458">
        <v>16</v>
      </c>
      <c r="C683" s="458">
        <v>16</v>
      </c>
      <c r="D683" s="458" t="s">
        <v>807</v>
      </c>
      <c r="E683" s="457" t="s">
        <v>669</v>
      </c>
      <c r="F683" s="457"/>
      <c r="G683" s="220">
        <v>79.513958443609681</v>
      </c>
      <c r="H683" s="219">
        <v>0</v>
      </c>
      <c r="I683" s="220">
        <v>0</v>
      </c>
      <c r="J683" s="219">
        <v>0</v>
      </c>
      <c r="K683" s="220">
        <v>0</v>
      </c>
      <c r="L683" s="1236"/>
      <c r="M683"/>
      <c r="N683"/>
      <c r="O683"/>
      <c r="P683"/>
      <c r="Q683"/>
      <c r="R683"/>
      <c r="S683"/>
      <c r="T683"/>
      <c r="U683"/>
      <c r="V683"/>
      <c r="W683"/>
      <c r="X683"/>
    </row>
    <row r="684" spans="1:26" ht="18" thickTop="1" thickBot="1" x14ac:dyDescent="0.35">
      <c r="A684" s="457" t="s">
        <v>16</v>
      </c>
      <c r="B684" s="458">
        <v>16</v>
      </c>
      <c r="C684" s="458">
        <v>16</v>
      </c>
      <c r="D684" s="458" t="s">
        <v>821</v>
      </c>
      <c r="E684" s="457" t="s">
        <v>1338</v>
      </c>
      <c r="F684" s="457"/>
      <c r="G684" s="220">
        <v>485.24794474031376</v>
      </c>
      <c r="H684" s="219"/>
      <c r="I684" s="220"/>
      <c r="J684" s="219"/>
      <c r="K684" s="220"/>
      <c r="L684" s="1236"/>
      <c r="M684"/>
      <c r="N684"/>
      <c r="O684"/>
      <c r="P684"/>
      <c r="Q684"/>
      <c r="R684"/>
      <c r="S684"/>
      <c r="T684"/>
      <c r="U684"/>
      <c r="V684"/>
      <c r="W684"/>
      <c r="X684"/>
    </row>
    <row r="685" spans="1:26" ht="18" thickTop="1" thickBot="1" x14ac:dyDescent="0.35">
      <c r="A685" s="457" t="s">
        <v>16</v>
      </c>
      <c r="B685" s="458">
        <v>16</v>
      </c>
      <c r="C685" s="458">
        <v>16</v>
      </c>
      <c r="D685" s="458" t="s">
        <v>807</v>
      </c>
      <c r="E685" s="457" t="s">
        <v>670</v>
      </c>
      <c r="F685" s="590"/>
      <c r="G685" s="220">
        <v>550.09376890291321</v>
      </c>
      <c r="H685" s="219">
        <v>0</v>
      </c>
      <c r="I685" s="220">
        <v>0</v>
      </c>
      <c r="J685" s="219">
        <v>0</v>
      </c>
      <c r="K685" s="220">
        <v>0</v>
      </c>
      <c r="L685" s="1236"/>
      <c r="M685"/>
      <c r="N685"/>
      <c r="O685"/>
      <c r="P685"/>
      <c r="Q685"/>
      <c r="R685"/>
      <c r="S685"/>
      <c r="T685"/>
      <c r="U685"/>
      <c r="V685"/>
      <c r="W685"/>
      <c r="X685"/>
    </row>
    <row r="686" spans="1:26" ht="18" thickTop="1" thickBot="1" x14ac:dyDescent="0.35">
      <c r="A686" s="457" t="s">
        <v>16</v>
      </c>
      <c r="B686" s="458">
        <v>16</v>
      </c>
      <c r="C686" s="458">
        <v>16</v>
      </c>
      <c r="D686" s="458" t="s">
        <v>807</v>
      </c>
      <c r="E686" s="457" t="s">
        <v>671</v>
      </c>
      <c r="F686" s="590"/>
      <c r="G686" s="220">
        <v>405.5713718360804</v>
      </c>
      <c r="H686" s="219">
        <v>0</v>
      </c>
      <c r="I686" s="220">
        <v>0</v>
      </c>
      <c r="J686" s="219">
        <v>0</v>
      </c>
      <c r="K686" s="220">
        <v>0</v>
      </c>
      <c r="L686" s="1236"/>
      <c r="M686"/>
      <c r="N686"/>
      <c r="O686"/>
      <c r="P686"/>
      <c r="Q686"/>
      <c r="R686"/>
      <c r="S686"/>
      <c r="T686"/>
      <c r="U686"/>
      <c r="V686"/>
      <c r="W686"/>
      <c r="X686"/>
    </row>
    <row r="687" spans="1:26" ht="18" thickTop="1" thickBot="1" x14ac:dyDescent="0.35">
      <c r="A687" s="457" t="s">
        <v>16</v>
      </c>
      <c r="B687" s="458">
        <v>16</v>
      </c>
      <c r="C687" s="458">
        <v>16</v>
      </c>
      <c r="D687" s="458" t="s">
        <v>821</v>
      </c>
      <c r="E687" s="457" t="s">
        <v>672</v>
      </c>
      <c r="F687" s="590"/>
      <c r="G687" s="220">
        <v>265.83214568980065</v>
      </c>
      <c r="H687" s="219">
        <v>0</v>
      </c>
      <c r="I687" s="220">
        <v>0</v>
      </c>
      <c r="J687" s="219">
        <v>0</v>
      </c>
      <c r="K687" s="220">
        <v>0</v>
      </c>
      <c r="L687" s="1236"/>
      <c r="M687"/>
      <c r="N687"/>
      <c r="O687"/>
      <c r="P687"/>
      <c r="Q687"/>
      <c r="R687"/>
      <c r="S687"/>
      <c r="T687"/>
      <c r="U687"/>
      <c r="V687"/>
      <c r="W687"/>
      <c r="X687"/>
    </row>
    <row r="688" spans="1:26" ht="18" thickTop="1" thickBot="1" x14ac:dyDescent="0.35">
      <c r="A688" s="457" t="s">
        <v>16</v>
      </c>
      <c r="B688" s="458">
        <v>16</v>
      </c>
      <c r="C688" s="458">
        <v>16</v>
      </c>
      <c r="D688" s="458" t="s">
        <v>825</v>
      </c>
      <c r="E688" s="457" t="s">
        <v>673</v>
      </c>
      <c r="F688" s="590"/>
      <c r="G688" s="220">
        <v>121.63448639014173</v>
      </c>
      <c r="H688" s="219">
        <v>0</v>
      </c>
      <c r="I688" s="220">
        <v>0</v>
      </c>
      <c r="J688" s="219">
        <v>0</v>
      </c>
      <c r="K688" s="220">
        <v>0</v>
      </c>
      <c r="L688" s="1236"/>
      <c r="M688"/>
      <c r="N688"/>
      <c r="O688"/>
      <c r="P688"/>
      <c r="Q688"/>
      <c r="R688"/>
      <c r="S688"/>
      <c r="T688"/>
      <c r="U688"/>
      <c r="V688"/>
      <c r="W688"/>
      <c r="X688"/>
      <c r="Y688" s="4"/>
      <c r="Z688" s="4"/>
    </row>
    <row r="689" spans="1:24" ht="18" thickTop="1" thickBot="1" x14ac:dyDescent="0.35">
      <c r="A689" s="457" t="s">
        <v>16</v>
      </c>
      <c r="B689" s="458">
        <v>16</v>
      </c>
      <c r="C689" s="458">
        <v>16</v>
      </c>
      <c r="D689" s="458" t="s">
        <v>807</v>
      </c>
      <c r="E689" s="457" t="s">
        <v>729</v>
      </c>
      <c r="F689" s="590"/>
      <c r="G689" s="220">
        <v>872.86071722184818</v>
      </c>
      <c r="H689" s="219">
        <v>0</v>
      </c>
      <c r="I689" s="220">
        <v>0</v>
      </c>
      <c r="J689" s="219">
        <v>0</v>
      </c>
      <c r="K689" s="220">
        <v>0</v>
      </c>
      <c r="L689" s="1236"/>
      <c r="M689"/>
      <c r="N689"/>
      <c r="O689"/>
      <c r="P689"/>
      <c r="Q689"/>
      <c r="R689"/>
      <c r="S689"/>
      <c r="T689"/>
      <c r="U689"/>
      <c r="V689"/>
      <c r="W689"/>
      <c r="X689"/>
    </row>
    <row r="690" spans="1:24" ht="18" thickTop="1" thickBot="1" x14ac:dyDescent="0.35">
      <c r="A690" s="457" t="s">
        <v>16</v>
      </c>
      <c r="B690" s="458">
        <v>16</v>
      </c>
      <c r="C690" s="458">
        <v>16</v>
      </c>
      <c r="D690" s="458" t="s">
        <v>807</v>
      </c>
      <c r="E690" s="457" t="s">
        <v>674</v>
      </c>
      <c r="F690" s="590"/>
      <c r="G690" s="220">
        <v>621.88192569755745</v>
      </c>
      <c r="H690" s="219">
        <v>0</v>
      </c>
      <c r="I690" s="220">
        <v>0</v>
      </c>
      <c r="J690" s="219">
        <v>0</v>
      </c>
      <c r="K690" s="220">
        <v>621.88192569755699</v>
      </c>
      <c r="L690" s="1236"/>
      <c r="M690"/>
      <c r="N690"/>
      <c r="O690"/>
      <c r="P690"/>
      <c r="Q690"/>
      <c r="R690"/>
      <c r="S690"/>
      <c r="T690"/>
      <c r="U690"/>
      <c r="V690"/>
      <c r="W690"/>
      <c r="X690"/>
    </row>
    <row r="691" spans="1:24" ht="18" thickTop="1" thickBot="1" x14ac:dyDescent="0.35">
      <c r="A691" s="457" t="s">
        <v>16</v>
      </c>
      <c r="B691" s="458">
        <v>16</v>
      </c>
      <c r="C691" s="458">
        <v>16</v>
      </c>
      <c r="D691" s="458" t="s">
        <v>808</v>
      </c>
      <c r="E691" s="457" t="s">
        <v>675</v>
      </c>
      <c r="F691" s="590"/>
      <c r="G691" s="220">
        <v>2370.8571253312944</v>
      </c>
      <c r="H691" s="219">
        <v>0</v>
      </c>
      <c r="I691" s="220">
        <v>0</v>
      </c>
      <c r="J691" s="219">
        <v>0</v>
      </c>
      <c r="K691" s="220">
        <v>0</v>
      </c>
      <c r="L691" s="1236"/>
      <c r="M691"/>
      <c r="N691"/>
      <c r="O691"/>
      <c r="P691"/>
      <c r="Q691"/>
      <c r="R691"/>
      <c r="S691"/>
      <c r="T691"/>
      <c r="U691"/>
      <c r="V691"/>
      <c r="W691"/>
      <c r="X691"/>
    </row>
    <row r="692" spans="1:24" ht="18" thickTop="1" thickBot="1" x14ac:dyDescent="0.35">
      <c r="A692" s="457" t="s">
        <v>16</v>
      </c>
      <c r="B692" s="458">
        <v>16</v>
      </c>
      <c r="C692" s="458">
        <v>16</v>
      </c>
      <c r="D692" s="458" t="s">
        <v>807</v>
      </c>
      <c r="E692" s="457" t="s">
        <v>676</v>
      </c>
      <c r="F692" s="590"/>
      <c r="G692" s="220">
        <v>121.55152959947497</v>
      </c>
      <c r="H692" s="219">
        <v>0</v>
      </c>
      <c r="I692" s="220">
        <v>0</v>
      </c>
      <c r="J692" s="219">
        <v>0</v>
      </c>
      <c r="K692" s="220">
        <v>0</v>
      </c>
      <c r="L692" s="1236"/>
      <c r="M692"/>
      <c r="N692"/>
      <c r="O692"/>
      <c r="P692"/>
      <c r="Q692"/>
      <c r="R692"/>
      <c r="S692"/>
      <c r="T692"/>
      <c r="U692"/>
      <c r="V692"/>
      <c r="W692"/>
      <c r="X692"/>
    </row>
    <row r="693" spans="1:24" ht="18" thickTop="1" thickBot="1" x14ac:dyDescent="0.35">
      <c r="A693" s="457" t="s">
        <v>16</v>
      </c>
      <c r="B693" s="458">
        <v>16</v>
      </c>
      <c r="C693" s="458">
        <v>16</v>
      </c>
      <c r="D693" s="458" t="s">
        <v>807</v>
      </c>
      <c r="E693" s="457" t="s">
        <v>677</v>
      </c>
      <c r="F693" s="590"/>
      <c r="G693" s="220">
        <v>326.9209743973874</v>
      </c>
      <c r="H693" s="219">
        <v>0</v>
      </c>
      <c r="I693" s="220">
        <v>0</v>
      </c>
      <c r="J693" s="219">
        <v>0</v>
      </c>
      <c r="K693" s="220">
        <v>0</v>
      </c>
      <c r="L693" s="1236"/>
      <c r="M693"/>
      <c r="N693"/>
      <c r="O693"/>
      <c r="P693"/>
      <c r="Q693"/>
      <c r="R693"/>
      <c r="S693"/>
      <c r="T693"/>
      <c r="U693"/>
      <c r="V693"/>
      <c r="W693"/>
      <c r="X693"/>
    </row>
    <row r="694" spans="1:24" ht="18" thickTop="1" thickBot="1" x14ac:dyDescent="0.35">
      <c r="A694" s="457" t="s">
        <v>16</v>
      </c>
      <c r="B694" s="458">
        <v>16</v>
      </c>
      <c r="C694" s="458">
        <v>16</v>
      </c>
      <c r="D694" s="458" t="s">
        <v>841</v>
      </c>
      <c r="E694" s="457" t="s">
        <v>678</v>
      </c>
      <c r="F694" s="590"/>
      <c r="G694" s="220">
        <v>347.05582109450756</v>
      </c>
      <c r="H694" s="219">
        <v>0</v>
      </c>
      <c r="I694" s="220">
        <v>0</v>
      </c>
      <c r="J694" s="219">
        <v>0</v>
      </c>
      <c r="K694" s="220">
        <v>0</v>
      </c>
      <c r="L694" s="1236"/>
      <c r="M694"/>
      <c r="N694"/>
      <c r="O694"/>
      <c r="P694"/>
      <c r="Q694"/>
      <c r="R694"/>
      <c r="S694"/>
      <c r="T694"/>
      <c r="U694"/>
      <c r="V694"/>
      <c r="W694"/>
      <c r="X694"/>
    </row>
    <row r="695" spans="1:24" ht="18" thickTop="1" thickBot="1" x14ac:dyDescent="0.35">
      <c r="A695" s="457" t="s">
        <v>16</v>
      </c>
      <c r="B695" s="458">
        <v>16</v>
      </c>
      <c r="C695" s="458">
        <v>16</v>
      </c>
      <c r="D695" s="458" t="s">
        <v>807</v>
      </c>
      <c r="E695" s="457" t="s">
        <v>679</v>
      </c>
      <c r="F695" s="590"/>
      <c r="G695" s="220">
        <v>2269.6005838617612</v>
      </c>
      <c r="H695" s="219">
        <v>0</v>
      </c>
      <c r="I695" s="220">
        <v>0</v>
      </c>
      <c r="J695" s="219">
        <v>0</v>
      </c>
      <c r="K695" s="220">
        <v>0</v>
      </c>
      <c r="L695" s="1236"/>
      <c r="M695"/>
      <c r="N695"/>
      <c r="O695"/>
      <c r="P695"/>
      <c r="Q695"/>
      <c r="R695"/>
      <c r="S695"/>
      <c r="T695"/>
      <c r="U695"/>
      <c r="V695"/>
      <c r="W695"/>
      <c r="X695"/>
    </row>
    <row r="696" spans="1:24" ht="18" thickTop="1" thickBot="1" x14ac:dyDescent="0.35">
      <c r="A696" s="457" t="s">
        <v>16</v>
      </c>
      <c r="B696" s="458">
        <v>16</v>
      </c>
      <c r="C696" s="458">
        <v>16</v>
      </c>
      <c r="D696" s="458" t="s">
        <v>807</v>
      </c>
      <c r="E696" s="457" t="s">
        <v>680</v>
      </c>
      <c r="F696" s="590"/>
      <c r="G696" s="220">
        <v>1778.6843706576196</v>
      </c>
      <c r="H696" s="219">
        <v>0</v>
      </c>
      <c r="I696" s="220">
        <v>0</v>
      </c>
      <c r="J696" s="219">
        <v>0</v>
      </c>
      <c r="K696" s="220">
        <v>0</v>
      </c>
      <c r="L696" s="1236"/>
      <c r="M696"/>
      <c r="N696"/>
      <c r="O696"/>
      <c r="P696"/>
      <c r="Q696"/>
      <c r="R696"/>
      <c r="S696"/>
      <c r="T696"/>
      <c r="U696"/>
      <c r="V696"/>
      <c r="W696"/>
      <c r="X696"/>
    </row>
    <row r="697" spans="1:24" ht="18" thickTop="1" thickBot="1" x14ac:dyDescent="0.35">
      <c r="A697" s="457" t="s">
        <v>16</v>
      </c>
      <c r="B697" s="458">
        <v>16</v>
      </c>
      <c r="C697" s="458">
        <v>16</v>
      </c>
      <c r="D697" s="458" t="s">
        <v>807</v>
      </c>
      <c r="E697" s="457" t="s">
        <v>681</v>
      </c>
      <c r="F697" s="590"/>
      <c r="G697" s="220">
        <v>381.11445346957487</v>
      </c>
      <c r="H697" s="219">
        <v>0</v>
      </c>
      <c r="I697" s="220">
        <v>0</v>
      </c>
      <c r="J697" s="219">
        <v>0</v>
      </c>
      <c r="K697" s="220">
        <v>0</v>
      </c>
      <c r="L697" s="1236"/>
      <c r="M697"/>
      <c r="N697"/>
      <c r="O697"/>
      <c r="P697"/>
      <c r="Q697"/>
      <c r="R697"/>
      <c r="S697"/>
      <c r="T697"/>
      <c r="U697"/>
      <c r="V697"/>
      <c r="W697"/>
      <c r="X697"/>
    </row>
    <row r="698" spans="1:24" ht="18" thickTop="1" thickBot="1" x14ac:dyDescent="0.35">
      <c r="A698" s="457" t="s">
        <v>16</v>
      </c>
      <c r="B698" s="458">
        <v>16</v>
      </c>
      <c r="C698" s="458">
        <v>16</v>
      </c>
      <c r="D698" s="458" t="s">
        <v>807</v>
      </c>
      <c r="E698" s="457" t="s">
        <v>682</v>
      </c>
      <c r="F698" s="590"/>
      <c r="G698" s="220">
        <v>1616.1009554967277</v>
      </c>
      <c r="H698" s="219">
        <v>0</v>
      </c>
      <c r="I698" s="220">
        <v>0</v>
      </c>
      <c r="J698" s="219">
        <v>0</v>
      </c>
      <c r="K698" s="220">
        <v>0</v>
      </c>
      <c r="L698" s="1236"/>
      <c r="M698"/>
      <c r="N698"/>
      <c r="O698"/>
      <c r="P698"/>
      <c r="Q698"/>
      <c r="R698"/>
      <c r="S698"/>
      <c r="T698"/>
      <c r="U698"/>
      <c r="V698"/>
      <c r="W698"/>
      <c r="X698"/>
    </row>
    <row r="699" spans="1:24" ht="18" thickTop="1" thickBot="1" x14ac:dyDescent="0.35">
      <c r="A699" s="457" t="s">
        <v>16</v>
      </c>
      <c r="B699" s="458">
        <v>16</v>
      </c>
      <c r="C699" s="458">
        <v>16</v>
      </c>
      <c r="D699" s="458" t="s">
        <v>807</v>
      </c>
      <c r="E699" s="457" t="s">
        <v>683</v>
      </c>
      <c r="F699" s="590"/>
      <c r="G699" s="220">
        <v>295.40835522035337</v>
      </c>
      <c r="H699" s="219">
        <v>0</v>
      </c>
      <c r="I699" s="220">
        <v>0</v>
      </c>
      <c r="J699" s="219">
        <v>0</v>
      </c>
      <c r="K699" s="220">
        <v>0</v>
      </c>
      <c r="L699" s="1236"/>
      <c r="M699"/>
      <c r="N699"/>
      <c r="O699"/>
      <c r="P699"/>
      <c r="Q699"/>
      <c r="R699"/>
      <c r="S699"/>
      <c r="T699"/>
      <c r="U699"/>
      <c r="V699"/>
      <c r="W699"/>
      <c r="X699"/>
    </row>
    <row r="700" spans="1:24" ht="18" thickTop="1" thickBot="1" x14ac:dyDescent="0.35">
      <c r="A700" s="457" t="s">
        <v>16</v>
      </c>
      <c r="B700" s="458">
        <v>16</v>
      </c>
      <c r="C700" s="458">
        <v>16</v>
      </c>
      <c r="D700" s="458" t="s">
        <v>807</v>
      </c>
      <c r="E700" s="457" t="s">
        <v>684</v>
      </c>
      <c r="F700" s="590"/>
      <c r="G700" s="220">
        <v>343.07199448459431</v>
      </c>
      <c r="H700" s="219">
        <v>0</v>
      </c>
      <c r="I700" s="220">
        <v>0</v>
      </c>
      <c r="J700" s="219">
        <v>0</v>
      </c>
      <c r="K700" s="220">
        <v>0</v>
      </c>
      <c r="L700" s="1236"/>
      <c r="M700"/>
      <c r="N700"/>
      <c r="O700"/>
      <c r="P700"/>
      <c r="Q700"/>
      <c r="R700"/>
      <c r="S700"/>
      <c r="T700"/>
      <c r="U700"/>
      <c r="V700"/>
      <c r="W700"/>
      <c r="X700"/>
    </row>
    <row r="701" spans="1:24" ht="18" thickTop="1" thickBot="1" x14ac:dyDescent="0.35">
      <c r="A701" s="457" t="s">
        <v>16</v>
      </c>
      <c r="B701" s="458">
        <v>16</v>
      </c>
      <c r="C701" s="458">
        <v>16</v>
      </c>
      <c r="D701" s="458" t="s">
        <v>807</v>
      </c>
      <c r="E701" s="457" t="s">
        <v>685</v>
      </c>
      <c r="F701" s="590"/>
      <c r="G701" s="220">
        <v>537.59234095521958</v>
      </c>
      <c r="H701" s="219">
        <v>0</v>
      </c>
      <c r="I701" s="220">
        <v>0</v>
      </c>
      <c r="J701" s="219">
        <v>0</v>
      </c>
      <c r="K701" s="220">
        <v>0</v>
      </c>
      <c r="L701" s="1236"/>
      <c r="M701"/>
      <c r="N701"/>
      <c r="O701"/>
      <c r="P701"/>
      <c r="Q701"/>
      <c r="R701"/>
      <c r="S701"/>
      <c r="T701"/>
      <c r="U701"/>
      <c r="V701"/>
      <c r="W701"/>
      <c r="X701"/>
    </row>
    <row r="702" spans="1:24" ht="18" thickTop="1" thickBot="1" x14ac:dyDescent="0.35">
      <c r="A702" s="457" t="s">
        <v>16</v>
      </c>
      <c r="B702" s="458">
        <v>16</v>
      </c>
      <c r="C702" s="458">
        <v>16</v>
      </c>
      <c r="D702" s="458" t="s">
        <v>807</v>
      </c>
      <c r="E702" s="457" t="s">
        <v>686</v>
      </c>
      <c r="F702" s="590"/>
      <c r="G702" s="220">
        <v>402.03305977183845</v>
      </c>
      <c r="H702" s="219">
        <v>0</v>
      </c>
      <c r="I702" s="220">
        <v>0</v>
      </c>
      <c r="J702" s="219">
        <v>0</v>
      </c>
      <c r="K702" s="220">
        <v>0</v>
      </c>
      <c r="L702" s="1236"/>
      <c r="M702"/>
      <c r="N702"/>
      <c r="O702"/>
      <c r="P702"/>
      <c r="Q702"/>
      <c r="R702"/>
      <c r="S702"/>
      <c r="T702"/>
      <c r="U702"/>
      <c r="V702"/>
      <c r="W702"/>
      <c r="X702"/>
    </row>
    <row r="703" spans="1:24" ht="18" thickTop="1" thickBot="1" x14ac:dyDescent="0.35">
      <c r="A703" s="457" t="s">
        <v>16</v>
      </c>
      <c r="B703" s="458">
        <v>16</v>
      </c>
      <c r="C703" s="458">
        <v>16</v>
      </c>
      <c r="D703" s="458" t="s">
        <v>807</v>
      </c>
      <c r="E703" s="457" t="s">
        <v>687</v>
      </c>
      <c r="F703" s="590"/>
      <c r="G703" s="220">
        <v>497.55246029198202</v>
      </c>
      <c r="H703" s="219">
        <v>0</v>
      </c>
      <c r="I703" s="220">
        <v>0</v>
      </c>
      <c r="J703" s="219">
        <v>0</v>
      </c>
      <c r="K703" s="220">
        <v>0</v>
      </c>
      <c r="L703" s="1236"/>
      <c r="M703"/>
      <c r="N703"/>
      <c r="O703"/>
      <c r="P703"/>
      <c r="Q703"/>
      <c r="R703"/>
      <c r="S703"/>
      <c r="T703"/>
      <c r="U703"/>
      <c r="V703"/>
      <c r="W703"/>
      <c r="X703"/>
    </row>
    <row r="704" spans="1:24" ht="18" thickTop="1" thickBot="1" x14ac:dyDescent="0.35">
      <c r="A704" s="457" t="s">
        <v>16</v>
      </c>
      <c r="B704" s="458">
        <v>16</v>
      </c>
      <c r="C704" s="458">
        <v>16</v>
      </c>
      <c r="D704" s="458" t="s">
        <v>808</v>
      </c>
      <c r="E704" s="457" t="s">
        <v>688</v>
      </c>
      <c r="F704" s="590"/>
      <c r="G704" s="220">
        <v>420.40992742658915</v>
      </c>
      <c r="H704" s="219">
        <v>0</v>
      </c>
      <c r="I704" s="220">
        <v>0</v>
      </c>
      <c r="J704" s="219">
        <v>0</v>
      </c>
      <c r="K704" s="220">
        <v>0</v>
      </c>
      <c r="L704" s="1236"/>
      <c r="M704"/>
      <c r="N704"/>
      <c r="O704"/>
      <c r="P704"/>
      <c r="Q704"/>
      <c r="R704"/>
      <c r="S704"/>
      <c r="T704"/>
      <c r="U704"/>
      <c r="V704"/>
      <c r="W704"/>
      <c r="X704"/>
    </row>
    <row r="705" spans="1:24" ht="18" thickTop="1" thickBot="1" x14ac:dyDescent="0.35">
      <c r="A705" s="457" t="s">
        <v>16</v>
      </c>
      <c r="B705" s="458">
        <v>16</v>
      </c>
      <c r="C705" s="458">
        <v>16</v>
      </c>
      <c r="D705" s="458" t="s">
        <v>807</v>
      </c>
      <c r="E705" s="457" t="s">
        <v>730</v>
      </c>
      <c r="F705" s="590"/>
      <c r="G705" s="220">
        <v>1285.0076033251205</v>
      </c>
      <c r="H705" s="219">
        <v>0</v>
      </c>
      <c r="I705" s="220">
        <v>0</v>
      </c>
      <c r="J705" s="219">
        <v>0</v>
      </c>
      <c r="K705" s="220">
        <v>0</v>
      </c>
      <c r="L705" s="1236"/>
      <c r="M705"/>
      <c r="N705"/>
      <c r="O705"/>
      <c r="P705"/>
      <c r="Q705"/>
      <c r="R705"/>
      <c r="S705"/>
      <c r="T705"/>
      <c r="U705"/>
      <c r="V705"/>
      <c r="W705"/>
      <c r="X705"/>
    </row>
    <row r="706" spans="1:24" ht="18" thickTop="1" thickBot="1" x14ac:dyDescent="0.35">
      <c r="A706" s="457" t="s">
        <v>16</v>
      </c>
      <c r="B706" s="458">
        <v>16</v>
      </c>
      <c r="C706" s="458">
        <v>16</v>
      </c>
      <c r="D706" s="458" t="s">
        <v>807</v>
      </c>
      <c r="E706" s="457" t="s">
        <v>689</v>
      </c>
      <c r="F706" s="590"/>
      <c r="G706" s="220">
        <v>497.50754754354648</v>
      </c>
      <c r="H706" s="219">
        <v>0</v>
      </c>
      <c r="I706" s="220">
        <v>0</v>
      </c>
      <c r="J706" s="219">
        <v>0</v>
      </c>
      <c r="K706" s="220">
        <v>0</v>
      </c>
      <c r="L706" s="1236"/>
      <c r="M706"/>
      <c r="N706"/>
      <c r="O706"/>
      <c r="P706"/>
      <c r="Q706"/>
      <c r="R706"/>
      <c r="S706"/>
      <c r="T706"/>
      <c r="U706"/>
      <c r="V706"/>
      <c r="W706"/>
      <c r="X706"/>
    </row>
    <row r="707" spans="1:24" ht="18" thickTop="1" thickBot="1" x14ac:dyDescent="0.35">
      <c r="A707" s="457" t="s">
        <v>16</v>
      </c>
      <c r="B707" s="458">
        <v>16</v>
      </c>
      <c r="C707" s="458">
        <v>16</v>
      </c>
      <c r="D707" s="458" t="s">
        <v>807</v>
      </c>
      <c r="E707" s="457" t="s">
        <v>690</v>
      </c>
      <c r="F707" s="590"/>
      <c r="G707" s="220">
        <v>473.15321570018</v>
      </c>
      <c r="H707" s="219">
        <v>0</v>
      </c>
      <c r="I707" s="220">
        <v>0</v>
      </c>
      <c r="J707" s="219">
        <v>0</v>
      </c>
      <c r="K707" s="220">
        <v>0</v>
      </c>
      <c r="L707" s="1236"/>
      <c r="M707"/>
      <c r="N707"/>
      <c r="O707"/>
      <c r="P707"/>
      <c r="Q707"/>
      <c r="R707"/>
      <c r="S707"/>
      <c r="T707"/>
      <c r="U707"/>
      <c r="V707"/>
      <c r="W707"/>
      <c r="X707"/>
    </row>
    <row r="708" spans="1:24" ht="18" thickTop="1" thickBot="1" x14ac:dyDescent="0.35">
      <c r="A708" s="457" t="s">
        <v>16</v>
      </c>
      <c r="B708" s="458">
        <v>16</v>
      </c>
      <c r="C708" s="458">
        <v>16</v>
      </c>
      <c r="D708" s="458" t="s">
        <v>807</v>
      </c>
      <c r="E708" s="457" t="s">
        <v>691</v>
      </c>
      <c r="F708" s="590"/>
      <c r="G708" s="220">
        <v>2022.8334103754778</v>
      </c>
      <c r="H708" s="219">
        <v>0</v>
      </c>
      <c r="I708" s="220">
        <v>0</v>
      </c>
      <c r="J708" s="219">
        <v>0</v>
      </c>
      <c r="K708" s="220">
        <v>0</v>
      </c>
      <c r="L708" s="1236"/>
      <c r="M708"/>
      <c r="N708"/>
      <c r="O708"/>
      <c r="P708"/>
      <c r="Q708"/>
      <c r="R708"/>
      <c r="S708"/>
      <c r="T708"/>
      <c r="U708"/>
      <c r="V708"/>
      <c r="W708"/>
      <c r="X708"/>
    </row>
    <row r="709" spans="1:24" ht="18" thickTop="1" thickBot="1" x14ac:dyDescent="0.35">
      <c r="A709" s="457" t="s">
        <v>16</v>
      </c>
      <c r="B709" s="458">
        <v>16</v>
      </c>
      <c r="C709" s="458">
        <v>16</v>
      </c>
      <c r="D709" s="458" t="s">
        <v>807</v>
      </c>
      <c r="E709" s="457" t="s">
        <v>692</v>
      </c>
      <c r="F709" s="590"/>
      <c r="G709" s="220">
        <v>1275.3755008436945</v>
      </c>
      <c r="H709" s="219">
        <v>0</v>
      </c>
      <c r="I709" s="220">
        <v>0</v>
      </c>
      <c r="J709" s="219">
        <v>0</v>
      </c>
      <c r="K709" s="220">
        <v>0</v>
      </c>
      <c r="L709" s="1236"/>
      <c r="M709"/>
      <c r="N709"/>
      <c r="O709"/>
      <c r="P709"/>
      <c r="Q709"/>
      <c r="R709"/>
      <c r="S709"/>
      <c r="T709"/>
      <c r="U709"/>
      <c r="V709"/>
      <c r="W709"/>
      <c r="X709"/>
    </row>
    <row r="710" spans="1:24" ht="18" thickTop="1" thickBot="1" x14ac:dyDescent="0.35">
      <c r="A710" s="464" t="s">
        <v>16</v>
      </c>
      <c r="B710" s="1013">
        <v>16</v>
      </c>
      <c r="C710" s="1013">
        <v>16</v>
      </c>
      <c r="D710" s="1013" t="s">
        <v>807</v>
      </c>
      <c r="E710" s="464" t="s">
        <v>693</v>
      </c>
      <c r="F710" s="464"/>
      <c r="G710" s="220">
        <v>646.44539477995977</v>
      </c>
      <c r="H710" s="220">
        <v>0</v>
      </c>
      <c r="I710" s="220">
        <v>0</v>
      </c>
      <c r="J710" s="220">
        <v>0</v>
      </c>
      <c r="K710" s="220">
        <v>0</v>
      </c>
      <c r="L710" s="1236"/>
      <c r="M710"/>
      <c r="N710"/>
      <c r="O710"/>
      <c r="P710"/>
      <c r="Q710"/>
      <c r="R710"/>
      <c r="S710"/>
      <c r="T710"/>
      <c r="U710"/>
      <c r="V710"/>
      <c r="W710"/>
      <c r="X710"/>
    </row>
    <row r="711" spans="1:24" ht="18" thickTop="1" thickBot="1" x14ac:dyDescent="0.35">
      <c r="A711" s="457" t="s">
        <v>16</v>
      </c>
      <c r="B711" s="458">
        <v>16</v>
      </c>
      <c r="C711" s="458">
        <v>16</v>
      </c>
      <c r="D711" s="458" t="s">
        <v>808</v>
      </c>
      <c r="E711" s="457" t="s">
        <v>694</v>
      </c>
      <c r="F711" s="590"/>
      <c r="G711" s="220">
        <v>696.93883099065226</v>
      </c>
      <c r="H711" s="219">
        <v>0</v>
      </c>
      <c r="I711" s="220">
        <v>0</v>
      </c>
      <c r="J711" s="219">
        <v>0</v>
      </c>
      <c r="K711" s="220">
        <v>0</v>
      </c>
      <c r="L711" s="1236"/>
      <c r="M711"/>
      <c r="N711"/>
      <c r="O711"/>
      <c r="P711"/>
      <c r="Q711"/>
      <c r="R711"/>
      <c r="S711"/>
      <c r="T711"/>
      <c r="U711"/>
      <c r="V711"/>
      <c r="W711"/>
      <c r="X711"/>
    </row>
    <row r="712" spans="1:24" ht="18" thickTop="1" thickBot="1" x14ac:dyDescent="0.35">
      <c r="A712" s="457" t="s">
        <v>16</v>
      </c>
      <c r="B712" s="458">
        <v>16</v>
      </c>
      <c r="C712" s="458">
        <v>16</v>
      </c>
      <c r="D712" s="458" t="s">
        <v>807</v>
      </c>
      <c r="E712" s="457" t="s">
        <v>695</v>
      </c>
      <c r="F712" s="590"/>
      <c r="G712" s="220">
        <v>499.48048074942523</v>
      </c>
      <c r="H712" s="219">
        <v>0</v>
      </c>
      <c r="I712" s="220">
        <v>0</v>
      </c>
      <c r="J712" s="219">
        <v>0</v>
      </c>
      <c r="K712" s="220">
        <v>0</v>
      </c>
      <c r="L712" s="1236"/>
      <c r="M712"/>
      <c r="N712"/>
      <c r="O712"/>
      <c r="P712"/>
      <c r="Q712"/>
      <c r="R712"/>
      <c r="S712"/>
      <c r="T712"/>
      <c r="U712"/>
      <c r="V712"/>
      <c r="W712"/>
      <c r="X712"/>
    </row>
    <row r="713" spans="1:24" ht="18" thickTop="1" thickBot="1" x14ac:dyDescent="0.35">
      <c r="A713" s="457" t="s">
        <v>16</v>
      </c>
      <c r="B713" s="458">
        <v>16</v>
      </c>
      <c r="C713" s="458">
        <v>16</v>
      </c>
      <c r="D713" s="458" t="s">
        <v>807</v>
      </c>
      <c r="E713" s="457" t="s">
        <v>696</v>
      </c>
      <c r="F713" s="590"/>
      <c r="G713" s="220">
        <v>539.30210999872713</v>
      </c>
      <c r="H713" s="219">
        <v>0</v>
      </c>
      <c r="I713" s="220">
        <v>0</v>
      </c>
      <c r="J713" s="219">
        <v>0</v>
      </c>
      <c r="K713" s="220">
        <v>0</v>
      </c>
      <c r="L713" s="1236"/>
      <c r="M713"/>
      <c r="N713"/>
      <c r="O713"/>
      <c r="P713"/>
      <c r="Q713"/>
      <c r="R713"/>
      <c r="S713"/>
      <c r="T713"/>
      <c r="U713"/>
      <c r="V713"/>
      <c r="W713"/>
      <c r="X713"/>
    </row>
    <row r="714" spans="1:24" ht="18" thickTop="1" thickBot="1" x14ac:dyDescent="0.35">
      <c r="A714" s="457" t="s">
        <v>16</v>
      </c>
      <c r="B714" s="458">
        <v>16</v>
      </c>
      <c r="C714" s="458">
        <v>16</v>
      </c>
      <c r="D714" s="458" t="s">
        <v>807</v>
      </c>
      <c r="E714" s="457" t="s">
        <v>697</v>
      </c>
      <c r="F714" s="590"/>
      <c r="G714" s="220">
        <v>231.72136812824999</v>
      </c>
      <c r="H714" s="219">
        <v>0</v>
      </c>
      <c r="I714" s="220">
        <v>0</v>
      </c>
      <c r="J714" s="219">
        <v>0</v>
      </c>
      <c r="K714" s="220">
        <v>0</v>
      </c>
      <c r="L714" s="1236"/>
      <c r="M714"/>
      <c r="N714"/>
      <c r="O714"/>
      <c r="P714"/>
      <c r="Q714"/>
      <c r="R714"/>
      <c r="S714"/>
      <c r="T714"/>
      <c r="U714"/>
      <c r="V714"/>
      <c r="W714"/>
      <c r="X714"/>
    </row>
    <row r="715" spans="1:24" ht="18" thickTop="1" thickBot="1" x14ac:dyDescent="0.35">
      <c r="A715" s="457" t="s">
        <v>16</v>
      </c>
      <c r="B715" s="458">
        <v>16</v>
      </c>
      <c r="C715" s="458">
        <v>16</v>
      </c>
      <c r="D715" s="458" t="s">
        <v>807</v>
      </c>
      <c r="E715" s="457" t="s">
        <v>698</v>
      </c>
      <c r="F715" s="590"/>
      <c r="G715" s="220">
        <v>25.596122236634955</v>
      </c>
      <c r="H715" s="219">
        <v>0</v>
      </c>
      <c r="I715" s="220">
        <v>0</v>
      </c>
      <c r="J715" s="219">
        <v>0</v>
      </c>
      <c r="K715" s="220">
        <v>0</v>
      </c>
      <c r="L715" s="1236"/>
      <c r="M715"/>
      <c r="N715"/>
      <c r="O715"/>
      <c r="P715"/>
      <c r="Q715"/>
      <c r="R715"/>
      <c r="S715"/>
      <c r="T715"/>
      <c r="U715"/>
      <c r="V715"/>
      <c r="W715"/>
      <c r="X715"/>
    </row>
    <row r="716" spans="1:24" ht="18" thickTop="1" thickBot="1" x14ac:dyDescent="0.35">
      <c r="A716" s="457" t="s">
        <v>16</v>
      </c>
      <c r="B716" s="458">
        <v>16</v>
      </c>
      <c r="C716" s="458">
        <v>16</v>
      </c>
      <c r="D716" s="458" t="s">
        <v>807</v>
      </c>
      <c r="E716" s="457" t="s">
        <v>699</v>
      </c>
      <c r="F716" s="590"/>
      <c r="G716" s="220">
        <v>591.5692629610113</v>
      </c>
      <c r="H716" s="219">
        <v>0</v>
      </c>
      <c r="I716" s="220">
        <v>0</v>
      </c>
      <c r="J716" s="219">
        <v>0</v>
      </c>
      <c r="K716" s="220">
        <v>0</v>
      </c>
      <c r="L716" s="1236"/>
      <c r="M716"/>
      <c r="N716"/>
      <c r="O716"/>
      <c r="P716"/>
      <c r="Q716"/>
      <c r="R716"/>
      <c r="S716"/>
      <c r="T716"/>
      <c r="U716"/>
      <c r="V716"/>
      <c r="W716"/>
      <c r="X716"/>
    </row>
    <row r="717" spans="1:24" ht="18" thickTop="1" thickBot="1" x14ac:dyDescent="0.35">
      <c r="A717" s="457" t="s">
        <v>16</v>
      </c>
      <c r="B717" s="458">
        <v>16</v>
      </c>
      <c r="C717" s="458">
        <v>16</v>
      </c>
      <c r="D717" s="458" t="s">
        <v>824</v>
      </c>
      <c r="E717" s="457" t="s">
        <v>700</v>
      </c>
      <c r="F717" s="590"/>
      <c r="G717" s="220">
        <v>225.67596034686201</v>
      </c>
      <c r="H717" s="219">
        <v>0</v>
      </c>
      <c r="I717" s="220">
        <v>0</v>
      </c>
      <c r="J717" s="219">
        <v>0</v>
      </c>
      <c r="K717" s="220">
        <v>0</v>
      </c>
      <c r="L717" s="1236"/>
      <c r="M717"/>
      <c r="N717"/>
      <c r="O717"/>
      <c r="P717"/>
      <c r="Q717"/>
      <c r="R717"/>
      <c r="S717"/>
      <c r="T717"/>
      <c r="U717"/>
      <c r="V717"/>
      <c r="W717"/>
      <c r="X717"/>
    </row>
    <row r="718" spans="1:24" ht="18" thickTop="1" thickBot="1" x14ac:dyDescent="0.35">
      <c r="A718" s="457" t="s">
        <v>16</v>
      </c>
      <c r="B718" s="458">
        <v>16</v>
      </c>
      <c r="C718" s="458">
        <v>16</v>
      </c>
      <c r="D718" s="458" t="s">
        <v>807</v>
      </c>
      <c r="E718" s="457" t="s">
        <v>701</v>
      </c>
      <c r="F718" s="590"/>
      <c r="G718" s="220">
        <v>277.03277037015579</v>
      </c>
      <c r="H718" s="219">
        <v>0</v>
      </c>
      <c r="I718" s="220">
        <v>0</v>
      </c>
      <c r="J718" s="219">
        <v>0</v>
      </c>
      <c r="K718" s="220">
        <v>0</v>
      </c>
      <c r="L718" s="1236"/>
      <c r="M718"/>
      <c r="N718"/>
      <c r="O718"/>
      <c r="P718"/>
      <c r="Q718"/>
      <c r="R718"/>
      <c r="S718"/>
      <c r="T718"/>
      <c r="U718"/>
      <c r="V718"/>
      <c r="W718"/>
      <c r="X718"/>
    </row>
    <row r="719" spans="1:24" ht="18" thickTop="1" thickBot="1" x14ac:dyDescent="0.35">
      <c r="A719" s="457" t="s">
        <v>16</v>
      </c>
      <c r="B719" s="458">
        <v>16</v>
      </c>
      <c r="C719" s="458">
        <v>16</v>
      </c>
      <c r="D719" s="458" t="s">
        <v>807</v>
      </c>
      <c r="E719" s="457" t="s">
        <v>702</v>
      </c>
      <c r="F719" s="590"/>
      <c r="G719" s="220">
        <v>433.75488337704019</v>
      </c>
      <c r="H719" s="219">
        <v>0</v>
      </c>
      <c r="I719" s="220">
        <v>0</v>
      </c>
      <c r="J719" s="219">
        <v>0</v>
      </c>
      <c r="K719" s="220">
        <v>0</v>
      </c>
      <c r="L719" s="1236"/>
      <c r="M719"/>
      <c r="N719"/>
      <c r="O719"/>
      <c r="P719"/>
      <c r="Q719"/>
      <c r="R719"/>
      <c r="S719"/>
      <c r="T719"/>
      <c r="U719"/>
      <c r="V719"/>
      <c r="W719"/>
      <c r="X719"/>
    </row>
    <row r="720" spans="1:24" ht="18" thickTop="1" thickBot="1" x14ac:dyDescent="0.35">
      <c r="A720" s="457" t="s">
        <v>16</v>
      </c>
      <c r="B720" s="458">
        <v>16</v>
      </c>
      <c r="C720" s="458">
        <v>16</v>
      </c>
      <c r="D720" s="458" t="s">
        <v>807</v>
      </c>
      <c r="E720" s="457" t="s">
        <v>703</v>
      </c>
      <c r="F720" s="590"/>
      <c r="G720" s="220">
        <v>140.62439455129066</v>
      </c>
      <c r="H720" s="219">
        <v>0</v>
      </c>
      <c r="I720" s="220">
        <v>0</v>
      </c>
      <c r="J720" s="219">
        <v>0</v>
      </c>
      <c r="K720" s="220">
        <v>0</v>
      </c>
      <c r="L720" s="1236"/>
      <c r="M720"/>
      <c r="N720"/>
      <c r="O720"/>
      <c r="P720"/>
      <c r="Q720"/>
      <c r="R720"/>
      <c r="S720"/>
      <c r="T720"/>
      <c r="U720"/>
      <c r="V720"/>
      <c r="W720"/>
      <c r="X720"/>
    </row>
    <row r="721" spans="1:33" ht="18" thickTop="1" thickBot="1" x14ac:dyDescent="0.35">
      <c r="A721" s="457" t="s">
        <v>16</v>
      </c>
      <c r="B721" s="458">
        <v>16</v>
      </c>
      <c r="C721" s="458">
        <v>16</v>
      </c>
      <c r="D721" s="458" t="s">
        <v>807</v>
      </c>
      <c r="E721" s="457" t="s">
        <v>704</v>
      </c>
      <c r="F721" s="590"/>
      <c r="G721" s="220">
        <v>1063.3150242496781</v>
      </c>
      <c r="H721" s="219">
        <v>0</v>
      </c>
      <c r="I721" s="220">
        <v>0</v>
      </c>
      <c r="J721" s="219">
        <v>0</v>
      </c>
      <c r="K721" s="220">
        <v>0</v>
      </c>
      <c r="L721" s="1236"/>
      <c r="M721"/>
      <c r="N721"/>
      <c r="O721"/>
      <c r="P721"/>
      <c r="Q721"/>
      <c r="R721"/>
      <c r="S721"/>
      <c r="T721"/>
      <c r="U721"/>
      <c r="V721"/>
      <c r="W721"/>
      <c r="X721"/>
    </row>
    <row r="722" spans="1:33" ht="18" thickTop="1" thickBot="1" x14ac:dyDescent="0.35">
      <c r="A722" s="457" t="s">
        <v>16</v>
      </c>
      <c r="B722" s="458">
        <v>16</v>
      </c>
      <c r="C722" s="458">
        <v>16</v>
      </c>
      <c r="D722" s="458" t="s">
        <v>807</v>
      </c>
      <c r="E722" s="457" t="s">
        <v>705</v>
      </c>
      <c r="F722" s="590"/>
      <c r="G722" s="220">
        <v>716.88217139674123</v>
      </c>
      <c r="H722" s="219">
        <v>0</v>
      </c>
      <c r="I722" s="220">
        <v>0</v>
      </c>
      <c r="J722" s="219">
        <v>0</v>
      </c>
      <c r="K722" s="220">
        <v>0</v>
      </c>
      <c r="L722" s="1236"/>
      <c r="M722"/>
      <c r="N722"/>
      <c r="O722"/>
      <c r="P722"/>
      <c r="Q722"/>
      <c r="R722"/>
      <c r="S722"/>
      <c r="T722"/>
      <c r="U722"/>
      <c r="V722"/>
      <c r="W722"/>
      <c r="X722"/>
    </row>
    <row r="723" spans="1:33" ht="18" thickTop="1" thickBot="1" x14ac:dyDescent="0.35">
      <c r="A723" s="457" t="s">
        <v>17</v>
      </c>
      <c r="B723" s="459">
        <v>17</v>
      </c>
      <c r="C723" s="459">
        <v>17</v>
      </c>
      <c r="D723" s="458" t="s">
        <v>826</v>
      </c>
      <c r="E723" s="457" t="s">
        <v>589</v>
      </c>
      <c r="F723" s="590"/>
      <c r="G723" s="220">
        <v>4.0972005914339498</v>
      </c>
      <c r="H723" s="219">
        <v>0</v>
      </c>
      <c r="I723" s="220">
        <v>0</v>
      </c>
      <c r="J723" s="219">
        <v>0</v>
      </c>
      <c r="K723" s="220">
        <v>0</v>
      </c>
      <c r="L723" s="1236"/>
      <c r="M723"/>
      <c r="O723"/>
      <c r="P723"/>
      <c r="Q723"/>
      <c r="R723"/>
      <c r="S723"/>
      <c r="T723"/>
      <c r="U723"/>
      <c r="V723"/>
      <c r="W723"/>
      <c r="X723"/>
    </row>
    <row r="724" spans="1:33" ht="18" thickTop="1" thickBot="1" x14ac:dyDescent="0.35">
      <c r="A724" s="457" t="s">
        <v>17</v>
      </c>
      <c r="B724" s="459">
        <v>17</v>
      </c>
      <c r="C724" s="459">
        <v>17</v>
      </c>
      <c r="D724" s="458" t="s">
        <v>809</v>
      </c>
      <c r="E724" s="457" t="s">
        <v>590</v>
      </c>
      <c r="F724" s="590"/>
      <c r="G724" s="220">
        <v>372.04139912968031</v>
      </c>
      <c r="H724" s="219">
        <v>0</v>
      </c>
      <c r="I724" s="220">
        <v>0</v>
      </c>
      <c r="J724" s="219">
        <v>0</v>
      </c>
      <c r="K724" s="220">
        <v>0</v>
      </c>
      <c r="L724" s="1236"/>
      <c r="M724"/>
      <c r="P724"/>
      <c r="Q724"/>
      <c r="R724"/>
      <c r="S724"/>
      <c r="T724"/>
      <c r="U724"/>
      <c r="V724"/>
      <c r="W724"/>
      <c r="X724"/>
    </row>
    <row r="725" spans="1:33" ht="18" thickTop="1" thickBot="1" x14ac:dyDescent="0.35">
      <c r="A725" s="457" t="s">
        <v>17</v>
      </c>
      <c r="B725" s="459">
        <v>17</v>
      </c>
      <c r="C725" s="459">
        <v>17</v>
      </c>
      <c r="D725" s="458" t="s">
        <v>810</v>
      </c>
      <c r="E725" s="457" t="s">
        <v>66</v>
      </c>
      <c r="F725" s="590"/>
      <c r="G725" s="220">
        <v>8.4640927037216542</v>
      </c>
      <c r="H725" s="219">
        <v>0</v>
      </c>
      <c r="I725" s="220">
        <v>0</v>
      </c>
      <c r="J725" s="219">
        <v>0</v>
      </c>
      <c r="K725" s="220">
        <v>0</v>
      </c>
      <c r="L725" s="1236"/>
      <c r="M725"/>
      <c r="P725"/>
      <c r="Q725"/>
      <c r="R725"/>
      <c r="S725"/>
      <c r="T725"/>
      <c r="U725"/>
      <c r="V725"/>
      <c r="W725"/>
      <c r="X725"/>
    </row>
    <row r="726" spans="1:33" ht="18" thickTop="1" thickBot="1" x14ac:dyDescent="0.35">
      <c r="A726" s="457" t="s">
        <v>17</v>
      </c>
      <c r="B726" s="459">
        <v>17</v>
      </c>
      <c r="C726" s="459">
        <v>17</v>
      </c>
      <c r="D726" s="458" t="s">
        <v>827</v>
      </c>
      <c r="E726" s="457" t="s">
        <v>591</v>
      </c>
      <c r="F726" s="590"/>
      <c r="G726" s="220">
        <v>54.668305969977695</v>
      </c>
      <c r="H726" s="219">
        <v>0</v>
      </c>
      <c r="I726" s="220">
        <v>0</v>
      </c>
      <c r="J726" s="219">
        <v>0</v>
      </c>
      <c r="K726" s="220">
        <v>0</v>
      </c>
      <c r="L726" s="1236"/>
      <c r="N726"/>
      <c r="P726"/>
      <c r="Q726"/>
      <c r="R726"/>
      <c r="S726"/>
      <c r="T726"/>
      <c r="U726"/>
      <c r="V726"/>
      <c r="W726"/>
      <c r="X726"/>
    </row>
    <row r="727" spans="1:33" ht="18" thickTop="1" thickBot="1" x14ac:dyDescent="0.35">
      <c r="A727" s="457" t="s">
        <v>17</v>
      </c>
      <c r="B727" s="459">
        <v>17</v>
      </c>
      <c r="C727" s="459">
        <v>17</v>
      </c>
      <c r="D727" s="458" t="s">
        <v>827</v>
      </c>
      <c r="E727" s="457" t="s">
        <v>592</v>
      </c>
      <c r="F727" s="590"/>
      <c r="G727" s="220">
        <v>53.104911192783455</v>
      </c>
      <c r="H727" s="219">
        <v>0</v>
      </c>
      <c r="I727" s="220">
        <v>0</v>
      </c>
      <c r="J727" s="219">
        <v>0</v>
      </c>
      <c r="K727" s="220">
        <v>0</v>
      </c>
      <c r="L727" s="1236"/>
      <c r="P727"/>
      <c r="Q727"/>
      <c r="R727"/>
      <c r="S727"/>
      <c r="T727"/>
      <c r="U727"/>
      <c r="V727"/>
      <c r="W727"/>
      <c r="X727"/>
      <c r="AB727" s="4"/>
    </row>
    <row r="728" spans="1:33" ht="18" thickTop="1" thickBot="1" x14ac:dyDescent="0.35">
      <c r="A728" s="457" t="s">
        <v>17</v>
      </c>
      <c r="B728" s="459">
        <v>17</v>
      </c>
      <c r="C728" s="459">
        <v>17</v>
      </c>
      <c r="D728" s="458" t="s">
        <v>810</v>
      </c>
      <c r="E728" s="457" t="s">
        <v>593</v>
      </c>
      <c r="F728" s="590"/>
      <c r="G728" s="220">
        <v>99.254633339011136</v>
      </c>
      <c r="H728" s="219">
        <v>0</v>
      </c>
      <c r="I728" s="220">
        <v>0</v>
      </c>
      <c r="J728" s="219">
        <v>0</v>
      </c>
      <c r="K728" s="220">
        <v>0</v>
      </c>
      <c r="L728" s="1236"/>
      <c r="AA728" s="4"/>
      <c r="AC728" s="4"/>
      <c r="AD728" s="4"/>
      <c r="AE728" s="4"/>
      <c r="AF728" s="4"/>
      <c r="AG728" s="4"/>
    </row>
    <row r="729" spans="1:33" s="4" customFormat="1" ht="18" thickTop="1" thickBot="1" x14ac:dyDescent="0.35">
      <c r="A729" s="457" t="s">
        <v>17</v>
      </c>
      <c r="B729" s="459">
        <v>17</v>
      </c>
      <c r="C729" s="459">
        <v>17</v>
      </c>
      <c r="D729" s="458" t="s">
        <v>809</v>
      </c>
      <c r="E729" s="457" t="s">
        <v>676</v>
      </c>
      <c r="F729" s="590"/>
      <c r="G729" s="220">
        <v>32.419485709761155</v>
      </c>
      <c r="H729" s="219">
        <v>0</v>
      </c>
      <c r="I729" s="220">
        <v>0</v>
      </c>
      <c r="J729" s="219">
        <v>0</v>
      </c>
      <c r="K729" s="220">
        <v>0</v>
      </c>
      <c r="L729" s="1236"/>
      <c r="M729" s="10"/>
      <c r="N729" s="10"/>
      <c r="O729" s="10"/>
      <c r="P729" s="10"/>
      <c r="Q729" s="10"/>
      <c r="R729" s="10"/>
      <c r="S729" s="10"/>
      <c r="T729" s="10"/>
      <c r="U729" s="10"/>
      <c r="V729" s="10"/>
      <c r="W729" s="10"/>
      <c r="X729" s="10"/>
      <c r="Y729" s="10"/>
      <c r="Z729" s="10"/>
      <c r="AA729" s="10"/>
    </row>
    <row r="730" spans="1:33" ht="18" thickTop="1" thickBot="1" x14ac:dyDescent="0.35">
      <c r="A730" s="457" t="s">
        <v>17</v>
      </c>
      <c r="B730" s="459">
        <v>17</v>
      </c>
      <c r="C730" s="459">
        <v>17</v>
      </c>
      <c r="D730" s="458" t="s">
        <v>809</v>
      </c>
      <c r="E730" s="457" t="s">
        <v>594</v>
      </c>
      <c r="F730" s="590"/>
      <c r="G730" s="220">
        <v>371.65657971114172</v>
      </c>
      <c r="H730" s="219">
        <v>0</v>
      </c>
      <c r="I730" s="220">
        <v>0</v>
      </c>
      <c r="J730" s="219">
        <v>0</v>
      </c>
      <c r="K730" s="220">
        <v>0</v>
      </c>
      <c r="L730" s="1236"/>
    </row>
    <row r="731" spans="1:33" ht="18" thickTop="1" thickBot="1" x14ac:dyDescent="0.35">
      <c r="A731" s="457" t="s">
        <v>17</v>
      </c>
      <c r="B731" s="459">
        <v>17</v>
      </c>
      <c r="C731" s="459">
        <v>17</v>
      </c>
      <c r="D731" s="458" t="s">
        <v>809</v>
      </c>
      <c r="E731" s="457" t="s">
        <v>595</v>
      </c>
      <c r="F731" s="590"/>
      <c r="G731" s="220">
        <v>241.60880221247768</v>
      </c>
      <c r="H731" s="219">
        <v>0</v>
      </c>
      <c r="I731" s="220">
        <v>0</v>
      </c>
      <c r="J731" s="219">
        <v>0</v>
      </c>
      <c r="K731" s="220">
        <v>0</v>
      </c>
      <c r="L731" s="1236"/>
    </row>
    <row r="732" spans="1:33" ht="18" thickTop="1" thickBot="1" x14ac:dyDescent="0.35">
      <c r="A732" s="692" t="s">
        <v>17</v>
      </c>
      <c r="B732" s="699">
        <v>17</v>
      </c>
      <c r="C732" s="699">
        <v>17</v>
      </c>
      <c r="D732" s="693" t="s">
        <v>809</v>
      </c>
      <c r="E732" s="692" t="s">
        <v>596</v>
      </c>
      <c r="F732" s="700"/>
      <c r="G732" s="220">
        <v>22.074840093831526</v>
      </c>
      <c r="H732" s="219">
        <v>0</v>
      </c>
      <c r="I732" s="220">
        <v>0</v>
      </c>
      <c r="J732" s="219">
        <v>0</v>
      </c>
      <c r="K732" s="220">
        <v>0</v>
      </c>
      <c r="L732" s="1236"/>
    </row>
    <row r="733" spans="1:33" ht="18" thickTop="1" thickBot="1" x14ac:dyDescent="0.35">
      <c r="A733" s="4"/>
      <c r="B733" s="5"/>
      <c r="C733" s="5"/>
      <c r="D733" s="5"/>
      <c r="E733" s="4" t="s">
        <v>731</v>
      </c>
      <c r="F733" s="4"/>
      <c r="G733" s="633">
        <f>SUM(G102:G732)</f>
        <v>402117.42591596628</v>
      </c>
      <c r="H733" s="632">
        <f>SUM(H102:H732)</f>
        <v>0</v>
      </c>
      <c r="I733" s="633">
        <f>SUM(I102:I732)</f>
        <v>0</v>
      </c>
      <c r="J733" s="632">
        <f>SUM(J102:J732)</f>
        <v>0</v>
      </c>
      <c r="K733" s="633">
        <f>SUM(K102:K732)</f>
        <v>808.259251305931</v>
      </c>
      <c r="L733" s="1236"/>
    </row>
    <row r="734" spans="1:33" ht="17.25" thickTop="1" x14ac:dyDescent="0.3">
      <c r="G734" s="1487">
        <f>G733-SUM(G9:G25)</f>
        <v>0</v>
      </c>
    </row>
    <row r="736" spans="1:33" x14ac:dyDescent="0.3">
      <c r="A736" s="4"/>
    </row>
    <row r="737" spans="1:1" x14ac:dyDescent="0.3">
      <c r="A737" s="4"/>
    </row>
  </sheetData>
  <sheetProtection algorithmName="SHA-512" hashValue="55OlrDypqUqAwWsQNRZiYxZFjkKITTaTb8XBkrP8m34GpPK48Y0nY7YdvgWakNbIHtrpZFcMOUT0USlBOVppvw==" saltValue="OIcs3ZVb8WPbNZtkYH67vA==" spinCount="100000" sheet="1" objects="1" scenarios="1"/>
  <sortState xmlns:xlrd2="http://schemas.microsoft.com/office/spreadsheetml/2017/richdata2" ref="O67:O69">
    <sortCondition ref="O67:O69"/>
  </sortState>
  <phoneticPr fontId="79" type="noConversion"/>
  <pageMargins left="0.7" right="0.7" top="0.75" bottom="0.75" header="0.3" footer="0.3"/>
  <pageSetup scale="59" orientation="portrait" r:id="rId1"/>
  <rowBreaks count="13" manualBreakCount="13">
    <brk id="36" max="16383" man="1"/>
    <brk id="97" max="16383" man="1"/>
    <brk id="146" max="16383" man="1"/>
    <brk id="201" max="16383" man="1"/>
    <brk id="256" max="16383" man="1"/>
    <brk id="311" max="16383" man="1"/>
    <brk id="368" max="16383" man="1"/>
    <brk id="423" max="16383" man="1"/>
    <brk id="475" max="16383" man="1"/>
    <brk id="529" max="16383" man="1"/>
    <brk id="579" max="16383" man="1"/>
    <brk id="634" max="16383" man="1"/>
    <brk id="689"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ADEA2-173F-4806-8F19-C64FEE86A44C}">
  <sheetPr codeName="Sheet294">
    <tabColor rgb="FFFF0000"/>
    <pageSetUpPr autoPageBreaks="0" fitToPage="1"/>
  </sheetPr>
  <dimension ref="A1:X43"/>
  <sheetViews>
    <sheetView zoomScale="85" zoomScaleNormal="85" workbookViewId="0"/>
  </sheetViews>
  <sheetFormatPr defaultColWidth="8.85546875" defaultRowHeight="16.5" x14ac:dyDescent="0.3"/>
  <cols>
    <col min="1" max="1" width="9.42578125" style="40" customWidth="1"/>
    <col min="2" max="2" width="104.28515625" style="10" bestFit="1" customWidth="1"/>
    <col min="3" max="3" width="18.140625" style="11" bestFit="1" customWidth="1"/>
    <col min="4" max="4" width="9.5703125" style="10" bestFit="1" customWidth="1"/>
    <col min="5" max="5" width="30.7109375" style="10" bestFit="1" customWidth="1"/>
    <col min="6" max="6" width="22.42578125" style="10" customWidth="1"/>
    <col min="7" max="7" width="18.5703125" style="10" bestFit="1" customWidth="1"/>
    <col min="8" max="8" width="17" style="10" bestFit="1" customWidth="1"/>
    <col min="9" max="9" width="29.28515625" style="10" hidden="1" customWidth="1"/>
    <col min="10" max="10" width="12" style="10" hidden="1" customWidth="1"/>
    <col min="11" max="13" width="8" style="10" hidden="1" customWidth="1"/>
    <col min="14" max="14" width="56.28515625" style="10" hidden="1" customWidth="1"/>
    <col min="15" max="17" width="14.5703125" style="10" hidden="1" customWidth="1"/>
    <col min="18" max="18" width="0" style="10" hidden="1" customWidth="1"/>
    <col min="19" max="19" width="56.28515625" style="10" hidden="1" customWidth="1"/>
    <col min="20" max="20" width="17" style="10" hidden="1" customWidth="1"/>
    <col min="21" max="21" width="17.42578125" style="10" hidden="1" customWidth="1"/>
    <col min="22" max="22" width="0" style="10" hidden="1" customWidth="1"/>
    <col min="23" max="23" width="10" style="10" bestFit="1" customWidth="1"/>
    <col min="24" max="24" width="14.7109375" style="10" bestFit="1" customWidth="1"/>
    <col min="25" max="16384" width="8.85546875" style="10"/>
  </cols>
  <sheetData>
    <row r="1" spans="1:24" s="4" customFormat="1" x14ac:dyDescent="0.3">
      <c r="A1" s="30" t="s">
        <v>602</v>
      </c>
      <c r="B1" s="7"/>
    </row>
    <row r="2" spans="1:24" x14ac:dyDescent="0.3">
      <c r="A2" s="38" t="str">
        <f>CONCATENATE("Pupil Center Funding Plan | FY",'1.1 Assumption Control YR1'!D5)</f>
        <v>Pupil Center Funding Plan | FY2024</v>
      </c>
      <c r="B2" s="11"/>
      <c r="C2" s="308"/>
    </row>
    <row r="3" spans="1:24" x14ac:dyDescent="0.3">
      <c r="A3" s="10" t="s">
        <v>1270</v>
      </c>
      <c r="B3" s="11"/>
      <c r="C3" s="40"/>
      <c r="D3" s="252" t="s">
        <v>738</v>
      </c>
    </row>
    <row r="4" spans="1:24" x14ac:dyDescent="0.3">
      <c r="D4" s="252" t="s">
        <v>746</v>
      </c>
    </row>
    <row r="5" spans="1:24" x14ac:dyDescent="0.3">
      <c r="A5" s="1439">
        <v>2501</v>
      </c>
      <c r="B5" s="814" t="s">
        <v>1014</v>
      </c>
      <c r="C5" s="1530">
        <f>ROUND(F10,2)</f>
        <v>1137995964</v>
      </c>
      <c r="D5" s="252"/>
      <c r="E5" s="443"/>
      <c r="F5" s="433" t="s">
        <v>1371</v>
      </c>
      <c r="G5" s="433" t="s">
        <v>1372</v>
      </c>
      <c r="H5" s="1178" t="s">
        <v>1373</v>
      </c>
    </row>
    <row r="6" spans="1:24" x14ac:dyDescent="0.3">
      <c r="B6" s="17"/>
      <c r="C6" s="209"/>
      <c r="D6" s="1318"/>
      <c r="E6" s="1175" t="s">
        <v>1374</v>
      </c>
      <c r="F6" s="146">
        <f>1396939483</f>
        <v>1396939483</v>
      </c>
      <c r="G6" s="146">
        <v>1223780931</v>
      </c>
      <c r="H6" s="1274">
        <f>SUM(F6:G6)</f>
        <v>2620720414</v>
      </c>
    </row>
    <row r="7" spans="1:24" ht="17.25" thickBot="1" x14ac:dyDescent="0.35">
      <c r="A7" s="1174" t="s">
        <v>848</v>
      </c>
      <c r="B7" s="187" t="s">
        <v>925</v>
      </c>
      <c r="C7" s="1054" t="s">
        <v>78</v>
      </c>
      <c r="D7" s="189" t="s">
        <v>709</v>
      </c>
      <c r="E7" s="304"/>
      <c r="F7" s="783"/>
      <c r="G7" s="1342"/>
      <c r="H7" s="1341"/>
    </row>
    <row r="8" spans="1:24" ht="18" thickTop="1" thickBot="1" x14ac:dyDescent="0.35">
      <c r="A8" s="1553">
        <v>2501</v>
      </c>
      <c r="B8" s="1554" t="s">
        <v>1014</v>
      </c>
      <c r="C8" s="1055">
        <f>C5</f>
        <v>1137995964</v>
      </c>
      <c r="D8" s="1187">
        <f t="shared" ref="D8:D33" si="0">C8/$C$35</f>
        <v>0.20778021004975267</v>
      </c>
      <c r="E8" s="443"/>
      <c r="F8" s="433" t="s">
        <v>1705</v>
      </c>
      <c r="G8" s="433" t="s">
        <v>1706</v>
      </c>
      <c r="H8" s="1178"/>
    </row>
    <row r="9" spans="1:24" ht="18" thickTop="1" thickBot="1" x14ac:dyDescent="0.35">
      <c r="A9" s="1553">
        <v>3064</v>
      </c>
      <c r="B9" s="1554" t="s">
        <v>1875</v>
      </c>
      <c r="C9" s="1522">
        <v>37525000</v>
      </c>
      <c r="D9" s="1188">
        <f t="shared" si="0"/>
        <v>6.8514763046356193E-3</v>
      </c>
      <c r="E9" s="132"/>
      <c r="F9" s="1343">
        <v>0.5</v>
      </c>
      <c r="G9" s="1343">
        <v>0.5</v>
      </c>
      <c r="H9" s="1344">
        <f>SUM(F9:G9)</f>
        <v>1</v>
      </c>
    </row>
    <row r="10" spans="1:24" ht="18" thickTop="1" thickBot="1" x14ac:dyDescent="0.35">
      <c r="A10" s="1553">
        <v>3074</v>
      </c>
      <c r="B10" s="1554" t="s">
        <v>1491</v>
      </c>
      <c r="C10" s="1522">
        <v>65747000</v>
      </c>
      <c r="D10" s="1188">
        <f t="shared" si="0"/>
        <v>1.2004370755519736E-2</v>
      </c>
      <c r="E10" s="541"/>
      <c r="F10" s="783">
        <f>(H6*F9)+2635757-175000000</f>
        <v>1137995964</v>
      </c>
      <c r="G10" s="685">
        <f>(H6*G9)+2635757+175000000</f>
        <v>1487995964</v>
      </c>
      <c r="H10" s="1341">
        <f>SUM(F10:G10)</f>
        <v>2625991928</v>
      </c>
      <c r="W10" s="40"/>
      <c r="X10" s="15">
        <f>G10-F10</f>
        <v>350000000</v>
      </c>
    </row>
    <row r="11" spans="1:24" ht="15" customHeight="1" thickTop="1" thickBot="1" x14ac:dyDescent="0.35">
      <c r="A11" s="1553">
        <v>3324</v>
      </c>
      <c r="B11" s="1554" t="s">
        <v>1861</v>
      </c>
      <c r="C11" s="1522">
        <v>130140000</v>
      </c>
      <c r="D11" s="1188">
        <f t="shared" si="0"/>
        <v>2.376152235270565E-2</v>
      </c>
      <c r="E11" s="430" t="s">
        <v>1710</v>
      </c>
      <c r="F11" s="1346">
        <f>'1.1 Assumption Control YR1'!E56</f>
        <v>8966</v>
      </c>
      <c r="G11" s="1346">
        <f>'5.1 Assumption Control YR2'!E56</f>
        <v>9414</v>
      </c>
      <c r="H11" s="1349">
        <f>(G11-F11)/G11</f>
        <v>4.7588697684299977E-2</v>
      </c>
      <c r="W11" s="1347"/>
    </row>
    <row r="12" spans="1:24" s="88" customFormat="1" ht="15" customHeight="1" thickTop="1" thickBot="1" x14ac:dyDescent="0.35">
      <c r="A12" s="1553">
        <v>3325</v>
      </c>
      <c r="B12" s="1554" t="s">
        <v>1860</v>
      </c>
      <c r="C12" s="1522">
        <v>76037000</v>
      </c>
      <c r="D12" s="1188">
        <f t="shared" si="0"/>
        <v>1.3883163325132007E-2</v>
      </c>
      <c r="F12" s="28"/>
      <c r="G12" s="28"/>
      <c r="H12" s="1347"/>
      <c r="M12" s="1077"/>
      <c r="N12" s="1079"/>
      <c r="O12" s="1580" t="s">
        <v>1328</v>
      </c>
      <c r="P12" s="1581"/>
      <c r="Q12" s="1582"/>
      <c r="T12" s="88" t="s">
        <v>1359</v>
      </c>
      <c r="U12" s="88" t="s">
        <v>1360</v>
      </c>
    </row>
    <row r="13" spans="1:24" ht="18" thickTop="1" thickBot="1" x14ac:dyDescent="0.35">
      <c r="A13" s="1553">
        <v>3328</v>
      </c>
      <c r="B13" s="1554" t="s">
        <v>1862</v>
      </c>
      <c r="C13" s="1522">
        <v>2347428000</v>
      </c>
      <c r="D13" s="1188">
        <f t="shared" si="0"/>
        <v>0.42860352615158381</v>
      </c>
      <c r="E13" s="88"/>
      <c r="F13" s="28"/>
      <c r="G13" s="28"/>
      <c r="H13" s="1347"/>
      <c r="M13" s="132"/>
      <c r="N13" s="143"/>
      <c r="O13" s="132"/>
      <c r="Q13" s="143"/>
      <c r="S13" s="10" t="str">
        <f t="shared" ref="S13:S32" si="1">B8</f>
        <v>GENERAL FUND APPROPRIATION</v>
      </c>
      <c r="T13" s="218">
        <v>1223780931</v>
      </c>
      <c r="U13" s="15">
        <f t="shared" ref="U13:U32" si="2">C8-T13</f>
        <v>-85784967</v>
      </c>
    </row>
    <row r="14" spans="1:24" ht="18" thickTop="1" thickBot="1" x14ac:dyDescent="0.35">
      <c r="A14" s="1553">
        <v>3329</v>
      </c>
      <c r="B14" s="1554" t="s">
        <v>1495</v>
      </c>
      <c r="C14" s="1522">
        <v>25788000</v>
      </c>
      <c r="D14" s="1188">
        <f t="shared" si="0"/>
        <v>4.7084842356813683E-3</v>
      </c>
      <c r="E14" s="88"/>
      <c r="F14" s="28"/>
      <c r="G14" s="28"/>
      <c r="H14" s="1347"/>
      <c r="I14" s="1143" t="s">
        <v>1012</v>
      </c>
      <c r="J14" s="1147"/>
      <c r="K14" s="497"/>
      <c r="M14" s="132">
        <f t="shared" ref="M14:M32" si="3">A9</f>
        <v>3064</v>
      </c>
      <c r="N14" s="143" t="str">
        <f t="shared" ref="N14:N32" si="4">B9</f>
        <v>NET PROCEEDS OF MINERALS (NPM) - STATE</v>
      </c>
      <c r="O14" s="540">
        <f t="shared" ref="O14:O32" si="5">C9</f>
        <v>37525000</v>
      </c>
      <c r="P14" s="115">
        <v>0</v>
      </c>
      <c r="Q14" s="147">
        <f>O14-P14</f>
        <v>37525000</v>
      </c>
      <c r="S14" s="10" t="str">
        <f t="shared" si="1"/>
        <v>NET PROCEEDS OF MINERALS (NPM) - STATE</v>
      </c>
      <c r="T14" s="218">
        <v>0</v>
      </c>
      <c r="U14" s="15">
        <f t="shared" si="2"/>
        <v>37525000</v>
      </c>
    </row>
    <row r="15" spans="1:24" ht="18" thickTop="1" thickBot="1" x14ac:dyDescent="0.35">
      <c r="A15" s="1553">
        <v>3335</v>
      </c>
      <c r="B15" s="1554" t="s">
        <v>1863</v>
      </c>
      <c r="C15" s="1522">
        <v>249739000</v>
      </c>
      <c r="D15" s="1188">
        <f t="shared" si="0"/>
        <v>4.559842347350819E-2</v>
      </c>
      <c r="F15" s="4" t="s">
        <v>1709</v>
      </c>
      <c r="I15" s="1144" t="s">
        <v>18</v>
      </c>
      <c r="J15" s="1148"/>
      <c r="K15" s="1136">
        <f t="shared" ref="K15:K31" si="6">J15/$J$32</f>
        <v>0</v>
      </c>
      <c r="L15" s="1083"/>
      <c r="M15" s="132">
        <f t="shared" si="3"/>
        <v>3074</v>
      </c>
      <c r="N15" s="143" t="str">
        <f t="shared" si="4"/>
        <v>GOLD AND SILVER TAX</v>
      </c>
      <c r="O15" s="540">
        <f t="shared" si="5"/>
        <v>65747000</v>
      </c>
      <c r="P15" s="115">
        <v>80996000</v>
      </c>
      <c r="Q15" s="147">
        <f t="shared" ref="Q15:Q34" si="7">O15-P15</f>
        <v>-15249000</v>
      </c>
      <c r="S15" s="10" t="str">
        <f t="shared" si="1"/>
        <v>GOLD AND SILVER TAX</v>
      </c>
      <c r="T15" s="218">
        <v>0</v>
      </c>
      <c r="U15" s="15">
        <f t="shared" si="2"/>
        <v>65747000</v>
      </c>
    </row>
    <row r="16" spans="1:24" ht="18" thickTop="1" thickBot="1" x14ac:dyDescent="0.35">
      <c r="A16" s="1553">
        <v>3340</v>
      </c>
      <c r="B16" s="1554" t="s">
        <v>1864</v>
      </c>
      <c r="C16" s="1522">
        <v>1012450000</v>
      </c>
      <c r="D16" s="1188">
        <f t="shared" si="0"/>
        <v>0.18485748659902285</v>
      </c>
      <c r="E16" s="15"/>
      <c r="F16" s="289" t="s">
        <v>952</v>
      </c>
      <c r="G16" s="222"/>
      <c r="I16" s="1144" t="s">
        <v>1</v>
      </c>
      <c r="J16" s="1148">
        <v>361927</v>
      </c>
      <c r="K16" s="1136">
        <f t="shared" si="6"/>
        <v>1.3311350708174288E-2</v>
      </c>
      <c r="L16" s="1083"/>
      <c r="M16" s="132">
        <f t="shared" si="3"/>
        <v>3324</v>
      </c>
      <c r="N16" s="143" t="str">
        <f t="shared" si="4"/>
        <v>GOVERNMENTAL SERVICES TAX</v>
      </c>
      <c r="O16" s="540">
        <f t="shared" si="5"/>
        <v>130140000</v>
      </c>
      <c r="P16" s="115">
        <v>111836528</v>
      </c>
      <c r="Q16" s="147">
        <f t="shared" si="7"/>
        <v>18303472</v>
      </c>
      <c r="S16" s="10" t="str">
        <f t="shared" si="1"/>
        <v>GOVERNMENTAL SERVICES TAX</v>
      </c>
      <c r="T16" s="218">
        <v>125635000</v>
      </c>
      <c r="U16" s="15">
        <f t="shared" si="2"/>
        <v>4505000</v>
      </c>
    </row>
    <row r="17" spans="1:21" ht="18" thickTop="1" thickBot="1" x14ac:dyDescent="0.35">
      <c r="A17" s="1553">
        <v>3536</v>
      </c>
      <c r="B17" s="1554" t="s">
        <v>1865</v>
      </c>
      <c r="C17" s="1522">
        <v>7500000</v>
      </c>
      <c r="D17" s="1188">
        <f t="shared" si="0"/>
        <v>1.3693823393675455E-3</v>
      </c>
      <c r="F17" s="132" t="s">
        <v>18</v>
      </c>
      <c r="G17" s="1526">
        <f>$G$34*H17</f>
        <v>0</v>
      </c>
      <c r="H17" s="28">
        <v>0</v>
      </c>
      <c r="I17" s="1144" t="s">
        <v>2</v>
      </c>
      <c r="J17" s="1148">
        <v>59211</v>
      </c>
      <c r="K17" s="1136">
        <f t="shared" si="6"/>
        <v>2.1777275162718113E-3</v>
      </c>
      <c r="L17" s="1083"/>
      <c r="M17" s="132">
        <f t="shared" si="3"/>
        <v>3325</v>
      </c>
      <c r="N17" s="143" t="str">
        <f t="shared" si="4"/>
        <v>RECREATIONAL MARIJUANA RETAIL TAX</v>
      </c>
      <c r="O17" s="540">
        <f t="shared" si="5"/>
        <v>76037000</v>
      </c>
      <c r="P17" s="115">
        <v>80621005</v>
      </c>
      <c r="Q17" s="147">
        <f t="shared" si="7"/>
        <v>-4584005</v>
      </c>
      <c r="S17" s="10" t="str">
        <f t="shared" si="1"/>
        <v>RECREATIONAL MARIJUANA RETAIL TAX</v>
      </c>
      <c r="T17" s="218">
        <v>94934000</v>
      </c>
      <c r="U17" s="15">
        <f t="shared" si="2"/>
        <v>-18897000</v>
      </c>
    </row>
    <row r="18" spans="1:21" ht="18" thickTop="1" thickBot="1" x14ac:dyDescent="0.35">
      <c r="A18" s="1555">
        <v>3736</v>
      </c>
      <c r="B18" s="1554" t="s">
        <v>1499</v>
      </c>
      <c r="C18" s="1522">
        <v>0</v>
      </c>
      <c r="D18" s="1188">
        <f t="shared" si="0"/>
        <v>0</v>
      </c>
      <c r="F18" s="132" t="s">
        <v>1</v>
      </c>
      <c r="G18" s="1526">
        <f t="shared" ref="G18:G33" si="8">$G$34*H18</f>
        <v>232149.81636441968</v>
      </c>
      <c r="H18" s="28">
        <v>1.3311342681446082E-2</v>
      </c>
      <c r="I18" s="1144" t="s">
        <v>3</v>
      </c>
      <c r="J18" s="1148">
        <v>0</v>
      </c>
      <c r="K18" s="1136">
        <f t="shared" si="6"/>
        <v>0</v>
      </c>
      <c r="L18" s="1083"/>
      <c r="M18" s="132">
        <f t="shared" si="3"/>
        <v>3328</v>
      </c>
      <c r="N18" s="143" t="str">
        <f t="shared" si="4"/>
        <v>LOCAL SCHOOL SUPPORT TAX</v>
      </c>
      <c r="O18" s="540">
        <f t="shared" si="5"/>
        <v>2347428000</v>
      </c>
      <c r="P18" s="115">
        <v>1670352246</v>
      </c>
      <c r="Q18" s="147">
        <f t="shared" si="7"/>
        <v>677075754</v>
      </c>
      <c r="S18" s="10" t="str">
        <f t="shared" si="1"/>
        <v>LOCAL SCHOOL SUPPORT TAX</v>
      </c>
      <c r="T18" s="218">
        <v>1787026000</v>
      </c>
      <c r="U18" s="15">
        <f t="shared" si="2"/>
        <v>560402000</v>
      </c>
    </row>
    <row r="19" spans="1:21" ht="18" thickTop="1" thickBot="1" x14ac:dyDescent="0.35">
      <c r="A19" s="1553">
        <v>3867</v>
      </c>
      <c r="B19" s="1554" t="s">
        <v>1500</v>
      </c>
      <c r="C19" s="1521">
        <v>3500000</v>
      </c>
      <c r="D19" s="1188">
        <f t="shared" si="0"/>
        <v>6.3904509170485452E-4</v>
      </c>
      <c r="F19" s="132" t="s">
        <v>2</v>
      </c>
      <c r="G19" s="1526">
        <f t="shared" si="8"/>
        <v>37979.737824605363</v>
      </c>
      <c r="H19" s="28">
        <v>2.1777372605851701E-3</v>
      </c>
      <c r="I19" s="1144" t="s">
        <v>4</v>
      </c>
      <c r="J19" s="1148">
        <v>4200376</v>
      </c>
      <c r="K19" s="1136">
        <f t="shared" si="6"/>
        <v>0.15448606498602835</v>
      </c>
      <c r="L19" s="1083"/>
      <c r="M19" s="132">
        <f t="shared" si="3"/>
        <v>3329</v>
      </c>
      <c r="N19" s="143" t="str">
        <f t="shared" si="4"/>
        <v>ANNUAL SLOT TAX</v>
      </c>
      <c r="O19" s="540">
        <f t="shared" si="5"/>
        <v>25788000</v>
      </c>
      <c r="P19" s="115">
        <v>24791641</v>
      </c>
      <c r="Q19" s="147">
        <f t="shared" si="7"/>
        <v>996359</v>
      </c>
      <c r="S19" s="10" t="str">
        <f t="shared" si="1"/>
        <v>ANNUAL SLOT TAX</v>
      </c>
      <c r="T19" s="218">
        <v>25322000</v>
      </c>
      <c r="U19" s="15">
        <f t="shared" si="2"/>
        <v>466000</v>
      </c>
    </row>
    <row r="20" spans="1:21" ht="18" thickTop="1" thickBot="1" x14ac:dyDescent="0.35">
      <c r="A20" s="1556">
        <v>3868</v>
      </c>
      <c r="B20" s="1557" t="s">
        <v>1376</v>
      </c>
      <c r="C20" s="1524">
        <v>19602000</v>
      </c>
      <c r="D20" s="1186">
        <f t="shared" si="0"/>
        <v>3.579017682171017E-3</v>
      </c>
      <c r="F20" s="132" t="s">
        <v>3</v>
      </c>
      <c r="G20" s="1526">
        <f t="shared" si="8"/>
        <v>0</v>
      </c>
      <c r="H20" s="28">
        <v>0</v>
      </c>
      <c r="I20" s="1144" t="s">
        <v>5</v>
      </c>
      <c r="J20" s="1148">
        <v>84858</v>
      </c>
      <c r="K20" s="1136">
        <f t="shared" si="6"/>
        <v>3.1210011919371966E-3</v>
      </c>
      <c r="L20" s="1083"/>
      <c r="M20" s="132">
        <f t="shared" si="3"/>
        <v>3335</v>
      </c>
      <c r="N20" s="143" t="str">
        <f t="shared" si="4"/>
        <v>ROOM TAX REVENUE</v>
      </c>
      <c r="O20" s="540">
        <f t="shared" si="5"/>
        <v>249739000</v>
      </c>
      <c r="P20" s="115">
        <v>149148018</v>
      </c>
      <c r="Q20" s="147">
        <f t="shared" si="7"/>
        <v>100590982</v>
      </c>
      <c r="S20" s="10" t="str">
        <f t="shared" si="1"/>
        <v>ROOM TAX REVENUE</v>
      </c>
      <c r="T20" s="218">
        <v>173735000</v>
      </c>
      <c r="U20" s="15">
        <f t="shared" si="2"/>
        <v>76004000</v>
      </c>
    </row>
    <row r="21" spans="1:21" ht="18" thickTop="1" thickBot="1" x14ac:dyDescent="0.35">
      <c r="A21" s="1558">
        <v>3869</v>
      </c>
      <c r="B21" s="1559" t="s">
        <v>1866</v>
      </c>
      <c r="C21" s="1528">
        <v>0</v>
      </c>
      <c r="D21" s="1185">
        <f t="shared" si="0"/>
        <v>0</v>
      </c>
      <c r="F21" s="132" t="s">
        <v>4</v>
      </c>
      <c r="G21" s="1526">
        <f t="shared" si="8"/>
        <v>2694237.2020837404</v>
      </c>
      <c r="H21" s="28">
        <v>0.15448607810113191</v>
      </c>
      <c r="I21" s="1144" t="s">
        <v>6</v>
      </c>
      <c r="J21" s="1148">
        <v>8457316</v>
      </c>
      <c r="K21" s="1136">
        <f t="shared" si="6"/>
        <v>0.31105250320051764</v>
      </c>
      <c r="L21" s="1083"/>
      <c r="M21" s="132">
        <f t="shared" si="3"/>
        <v>3340</v>
      </c>
      <c r="N21" s="143" t="str">
        <f t="shared" si="4"/>
        <v>PROPERTY TAX</v>
      </c>
      <c r="O21" s="540">
        <f t="shared" si="5"/>
        <v>1012450000</v>
      </c>
      <c r="P21" s="115">
        <v>758197324</v>
      </c>
      <c r="Q21" s="147">
        <f t="shared" si="7"/>
        <v>254252676</v>
      </c>
      <c r="S21" s="10" t="str">
        <f t="shared" si="1"/>
        <v>PROPERTY TAX</v>
      </c>
      <c r="T21" s="218">
        <v>918578000</v>
      </c>
      <c r="U21" s="15">
        <f t="shared" si="2"/>
        <v>93872000</v>
      </c>
    </row>
    <row r="22" spans="1:21" ht="18" thickTop="1" thickBot="1" x14ac:dyDescent="0.35">
      <c r="A22" s="1553">
        <v>4152</v>
      </c>
      <c r="B22" s="1554" t="s">
        <v>1867</v>
      </c>
      <c r="C22" s="1523">
        <v>740000</v>
      </c>
      <c r="D22" s="1188">
        <f t="shared" si="0"/>
        <v>1.3511239081759782E-4</v>
      </c>
      <c r="F22" s="132" t="s">
        <v>5</v>
      </c>
      <c r="G22" s="1526">
        <f t="shared" si="8"/>
        <v>54430.089036857134</v>
      </c>
      <c r="H22" s="28">
        <v>3.1209913438564872E-3</v>
      </c>
      <c r="I22" s="1144" t="s">
        <v>7</v>
      </c>
      <c r="J22" s="1148">
        <v>5084355</v>
      </c>
      <c r="K22" s="1136">
        <f t="shared" si="6"/>
        <v>0.186998020401516</v>
      </c>
      <c r="L22" s="1083"/>
      <c r="M22" s="132">
        <f t="shared" si="3"/>
        <v>3536</v>
      </c>
      <c r="N22" s="143" t="str">
        <f t="shared" si="4"/>
        <v>FEDERAL MINERAL LEASING ACT REVENUE</v>
      </c>
      <c r="O22" s="540">
        <f t="shared" si="5"/>
        <v>7500000</v>
      </c>
      <c r="P22" s="208">
        <v>5563018</v>
      </c>
      <c r="Q22" s="147">
        <f t="shared" si="7"/>
        <v>1936982</v>
      </c>
      <c r="S22" s="10" t="str">
        <f t="shared" si="1"/>
        <v>FEDERAL MINERAL LEASING ACT REVENUE</v>
      </c>
      <c r="T22" s="218">
        <v>5000000</v>
      </c>
      <c r="U22" s="15">
        <f t="shared" si="2"/>
        <v>2500000</v>
      </c>
    </row>
    <row r="23" spans="1:21" ht="18" thickTop="1" thickBot="1" x14ac:dyDescent="0.35">
      <c r="A23" s="1553">
        <v>4157</v>
      </c>
      <c r="B23" s="1554" t="s">
        <v>1503</v>
      </c>
      <c r="C23" s="1522">
        <v>50000</v>
      </c>
      <c r="D23" s="1188">
        <f t="shared" si="0"/>
        <v>9.1292155957836373E-6</v>
      </c>
      <c r="F23" s="132" t="s">
        <v>6</v>
      </c>
      <c r="G23" s="1526">
        <f t="shared" si="8"/>
        <v>5424755.7041713977</v>
      </c>
      <c r="H23" s="28">
        <v>0.31105250597313061</v>
      </c>
      <c r="I23" s="1145" t="s">
        <v>8</v>
      </c>
      <c r="J23" s="1149">
        <v>6170385</v>
      </c>
      <c r="K23" s="1136">
        <f t="shared" si="6"/>
        <v>0.22694123052289</v>
      </c>
      <c r="L23" s="1083"/>
      <c r="M23" s="132">
        <f t="shared" si="3"/>
        <v>3736</v>
      </c>
      <c r="N23" s="143" t="str">
        <f t="shared" si="4"/>
        <v>GEOTHERMAL TAX</v>
      </c>
      <c r="O23" s="540">
        <f t="shared" si="5"/>
        <v>0</v>
      </c>
      <c r="P23" s="115">
        <v>13141</v>
      </c>
      <c r="Q23" s="147">
        <f t="shared" si="7"/>
        <v>-13141</v>
      </c>
      <c r="S23" s="10" t="str">
        <f t="shared" si="1"/>
        <v>GEOTHERMAL TAX</v>
      </c>
      <c r="T23" s="218">
        <v>0</v>
      </c>
      <c r="U23" s="15">
        <f t="shared" si="2"/>
        <v>0</v>
      </c>
    </row>
    <row r="24" spans="1:21" s="41" customFormat="1" ht="18" thickTop="1" thickBot="1" x14ac:dyDescent="0.35">
      <c r="A24" s="1553">
        <v>4326</v>
      </c>
      <c r="B24" s="1554" t="s">
        <v>1868</v>
      </c>
      <c r="C24" s="1522">
        <v>18569000</v>
      </c>
      <c r="D24" s="1188">
        <f t="shared" si="0"/>
        <v>3.3904080879621269E-3</v>
      </c>
      <c r="E24" s="10"/>
      <c r="F24" s="132" t="s">
        <v>7</v>
      </c>
      <c r="G24" s="1526">
        <f t="shared" si="8"/>
        <v>3261245.7566409456</v>
      </c>
      <c r="H24" s="28">
        <v>0.18699803650464136</v>
      </c>
      <c r="I24" s="1144" t="s">
        <v>9</v>
      </c>
      <c r="J24" s="1148">
        <v>0</v>
      </c>
      <c r="K24" s="1136">
        <f t="shared" si="6"/>
        <v>0</v>
      </c>
      <c r="L24" s="1083"/>
      <c r="M24" s="132">
        <f t="shared" si="3"/>
        <v>3867</v>
      </c>
      <c r="N24" s="143" t="str">
        <f t="shared" si="4"/>
        <v>FRANCHISE FEES</v>
      </c>
      <c r="O24" s="540">
        <f t="shared" si="5"/>
        <v>3500000</v>
      </c>
      <c r="P24" s="1086">
        <v>3188560</v>
      </c>
      <c r="Q24" s="147">
        <f t="shared" si="7"/>
        <v>311440</v>
      </c>
      <c r="S24" s="10" t="str">
        <f t="shared" si="1"/>
        <v>FRANCHISE FEES</v>
      </c>
      <c r="T24" s="218">
        <v>3366900</v>
      </c>
      <c r="U24" s="15">
        <f t="shared" si="2"/>
        <v>133100</v>
      </c>
    </row>
    <row r="25" spans="1:21" ht="18" thickTop="1" thickBot="1" x14ac:dyDescent="0.35">
      <c r="A25" s="1553">
        <v>4621</v>
      </c>
      <c r="B25" s="1554" t="s">
        <v>1507</v>
      </c>
      <c r="C25" s="1522">
        <v>34000</v>
      </c>
      <c r="D25" s="1188">
        <f t="shared" si="0"/>
        <v>6.2078666051328726E-6</v>
      </c>
      <c r="F25" s="132" t="s">
        <v>8</v>
      </c>
      <c r="G25" s="1526">
        <f t="shared" si="8"/>
        <v>3957854.9261055179</v>
      </c>
      <c r="H25" s="28">
        <v>0.22694122282715126</v>
      </c>
      <c r="I25" s="1144" t="s">
        <v>10</v>
      </c>
      <c r="J25" s="1148">
        <v>11131</v>
      </c>
      <c r="K25" s="1136">
        <f t="shared" si="6"/>
        <v>4.0938820461774891E-4</v>
      </c>
      <c r="L25" s="1083"/>
      <c r="M25" s="132">
        <f t="shared" si="3"/>
        <v>3868</v>
      </c>
      <c r="N25" s="143" t="str">
        <f t="shared" si="4"/>
        <v>NET PROCEEDS OF MINERALS (NPM) - (Received in current year for expenditure in future year)</v>
      </c>
      <c r="O25" s="540">
        <f t="shared" si="5"/>
        <v>19602000</v>
      </c>
      <c r="P25" s="115">
        <v>0</v>
      </c>
      <c r="Q25" s="147">
        <f t="shared" si="7"/>
        <v>19602000</v>
      </c>
      <c r="S25" s="10" t="str">
        <f t="shared" si="1"/>
        <v>NET PROCEEDS OF MINERALS (NPM) - (Received in current year for expenditure in future year)</v>
      </c>
      <c r="T25" s="218">
        <v>0</v>
      </c>
      <c r="U25" s="15">
        <f t="shared" si="2"/>
        <v>19602000</v>
      </c>
    </row>
    <row r="26" spans="1:21" ht="18" thickTop="1" thickBot="1" x14ac:dyDescent="0.35">
      <c r="A26" s="1553">
        <v>4770</v>
      </c>
      <c r="B26" s="1560" t="s">
        <v>1869</v>
      </c>
      <c r="C26" s="1522">
        <v>900000</v>
      </c>
      <c r="D26" s="1188">
        <f t="shared" si="0"/>
        <v>1.6432588072410546E-4</v>
      </c>
      <c r="F26" s="132" t="s">
        <v>9</v>
      </c>
      <c r="G26" s="1526">
        <f t="shared" si="8"/>
        <v>0</v>
      </c>
      <c r="H26" s="28">
        <v>0</v>
      </c>
      <c r="I26" s="1144" t="s">
        <v>11</v>
      </c>
      <c r="J26" s="1148">
        <v>208458</v>
      </c>
      <c r="K26" s="1136">
        <f t="shared" si="6"/>
        <v>7.6668984240595359E-3</v>
      </c>
      <c r="L26" s="1083"/>
      <c r="M26" s="132">
        <f t="shared" si="3"/>
        <v>3869</v>
      </c>
      <c r="N26" s="143" t="str">
        <f t="shared" si="4"/>
        <v>NET PROCEEDS OF MINERALS (NPM) - (Received in prior year for expenditure in current year)</v>
      </c>
      <c r="O26" s="540">
        <f t="shared" si="5"/>
        <v>0</v>
      </c>
      <c r="P26" s="115">
        <v>28936000</v>
      </c>
      <c r="Q26" s="147">
        <f t="shared" si="7"/>
        <v>-28936000</v>
      </c>
      <c r="S26" s="10" t="str">
        <f t="shared" si="1"/>
        <v>NET PROCEEDS OF MINERALS (NPM) - (Received in prior year for expenditure in current year)</v>
      </c>
      <c r="T26" s="1164">
        <v>28936000</v>
      </c>
      <c r="U26" s="15">
        <f t="shared" si="2"/>
        <v>-28936000</v>
      </c>
    </row>
    <row r="27" spans="1:21" ht="18" thickTop="1" thickBot="1" x14ac:dyDescent="0.35">
      <c r="A27" s="1553">
        <v>4771</v>
      </c>
      <c r="B27" s="1554" t="s">
        <v>1870</v>
      </c>
      <c r="C27" s="1522">
        <v>40504000</v>
      </c>
      <c r="D27" s="1188">
        <f t="shared" si="0"/>
        <v>7.3953949698324084E-3</v>
      </c>
      <c r="F27" s="132" t="s">
        <v>10</v>
      </c>
      <c r="G27" s="1526">
        <f t="shared" si="8"/>
        <v>7139.6959617719622</v>
      </c>
      <c r="H27" s="28">
        <v>4.0938623634013542E-4</v>
      </c>
      <c r="I27" s="1144" t="s">
        <v>12</v>
      </c>
      <c r="J27" s="1148">
        <v>1298606</v>
      </c>
      <c r="K27" s="1136">
        <f t="shared" si="6"/>
        <v>4.776156489496329E-2</v>
      </c>
      <c r="L27" s="1083"/>
      <c r="M27" s="132">
        <f t="shared" si="3"/>
        <v>4152</v>
      </c>
      <c r="N27" s="143" t="str">
        <f t="shared" si="4"/>
        <v>PROCEEDS FROM SALE OF FORFEITED PROPERTY</v>
      </c>
      <c r="O27" s="540">
        <f t="shared" si="5"/>
        <v>740000</v>
      </c>
      <c r="P27" s="115">
        <v>106803</v>
      </c>
      <c r="Q27" s="147">
        <f t="shared" si="7"/>
        <v>633197</v>
      </c>
      <c r="S27" s="10" t="str">
        <f t="shared" si="1"/>
        <v>PROCEEDS FROM SALE OF FORFEITED PROPERTY</v>
      </c>
      <c r="T27" s="218"/>
      <c r="U27" s="15">
        <f t="shared" si="2"/>
        <v>740000</v>
      </c>
    </row>
    <row r="28" spans="1:21" ht="18" thickTop="1" thickBot="1" x14ac:dyDescent="0.35">
      <c r="A28" s="1553">
        <v>4251</v>
      </c>
      <c r="B28" s="1554" t="s">
        <v>1871</v>
      </c>
      <c r="C28" s="1521">
        <v>900</v>
      </c>
      <c r="D28" s="1188">
        <f t="shared" si="0"/>
        <v>1.6432588072410546E-7</v>
      </c>
      <c r="F28" s="132" t="s">
        <v>11</v>
      </c>
      <c r="G28" s="1526">
        <f t="shared" si="8"/>
        <v>133710.48742313264</v>
      </c>
      <c r="H28" s="28">
        <v>7.6668857467392564E-3</v>
      </c>
      <c r="I28" s="1144" t="s">
        <v>14</v>
      </c>
      <c r="J28" s="1148">
        <v>136620</v>
      </c>
      <c r="K28" s="1136">
        <f t="shared" si="6"/>
        <v>5.0247611638556148E-3</v>
      </c>
      <c r="L28" s="1083"/>
      <c r="M28" s="132">
        <f t="shared" si="3"/>
        <v>4157</v>
      </c>
      <c r="N28" s="143" t="str">
        <f t="shared" si="4"/>
        <v>FINES</v>
      </c>
      <c r="O28" s="540">
        <f t="shared" si="5"/>
        <v>50000</v>
      </c>
      <c r="P28" s="115">
        <v>38914</v>
      </c>
      <c r="Q28" s="147">
        <f t="shared" si="7"/>
        <v>11086</v>
      </c>
      <c r="S28" s="10" t="str">
        <f t="shared" si="1"/>
        <v>FINES</v>
      </c>
      <c r="T28" s="218"/>
      <c r="U28" s="15">
        <f t="shared" si="2"/>
        <v>50000</v>
      </c>
    </row>
    <row r="29" spans="1:21" ht="18" thickTop="1" thickBot="1" x14ac:dyDescent="0.35">
      <c r="A29" s="1553">
        <v>4869</v>
      </c>
      <c r="B29" s="1554" t="s">
        <v>1510</v>
      </c>
      <c r="C29" s="1521">
        <v>13447000</v>
      </c>
      <c r="D29" s="1188">
        <f t="shared" si="0"/>
        <v>2.4552112423300511E-3</v>
      </c>
      <c r="E29" s="41"/>
      <c r="F29" s="132" t="s">
        <v>12</v>
      </c>
      <c r="G29" s="1526">
        <f t="shared" si="8"/>
        <v>832961.9354040185</v>
      </c>
      <c r="H29" s="28">
        <v>4.7761578864909317E-2</v>
      </c>
      <c r="I29" s="1145" t="s">
        <v>15</v>
      </c>
      <c r="J29" s="1149">
        <v>6350</v>
      </c>
      <c r="K29" s="1136">
        <f t="shared" si="6"/>
        <v>2.335473092554762E-4</v>
      </c>
      <c r="L29" s="1083"/>
      <c r="M29" s="132">
        <f t="shared" si="3"/>
        <v>4326</v>
      </c>
      <c r="N29" s="143" t="str">
        <f t="shared" si="4"/>
        <v>TREASURER'S INTEREST DISTRIBUTION</v>
      </c>
      <c r="O29" s="540">
        <f t="shared" si="5"/>
        <v>18569000</v>
      </c>
      <c r="P29" s="115">
        <v>9205972</v>
      </c>
      <c r="Q29" s="147">
        <f t="shared" si="7"/>
        <v>9363028</v>
      </c>
      <c r="S29" s="10" t="str">
        <f t="shared" si="1"/>
        <v>TREASURER'S INTEREST DISTRIBUTION</v>
      </c>
      <c r="T29" s="218">
        <v>603000</v>
      </c>
      <c r="U29" s="15">
        <f t="shared" si="2"/>
        <v>17966000</v>
      </c>
    </row>
    <row r="30" spans="1:21" ht="18" thickTop="1" thickBot="1" x14ac:dyDescent="0.35">
      <c r="A30" s="1558">
        <v>2511</v>
      </c>
      <c r="B30" s="1559" t="s">
        <v>1375</v>
      </c>
      <c r="C30" s="1525">
        <v>17440000</v>
      </c>
      <c r="D30" s="1185">
        <f t="shared" si="0"/>
        <v>3.1842703998093322E-3</v>
      </c>
      <c r="F30" s="132" t="s">
        <v>14</v>
      </c>
      <c r="G30" s="1526">
        <f t="shared" si="8"/>
        <v>87631.542830284729</v>
      </c>
      <c r="H30" s="28">
        <v>5.024744428342014E-3</v>
      </c>
      <c r="I30" s="1144" t="s">
        <v>16</v>
      </c>
      <c r="J30" s="1148">
        <v>8509</v>
      </c>
      <c r="K30" s="1136">
        <f t="shared" si="6"/>
        <v>3.1295339440233808E-4</v>
      </c>
      <c r="L30" s="1083"/>
      <c r="M30" s="132">
        <f t="shared" si="3"/>
        <v>4621</v>
      </c>
      <c r="N30" s="143" t="str">
        <f t="shared" si="4"/>
        <v>TRANS FROM UNCLAIMED PROPERTY</v>
      </c>
      <c r="O30" s="540">
        <f t="shared" si="5"/>
        <v>34000</v>
      </c>
      <c r="P30" s="115">
        <v>111501</v>
      </c>
      <c r="Q30" s="147">
        <f t="shared" si="7"/>
        <v>-77501</v>
      </c>
      <c r="S30" s="10" t="str">
        <f t="shared" si="1"/>
        <v>TRANS FROM UNCLAIMED PROPERTY</v>
      </c>
      <c r="T30" s="218">
        <v>148000</v>
      </c>
      <c r="U30" s="15">
        <f t="shared" si="2"/>
        <v>-114000</v>
      </c>
    </row>
    <row r="31" spans="1:21" s="41" customFormat="1" ht="18" thickTop="1" thickBot="1" x14ac:dyDescent="0.35">
      <c r="A31" s="1561">
        <v>2511</v>
      </c>
      <c r="B31" s="1562" t="s">
        <v>1824</v>
      </c>
      <c r="C31" s="1527">
        <v>291375945.48083806</v>
      </c>
      <c r="D31" s="1469">
        <f t="shared" si="0"/>
        <v>5.3200676514397388E-2</v>
      </c>
      <c r="E31" s="10"/>
      <c r="F31" s="132" t="s">
        <v>15</v>
      </c>
      <c r="G31" s="1526">
        <f t="shared" si="8"/>
        <v>4073.1085503897211</v>
      </c>
      <c r="H31" s="28">
        <v>2.3354980220124548E-4</v>
      </c>
      <c r="I31" s="1146" t="s">
        <v>17</v>
      </c>
      <c r="J31" s="1150">
        <v>1101250</v>
      </c>
      <c r="K31" s="1137">
        <f t="shared" si="6"/>
        <v>4.0502988081510732E-2</v>
      </c>
      <c r="L31" s="1084"/>
      <c r="M31" s="132">
        <f t="shared" si="3"/>
        <v>4770</v>
      </c>
      <c r="N31" s="143" t="str">
        <f t="shared" si="4"/>
        <v>BOAT REGISTRATION FEES (NRS 488.075)</v>
      </c>
      <c r="O31" s="540">
        <f t="shared" si="5"/>
        <v>900000</v>
      </c>
      <c r="P31" s="1086">
        <v>246664</v>
      </c>
      <c r="Q31" s="147">
        <f t="shared" si="7"/>
        <v>653336</v>
      </c>
      <c r="S31" s="10" t="str">
        <f t="shared" si="1"/>
        <v>BOAT REGISTRATION FEES (NRS 488.075)</v>
      </c>
      <c r="T31" s="1164">
        <v>729000</v>
      </c>
      <c r="U31" s="15">
        <f t="shared" si="2"/>
        <v>171000</v>
      </c>
    </row>
    <row r="32" spans="1:21" ht="18" thickTop="1" thickBot="1" x14ac:dyDescent="0.35">
      <c r="A32" s="1561"/>
      <c r="B32" s="1562" t="s">
        <v>1872</v>
      </c>
      <c r="C32" s="1527">
        <v>11000</v>
      </c>
      <c r="D32" s="1469">
        <f t="shared" si="0"/>
        <v>2.0084274310723999E-6</v>
      </c>
      <c r="F32" s="132" t="s">
        <v>16</v>
      </c>
      <c r="G32" s="1526">
        <f t="shared" si="8"/>
        <v>5458.1373232540827</v>
      </c>
      <c r="H32" s="28">
        <v>3.1296658963612858E-4</v>
      </c>
      <c r="I32" s="195"/>
      <c r="J32" s="593">
        <f>SUM(J15:J31)</f>
        <v>27189352</v>
      </c>
      <c r="K32" s="1138">
        <f>SUM(K15:K31)</f>
        <v>1</v>
      </c>
      <c r="L32" s="1085"/>
      <c r="M32" s="132">
        <f t="shared" si="3"/>
        <v>4771</v>
      </c>
      <c r="N32" s="143" t="str">
        <f t="shared" si="4"/>
        <v>TRANSFER FROM CANNABIS COMPLIANCE BOARD</v>
      </c>
      <c r="O32" s="540">
        <f t="shared" si="5"/>
        <v>40504000</v>
      </c>
      <c r="P32" s="115">
        <v>50626795</v>
      </c>
      <c r="Q32" s="147">
        <f t="shared" si="7"/>
        <v>-10122795</v>
      </c>
      <c r="S32" s="10" t="str">
        <f t="shared" si="1"/>
        <v>TRANSFER FROM CANNABIS COMPLIANCE BOARD</v>
      </c>
      <c r="T32" s="218">
        <v>63631649</v>
      </c>
      <c r="U32" s="15">
        <f t="shared" si="2"/>
        <v>-23127649</v>
      </c>
    </row>
    <row r="33" spans="1:21" ht="18" thickTop="1" thickBot="1" x14ac:dyDescent="0.35">
      <c r="A33" s="1556">
        <v>85</v>
      </c>
      <c r="B33" s="1557" t="s">
        <v>1873</v>
      </c>
      <c r="C33" s="1531">
        <f>-C20</f>
        <v>-19602000</v>
      </c>
      <c r="D33" s="1186">
        <f t="shared" si="0"/>
        <v>-3.579017682171017E-3</v>
      </c>
      <c r="F33" s="422" t="s">
        <v>17</v>
      </c>
      <c r="G33" s="1526">
        <f t="shared" si="8"/>
        <v>706371.86027965986</v>
      </c>
      <c r="H33" s="28">
        <v>4.0502973639888751E-2</v>
      </c>
      <c r="M33" s="132">
        <f>A29</f>
        <v>4869</v>
      </c>
      <c r="N33" s="143" t="str">
        <f>B29</f>
        <v>TRANSFER FROM PERMANENT FUNDS</v>
      </c>
      <c r="O33" s="540">
        <f>C29</f>
        <v>13447000</v>
      </c>
      <c r="P33" s="115">
        <v>11297403</v>
      </c>
      <c r="Q33" s="147">
        <f t="shared" si="7"/>
        <v>2149597</v>
      </c>
      <c r="S33" s="10" t="str">
        <f>B29</f>
        <v>TRANSFER FROM PERMANENT FUNDS</v>
      </c>
      <c r="T33" s="218">
        <v>11577000</v>
      </c>
      <c r="U33" s="15">
        <f>C29-T33</f>
        <v>1870000</v>
      </c>
    </row>
    <row r="34" spans="1:21" ht="18" thickTop="1" thickBot="1" x14ac:dyDescent="0.35">
      <c r="A34" s="1563"/>
      <c r="B34" s="1564" t="s">
        <v>1874</v>
      </c>
      <c r="C34" s="1503"/>
      <c r="D34" s="1189">
        <f>SUM(D8:D33)</f>
        <v>1</v>
      </c>
      <c r="E34" s="175">
        <f>SUM(C9:C29)-'SEF-FY23FY24FY25 Forecast-May23'!H37</f>
        <v>0</v>
      </c>
      <c r="F34" s="241" t="s">
        <v>953</v>
      </c>
      <c r="G34" s="630">
        <v>17440000</v>
      </c>
      <c r="H34" s="1511">
        <f>SUM(H17:H33)</f>
        <v>0.99999999999999967</v>
      </c>
      <c r="M34" s="195"/>
      <c r="N34" s="168"/>
      <c r="O34" s="541">
        <f>C32</f>
        <v>11000</v>
      </c>
      <c r="P34" s="167">
        <v>0</v>
      </c>
      <c r="Q34" s="542">
        <f t="shared" si="7"/>
        <v>11000</v>
      </c>
      <c r="S34" s="10" t="str">
        <f>B32</f>
        <v>DEPARTMENT OF AGRICULTURE - AGRICULTURE FINES</v>
      </c>
      <c r="T34" s="218"/>
      <c r="U34" s="15">
        <f>SUM(U13:U33)</f>
        <v>724693484</v>
      </c>
    </row>
    <row r="35" spans="1:21" ht="17.25" thickTop="1" x14ac:dyDescent="0.3">
      <c r="A35" s="190"/>
      <c r="B35" s="181" t="s">
        <v>973</v>
      </c>
      <c r="C35" s="593">
        <f>SUM(C8:C34)</f>
        <v>5476921809.4808378</v>
      </c>
      <c r="D35" s="196"/>
      <c r="E35" s="4"/>
      <c r="F35" s="4"/>
      <c r="G35" s="202">
        <f>G34-C30</f>
        <v>0</v>
      </c>
      <c r="O35" s="12">
        <f>C33</f>
        <v>-19602000</v>
      </c>
      <c r="P35" s="115"/>
      <c r="Q35" s="12"/>
      <c r="S35" s="10" t="str">
        <f>B33</f>
        <v>LESS RESERVE - (NPM RECEIVED IN CURRENT YEAR FOR EXPENDITURE IN FOLLOWING FISCAL YEAR)</v>
      </c>
      <c r="T35" s="218"/>
      <c r="U35" s="15"/>
    </row>
    <row r="36" spans="1:21" x14ac:dyDescent="0.3">
      <c r="C36" s="240"/>
      <c r="G36" s="175">
        <f>G34-SUM(G17:G33)</f>
        <v>0</v>
      </c>
      <c r="I36" s="4"/>
      <c r="J36" s="4"/>
      <c r="K36" s="4"/>
      <c r="L36" s="4"/>
      <c r="M36" s="4"/>
    </row>
    <row r="37" spans="1:21" x14ac:dyDescent="0.3">
      <c r="B37" s="17"/>
      <c r="C37" s="7">
        <f>C33</f>
        <v>-19602000</v>
      </c>
    </row>
    <row r="38" spans="1:21" x14ac:dyDescent="0.3">
      <c r="B38" s="17" t="s">
        <v>1808</v>
      </c>
      <c r="C38" s="7">
        <f>C35-C37</f>
        <v>5496523809.4808378</v>
      </c>
      <c r="E38" s="12"/>
    </row>
    <row r="39" spans="1:21" x14ac:dyDescent="0.3">
      <c r="A39" s="5" t="s">
        <v>79</v>
      </c>
      <c r="B39" s="1529" t="s">
        <v>1859</v>
      </c>
      <c r="H39" s="4"/>
    </row>
    <row r="40" spans="1:21" x14ac:dyDescent="0.3">
      <c r="A40" s="17"/>
    </row>
    <row r="41" spans="1:21" x14ac:dyDescent="0.3">
      <c r="A41" s="13"/>
    </row>
    <row r="42" spans="1:21" x14ac:dyDescent="0.3">
      <c r="A42" s="13"/>
    </row>
    <row r="43" spans="1:21" x14ac:dyDescent="0.3">
      <c r="A43" s="13"/>
    </row>
  </sheetData>
  <sheetProtection algorithmName="SHA-512" hashValue="1refpkepg2orQrXEcjKk1v3tz4wp1GAcHiAiNYXpHr4g/WinWa6ckfJnLT3YSfyl4u9nFNBy85fj0K2bNKfUpg==" saltValue="h4O6b/NcfMaG+8Z+b9LrHA==" spinCount="100000" sheet="1" objects="1" scenarios="1"/>
  <sortState xmlns:xlrd2="http://schemas.microsoft.com/office/spreadsheetml/2017/richdata2" ref="A11:B35">
    <sortCondition descending="1" ref="B11:B35"/>
  </sortState>
  <customSheetViews>
    <customSheetView guid="{92EB2B16-3546-4CC6-AF3A-0019867B62A7}" scale="80" fitToPage="1">
      <pane xSplit="1" ySplit="5" topLeftCell="B6" activePane="bottomRight" state="frozen"/>
      <selection pane="bottomRight" activeCell="A9" sqref="A9"/>
      <pageMargins left="0.7" right="0.7" top="0.75" bottom="0.75" header="0.3" footer="0.3"/>
      <pageSetup paperSize="3" fitToHeight="0"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80" showPageBreaks="1" fitToPage="1" printArea="1">
      <pane xSplit="1" ySplit="5" topLeftCell="B36" activePane="bottomRight" state="frozen"/>
      <selection pane="bottomRight" activeCell="A4" sqref="A4"/>
      <pageMargins left="0.7" right="0.7" top="0.75" bottom="0.75" header="0.3" footer="0.3"/>
      <pageSetup paperSize="3" fitToHeight="0"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80" showPageBreaks="1" fitToPage="1" printArea="1">
      <pane xSplit="1" ySplit="5" topLeftCell="B36" activePane="bottomRight" state="frozen"/>
      <selection pane="bottomRight" activeCell="A4" sqref="A4"/>
      <pageMargins left="0.7" right="0.7" top="0.75" bottom="0.75" header="0.3" footer="0.3"/>
      <pageSetup paperSize="3" fitToHeight="0" orientation="landscape" r:id="rId3"/>
      <headerFooter>
        <oddHeader>&amp;R&amp;"Arial Narrow,Regular"&amp;10&amp;A
&amp;P</oddHeader>
        <oddFooter>&amp;L&amp;"Arial Narrow,Regular"&amp;10This is a draft document. It is intended for discussion purposes only.&amp;R&amp;G</oddFooter>
      </headerFooter>
    </customSheetView>
  </customSheetViews>
  <mergeCells count="1">
    <mergeCell ref="O12:Q12"/>
  </mergeCells>
  <phoneticPr fontId="79" type="noConversion"/>
  <dataValidations count="1">
    <dataValidation type="list" allowBlank="1" showInputMessage="1" showErrorMessage="1" sqref="C3" xr:uid="{FD186A84-FD54-48B2-9C5B-AE0525C4DD51}">
      <formula1>$D$3:$D$4</formula1>
    </dataValidation>
  </dataValidations>
  <pageMargins left="0" right="0" top="0.75" bottom="0.75" header="0.3" footer="0.3"/>
  <pageSetup scale="64" fitToHeight="0" orientation="landscape" r:id="rId4"/>
  <headerFooter>
    <oddHeader>&amp;R&amp;"Arial Narrow,Regular"&amp;10&amp;A
&amp;P</oddHeader>
  </headerFooter>
  <drawing r:id="rId5"/>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1B964-540E-4F61-828F-B1E8F59C0CC7}">
  <sheetPr>
    <tabColor rgb="FFFF0000"/>
    <pageSetUpPr fitToPage="1"/>
  </sheetPr>
  <dimension ref="A1:AB102"/>
  <sheetViews>
    <sheetView zoomScale="85" zoomScaleNormal="85" workbookViewId="0">
      <selection activeCell="AA6" sqref="AA6"/>
    </sheetView>
  </sheetViews>
  <sheetFormatPr defaultColWidth="8.85546875" defaultRowHeight="15" x14ac:dyDescent="0.25"/>
  <cols>
    <col min="1" max="1" width="1.85546875" customWidth="1"/>
    <col min="2" max="2" width="43.85546875" customWidth="1"/>
    <col min="3" max="3" width="16.7109375" customWidth="1"/>
    <col min="4" max="4" width="13.140625" bestFit="1" customWidth="1"/>
    <col min="5" max="5" width="14.5703125" customWidth="1"/>
    <col min="6" max="6" width="17.7109375" bestFit="1" customWidth="1"/>
    <col min="7" max="7" width="2.7109375" customWidth="1"/>
    <col min="8" max="8" width="26.42578125" bestFit="1" customWidth="1"/>
    <col min="9" max="9" width="2.7109375" customWidth="1"/>
    <col min="10" max="11" width="11.5703125" bestFit="1" customWidth="1"/>
    <col min="12" max="12" width="11.5703125" customWidth="1"/>
    <col min="13" max="13" width="19.28515625" customWidth="1"/>
    <col min="14" max="14" width="12.5703125" style="310" customWidth="1"/>
    <col min="15" max="15" width="12.28515625" style="310" bestFit="1" customWidth="1"/>
    <col min="16" max="16" width="15.28515625" style="310" bestFit="1" customWidth="1"/>
    <col min="17" max="17" width="10.5703125" style="310" customWidth="1"/>
    <col min="18" max="18" width="8.85546875" customWidth="1"/>
    <col min="19" max="21" width="10.140625" bestFit="1" customWidth="1"/>
    <col min="22" max="22" width="9.140625" bestFit="1" customWidth="1"/>
    <col min="23" max="23" width="15.5703125" customWidth="1"/>
    <col min="24" max="24" width="9.140625" bestFit="1" customWidth="1"/>
    <col min="25" max="25" width="11.140625" bestFit="1" customWidth="1"/>
    <col min="26" max="26" width="21" bestFit="1" customWidth="1"/>
    <col min="27" max="27" width="16.85546875" bestFit="1" customWidth="1"/>
    <col min="28" max="28" width="9.5703125" bestFit="1" customWidth="1"/>
  </cols>
  <sheetData>
    <row r="1" spans="1:28" s="4" customFormat="1" ht="16.5" x14ac:dyDescent="0.3">
      <c r="A1" s="10" t="s">
        <v>602</v>
      </c>
      <c r="N1" s="25"/>
      <c r="O1" s="25"/>
      <c r="P1" s="25"/>
      <c r="Q1" s="25"/>
      <c r="S1" s="217"/>
    </row>
    <row r="2" spans="1:28" s="10" customFormat="1" ht="16.5" x14ac:dyDescent="0.3">
      <c r="A2" s="10" t="str">
        <f>CONCATENATE("Pupil Center Funding Plan | FY",'1.1 Assumption Control YR1'!D5)</f>
        <v>Pupil Center Funding Plan | FY2024</v>
      </c>
      <c r="J2" s="4"/>
      <c r="K2" s="4"/>
      <c r="L2" s="4"/>
      <c r="N2" s="22"/>
      <c r="O2" s="22"/>
      <c r="P2" s="22"/>
      <c r="Q2" s="22"/>
    </row>
    <row r="3" spans="1:28" s="10" customFormat="1" ht="16.5" x14ac:dyDescent="0.3">
      <c r="A3" s="10" t="s">
        <v>1263</v>
      </c>
      <c r="H3" s="450"/>
      <c r="J3" s="4"/>
      <c r="K3" s="4"/>
      <c r="L3" s="4"/>
      <c r="N3" s="22"/>
      <c r="O3" s="22"/>
      <c r="P3" s="22"/>
      <c r="Q3" s="22"/>
    </row>
    <row r="4" spans="1:28" s="293" customFormat="1" ht="15.75" customHeight="1" x14ac:dyDescent="0.3">
      <c r="A4" s="292"/>
      <c r="B4" s="293" t="s">
        <v>1304</v>
      </c>
      <c r="J4" s="451"/>
      <c r="K4" s="10"/>
      <c r="L4" s="10"/>
      <c r="N4" s="309"/>
      <c r="O4" s="309"/>
      <c r="P4" s="309"/>
      <c r="Q4" s="309"/>
      <c r="T4" s="1485"/>
      <c r="U4" s="1486"/>
    </row>
    <row r="5" spans="1:28" ht="16.5" x14ac:dyDescent="0.3">
      <c r="B5" s="230" t="s">
        <v>738</v>
      </c>
      <c r="C5" s="1583" t="s">
        <v>1069</v>
      </c>
      <c r="D5" s="1583"/>
      <c r="E5" s="1583"/>
      <c r="F5" s="1583"/>
      <c r="H5" s="39" t="s">
        <v>1008</v>
      </c>
      <c r="J5" s="369" t="s">
        <v>1013</v>
      </c>
      <c r="K5" s="10"/>
      <c r="L5" s="10"/>
      <c r="S5" s="333" t="s">
        <v>1049</v>
      </c>
      <c r="T5" s="334"/>
      <c r="U5" s="334"/>
      <c r="V5" s="334"/>
      <c r="W5" s="334"/>
      <c r="X5" s="334"/>
      <c r="Y5" s="334"/>
      <c r="Z5" s="337"/>
      <c r="AA5" s="337"/>
    </row>
    <row r="6" spans="1:28" s="217" customFormat="1" ht="45.75" x14ac:dyDescent="0.3">
      <c r="A6" s="978"/>
      <c r="B6" s="979" t="s">
        <v>746</v>
      </c>
      <c r="C6" s="980" t="s">
        <v>1302</v>
      </c>
      <c r="D6" s="980" t="s">
        <v>974</v>
      </c>
      <c r="E6" s="980" t="s">
        <v>975</v>
      </c>
      <c r="F6" s="980" t="s">
        <v>1007</v>
      </c>
      <c r="G6" s="216"/>
      <c r="H6" s="977" t="s">
        <v>976</v>
      </c>
      <c r="J6" s="452" t="s">
        <v>1135</v>
      </c>
      <c r="K6" s="293"/>
      <c r="L6" s="293"/>
      <c r="M6" s="1151" t="s">
        <v>1015</v>
      </c>
      <c r="N6" s="840" t="s">
        <v>1180</v>
      </c>
      <c r="O6" s="840" t="s">
        <v>1016</v>
      </c>
      <c r="P6" s="840" t="s">
        <v>1017</v>
      </c>
      <c r="Q6" s="1125" t="s">
        <v>1018</v>
      </c>
      <c r="S6" s="338" t="s">
        <v>1027</v>
      </c>
      <c r="T6" s="339" t="s">
        <v>1028</v>
      </c>
      <c r="U6" s="339" t="s">
        <v>1029</v>
      </c>
      <c r="V6" s="339" t="s">
        <v>987</v>
      </c>
      <c r="W6" s="339" t="s">
        <v>62</v>
      </c>
      <c r="X6" s="339" t="s">
        <v>1050</v>
      </c>
      <c r="Y6" s="339" t="s">
        <v>1031</v>
      </c>
      <c r="Z6" s="340" t="s">
        <v>1030</v>
      </c>
      <c r="AA6" s="340" t="s">
        <v>1853</v>
      </c>
    </row>
    <row r="7" spans="1:28" ht="16.5" customHeight="1" thickBot="1" x14ac:dyDescent="0.3">
      <c r="A7" s="3" t="s">
        <v>87</v>
      </c>
      <c r="C7" s="993"/>
      <c r="D7" s="1"/>
      <c r="E7" s="1"/>
      <c r="M7" s="232"/>
      <c r="N7" s="311"/>
      <c r="O7" s="311"/>
      <c r="P7" s="311"/>
      <c r="Q7" s="1120"/>
      <c r="S7" s="301"/>
      <c r="Z7" s="232"/>
      <c r="AA7" s="232"/>
    </row>
    <row r="8" spans="1:28" ht="18" thickTop="1" thickBot="1" x14ac:dyDescent="0.35">
      <c r="B8" s="211" t="str">
        <f>'1.2 Budgeted Enrollment YR1'!E9</f>
        <v>Carson City</v>
      </c>
      <c r="C8" s="54">
        <v>23163557.616340328</v>
      </c>
      <c r="D8" s="54">
        <v>8067997.7257305803</v>
      </c>
      <c r="E8" s="54">
        <f>41602579.09+42.03</f>
        <v>41602621.120000005</v>
      </c>
      <c r="F8" s="54">
        <f>SUM(C8:E8)</f>
        <v>72834176.462070912</v>
      </c>
      <c r="H8" s="518">
        <f>ROUND(F8,0)</f>
        <v>72834176</v>
      </c>
      <c r="I8" s="1028"/>
      <c r="J8" s="702">
        <v>7703.8062179500002</v>
      </c>
      <c r="K8" s="1472">
        <f>H8/J8</f>
        <v>9454.3104978802712</v>
      </c>
      <c r="L8" s="1472"/>
      <c r="M8" s="1132">
        <f>N8-O8-P8-Q8</f>
        <v>7600000</v>
      </c>
      <c r="N8" s="344">
        <v>13006228.25</v>
      </c>
      <c r="O8" s="344">
        <v>0</v>
      </c>
      <c r="P8" s="344">
        <v>4557321.25</v>
      </c>
      <c r="Q8" s="1121">
        <v>848907</v>
      </c>
      <c r="S8" s="703">
        <v>1347600</v>
      </c>
      <c r="T8" s="704">
        <v>766881.57</v>
      </c>
      <c r="U8" s="704">
        <v>0</v>
      </c>
      <c r="V8" s="704">
        <v>356707.26</v>
      </c>
      <c r="W8" s="704">
        <v>2354421</v>
      </c>
      <c r="X8" s="704">
        <v>529286</v>
      </c>
      <c r="Y8" s="706">
        <v>7600000</v>
      </c>
      <c r="Z8" s="1541">
        <f>H8-SUM(S8:Y8)</f>
        <v>59879280.170000002</v>
      </c>
      <c r="AA8" s="705">
        <f>SUM(S8:Y8)</f>
        <v>12954895.83</v>
      </c>
      <c r="AB8" s="2"/>
    </row>
    <row r="9" spans="1:28" ht="18" thickTop="1" thickBot="1" x14ac:dyDescent="0.35">
      <c r="B9" s="211" t="str">
        <f>'1.2 Budgeted Enrollment YR1'!E10</f>
        <v>Churchill</v>
      </c>
      <c r="C9" s="54">
        <v>13799604.1325016</v>
      </c>
      <c r="D9" s="54">
        <v>2479095</v>
      </c>
      <c r="E9" s="54">
        <f>13113626.76+553.45</f>
        <v>13114180.209999999</v>
      </c>
      <c r="F9" s="54">
        <f t="shared" ref="F9:F25" si="0">SUM(C9:E9)</f>
        <v>29392879.342501599</v>
      </c>
      <c r="H9" s="518">
        <f t="shared" ref="H9:H25" si="1">ROUND(F9,0)</f>
        <v>29392879</v>
      </c>
      <c r="I9" s="1028"/>
      <c r="J9" s="470">
        <v>3244.6133332499999</v>
      </c>
      <c r="K9" s="1472">
        <f t="shared" ref="K9:K25" si="2">H9/J9</f>
        <v>9058.9774438725872</v>
      </c>
      <c r="L9" s="1472"/>
      <c r="M9" s="1132">
        <f t="shared" ref="M9:M72" si="3">N9-O9-P9-Q9</f>
        <v>1874999.9999999995</v>
      </c>
      <c r="N9" s="344">
        <v>4785473.26</v>
      </c>
      <c r="O9" s="344">
        <v>101363.2</v>
      </c>
      <c r="P9" s="344">
        <v>2695486.06</v>
      </c>
      <c r="Q9" s="1121">
        <v>113624</v>
      </c>
      <c r="S9" s="472">
        <v>277200</v>
      </c>
      <c r="T9" s="473">
        <v>167408.01999999999</v>
      </c>
      <c r="U9" s="473">
        <v>0</v>
      </c>
      <c r="V9" s="473">
        <v>0</v>
      </c>
      <c r="W9" s="473">
        <v>1719375.43</v>
      </c>
      <c r="X9" s="473">
        <v>0</v>
      </c>
      <c r="Y9" s="707">
        <v>1874999.9999999995</v>
      </c>
      <c r="Z9" s="626">
        <f t="shared" ref="Z9:Z25" si="4">H9-SUM(S9:Y9)</f>
        <v>25353895.550000001</v>
      </c>
      <c r="AA9" s="626">
        <f t="shared" ref="AA9:AA26" si="5">SUM(S9:Y9)</f>
        <v>4038983.4499999997</v>
      </c>
    </row>
    <row r="10" spans="1:28" ht="18" thickTop="1" thickBot="1" x14ac:dyDescent="0.35">
      <c r="B10" s="211" t="str">
        <f>'1.2 Budgeted Enrollment YR1'!E11</f>
        <v>Clark</v>
      </c>
      <c r="C10" s="54">
        <v>697067309.37271821</v>
      </c>
      <c r="D10" s="54">
        <v>310613563</v>
      </c>
      <c r="E10" s="54">
        <f>1576378125.14+391078+37424.56</f>
        <v>1576806627.7</v>
      </c>
      <c r="F10" s="54">
        <f t="shared" si="0"/>
        <v>2584487500.0727181</v>
      </c>
      <c r="H10" s="518">
        <f t="shared" si="1"/>
        <v>2584487500</v>
      </c>
      <c r="I10" s="1028"/>
      <c r="J10" s="470">
        <v>314756.71407050022</v>
      </c>
      <c r="K10" s="1472">
        <f t="shared" si="2"/>
        <v>8211.0639248226435</v>
      </c>
      <c r="L10" s="1472"/>
      <c r="M10" s="1132">
        <f t="shared" si="3"/>
        <v>352610751.08999997</v>
      </c>
      <c r="N10" s="344">
        <v>489286224.95999998</v>
      </c>
      <c r="O10" s="344">
        <v>0</v>
      </c>
      <c r="P10" s="344">
        <v>136675473.87</v>
      </c>
      <c r="Q10" s="1121">
        <v>0</v>
      </c>
      <c r="S10" s="472">
        <v>55891200</v>
      </c>
      <c r="T10" s="473">
        <v>37981010</v>
      </c>
      <c r="U10" s="473">
        <v>19984493.890000001</v>
      </c>
      <c r="V10" s="473">
        <v>5330981.4300000006</v>
      </c>
      <c r="W10" s="473">
        <v>144286074</v>
      </c>
      <c r="X10" s="473">
        <v>0</v>
      </c>
      <c r="Y10" s="707">
        <v>352610751.08999997</v>
      </c>
      <c r="Z10" s="626">
        <f t="shared" si="4"/>
        <v>1968402989.5900002</v>
      </c>
      <c r="AA10" s="626">
        <f t="shared" si="5"/>
        <v>616084510.40999997</v>
      </c>
    </row>
    <row r="11" spans="1:28" ht="18" thickTop="1" thickBot="1" x14ac:dyDescent="0.35">
      <c r="B11" s="211" t="str">
        <f>'1.2 Budgeted Enrollment YR1'!E12</f>
        <v>Douglas</v>
      </c>
      <c r="C11" s="54">
        <v>11724049.996899091</v>
      </c>
      <c r="D11" s="54">
        <v>3976882.2714359993</v>
      </c>
      <c r="E11" s="54">
        <f>41044805.39+287.23</f>
        <v>41045092.619999997</v>
      </c>
      <c r="F11" s="54">
        <f t="shared" si="0"/>
        <v>56746024.888335086</v>
      </c>
      <c r="H11" s="518">
        <f t="shared" si="1"/>
        <v>56746025</v>
      </c>
      <c r="I11" s="1028"/>
      <c r="J11" s="470">
        <v>5629.4090109500003</v>
      </c>
      <c r="K11" s="1472">
        <f t="shared" si="2"/>
        <v>10080.281054302666</v>
      </c>
      <c r="L11" s="1472"/>
      <c r="M11" s="1132">
        <f t="shared" si="3"/>
        <v>3811985</v>
      </c>
      <c r="N11" s="344">
        <v>8515833.8200000003</v>
      </c>
      <c r="O11" s="344">
        <v>0</v>
      </c>
      <c r="P11" s="344">
        <v>3846567.82</v>
      </c>
      <c r="Q11" s="1121">
        <v>857281</v>
      </c>
      <c r="S11" s="472">
        <v>315600</v>
      </c>
      <c r="T11" s="473">
        <v>216032.76</v>
      </c>
      <c r="U11" s="473">
        <v>0</v>
      </c>
      <c r="V11" s="473">
        <v>129711.73</v>
      </c>
      <c r="W11" s="473">
        <v>3465564.2</v>
      </c>
      <c r="X11" s="473">
        <v>0</v>
      </c>
      <c r="Y11" s="707">
        <v>3811985</v>
      </c>
      <c r="Z11" s="626">
        <f t="shared" si="4"/>
        <v>48807131.310000002</v>
      </c>
      <c r="AA11" s="626">
        <f t="shared" si="5"/>
        <v>7938893.6900000004</v>
      </c>
    </row>
    <row r="12" spans="1:28" ht="18" thickTop="1" thickBot="1" x14ac:dyDescent="0.35">
      <c r="B12" s="211" t="str">
        <f>'1.2 Budgeted Enrollment YR1'!E13</f>
        <v>Elko</v>
      </c>
      <c r="C12" s="54">
        <v>30944296.682998974</v>
      </c>
      <c r="D12" s="54">
        <v>9534792.8098719995</v>
      </c>
      <c r="E12" s="54">
        <f>61828665.02+25638+553.45</f>
        <v>61854856.470000006</v>
      </c>
      <c r="F12" s="54">
        <f t="shared" si="0"/>
        <v>102333945.96287099</v>
      </c>
      <c r="H12" s="518">
        <f t="shared" si="1"/>
        <v>102333946</v>
      </c>
      <c r="I12" s="1028"/>
      <c r="J12" s="470">
        <v>9933.4221988000008</v>
      </c>
      <c r="K12" s="1472">
        <f t="shared" si="2"/>
        <v>10301.98293719584</v>
      </c>
      <c r="L12" s="1472"/>
      <c r="M12" s="1132">
        <f t="shared" si="3"/>
        <v>5900591</v>
      </c>
      <c r="N12" s="344">
        <v>10893479.08</v>
      </c>
      <c r="O12" s="344">
        <v>235674</v>
      </c>
      <c r="P12" s="344">
        <v>4757214.08</v>
      </c>
      <c r="Q12" s="1121">
        <v>0</v>
      </c>
      <c r="S12" s="472">
        <v>891600</v>
      </c>
      <c r="T12" s="473">
        <v>694639.1</v>
      </c>
      <c r="U12" s="473">
        <v>1180226.3600000001</v>
      </c>
      <c r="V12" s="473">
        <v>129711.73</v>
      </c>
      <c r="W12" s="473">
        <v>4285094.2</v>
      </c>
      <c r="X12" s="473">
        <v>347096</v>
      </c>
      <c r="Y12" s="707">
        <v>5900591</v>
      </c>
      <c r="Z12" s="626">
        <f t="shared" si="4"/>
        <v>88904987.609999999</v>
      </c>
      <c r="AA12" s="626">
        <f t="shared" si="5"/>
        <v>13428958.390000001</v>
      </c>
    </row>
    <row r="13" spans="1:28" ht="18" thickTop="1" thickBot="1" x14ac:dyDescent="0.35">
      <c r="B13" s="211" t="str">
        <f>'1.2 Budgeted Enrollment YR1'!E14</f>
        <v>Esmeralda</v>
      </c>
      <c r="C13" s="54">
        <v>1232448.6137956919</v>
      </c>
      <c r="D13" s="54">
        <v>326258.95</v>
      </c>
      <c r="E13" s="54">
        <v>1061220.0899999999</v>
      </c>
      <c r="F13" s="54">
        <f>SUM(C13:E13)</f>
        <v>2619927.6537956917</v>
      </c>
      <c r="H13" s="518">
        <f t="shared" si="1"/>
        <v>2619928</v>
      </c>
      <c r="I13" s="1028"/>
      <c r="J13" s="470">
        <v>70.707003950000001</v>
      </c>
      <c r="K13" s="1472">
        <f>H13/J13</f>
        <v>37053.302411917568</v>
      </c>
      <c r="L13" s="1472"/>
      <c r="M13" s="1132">
        <f t="shared" si="3"/>
        <v>44620.000000000007</v>
      </c>
      <c r="N13" s="344">
        <v>119422.1</v>
      </c>
      <c r="O13" s="344">
        <v>0</v>
      </c>
      <c r="P13" s="344">
        <v>56338.1</v>
      </c>
      <c r="Q13" s="1121">
        <v>18464</v>
      </c>
      <c r="S13" s="472">
        <v>16800</v>
      </c>
      <c r="T13" s="473">
        <v>9030.31</v>
      </c>
      <c r="U13" s="473">
        <v>0</v>
      </c>
      <c r="V13" s="473">
        <v>0</v>
      </c>
      <c r="W13" s="473">
        <v>328549.57999999996</v>
      </c>
      <c r="X13" s="473">
        <v>49284</v>
      </c>
      <c r="Y13" s="707">
        <v>44620.000000000007</v>
      </c>
      <c r="Z13" s="626">
        <f>H13-SUM(S13:Y13)</f>
        <v>2171644.11</v>
      </c>
      <c r="AA13" s="626">
        <f>SUM(S13:Y13)</f>
        <v>448283.88999999996</v>
      </c>
    </row>
    <row r="14" spans="1:28" ht="18" thickTop="1" thickBot="1" x14ac:dyDescent="0.35">
      <c r="B14" s="211" t="str">
        <f>'1.2 Budgeted Enrollment YR1'!E15</f>
        <v>Eureka</v>
      </c>
      <c r="C14" s="54">
        <v>0</v>
      </c>
      <c r="D14" s="54">
        <v>258515.59900938065</v>
      </c>
      <c r="E14" s="54">
        <f>11785534.3+645</f>
        <v>11786179.300000001</v>
      </c>
      <c r="F14" s="54">
        <f t="shared" si="0"/>
        <v>12044694.89900938</v>
      </c>
      <c r="H14" s="518">
        <f t="shared" si="1"/>
        <v>12044695</v>
      </c>
      <c r="I14" s="1028"/>
      <c r="J14" s="470">
        <v>306.2</v>
      </c>
      <c r="K14" s="1472">
        <f t="shared" si="2"/>
        <v>39336.038536903987</v>
      </c>
      <c r="L14" s="1472"/>
      <c r="M14" s="1132">
        <f t="shared" si="3"/>
        <v>200000</v>
      </c>
      <c r="N14" s="344">
        <v>1180484.92</v>
      </c>
      <c r="O14" s="344">
        <v>0</v>
      </c>
      <c r="P14" s="344">
        <v>265947.92</v>
      </c>
      <c r="Q14" s="1121">
        <v>714537</v>
      </c>
      <c r="S14" s="472">
        <v>2400</v>
      </c>
      <c r="T14" s="473">
        <v>9030.31</v>
      </c>
      <c r="U14" s="473">
        <v>0</v>
      </c>
      <c r="V14" s="473">
        <v>0</v>
      </c>
      <c r="W14" s="473">
        <v>434259</v>
      </c>
      <c r="X14" s="473">
        <v>399223</v>
      </c>
      <c r="Y14" s="707">
        <v>200000</v>
      </c>
      <c r="Z14" s="626">
        <f t="shared" si="4"/>
        <v>10999782.689999999</v>
      </c>
      <c r="AA14" s="626">
        <f>SUM(S14:Y14)</f>
        <v>1044912.31</v>
      </c>
    </row>
    <row r="15" spans="1:28" ht="18" thickTop="1" thickBot="1" x14ac:dyDescent="0.35">
      <c r="B15" s="211" t="str">
        <f>'1.2 Budgeted Enrollment YR1'!E16</f>
        <v>Humboldt</v>
      </c>
      <c r="C15" s="54">
        <v>9181114.7864431683</v>
      </c>
      <c r="D15" s="54">
        <v>3833355</v>
      </c>
      <c r="E15" s="54">
        <v>25089020.77</v>
      </c>
      <c r="F15" s="54">
        <f t="shared" si="0"/>
        <v>38103490.55644317</v>
      </c>
      <c r="H15" s="518">
        <f t="shared" si="1"/>
        <v>38103491</v>
      </c>
      <c r="I15" s="1028"/>
      <c r="J15" s="470">
        <v>3383.7675731499999</v>
      </c>
      <c r="K15" s="1472">
        <f t="shared" si="2"/>
        <v>11260.670296136472</v>
      </c>
      <c r="L15" s="1472"/>
      <c r="M15" s="1132">
        <f t="shared" si="3"/>
        <v>2391487</v>
      </c>
      <c r="N15" s="344">
        <v>4380732.45</v>
      </c>
      <c r="O15" s="344">
        <v>48309</v>
      </c>
      <c r="P15" s="344">
        <v>1940936.45</v>
      </c>
      <c r="Q15" s="1121">
        <v>0</v>
      </c>
      <c r="S15" s="472">
        <v>493200</v>
      </c>
      <c r="T15" s="473">
        <v>245207.6</v>
      </c>
      <c r="U15" s="473">
        <v>118143.48</v>
      </c>
      <c r="V15" s="473">
        <v>0</v>
      </c>
      <c r="W15" s="473">
        <v>1619978</v>
      </c>
      <c r="X15" s="473">
        <v>56472</v>
      </c>
      <c r="Y15" s="707">
        <v>2391487</v>
      </c>
      <c r="Z15" s="626">
        <f t="shared" si="4"/>
        <v>33179002.920000002</v>
      </c>
      <c r="AA15" s="626">
        <f t="shared" si="5"/>
        <v>4924488.08</v>
      </c>
    </row>
    <row r="16" spans="1:28" ht="18" thickTop="1" thickBot="1" x14ac:dyDescent="0.35">
      <c r="B16" s="211" t="str">
        <f>'1.2 Budgeted Enrollment YR1'!E17</f>
        <v>Lander</v>
      </c>
      <c r="C16" s="54">
        <v>0</v>
      </c>
      <c r="D16" s="54">
        <v>808131</v>
      </c>
      <c r="E16" s="54">
        <v>11020088.560000001</v>
      </c>
      <c r="F16" s="54">
        <f t="shared" si="0"/>
        <v>11828219.560000001</v>
      </c>
      <c r="H16" s="518">
        <f t="shared" si="1"/>
        <v>11828220</v>
      </c>
      <c r="I16" s="1028"/>
      <c r="J16" s="470">
        <v>982.91822275000004</v>
      </c>
      <c r="K16" s="1472">
        <f t="shared" si="2"/>
        <v>12033.778320750946</v>
      </c>
      <c r="L16" s="1472"/>
      <c r="M16" s="1132">
        <f t="shared" si="3"/>
        <v>738064.99999999988</v>
      </c>
      <c r="N16" s="344">
        <v>1420791.4</v>
      </c>
      <c r="O16" s="344">
        <v>0</v>
      </c>
      <c r="P16" s="344">
        <v>682726.40000000002</v>
      </c>
      <c r="Q16" s="1121">
        <v>0</v>
      </c>
      <c r="S16" s="472">
        <v>58800</v>
      </c>
      <c r="T16" s="473">
        <v>47235.46</v>
      </c>
      <c r="U16" s="473">
        <v>0</v>
      </c>
      <c r="V16" s="473">
        <v>0</v>
      </c>
      <c r="W16" s="473">
        <v>582580.19999999995</v>
      </c>
      <c r="X16" s="473">
        <v>100000</v>
      </c>
      <c r="Y16" s="707">
        <v>738064.99999999988</v>
      </c>
      <c r="Z16" s="626">
        <f t="shared" si="4"/>
        <v>10301539.34</v>
      </c>
      <c r="AA16" s="626">
        <f t="shared" si="5"/>
        <v>1526680.6599999997</v>
      </c>
    </row>
    <row r="17" spans="1:27" ht="18" thickTop="1" thickBot="1" x14ac:dyDescent="0.35">
      <c r="B17" s="211" t="str">
        <f>'1.2 Budgeted Enrollment YR1'!E18</f>
        <v>Lincoln</v>
      </c>
      <c r="C17" s="54">
        <v>9513169.5755588822</v>
      </c>
      <c r="D17" s="54">
        <v>625488.97829999996</v>
      </c>
      <c r="E17" s="54">
        <f>2581625.93+1453</f>
        <v>2583078.9300000002</v>
      </c>
      <c r="F17" s="54">
        <f t="shared" si="0"/>
        <v>12721737.483858882</v>
      </c>
      <c r="H17" s="518">
        <f t="shared" si="1"/>
        <v>12721737</v>
      </c>
      <c r="I17" s="1028"/>
      <c r="J17" s="470">
        <v>855.1576710999999</v>
      </c>
      <c r="K17" s="1472">
        <f t="shared" si="2"/>
        <v>14876.481179939452</v>
      </c>
      <c r="L17" s="1472"/>
      <c r="M17" s="1132">
        <f t="shared" si="3"/>
        <v>330000</v>
      </c>
      <c r="N17" s="344">
        <v>1618199.6099999999</v>
      </c>
      <c r="O17" s="344">
        <v>0</v>
      </c>
      <c r="P17" s="344">
        <v>1128642.6099999999</v>
      </c>
      <c r="Q17" s="1121">
        <v>159557</v>
      </c>
      <c r="S17" s="472">
        <v>91200</v>
      </c>
      <c r="T17" s="473">
        <v>9030.3083000000006</v>
      </c>
      <c r="U17" s="473">
        <v>0</v>
      </c>
      <c r="V17" s="473">
        <v>0</v>
      </c>
      <c r="W17" s="473">
        <v>773153</v>
      </c>
      <c r="X17" s="473">
        <v>70000</v>
      </c>
      <c r="Y17" s="707">
        <v>330000</v>
      </c>
      <c r="Z17" s="626">
        <f t="shared" si="4"/>
        <v>11448353.6917</v>
      </c>
      <c r="AA17" s="626">
        <f t="shared" si="5"/>
        <v>1273383.3083000001</v>
      </c>
    </row>
    <row r="18" spans="1:27" ht="18" thickTop="1" thickBot="1" x14ac:dyDescent="0.35">
      <c r="B18" s="211" t="str">
        <f>'1.2 Budgeted Enrollment YR1'!E19</f>
        <v>Lyon</v>
      </c>
      <c r="C18" s="54">
        <v>51994510.777329147</v>
      </c>
      <c r="D18" s="54">
        <v>6738013</v>
      </c>
      <c r="E18" s="54">
        <f>25619715.89+23883</f>
        <v>25643598.890000001</v>
      </c>
      <c r="F18" s="54">
        <f t="shared" si="0"/>
        <v>84376122.667329147</v>
      </c>
      <c r="H18" s="518">
        <f t="shared" si="1"/>
        <v>84376123</v>
      </c>
      <c r="I18" s="1028"/>
      <c r="J18" s="470">
        <v>8845.8018661500009</v>
      </c>
      <c r="K18" s="1472">
        <f t="shared" si="2"/>
        <v>9538.5499558700158</v>
      </c>
      <c r="L18" s="1472"/>
      <c r="M18" s="1132">
        <f t="shared" si="3"/>
        <v>8240000</v>
      </c>
      <c r="N18" s="344">
        <v>12444130.42</v>
      </c>
      <c r="O18" s="344">
        <v>0</v>
      </c>
      <c r="P18" s="344">
        <v>4161770.4200000004</v>
      </c>
      <c r="Q18" s="1121">
        <v>42360</v>
      </c>
      <c r="S18" s="472">
        <v>1347600</v>
      </c>
      <c r="T18" s="473">
        <v>368158.71999999997</v>
      </c>
      <c r="U18" s="473">
        <v>0</v>
      </c>
      <c r="V18" s="473">
        <v>16213.97</v>
      </c>
      <c r="W18" s="473">
        <v>4568463</v>
      </c>
      <c r="X18" s="473">
        <v>0</v>
      </c>
      <c r="Y18" s="707">
        <v>8240000</v>
      </c>
      <c r="Z18" s="626">
        <f t="shared" si="4"/>
        <v>69835687.310000002</v>
      </c>
      <c r="AA18" s="626">
        <f t="shared" si="5"/>
        <v>14540435.689999999</v>
      </c>
    </row>
    <row r="19" spans="1:27" ht="18" thickTop="1" thickBot="1" x14ac:dyDescent="0.35">
      <c r="B19" s="211" t="str">
        <f>'1.2 Budgeted Enrollment YR1'!E20</f>
        <v>Mineral</v>
      </c>
      <c r="C19" s="54">
        <v>4442494.7788832672</v>
      </c>
      <c r="D19" s="54">
        <v>929460.39000000013</v>
      </c>
      <c r="E19" s="54">
        <v>2149304.65</v>
      </c>
      <c r="F19" s="54">
        <f t="shared" si="0"/>
        <v>7521259.8188832682</v>
      </c>
      <c r="H19" s="518">
        <f t="shared" si="1"/>
        <v>7521260</v>
      </c>
      <c r="I19" s="1028"/>
      <c r="J19" s="470">
        <v>541.82059757121215</v>
      </c>
      <c r="K19" s="1472">
        <f t="shared" si="2"/>
        <v>13881.458242294806</v>
      </c>
      <c r="L19" s="1472"/>
      <c r="M19" s="1132">
        <f t="shared" si="3"/>
        <v>217168.59000000003</v>
      </c>
      <c r="N19" s="344">
        <v>849544.25</v>
      </c>
      <c r="O19" s="344">
        <v>0</v>
      </c>
      <c r="P19" s="344">
        <v>500655.66</v>
      </c>
      <c r="Q19" s="1121">
        <v>131720</v>
      </c>
      <c r="S19" s="472">
        <v>134400</v>
      </c>
      <c r="T19" s="473">
        <v>57655.05</v>
      </c>
      <c r="U19" s="473">
        <v>0</v>
      </c>
      <c r="V19" s="473">
        <v>0</v>
      </c>
      <c r="W19" s="473">
        <v>310614.5</v>
      </c>
      <c r="X19" s="473">
        <v>88000</v>
      </c>
      <c r="Y19" s="707">
        <v>217168.59000000003</v>
      </c>
      <c r="Z19" s="626">
        <f t="shared" si="4"/>
        <v>6713421.8599999994</v>
      </c>
      <c r="AA19" s="626">
        <f t="shared" si="5"/>
        <v>807838.14000000013</v>
      </c>
    </row>
    <row r="20" spans="1:27" ht="18" thickTop="1" thickBot="1" x14ac:dyDescent="0.35">
      <c r="B20" s="211" t="str">
        <f>'1.2 Budgeted Enrollment YR1'!E21</f>
        <v>Nye</v>
      </c>
      <c r="C20" s="54">
        <v>26567417.308713578</v>
      </c>
      <c r="D20" s="54">
        <v>4905757.9000000013</v>
      </c>
      <c r="E20" s="54">
        <v>26135525.73</v>
      </c>
      <c r="F20" s="54">
        <f t="shared" si="0"/>
        <v>57608700.93871358</v>
      </c>
      <c r="H20" s="518">
        <f t="shared" si="1"/>
        <v>57608701</v>
      </c>
      <c r="I20" s="1028"/>
      <c r="J20" s="470">
        <v>5385.5136149795999</v>
      </c>
      <c r="K20" s="1472">
        <f t="shared" si="2"/>
        <v>10696.974349811986</v>
      </c>
      <c r="L20" s="1472"/>
      <c r="M20" s="1132">
        <f t="shared" si="3"/>
        <v>7622343.0299999993</v>
      </c>
      <c r="N20" s="344">
        <v>11000386.51</v>
      </c>
      <c r="O20" s="344">
        <v>0</v>
      </c>
      <c r="P20" s="344">
        <v>3378043.48</v>
      </c>
      <c r="Q20" s="1121">
        <v>0</v>
      </c>
      <c r="S20" s="472">
        <v>1071600</v>
      </c>
      <c r="T20" s="473">
        <v>331342.84999999998</v>
      </c>
      <c r="U20" s="473">
        <v>132117.44</v>
      </c>
      <c r="V20" s="473">
        <v>0</v>
      </c>
      <c r="W20" s="473">
        <v>3846650</v>
      </c>
      <c r="X20" s="473">
        <v>0</v>
      </c>
      <c r="Y20" s="707">
        <v>7622343.0299999993</v>
      </c>
      <c r="Z20" s="626">
        <f t="shared" si="4"/>
        <v>44604647.68</v>
      </c>
      <c r="AA20" s="626">
        <f t="shared" si="5"/>
        <v>13004053.32</v>
      </c>
    </row>
    <row r="21" spans="1:27" ht="18" thickTop="1" thickBot="1" x14ac:dyDescent="0.35">
      <c r="B21" s="211" t="str">
        <f>'1.2 Budgeted Enrollment YR1'!E22</f>
        <v>Pershing</v>
      </c>
      <c r="C21" s="54">
        <v>5035247.6692049867</v>
      </c>
      <c r="D21" s="54">
        <v>755926</v>
      </c>
      <c r="E21" s="54">
        <v>3270236.0300000003</v>
      </c>
      <c r="F21" s="54">
        <f t="shared" si="0"/>
        <v>9061409.6992049869</v>
      </c>
      <c r="H21" s="518">
        <f t="shared" si="1"/>
        <v>9061410</v>
      </c>
      <c r="I21" s="1028"/>
      <c r="J21" s="470">
        <v>665.11446960000001</v>
      </c>
      <c r="K21" s="1472">
        <f t="shared" si="2"/>
        <v>13623.83531582095</v>
      </c>
      <c r="L21" s="1472"/>
      <c r="M21" s="1132">
        <f t="shared" si="3"/>
        <v>459999.99999999983</v>
      </c>
      <c r="N21" s="344">
        <v>1356388.6099999999</v>
      </c>
      <c r="O21" s="344">
        <v>0</v>
      </c>
      <c r="P21" s="344">
        <v>887321.67</v>
      </c>
      <c r="Q21" s="1121">
        <v>9066.94</v>
      </c>
      <c r="S21" s="472">
        <v>118800</v>
      </c>
      <c r="T21" s="473">
        <v>29869.48</v>
      </c>
      <c r="U21" s="473">
        <v>0</v>
      </c>
      <c r="V21" s="473">
        <v>0</v>
      </c>
      <c r="W21" s="473">
        <v>723394.99999999988</v>
      </c>
      <c r="X21" s="473">
        <v>60899</v>
      </c>
      <c r="Y21" s="707">
        <v>459999.99999999983</v>
      </c>
      <c r="Z21" s="626">
        <f t="shared" si="4"/>
        <v>7668446.5200000005</v>
      </c>
      <c r="AA21" s="626">
        <f t="shared" si="5"/>
        <v>1392963.4799999997</v>
      </c>
    </row>
    <row r="22" spans="1:27" ht="18" thickTop="1" thickBot="1" x14ac:dyDescent="0.35">
      <c r="B22" s="211" t="str">
        <f>'1.2 Budgeted Enrollment YR1'!E23</f>
        <v>Storey</v>
      </c>
      <c r="C22" s="54">
        <v>0</v>
      </c>
      <c r="D22" s="54">
        <v>587849.31665578135</v>
      </c>
      <c r="E22" s="54">
        <v>10795373.699999999</v>
      </c>
      <c r="F22" s="54">
        <f t="shared" si="0"/>
        <v>11383223.01665578</v>
      </c>
      <c r="H22" s="518">
        <f t="shared" si="1"/>
        <v>11383223</v>
      </c>
      <c r="I22" s="1028"/>
      <c r="J22" s="470">
        <v>437.81518235000004</v>
      </c>
      <c r="K22" s="1472">
        <f t="shared" si="2"/>
        <v>26000.064545271929</v>
      </c>
      <c r="L22" s="1472"/>
      <c r="M22" s="1132">
        <f t="shared" si="3"/>
        <v>55048</v>
      </c>
      <c r="N22" s="344">
        <v>512430.76999999996</v>
      </c>
      <c r="O22" s="344">
        <v>0</v>
      </c>
      <c r="P22" s="344">
        <v>457382.76999999996</v>
      </c>
      <c r="Q22" s="1121">
        <v>0</v>
      </c>
      <c r="S22" s="472">
        <v>27600</v>
      </c>
      <c r="T22" s="473">
        <v>0</v>
      </c>
      <c r="U22" s="473">
        <v>0</v>
      </c>
      <c r="V22" s="473">
        <v>0</v>
      </c>
      <c r="W22" s="473">
        <v>547375</v>
      </c>
      <c r="X22" s="473">
        <v>23002</v>
      </c>
      <c r="Y22" s="707">
        <v>55048</v>
      </c>
      <c r="Z22" s="626">
        <f t="shared" si="4"/>
        <v>10730198</v>
      </c>
      <c r="AA22" s="626">
        <f>SUM(S22:Y22)</f>
        <v>653025</v>
      </c>
    </row>
    <row r="23" spans="1:27" ht="18" thickTop="1" thickBot="1" x14ac:dyDescent="0.35">
      <c r="B23" s="211" t="str">
        <f>'1.2 Budgeted Enrollment YR1'!E24</f>
        <v>Washoe</v>
      </c>
      <c r="C23" s="54">
        <v>132300328.55143091</v>
      </c>
      <c r="D23" s="54">
        <v>57557883</v>
      </c>
      <c r="E23" s="54">
        <f>343835701.88+182563+10424.44</f>
        <v>344028689.31999999</v>
      </c>
      <c r="F23" s="54">
        <f t="shared" si="0"/>
        <v>533886900.87143087</v>
      </c>
      <c r="H23" s="518">
        <f t="shared" si="1"/>
        <v>533886901</v>
      </c>
      <c r="I23" s="1028"/>
      <c r="J23" s="470">
        <v>63659.88216394998</v>
      </c>
      <c r="K23" s="1472">
        <f t="shared" si="2"/>
        <v>8386.5518259211512</v>
      </c>
      <c r="L23" s="1472"/>
      <c r="M23" s="1132">
        <f t="shared" si="3"/>
        <v>46056935.990000002</v>
      </c>
      <c r="N23" s="344">
        <v>78631045.870000005</v>
      </c>
      <c r="O23" s="344">
        <v>0</v>
      </c>
      <c r="P23" s="344">
        <v>32574109.880000003</v>
      </c>
      <c r="Q23" s="1121">
        <v>0</v>
      </c>
      <c r="S23" s="472">
        <v>4376400</v>
      </c>
      <c r="T23" s="473">
        <v>6917574</v>
      </c>
      <c r="U23" s="473">
        <v>2957398.08</v>
      </c>
      <c r="V23" s="473">
        <v>1839858.49</v>
      </c>
      <c r="W23" s="473">
        <v>24043223.830000002</v>
      </c>
      <c r="X23" s="473">
        <v>0</v>
      </c>
      <c r="Y23" s="707">
        <v>46056935.990000002</v>
      </c>
      <c r="Z23" s="626">
        <f t="shared" si="4"/>
        <v>447695510.61000001</v>
      </c>
      <c r="AA23" s="626">
        <f t="shared" si="5"/>
        <v>86191390.390000015</v>
      </c>
    </row>
    <row r="24" spans="1:27" ht="18" thickTop="1" thickBot="1" x14ac:dyDescent="0.35">
      <c r="B24" s="211" t="str">
        <f>'1.2 Budgeted Enrollment YR1'!E25</f>
        <v>White Pine</v>
      </c>
      <c r="C24" s="54">
        <v>5674979.0811533928</v>
      </c>
      <c r="D24" s="54">
        <v>1389507</v>
      </c>
      <c r="E24" s="54">
        <v>8166087.2800000003</v>
      </c>
      <c r="F24" s="54">
        <f t="shared" si="0"/>
        <v>15230573.361153394</v>
      </c>
      <c r="H24" s="518">
        <f t="shared" si="1"/>
        <v>15230573</v>
      </c>
      <c r="I24" s="1028"/>
      <c r="J24" s="470">
        <v>1248.6201723000001</v>
      </c>
      <c r="K24" s="1472">
        <f t="shared" si="2"/>
        <v>12197.923225879633</v>
      </c>
      <c r="L24" s="1472"/>
      <c r="M24" s="1132">
        <f t="shared" si="3"/>
        <v>520823.63000000012</v>
      </c>
      <c r="N24" s="344">
        <v>1750699.7000000002</v>
      </c>
      <c r="O24" s="344">
        <v>0</v>
      </c>
      <c r="P24" s="344">
        <v>1194585.07</v>
      </c>
      <c r="Q24" s="1121">
        <v>35291</v>
      </c>
      <c r="S24" s="472">
        <v>258000</v>
      </c>
      <c r="T24" s="473">
        <v>23617.73</v>
      </c>
      <c r="U24" s="473">
        <v>0</v>
      </c>
      <c r="V24" s="473">
        <v>0</v>
      </c>
      <c r="W24" s="473">
        <v>1054977.0000000002</v>
      </c>
      <c r="X24" s="473">
        <v>89088.22</v>
      </c>
      <c r="Y24" s="707">
        <v>520823.63000000012</v>
      </c>
      <c r="Z24" s="626">
        <f t="shared" si="4"/>
        <v>13284066.42</v>
      </c>
      <c r="AA24" s="626">
        <f t="shared" si="5"/>
        <v>1946506.5800000003</v>
      </c>
    </row>
    <row r="25" spans="1:27" ht="18" thickTop="1" thickBot="1" x14ac:dyDescent="0.35">
      <c r="B25" s="211" t="str">
        <f>'1.2 Budgeted Enrollment YR1'!E26</f>
        <v>Charter Schools (Combined)</v>
      </c>
      <c r="C25" s="54">
        <f>C90</f>
        <v>419484402.46934551</v>
      </c>
      <c r="D25" s="54">
        <f>D90</f>
        <v>14322123.576852214</v>
      </c>
      <c r="E25" s="54">
        <f>E90</f>
        <v>0</v>
      </c>
      <c r="F25" s="54">
        <f t="shared" si="0"/>
        <v>433806526.04619771</v>
      </c>
      <c r="H25" s="518">
        <f t="shared" si="1"/>
        <v>433806526</v>
      </c>
      <c r="I25" s="1028"/>
      <c r="J25" s="470">
        <f>J90</f>
        <v>57012.474131748568</v>
      </c>
      <c r="K25" s="1472">
        <f t="shared" si="2"/>
        <v>7608.9756251856106</v>
      </c>
      <c r="L25" s="1472"/>
      <c r="M25" s="1152">
        <f t="shared" si="3"/>
        <v>6459882.2699999977</v>
      </c>
      <c r="N25" s="345">
        <f>N90</f>
        <v>19726471.600000001</v>
      </c>
      <c r="O25" s="345">
        <f>O90</f>
        <v>0</v>
      </c>
      <c r="P25" s="345">
        <f>P90</f>
        <v>13241555.330000004</v>
      </c>
      <c r="Q25" s="1122">
        <f>Q90</f>
        <v>25034</v>
      </c>
      <c r="S25" s="472">
        <f>S90</f>
        <v>3217200</v>
      </c>
      <c r="T25" s="473">
        <f>T90</f>
        <v>2076276.27</v>
      </c>
      <c r="U25" s="473">
        <f>U90</f>
        <v>627557.84</v>
      </c>
      <c r="V25" s="473">
        <f>V90</f>
        <v>471058.39</v>
      </c>
      <c r="W25" s="473">
        <v>0</v>
      </c>
      <c r="X25" s="473">
        <v>0</v>
      </c>
      <c r="Y25" s="707">
        <v>6459882.2699999958</v>
      </c>
      <c r="Z25" s="626">
        <f t="shared" si="4"/>
        <v>420954551.23000002</v>
      </c>
      <c r="AA25" s="626">
        <f t="shared" si="5"/>
        <v>12851974.769999996</v>
      </c>
    </row>
    <row r="26" spans="1:27" ht="18" thickTop="1" thickBot="1" x14ac:dyDescent="0.35">
      <c r="B26" s="211" t="str">
        <f>'1.2 Budgeted Enrollment YR1'!E27</f>
        <v>University Schools</v>
      </c>
      <c r="C26" s="54">
        <f>C95</f>
        <v>1160008.2199696808</v>
      </c>
      <c r="D26" s="54">
        <f>D95</f>
        <v>1398.37</v>
      </c>
      <c r="E26" s="54">
        <f>E95</f>
        <v>0</v>
      </c>
      <c r="F26" s="54">
        <f>SUM(C26:E26)</f>
        <v>1161406.5899696809</v>
      </c>
      <c r="H26" s="518">
        <f>ROUND(F26,0)</f>
        <v>1161407</v>
      </c>
      <c r="I26" s="1028"/>
      <c r="J26" s="471">
        <f>J95</f>
        <v>143.645726495611</v>
      </c>
      <c r="K26" s="1472">
        <f>H26/J26</f>
        <v>8085.2179061204861</v>
      </c>
      <c r="M26" s="1152">
        <f>N26-O26-P26-Q26</f>
        <v>0</v>
      </c>
      <c r="N26" s="345">
        <f>N89</f>
        <v>0</v>
      </c>
      <c r="O26" s="345">
        <f>O89</f>
        <v>0</v>
      </c>
      <c r="P26" s="345">
        <f>P89</f>
        <v>0</v>
      </c>
      <c r="Q26" s="1122">
        <f>Q89</f>
        <v>0</v>
      </c>
      <c r="S26" s="472">
        <f t="shared" ref="S26:Y26" si="6">S95</f>
        <v>0</v>
      </c>
      <c r="T26" s="473">
        <f t="shared" si="6"/>
        <v>0</v>
      </c>
      <c r="U26" s="473">
        <f t="shared" si="6"/>
        <v>0</v>
      </c>
      <c r="V26" s="473">
        <f t="shared" si="6"/>
        <v>0</v>
      </c>
      <c r="W26" s="473">
        <f t="shared" si="6"/>
        <v>0</v>
      </c>
      <c r="X26" s="473">
        <f t="shared" si="6"/>
        <v>0</v>
      </c>
      <c r="Y26" s="707">
        <f t="shared" si="6"/>
        <v>0</v>
      </c>
      <c r="Z26" s="626">
        <f>H26-SUM(S26:Y26)</f>
        <v>1161407</v>
      </c>
      <c r="AA26" s="626">
        <f t="shared" si="5"/>
        <v>0</v>
      </c>
    </row>
    <row r="27" spans="1:27" ht="18" thickTop="1" thickBot="1" x14ac:dyDescent="0.35">
      <c r="B27" s="3" t="s">
        <v>0</v>
      </c>
      <c r="C27" s="621">
        <f>SUM(C8:C26)</f>
        <v>1443284939.6332862</v>
      </c>
      <c r="D27" s="621">
        <f>SUM(D8:D26)</f>
        <v>427711998.88785583</v>
      </c>
      <c r="E27" s="621">
        <f>SUM(E8:E26)</f>
        <v>2206151781.3700004</v>
      </c>
      <c r="F27" s="621">
        <f>SUM(F8:F26)</f>
        <v>4077148719.8911433</v>
      </c>
      <c r="G27" s="1"/>
      <c r="H27" s="621">
        <f>ROUND(SUM(H8:H26),0)</f>
        <v>4077148721</v>
      </c>
      <c r="I27" s="1028"/>
      <c r="J27" s="622">
        <f>SUM(J8:J26)</f>
        <v>484807.40322754526</v>
      </c>
      <c r="M27" s="1133">
        <f>SUM(M8:M25)</f>
        <v>445134700.5999999</v>
      </c>
      <c r="N27" s="1123">
        <f>SUM(N8:N25)</f>
        <v>661477967.58000004</v>
      </c>
      <c r="O27" s="1123">
        <f>SUM(O8:O25)</f>
        <v>385346.2</v>
      </c>
      <c r="P27" s="1123">
        <f>SUM(P8:P25)</f>
        <v>213002078.83999997</v>
      </c>
      <c r="Q27" s="1124">
        <f>SUM(Q8:Q25)</f>
        <v>2955841.94</v>
      </c>
      <c r="S27" s="623">
        <f>SUM(S8:S26)</f>
        <v>69937200</v>
      </c>
      <c r="T27" s="624">
        <f t="shared" ref="T27:Y27" si="7">SUM(T8:T26)</f>
        <v>49949999.538300008</v>
      </c>
      <c r="U27" s="624">
        <f t="shared" si="7"/>
        <v>24999937.09</v>
      </c>
      <c r="V27" s="624">
        <f t="shared" si="7"/>
        <v>8274243.0000000009</v>
      </c>
      <c r="W27" s="624">
        <f t="shared" si="7"/>
        <v>194943746.94</v>
      </c>
      <c r="X27" s="624">
        <f t="shared" si="7"/>
        <v>1812350.22</v>
      </c>
      <c r="Y27" s="708">
        <f t="shared" si="7"/>
        <v>445134700.5999999</v>
      </c>
      <c r="Z27" s="708">
        <f>SUM(Z8:Z26)</f>
        <v>3282096543.6117005</v>
      </c>
      <c r="AA27" s="708">
        <f>SUM(AA8:AA26)</f>
        <v>795052177.38830006</v>
      </c>
    </row>
    <row r="28" spans="1:27" ht="16.5" customHeight="1" thickTop="1" x14ac:dyDescent="0.3">
      <c r="B28" s="3"/>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row>
    <row r="29" spans="1:27" ht="15.75" customHeight="1" thickBot="1" x14ac:dyDescent="0.3">
      <c r="A29" s="3" t="s">
        <v>84</v>
      </c>
      <c r="C29" s="2"/>
      <c r="D29" s="2"/>
      <c r="E29" s="2"/>
      <c r="F29" s="2"/>
      <c r="G29" s="2"/>
      <c r="H29" s="2"/>
      <c r="I29" s="2"/>
      <c r="J29" s="820"/>
      <c r="K29" s="2"/>
      <c r="L29" s="2"/>
      <c r="M29" s="2"/>
      <c r="N29" s="2"/>
      <c r="O29" s="2"/>
      <c r="P29" s="2"/>
      <c r="Q29" s="2"/>
      <c r="R29" s="2"/>
      <c r="S29" s="2"/>
      <c r="T29" s="2"/>
      <c r="U29" s="2"/>
      <c r="V29" s="2"/>
      <c r="W29" s="2"/>
      <c r="X29" s="2"/>
      <c r="Y29" s="2"/>
      <c r="Z29" s="2"/>
    </row>
    <row r="30" spans="1:27" ht="18" thickTop="1" thickBot="1" x14ac:dyDescent="0.35">
      <c r="B30" t="str">
        <f>'1.2 Budgeted Enrollment YR1'!E32</f>
        <v>100 Academy Of Excellence</v>
      </c>
      <c r="C30" s="54">
        <v>3526521.7955691037</v>
      </c>
      <c r="D30" s="54">
        <v>0</v>
      </c>
      <c r="E30" s="54">
        <v>0</v>
      </c>
      <c r="F30" s="54">
        <f>SUM(C30:E30)</f>
        <v>3526521.7955691037</v>
      </c>
      <c r="H30" s="518">
        <f>F30</f>
        <v>3526521.7955691037</v>
      </c>
      <c r="I30" s="1028"/>
      <c r="J30" s="470">
        <v>480.71396750000002</v>
      </c>
      <c r="M30" s="1131">
        <f t="shared" si="3"/>
        <v>130870</v>
      </c>
      <c r="N30" s="848">
        <v>130870</v>
      </c>
      <c r="O30" s="848">
        <v>0</v>
      </c>
      <c r="P30" s="848">
        <v>0</v>
      </c>
      <c r="Q30" s="1126">
        <v>0</v>
      </c>
      <c r="S30" s="703"/>
      <c r="T30" s="704"/>
      <c r="U30" s="704"/>
      <c r="V30" s="704"/>
      <c r="W30" s="704"/>
      <c r="X30" s="704"/>
      <c r="Y30" s="704">
        <v>130870</v>
      </c>
      <c r="Z30" s="705">
        <f t="shared" ref="Z30:Z61" si="8">H30-SUM(S30:Y30)</f>
        <v>3395651.7955691037</v>
      </c>
    </row>
    <row r="31" spans="1:27" ht="18" thickTop="1" thickBot="1" x14ac:dyDescent="0.35">
      <c r="B31" t="str">
        <f>'1.2 Budgeted Enrollment YR1'!E33</f>
        <v>Academy For Career Education</v>
      </c>
      <c r="C31" s="54">
        <v>1427555.6052536254</v>
      </c>
      <c r="D31" s="54">
        <v>0</v>
      </c>
      <c r="E31" s="54">
        <v>0</v>
      </c>
      <c r="F31" s="54">
        <f t="shared" ref="F31:F61" si="9">SUM(C31:E31)</f>
        <v>1427555.6052536254</v>
      </c>
      <c r="H31" s="518">
        <f t="shared" ref="H31:H89" si="10">F31</f>
        <v>1427555.6052536254</v>
      </c>
      <c r="I31" s="1029"/>
      <c r="J31" s="470">
        <v>190.83797749999999</v>
      </c>
      <c r="M31" s="1132">
        <f t="shared" si="3"/>
        <v>95859</v>
      </c>
      <c r="N31" s="344">
        <v>95859</v>
      </c>
      <c r="O31" s="344">
        <v>0</v>
      </c>
      <c r="P31" s="344">
        <v>0</v>
      </c>
      <c r="Q31" s="1121">
        <v>0</v>
      </c>
      <c r="S31" s="472"/>
      <c r="T31" s="473"/>
      <c r="U31" s="473"/>
      <c r="V31" s="473"/>
      <c r="W31" s="473"/>
      <c r="X31" s="473"/>
      <c r="Y31" s="473">
        <v>95859</v>
      </c>
      <c r="Z31" s="626">
        <f t="shared" si="8"/>
        <v>1331696.6052536254</v>
      </c>
    </row>
    <row r="32" spans="1:27" ht="18" thickTop="1" thickBot="1" x14ac:dyDescent="0.35">
      <c r="B32" t="str">
        <f>'1.2 Budgeted Enrollment YR1'!E34</f>
        <v xml:space="preserve">Alpine Academy </v>
      </c>
      <c r="C32" s="54">
        <v>811375.38875247398</v>
      </c>
      <c r="D32" s="54">
        <v>135507.7392268019</v>
      </c>
      <c r="E32" s="54">
        <v>0</v>
      </c>
      <c r="F32" s="54">
        <f t="shared" si="9"/>
        <v>946883.12797927589</v>
      </c>
      <c r="H32" s="518">
        <f t="shared" si="10"/>
        <v>946883.12797927589</v>
      </c>
      <c r="I32" s="1029"/>
      <c r="J32" s="470">
        <v>103.98956000000001</v>
      </c>
      <c r="M32" s="1132">
        <f t="shared" si="3"/>
        <v>0</v>
      </c>
      <c r="N32" s="344">
        <v>121015.27</v>
      </c>
      <c r="O32" s="344">
        <v>0</v>
      </c>
      <c r="P32" s="344">
        <v>121015.27</v>
      </c>
      <c r="Q32" s="1121">
        <v>0</v>
      </c>
      <c r="S32" s="472"/>
      <c r="T32" s="473"/>
      <c r="U32" s="473"/>
      <c r="V32" s="473"/>
      <c r="W32" s="473"/>
      <c r="X32" s="473"/>
      <c r="Y32" s="473">
        <v>0</v>
      </c>
      <c r="Z32" s="626">
        <f t="shared" si="8"/>
        <v>946883.12797927589</v>
      </c>
    </row>
    <row r="33" spans="2:27" ht="18" thickTop="1" thickBot="1" x14ac:dyDescent="0.35">
      <c r="B33" t="str">
        <f>'1.2 Budgeted Enrollment YR1'!E35</f>
        <v xml:space="preserve">Amplus (Formerly American Preparatory Academy) </v>
      </c>
      <c r="C33" s="54">
        <v>11594140.035834035</v>
      </c>
      <c r="D33" s="54">
        <v>219852.95659694803</v>
      </c>
      <c r="E33" s="54">
        <v>0</v>
      </c>
      <c r="F33" s="54">
        <f t="shared" si="9"/>
        <v>11813992.992430983</v>
      </c>
      <c r="H33" s="518">
        <f t="shared" si="10"/>
        <v>11813992.992430983</v>
      </c>
      <c r="I33" s="1029"/>
      <c r="J33" s="470">
        <v>1600.97</v>
      </c>
      <c r="M33" s="1132">
        <f t="shared" si="3"/>
        <v>0</v>
      </c>
      <c r="N33" s="344">
        <v>293894.24</v>
      </c>
      <c r="O33" s="344">
        <v>0</v>
      </c>
      <c r="P33" s="344">
        <v>293894.24</v>
      </c>
      <c r="Q33" s="1121">
        <v>0</v>
      </c>
      <c r="S33" s="472"/>
      <c r="T33" s="473"/>
      <c r="U33" s="473"/>
      <c r="V33" s="473"/>
      <c r="W33" s="473"/>
      <c r="X33" s="473"/>
      <c r="Y33" s="473">
        <v>0</v>
      </c>
      <c r="Z33" s="626">
        <f t="shared" si="8"/>
        <v>11813992.992430983</v>
      </c>
    </row>
    <row r="34" spans="2:27" ht="18" thickTop="1" thickBot="1" x14ac:dyDescent="0.35">
      <c r="B34" t="str">
        <f>'1.2 Budgeted Enrollment YR1'!E36</f>
        <v>Bailey Charter School</v>
      </c>
      <c r="C34" s="54">
        <v>1985978.480397318</v>
      </c>
      <c r="D34" s="54">
        <v>0</v>
      </c>
      <c r="E34" s="54">
        <v>0</v>
      </c>
      <c r="F34" s="54">
        <f t="shared" si="9"/>
        <v>1985978.480397318</v>
      </c>
      <c r="H34" s="518">
        <f t="shared" si="10"/>
        <v>1985978.480397318</v>
      </c>
      <c r="I34" s="1029"/>
      <c r="J34" s="470">
        <v>265.87594999999999</v>
      </c>
      <c r="M34" s="1132">
        <f t="shared" si="3"/>
        <v>68241</v>
      </c>
      <c r="N34" s="344">
        <v>68241</v>
      </c>
      <c r="O34" s="344">
        <v>0</v>
      </c>
      <c r="P34" s="344">
        <v>0</v>
      </c>
      <c r="Q34" s="1121">
        <v>0</v>
      </c>
      <c r="S34" s="472"/>
      <c r="T34" s="473"/>
      <c r="U34" s="473"/>
      <c r="V34" s="473"/>
      <c r="W34" s="473"/>
      <c r="X34" s="473"/>
      <c r="Y34" s="473">
        <v>68241</v>
      </c>
      <c r="Z34" s="626">
        <f t="shared" si="8"/>
        <v>1917737.480397318</v>
      </c>
    </row>
    <row r="35" spans="2:27" ht="18" thickTop="1" thickBot="1" x14ac:dyDescent="0.35">
      <c r="B35" t="str">
        <f>'1.2 Budgeted Enrollment YR1'!E37</f>
        <v>Battle Born Academy</v>
      </c>
      <c r="C35" s="1014"/>
      <c r="D35" s="1014"/>
      <c r="E35" s="1014"/>
      <c r="F35" s="1014"/>
      <c r="H35" s="1014"/>
      <c r="I35" s="1029"/>
      <c r="J35" s="1015"/>
      <c r="M35" s="1153"/>
      <c r="N35" s="1127"/>
      <c r="O35" s="1127"/>
      <c r="P35" s="1127"/>
      <c r="Q35" s="1128"/>
      <c r="S35" s="1016"/>
      <c r="T35" s="1017"/>
      <c r="U35" s="1017"/>
      <c r="V35" s="1017"/>
      <c r="W35" s="1017"/>
      <c r="X35" s="1017"/>
      <c r="Y35" s="1017"/>
      <c r="Z35" s="1018"/>
      <c r="AA35" t="s">
        <v>1326</v>
      </c>
    </row>
    <row r="36" spans="2:27" ht="18" thickTop="1" thickBot="1" x14ac:dyDescent="0.35">
      <c r="B36" t="str">
        <f>'1.2 Budgeted Enrollment YR1'!E38</f>
        <v>Beacon Academy</v>
      </c>
      <c r="C36" s="54">
        <v>2804179.8228601525</v>
      </c>
      <c r="D36" s="54">
        <v>362605.72841034678</v>
      </c>
      <c r="E36" s="54">
        <v>0</v>
      </c>
      <c r="F36" s="54">
        <f t="shared" si="9"/>
        <v>3166785.5512704994</v>
      </c>
      <c r="H36" s="518">
        <f t="shared" si="10"/>
        <v>3166785.5512704994</v>
      </c>
      <c r="I36" s="1028"/>
      <c r="J36" s="470">
        <v>371.10250250000001</v>
      </c>
      <c r="M36" s="1132">
        <f t="shared" si="3"/>
        <v>11926.440000000002</v>
      </c>
      <c r="N36" s="344">
        <v>288532.78000000003</v>
      </c>
      <c r="O36" s="344">
        <v>0</v>
      </c>
      <c r="P36" s="344">
        <v>276606.34000000003</v>
      </c>
      <c r="Q36" s="1121">
        <v>0</v>
      </c>
      <c r="S36" s="472">
        <v>138000</v>
      </c>
      <c r="T36" s="473">
        <v>69319.097763070822</v>
      </c>
      <c r="U36" s="473"/>
      <c r="V36" s="473"/>
      <c r="W36" s="473"/>
      <c r="X36" s="473"/>
      <c r="Y36" s="473">
        <v>11926.440000000002</v>
      </c>
      <c r="Z36" s="626">
        <f t="shared" si="8"/>
        <v>2947540.0135074286</v>
      </c>
    </row>
    <row r="37" spans="2:27" ht="18" thickTop="1" thickBot="1" x14ac:dyDescent="0.35">
      <c r="B37" t="str">
        <f>'1.2 Budgeted Enrollment YR1'!E39</f>
        <v>Cactus Park</v>
      </c>
      <c r="C37" s="1014"/>
      <c r="D37" s="1014"/>
      <c r="E37" s="1014"/>
      <c r="F37" s="1014"/>
      <c r="H37" s="1019"/>
      <c r="I37" s="1028"/>
      <c r="J37" s="1015"/>
      <c r="M37" s="1154"/>
      <c r="N37" s="1127"/>
      <c r="O37" s="1127"/>
      <c r="P37" s="1127"/>
      <c r="Q37" s="1128"/>
      <c r="S37" s="1016"/>
      <c r="T37" s="1017"/>
      <c r="U37" s="1017"/>
      <c r="V37" s="1017"/>
      <c r="W37" s="1017"/>
      <c r="X37" s="1017"/>
      <c r="Y37" s="1017"/>
      <c r="Z37" s="1020"/>
      <c r="AA37" t="s">
        <v>1326</v>
      </c>
    </row>
    <row r="38" spans="2:27" ht="18" thickTop="1" thickBot="1" x14ac:dyDescent="0.35">
      <c r="B38" t="str">
        <f>'1.2 Budgeted Enrollment YR1'!E40</f>
        <v>Carson Montessori</v>
      </c>
      <c r="C38" s="54">
        <v>2359224.1750915041</v>
      </c>
      <c r="D38" s="54">
        <v>0</v>
      </c>
      <c r="E38" s="54">
        <v>0</v>
      </c>
      <c r="F38" s="54">
        <f t="shared" si="9"/>
        <v>2359224.1750915041</v>
      </c>
      <c r="H38" s="518">
        <f t="shared" si="10"/>
        <v>2359224.1750915041</v>
      </c>
      <c r="I38" s="1028"/>
      <c r="J38" s="470">
        <v>278.55615749999998</v>
      </c>
      <c r="M38" s="1132">
        <f t="shared" si="3"/>
        <v>118188</v>
      </c>
      <c r="N38" s="344">
        <v>118188</v>
      </c>
      <c r="O38" s="344">
        <v>0</v>
      </c>
      <c r="P38" s="344">
        <v>0</v>
      </c>
      <c r="Q38" s="1121">
        <v>0</v>
      </c>
      <c r="S38" s="472"/>
      <c r="T38" s="473"/>
      <c r="U38" s="473"/>
      <c r="V38" s="473"/>
      <c r="W38" s="473"/>
      <c r="X38" s="473"/>
      <c r="Y38" s="473">
        <v>118188</v>
      </c>
      <c r="Z38" s="626">
        <f t="shared" si="8"/>
        <v>2241036.1750915041</v>
      </c>
    </row>
    <row r="39" spans="2:27" ht="18" thickTop="1" thickBot="1" x14ac:dyDescent="0.35">
      <c r="B39" t="str">
        <f>'1.2 Budgeted Enrollment YR1'!E41</f>
        <v>CIVICA Nevada Career &amp; Collegiate Academy</v>
      </c>
      <c r="C39" s="1014">
        <v>0</v>
      </c>
      <c r="D39" s="1014">
        <v>0</v>
      </c>
      <c r="E39" s="1014">
        <v>0</v>
      </c>
      <c r="F39" s="1014">
        <f t="shared" si="9"/>
        <v>0</v>
      </c>
      <c r="H39" s="1019">
        <f t="shared" si="10"/>
        <v>0</v>
      </c>
      <c r="I39" s="1028"/>
      <c r="J39" s="1015">
        <v>0</v>
      </c>
      <c r="M39" s="1154">
        <f t="shared" si="3"/>
        <v>0</v>
      </c>
      <c r="N39" s="1127"/>
      <c r="O39" s="1127"/>
      <c r="P39" s="1127"/>
      <c r="Q39" s="1128"/>
      <c r="S39" s="1016"/>
      <c r="T39" s="1017"/>
      <c r="U39" s="1017"/>
      <c r="V39" s="1017"/>
      <c r="W39" s="1017"/>
      <c r="X39" s="1017"/>
      <c r="Y39" s="1017">
        <v>0</v>
      </c>
      <c r="Z39" s="1020">
        <f t="shared" si="8"/>
        <v>0</v>
      </c>
      <c r="AA39" t="s">
        <v>1326</v>
      </c>
    </row>
    <row r="40" spans="2:27" ht="18" thickTop="1" thickBot="1" x14ac:dyDescent="0.35">
      <c r="B40" t="str">
        <f>'1.2 Budgeted Enrollment YR1'!E42</f>
        <v>Coral Academy of Science Las Vegas</v>
      </c>
      <c r="C40" s="54">
        <v>27034847.757210817</v>
      </c>
      <c r="D40" s="54">
        <v>558411.71765210351</v>
      </c>
      <c r="E40" s="54">
        <v>0</v>
      </c>
      <c r="F40" s="54">
        <f t="shared" si="9"/>
        <v>27593259.474862922</v>
      </c>
      <c r="H40" s="518">
        <f t="shared" si="10"/>
        <v>27593259.474862922</v>
      </c>
      <c r="I40" s="1028"/>
      <c r="J40" s="470">
        <v>3731.6204735000006</v>
      </c>
      <c r="M40" s="1132">
        <f t="shared" si="3"/>
        <v>626261</v>
      </c>
      <c r="N40" s="344">
        <v>1290116.22</v>
      </c>
      <c r="O40" s="344">
        <v>0</v>
      </c>
      <c r="P40" s="344">
        <v>663855.22</v>
      </c>
      <c r="Q40" s="1121">
        <v>0</v>
      </c>
      <c r="S40" s="472">
        <v>24000</v>
      </c>
      <c r="T40" s="473"/>
      <c r="U40" s="473"/>
      <c r="V40" s="473"/>
      <c r="W40" s="473"/>
      <c r="X40" s="473"/>
      <c r="Y40" s="473">
        <v>626261</v>
      </c>
      <c r="Z40" s="626">
        <f t="shared" si="8"/>
        <v>26942998.474862922</v>
      </c>
    </row>
    <row r="41" spans="2:27" ht="18" thickTop="1" thickBot="1" x14ac:dyDescent="0.35">
      <c r="B41" t="str">
        <f>'1.2 Budgeted Enrollment YR1'!E43</f>
        <v>Coral Academy Washoe</v>
      </c>
      <c r="C41" s="54">
        <v>10660287.067644386</v>
      </c>
      <c r="D41" s="54">
        <v>289969.99</v>
      </c>
      <c r="E41" s="54">
        <v>0</v>
      </c>
      <c r="F41" s="54">
        <f t="shared" si="9"/>
        <v>10950257.057644386</v>
      </c>
      <c r="H41" s="518">
        <f t="shared" si="10"/>
        <v>10950257.057644386</v>
      </c>
      <c r="I41" s="1028"/>
      <c r="J41" s="470">
        <v>1424.90155</v>
      </c>
      <c r="M41" s="1132">
        <f t="shared" si="3"/>
        <v>230063.83000000002</v>
      </c>
      <c r="N41" s="344">
        <v>230063.83000000002</v>
      </c>
      <c r="O41" s="344">
        <v>0</v>
      </c>
      <c r="P41" s="344">
        <v>0</v>
      </c>
      <c r="Q41" s="1121">
        <v>0</v>
      </c>
      <c r="S41" s="472"/>
      <c r="T41" s="473"/>
      <c r="U41" s="473"/>
      <c r="V41" s="473"/>
      <c r="W41" s="473"/>
      <c r="X41" s="473"/>
      <c r="Y41" s="473">
        <v>230063.83000000002</v>
      </c>
      <c r="Z41" s="626">
        <f t="shared" si="8"/>
        <v>10720193.227644386</v>
      </c>
    </row>
    <row r="42" spans="2:27" ht="18" thickTop="1" thickBot="1" x14ac:dyDescent="0.35">
      <c r="B42" t="str">
        <f>'1.2 Budgeted Enrollment YR1'!E44</f>
        <v>Delta Academy</v>
      </c>
      <c r="C42" s="54">
        <v>4453131.6464378964</v>
      </c>
      <c r="D42" s="54">
        <v>171856.94</v>
      </c>
      <c r="E42" s="54">
        <v>0</v>
      </c>
      <c r="F42" s="54">
        <f t="shared" si="9"/>
        <v>4624988.5864378968</v>
      </c>
      <c r="H42" s="518">
        <f t="shared" si="10"/>
        <v>4624988.5864378968</v>
      </c>
      <c r="I42" s="1028"/>
      <c r="J42" s="470">
        <v>614.92500499999994</v>
      </c>
      <c r="M42" s="1132">
        <f t="shared" si="3"/>
        <v>317639.64</v>
      </c>
      <c r="N42" s="344">
        <v>317639.64</v>
      </c>
      <c r="O42" s="344">
        <v>0</v>
      </c>
      <c r="P42" s="344">
        <v>0</v>
      </c>
      <c r="Q42" s="1121">
        <v>0</v>
      </c>
      <c r="S42" s="472"/>
      <c r="T42" s="473"/>
      <c r="U42" s="473"/>
      <c r="V42" s="473"/>
      <c r="W42" s="473"/>
      <c r="X42" s="473"/>
      <c r="Y42" s="473">
        <v>317639.64</v>
      </c>
      <c r="Z42" s="626">
        <f t="shared" si="8"/>
        <v>4307348.9464378972</v>
      </c>
    </row>
    <row r="43" spans="2:27" ht="18" thickTop="1" thickBot="1" x14ac:dyDescent="0.35">
      <c r="B43" t="str">
        <f>'1.2 Budgeted Enrollment YR1'!E45</f>
        <v>Democracy Prep</v>
      </c>
      <c r="C43" s="54">
        <v>7118583.6637388114</v>
      </c>
      <c r="D43" s="54">
        <v>883119.1019432263</v>
      </c>
      <c r="E43" s="54">
        <v>0</v>
      </c>
      <c r="F43" s="54">
        <f t="shared" si="9"/>
        <v>8001702.7656820379</v>
      </c>
      <c r="H43" s="518">
        <f t="shared" si="10"/>
        <v>8001702.7656820379</v>
      </c>
      <c r="I43" s="1028"/>
      <c r="J43" s="470">
        <v>981.96345500000007</v>
      </c>
      <c r="M43" s="1132">
        <f t="shared" si="3"/>
        <v>0</v>
      </c>
      <c r="N43" s="344">
        <v>304266.96999999997</v>
      </c>
      <c r="O43" s="344">
        <v>0</v>
      </c>
      <c r="P43" s="344">
        <v>304266.96999999997</v>
      </c>
      <c r="Q43" s="1121">
        <v>0</v>
      </c>
      <c r="S43" s="472"/>
      <c r="T43" s="473"/>
      <c r="U43" s="473">
        <v>627557.84</v>
      </c>
      <c r="V43" s="473"/>
      <c r="W43" s="473"/>
      <c r="X43" s="473"/>
      <c r="Y43" s="473">
        <v>0</v>
      </c>
      <c r="Z43" s="626">
        <f t="shared" si="8"/>
        <v>7374144.9256820381</v>
      </c>
    </row>
    <row r="44" spans="2:27" ht="18" thickTop="1" thickBot="1" x14ac:dyDescent="0.35">
      <c r="B44" t="str">
        <f>'1.2 Budgeted Enrollment YR1'!E46</f>
        <v>Discovery Charter</v>
      </c>
      <c r="C44" s="54">
        <v>2742272.4076888771</v>
      </c>
      <c r="D44" s="54">
        <v>183836.76081868922</v>
      </c>
      <c r="E44" s="54">
        <v>0</v>
      </c>
      <c r="F44" s="54">
        <f t="shared" si="9"/>
        <v>2926109.1685075662</v>
      </c>
      <c r="H44" s="518">
        <f t="shared" si="10"/>
        <v>2926109.1685075662</v>
      </c>
      <c r="I44" s="1028"/>
      <c r="J44" s="470">
        <v>378.66546975</v>
      </c>
      <c r="M44" s="1132">
        <f t="shared" si="3"/>
        <v>18624</v>
      </c>
      <c r="N44" s="344">
        <v>108521.06</v>
      </c>
      <c r="O44" s="344">
        <v>0</v>
      </c>
      <c r="P44" s="344">
        <v>89897.06</v>
      </c>
      <c r="Q44" s="1121">
        <v>0</v>
      </c>
      <c r="S44" s="472">
        <v>19200</v>
      </c>
      <c r="T44" s="473"/>
      <c r="U44" s="473"/>
      <c r="V44" s="473"/>
      <c r="W44" s="473"/>
      <c r="X44" s="473"/>
      <c r="Y44" s="473">
        <v>18624</v>
      </c>
      <c r="Z44" s="626">
        <f t="shared" si="8"/>
        <v>2888285.1685075662</v>
      </c>
    </row>
    <row r="45" spans="2:27" ht="18" thickTop="1" thickBot="1" x14ac:dyDescent="0.35">
      <c r="B45" t="str">
        <f>'1.2 Budgeted Enrollment YR1'!E47</f>
        <v>Doral Academy</v>
      </c>
      <c r="C45" s="54">
        <v>41459514.368094102</v>
      </c>
      <c r="D45" s="54">
        <v>1180634.8668605804</v>
      </c>
      <c r="E45" s="54">
        <v>0</v>
      </c>
      <c r="F45" s="54">
        <f t="shared" si="9"/>
        <v>42640149.234954685</v>
      </c>
      <c r="H45" s="518">
        <f t="shared" si="10"/>
        <v>42640149.234954685</v>
      </c>
      <c r="I45" s="1028"/>
      <c r="J45" s="470">
        <v>5724.9224675000005</v>
      </c>
      <c r="M45" s="1132">
        <f t="shared" si="3"/>
        <v>0</v>
      </c>
      <c r="N45" s="344">
        <v>1562825.83</v>
      </c>
      <c r="O45" s="344">
        <v>0</v>
      </c>
      <c r="P45" s="344">
        <v>1562825.83</v>
      </c>
      <c r="Q45" s="1121">
        <v>0</v>
      </c>
      <c r="S45" s="472">
        <v>97200</v>
      </c>
      <c r="T45" s="473"/>
      <c r="U45" s="473"/>
      <c r="V45" s="473">
        <v>254303.26</v>
      </c>
      <c r="W45" s="473"/>
      <c r="X45" s="473"/>
      <c r="Y45" s="473">
        <v>0</v>
      </c>
      <c r="Z45" s="626">
        <f t="shared" si="8"/>
        <v>42288645.974954687</v>
      </c>
    </row>
    <row r="46" spans="2:27" ht="18" thickTop="1" thickBot="1" x14ac:dyDescent="0.35">
      <c r="B46" t="str">
        <f>'1.2 Budgeted Enrollment YR1'!E48</f>
        <v>Doral Academy of Northern Nevada</v>
      </c>
      <c r="C46" s="54">
        <v>6062955.0243426617</v>
      </c>
      <c r="D46" s="54">
        <v>183586.95835977784</v>
      </c>
      <c r="E46" s="54">
        <v>0</v>
      </c>
      <c r="F46" s="54">
        <f t="shared" si="9"/>
        <v>6246541.9827024397</v>
      </c>
      <c r="H46" s="518">
        <f t="shared" si="10"/>
        <v>6246541.9827024397</v>
      </c>
      <c r="I46" s="1028"/>
      <c r="J46" s="470">
        <v>811.68888499999991</v>
      </c>
      <c r="M46" s="1132">
        <f t="shared" si="3"/>
        <v>74123.999999999971</v>
      </c>
      <c r="N46" s="344">
        <v>318554.59999999998</v>
      </c>
      <c r="O46" s="344">
        <v>0</v>
      </c>
      <c r="P46" s="344">
        <v>244430.6</v>
      </c>
      <c r="Q46" s="1121">
        <v>0</v>
      </c>
      <c r="S46" s="472">
        <v>88800</v>
      </c>
      <c r="T46" s="473"/>
      <c r="U46" s="473"/>
      <c r="V46" s="473"/>
      <c r="W46" s="473"/>
      <c r="X46" s="473"/>
      <c r="Y46" s="473">
        <v>74123.999999999971</v>
      </c>
      <c r="Z46" s="626">
        <f t="shared" si="8"/>
        <v>6083617.9827024397</v>
      </c>
    </row>
    <row r="47" spans="2:27" ht="18" thickTop="1" thickBot="1" x14ac:dyDescent="0.35">
      <c r="B47" t="str">
        <f>'1.2 Budgeted Enrollment YR1'!E49</f>
        <v>Eagle Charter School</v>
      </c>
      <c r="C47" s="1014">
        <v>0</v>
      </c>
      <c r="D47" s="1014">
        <v>0</v>
      </c>
      <c r="E47" s="1014">
        <v>0</v>
      </c>
      <c r="F47" s="1014">
        <f t="shared" si="9"/>
        <v>0</v>
      </c>
      <c r="H47" s="1019">
        <f t="shared" si="10"/>
        <v>0</v>
      </c>
      <c r="I47" s="1028"/>
      <c r="J47" s="1015">
        <v>0</v>
      </c>
      <c r="M47" s="1154">
        <f t="shared" si="3"/>
        <v>0</v>
      </c>
      <c r="N47" s="1127"/>
      <c r="O47" s="1127"/>
      <c r="P47" s="1127"/>
      <c r="Q47" s="1128"/>
      <c r="S47" s="1016"/>
      <c r="T47" s="1017"/>
      <c r="U47" s="1017"/>
      <c r="V47" s="1017"/>
      <c r="W47" s="1017"/>
      <c r="X47" s="1017"/>
      <c r="Y47" s="1017">
        <v>0</v>
      </c>
      <c r="Z47" s="1020">
        <f t="shared" si="8"/>
        <v>0</v>
      </c>
      <c r="AA47" t="s">
        <v>1326</v>
      </c>
    </row>
    <row r="48" spans="2:27" ht="18" thickTop="1" thickBot="1" x14ac:dyDescent="0.35">
      <c r="B48" t="str">
        <f>'1.2 Budgeted Enrollment YR1'!E50</f>
        <v>Elko Institute for Academic Achievement</v>
      </c>
      <c r="C48" s="54">
        <v>1846479.9323456609</v>
      </c>
      <c r="D48" s="54">
        <v>163879.16542966847</v>
      </c>
      <c r="E48" s="54">
        <v>0</v>
      </c>
      <c r="F48" s="54">
        <f t="shared" si="9"/>
        <v>2010359.0977753294</v>
      </c>
      <c r="H48" s="518">
        <f t="shared" si="10"/>
        <v>2010359.0977753294</v>
      </c>
      <c r="I48" s="1028"/>
      <c r="J48" s="470">
        <v>197.48914249999996</v>
      </c>
      <c r="M48" s="1132">
        <f t="shared" si="3"/>
        <v>0</v>
      </c>
      <c r="N48" s="344">
        <v>62236.43</v>
      </c>
      <c r="O48" s="344">
        <v>0</v>
      </c>
      <c r="P48" s="344">
        <v>62236.43</v>
      </c>
      <c r="Q48" s="1121">
        <v>0</v>
      </c>
      <c r="S48" s="472">
        <v>14400</v>
      </c>
      <c r="T48" s="473"/>
      <c r="U48" s="473"/>
      <c r="V48" s="473"/>
      <c r="W48" s="473"/>
      <c r="X48" s="473"/>
      <c r="Y48" s="473">
        <v>0</v>
      </c>
      <c r="Z48" s="626">
        <f t="shared" si="8"/>
        <v>1995959.0977753294</v>
      </c>
    </row>
    <row r="49" spans="2:27" ht="18" thickTop="1" thickBot="1" x14ac:dyDescent="0.35">
      <c r="B49" t="str">
        <f>'1.2 Budgeted Enrollment YR1'!E51</f>
        <v>enCompass Academy</v>
      </c>
      <c r="C49" s="54">
        <v>722845.91936268494</v>
      </c>
      <c r="D49" s="54">
        <v>0</v>
      </c>
      <c r="E49" s="54">
        <v>0</v>
      </c>
      <c r="F49" s="54">
        <f t="shared" si="9"/>
        <v>722845.91936268494</v>
      </c>
      <c r="H49" s="518">
        <f t="shared" si="10"/>
        <v>722845.91936268494</v>
      </c>
      <c r="I49" s="1028"/>
      <c r="J49" s="470">
        <v>94.269284999999996</v>
      </c>
      <c r="M49" s="1132">
        <f t="shared" si="3"/>
        <v>73201.539999999994</v>
      </c>
      <c r="N49" s="344">
        <v>73201.539999999994</v>
      </c>
      <c r="O49" s="344">
        <v>0</v>
      </c>
      <c r="P49" s="344">
        <v>0</v>
      </c>
      <c r="Q49" s="1121">
        <v>0</v>
      </c>
      <c r="S49" s="472"/>
      <c r="T49" s="473"/>
      <c r="U49" s="473"/>
      <c r="V49" s="473"/>
      <c r="W49" s="473"/>
      <c r="X49" s="473"/>
      <c r="Y49" s="473">
        <v>73201.539999999994</v>
      </c>
      <c r="Z49" s="626">
        <f t="shared" si="8"/>
        <v>649644.37936268491</v>
      </c>
    </row>
    <row r="50" spans="2:27" ht="18" thickTop="1" thickBot="1" x14ac:dyDescent="0.35">
      <c r="B50" t="str">
        <f>'1.2 Budgeted Enrollment YR1'!E52</f>
        <v>Equipo Academy</v>
      </c>
      <c r="C50" s="54">
        <v>5503686.3411537772</v>
      </c>
      <c r="D50" s="54">
        <v>440009.03552535572</v>
      </c>
      <c r="E50" s="54">
        <v>0</v>
      </c>
      <c r="F50" s="54">
        <f t="shared" si="9"/>
        <v>5943695.3766791327</v>
      </c>
      <c r="H50" s="518">
        <f t="shared" si="10"/>
        <v>5943695.3766791327</v>
      </c>
      <c r="I50" s="1028"/>
      <c r="J50" s="470">
        <v>759.97385250000002</v>
      </c>
      <c r="M50" s="1132">
        <f t="shared" si="3"/>
        <v>59548</v>
      </c>
      <c r="N50" s="344">
        <v>184041</v>
      </c>
      <c r="O50" s="344">
        <v>0</v>
      </c>
      <c r="P50" s="344">
        <v>124493</v>
      </c>
      <c r="Q50" s="1121">
        <v>0</v>
      </c>
      <c r="S50" s="472">
        <v>121200</v>
      </c>
      <c r="T50" s="473">
        <v>295587.09612177371</v>
      </c>
      <c r="U50" s="473"/>
      <c r="V50" s="473"/>
      <c r="W50" s="473"/>
      <c r="X50" s="473"/>
      <c r="Y50" s="473">
        <v>59548</v>
      </c>
      <c r="Z50" s="626">
        <f t="shared" si="8"/>
        <v>5467360.2805573586</v>
      </c>
    </row>
    <row r="51" spans="2:27" ht="18" thickTop="1" thickBot="1" x14ac:dyDescent="0.35">
      <c r="B51" t="str">
        <f>'1.2 Budgeted Enrollment YR1'!E53</f>
        <v>Explore Academy</v>
      </c>
      <c r="C51" s="1014">
        <v>0</v>
      </c>
      <c r="D51" s="1014">
        <v>0</v>
      </c>
      <c r="E51" s="1014">
        <v>0</v>
      </c>
      <c r="F51" s="1014">
        <f t="shared" si="9"/>
        <v>0</v>
      </c>
      <c r="H51" s="1019">
        <f t="shared" si="10"/>
        <v>0</v>
      </c>
      <c r="I51" s="1028"/>
      <c r="J51" s="1015">
        <v>0</v>
      </c>
      <c r="M51" s="1154">
        <f t="shared" si="3"/>
        <v>0</v>
      </c>
      <c r="N51" s="1127"/>
      <c r="O51" s="1127"/>
      <c r="P51" s="1127"/>
      <c r="Q51" s="1128"/>
      <c r="S51" s="1016"/>
      <c r="T51" s="1017"/>
      <c r="U51" s="1017"/>
      <c r="V51" s="1017"/>
      <c r="W51" s="1017"/>
      <c r="X51" s="1017"/>
      <c r="Y51" s="1017">
        <v>0</v>
      </c>
      <c r="Z51" s="1020">
        <f t="shared" si="8"/>
        <v>0</v>
      </c>
      <c r="AA51" t="s">
        <v>1326</v>
      </c>
    </row>
    <row r="52" spans="2:27" ht="18" thickTop="1" thickBot="1" x14ac:dyDescent="0.35">
      <c r="B52" t="str">
        <f>'1.2 Budgeted Enrollment YR1'!E54</f>
        <v>Explore Knowledge Academy</v>
      </c>
      <c r="C52" s="54">
        <v>5523528.8209581729</v>
      </c>
      <c r="D52" s="54">
        <v>46600</v>
      </c>
      <c r="E52" s="54">
        <v>0</v>
      </c>
      <c r="F52" s="54">
        <f t="shared" si="9"/>
        <v>5570128.8209581729</v>
      </c>
      <c r="H52" s="518">
        <f t="shared" si="10"/>
        <v>5570128.8209581729</v>
      </c>
      <c r="I52" s="1028"/>
      <c r="J52" s="470">
        <v>762.71106750000013</v>
      </c>
      <c r="M52" s="1132">
        <f t="shared" si="3"/>
        <v>353411</v>
      </c>
      <c r="N52" s="344">
        <v>353411</v>
      </c>
      <c r="O52" s="344">
        <v>0</v>
      </c>
      <c r="P52" s="344">
        <v>0</v>
      </c>
      <c r="Q52" s="1121">
        <v>0</v>
      </c>
      <c r="S52" s="472"/>
      <c r="T52" s="473"/>
      <c r="U52" s="473"/>
      <c r="V52" s="473"/>
      <c r="W52" s="473"/>
      <c r="X52" s="473"/>
      <c r="Y52" s="473">
        <v>353411</v>
      </c>
      <c r="Z52" s="626">
        <f t="shared" si="8"/>
        <v>5216717.8209581729</v>
      </c>
    </row>
    <row r="53" spans="2:27" ht="18" thickTop="1" thickBot="1" x14ac:dyDescent="0.35">
      <c r="B53" t="str">
        <f>'1.2 Budgeted Enrollment YR1'!E55</f>
        <v>Founders Academy of Las Vegas</v>
      </c>
      <c r="C53" s="54">
        <v>5537305.8988602059</v>
      </c>
      <c r="D53" s="54">
        <v>131512.76404929673</v>
      </c>
      <c r="E53" s="54">
        <v>0</v>
      </c>
      <c r="F53" s="54">
        <f t="shared" si="9"/>
        <v>5668818.6629095022</v>
      </c>
      <c r="H53" s="518">
        <f t="shared" si="10"/>
        <v>5668818.6629095022</v>
      </c>
      <c r="I53" s="1028"/>
      <c r="J53" s="470">
        <v>764.61392499999999</v>
      </c>
      <c r="M53" s="1132">
        <f t="shared" si="3"/>
        <v>116424.15</v>
      </c>
      <c r="N53" s="344">
        <v>247812.16</v>
      </c>
      <c r="O53" s="344">
        <v>0</v>
      </c>
      <c r="P53" s="344">
        <v>131388.01</v>
      </c>
      <c r="Q53" s="1121">
        <v>0</v>
      </c>
      <c r="S53" s="472">
        <v>37200</v>
      </c>
      <c r="T53" s="473"/>
      <c r="U53" s="473"/>
      <c r="V53" s="473"/>
      <c r="W53" s="473"/>
      <c r="X53" s="473"/>
      <c r="Y53" s="473">
        <v>116424.15</v>
      </c>
      <c r="Z53" s="626">
        <f t="shared" si="8"/>
        <v>5515194.5129095018</v>
      </c>
    </row>
    <row r="54" spans="2:27" ht="18" thickTop="1" thickBot="1" x14ac:dyDescent="0.35">
      <c r="B54" t="str">
        <f>'1.2 Budgeted Enrollment YR1'!E56</f>
        <v>Freedom Classical Academy</v>
      </c>
      <c r="C54" s="54">
        <v>7762587.2679323964</v>
      </c>
      <c r="D54" s="54">
        <v>379552.43754798931</v>
      </c>
      <c r="E54" s="54">
        <v>0</v>
      </c>
      <c r="F54" s="54">
        <f t="shared" si="9"/>
        <v>8142139.7054803856</v>
      </c>
      <c r="H54" s="518">
        <f t="shared" si="10"/>
        <v>8142139.7054803856</v>
      </c>
      <c r="I54" s="1028"/>
      <c r="J54" s="470">
        <v>1071.2845</v>
      </c>
      <c r="M54" s="1132">
        <f t="shared" si="3"/>
        <v>303990.99999999994</v>
      </c>
      <c r="N54" s="344">
        <v>594427.65999999992</v>
      </c>
      <c r="O54" s="344">
        <v>0</v>
      </c>
      <c r="P54" s="344">
        <v>290436.65999999997</v>
      </c>
      <c r="Q54" s="1121">
        <v>0</v>
      </c>
      <c r="S54" s="472">
        <v>138000</v>
      </c>
      <c r="T54" s="473">
        <v>137330.28802117801</v>
      </c>
      <c r="U54" s="473"/>
      <c r="V54" s="473"/>
      <c r="W54" s="473"/>
      <c r="X54" s="473"/>
      <c r="Y54" s="473">
        <v>303990.99999999994</v>
      </c>
      <c r="Z54" s="626">
        <f t="shared" si="8"/>
        <v>7562818.4174592076</v>
      </c>
    </row>
    <row r="55" spans="2:27" ht="18" thickTop="1" thickBot="1" x14ac:dyDescent="0.35">
      <c r="B55" t="str">
        <f>'1.2 Budgeted Enrollment YR1'!E57</f>
        <v>Futuro Academy Elementary</v>
      </c>
      <c r="C55" s="54">
        <v>2468343.4255149956</v>
      </c>
      <c r="D55" s="54">
        <v>150904.69341267805</v>
      </c>
      <c r="E55" s="54">
        <v>0</v>
      </c>
      <c r="F55" s="54">
        <f t="shared" si="9"/>
        <v>2619248.1189276734</v>
      </c>
      <c r="H55" s="518">
        <f t="shared" si="10"/>
        <v>2619248.1189276734</v>
      </c>
      <c r="I55" s="1028"/>
      <c r="J55" s="470">
        <v>340.84044000000006</v>
      </c>
      <c r="M55" s="1132">
        <f t="shared" si="3"/>
        <v>0</v>
      </c>
      <c r="N55" s="344">
        <v>41490.949999999997</v>
      </c>
      <c r="O55" s="344">
        <v>0</v>
      </c>
      <c r="P55" s="344">
        <v>41490.949999999997</v>
      </c>
      <c r="Q55" s="1121">
        <v>0</v>
      </c>
      <c r="S55" s="472"/>
      <c r="T55" s="473">
        <v>67379.990000000005</v>
      </c>
      <c r="U55" s="473"/>
      <c r="V55" s="473"/>
      <c r="W55" s="473"/>
      <c r="X55" s="473"/>
      <c r="Y55" s="473">
        <v>0</v>
      </c>
      <c r="Z55" s="626">
        <f t="shared" si="8"/>
        <v>2551868.1289276732</v>
      </c>
    </row>
    <row r="56" spans="2:27" ht="18" thickTop="1" thickBot="1" x14ac:dyDescent="0.35">
      <c r="B56" t="str">
        <f>'1.2 Budgeted Enrollment YR1'!E58</f>
        <v>Girls Athletic Leadership Schools</v>
      </c>
      <c r="C56" s="1014">
        <v>0</v>
      </c>
      <c r="D56" s="1014">
        <v>0</v>
      </c>
      <c r="E56" s="1014">
        <v>0</v>
      </c>
      <c r="F56" s="1014">
        <f t="shared" si="9"/>
        <v>0</v>
      </c>
      <c r="H56" s="1019">
        <f t="shared" si="10"/>
        <v>0</v>
      </c>
      <c r="I56" s="1028"/>
      <c r="J56" s="1015">
        <v>0</v>
      </c>
      <c r="M56" s="1154">
        <f t="shared" si="3"/>
        <v>0</v>
      </c>
      <c r="N56" s="1127"/>
      <c r="O56" s="1127"/>
      <c r="P56" s="1127"/>
      <c r="Q56" s="1128"/>
      <c r="S56" s="1016"/>
      <c r="T56" s="1017"/>
      <c r="U56" s="1017"/>
      <c r="V56" s="1017"/>
      <c r="W56" s="1017"/>
      <c r="X56" s="1017"/>
      <c r="Y56" s="1017">
        <v>0</v>
      </c>
      <c r="Z56" s="1020">
        <f t="shared" si="8"/>
        <v>0</v>
      </c>
      <c r="AA56" t="s">
        <v>1326</v>
      </c>
    </row>
    <row r="57" spans="2:27" ht="18" thickTop="1" thickBot="1" x14ac:dyDescent="0.35">
      <c r="B57" t="str">
        <f>'1.2 Budgeted Enrollment YR1'!E59</f>
        <v>High Desert Montessori</v>
      </c>
      <c r="C57" s="54">
        <v>2658657.9865696384</v>
      </c>
      <c r="D57" s="54">
        <v>3227</v>
      </c>
      <c r="E57" s="54">
        <v>0</v>
      </c>
      <c r="F57" s="54">
        <f t="shared" si="9"/>
        <v>2661884.9865696384</v>
      </c>
      <c r="H57" s="518">
        <f t="shared" si="10"/>
        <v>2661884.9865696384</v>
      </c>
      <c r="I57" s="1028"/>
      <c r="J57" s="470">
        <v>346.239215</v>
      </c>
      <c r="M57" s="1132">
        <f t="shared" si="3"/>
        <v>165343.82999999999</v>
      </c>
      <c r="N57" s="344">
        <v>165343.82999999999</v>
      </c>
      <c r="O57" s="344">
        <v>0</v>
      </c>
      <c r="P57" s="344">
        <v>0</v>
      </c>
      <c r="Q57" s="1121">
        <v>0</v>
      </c>
      <c r="S57" s="472"/>
      <c r="T57" s="473"/>
      <c r="U57" s="473"/>
      <c r="V57" s="473"/>
      <c r="W57" s="473"/>
      <c r="X57" s="473"/>
      <c r="Y57" s="473">
        <v>165343.82999999999</v>
      </c>
      <c r="Z57" s="626">
        <f t="shared" si="8"/>
        <v>2496541.1565696383</v>
      </c>
    </row>
    <row r="58" spans="2:27" ht="18" thickTop="1" thickBot="1" x14ac:dyDescent="0.35">
      <c r="B58" t="str">
        <f>'1.2 Budgeted Enrollment YR1'!E60</f>
        <v>Honors Academy of Literature</v>
      </c>
      <c r="C58" s="54">
        <v>1631874.011403711</v>
      </c>
      <c r="D58" s="54">
        <v>79011.792302695874</v>
      </c>
      <c r="E58" s="54">
        <v>0</v>
      </c>
      <c r="F58" s="54">
        <f t="shared" si="9"/>
        <v>1710885.8037064068</v>
      </c>
      <c r="H58" s="518">
        <f t="shared" si="10"/>
        <v>1710885.8037064068</v>
      </c>
      <c r="I58" s="1028"/>
      <c r="J58" s="470">
        <v>218.46999250000002</v>
      </c>
      <c r="M58" s="1132">
        <f t="shared" si="3"/>
        <v>27540</v>
      </c>
      <c r="N58" s="344">
        <v>113979.48</v>
      </c>
      <c r="O58" s="344">
        <v>0</v>
      </c>
      <c r="P58" s="344">
        <v>86439.48</v>
      </c>
      <c r="Q58" s="1121">
        <v>0</v>
      </c>
      <c r="S58" s="472"/>
      <c r="T58" s="473"/>
      <c r="U58" s="473"/>
      <c r="V58" s="473"/>
      <c r="W58" s="473"/>
      <c r="X58" s="473"/>
      <c r="Y58" s="473">
        <v>27540</v>
      </c>
      <c r="Z58" s="626">
        <f t="shared" si="8"/>
        <v>1683345.8037064068</v>
      </c>
    </row>
    <row r="59" spans="2:27" ht="18" thickTop="1" thickBot="1" x14ac:dyDescent="0.35">
      <c r="B59" t="str">
        <f>'1.2 Budgeted Enrollment YR1'!E61</f>
        <v>Imagine School Mountain View</v>
      </c>
      <c r="C59" s="54">
        <v>5137984.391867335</v>
      </c>
      <c r="D59" s="54">
        <v>280040.82491629553</v>
      </c>
      <c r="E59" s="54">
        <v>0</v>
      </c>
      <c r="F59" s="54">
        <f t="shared" si="9"/>
        <v>5418025.2167836307</v>
      </c>
      <c r="H59" s="518">
        <f t="shared" si="10"/>
        <v>5418025.2167836307</v>
      </c>
      <c r="I59" s="1028"/>
      <c r="J59" s="470">
        <v>709.47592499999996</v>
      </c>
      <c r="M59" s="1132">
        <f t="shared" si="3"/>
        <v>171487</v>
      </c>
      <c r="N59" s="344">
        <v>392772.07</v>
      </c>
      <c r="O59" s="344">
        <v>0</v>
      </c>
      <c r="P59" s="344">
        <v>221285.07</v>
      </c>
      <c r="Q59" s="1121">
        <v>0</v>
      </c>
      <c r="S59" s="472">
        <v>56400</v>
      </c>
      <c r="T59" s="473">
        <v>94169.340357379217</v>
      </c>
      <c r="U59" s="473"/>
      <c r="V59" s="473"/>
      <c r="W59" s="473"/>
      <c r="X59" s="473"/>
      <c r="Y59" s="473">
        <v>171487</v>
      </c>
      <c r="Z59" s="626">
        <f t="shared" si="8"/>
        <v>5095968.8764262516</v>
      </c>
    </row>
    <row r="60" spans="2:27" ht="18" thickTop="1" thickBot="1" x14ac:dyDescent="0.35">
      <c r="B60" t="str">
        <f>'1.2 Budgeted Enrollment YR1'!E62</f>
        <v>Innovations Int'l Charter</v>
      </c>
      <c r="C60" s="54">
        <v>5810173.8820857545</v>
      </c>
      <c r="D60" s="54">
        <v>0</v>
      </c>
      <c r="E60" s="54">
        <v>0</v>
      </c>
      <c r="F60" s="54">
        <f t="shared" si="9"/>
        <v>5810173.8820857545</v>
      </c>
      <c r="H60" s="518">
        <f t="shared" si="10"/>
        <v>5810173.8820857545</v>
      </c>
      <c r="I60" s="1028"/>
      <c r="J60" s="470">
        <v>802.28936500000009</v>
      </c>
      <c r="M60" s="1132">
        <f t="shared" si="3"/>
        <v>396196</v>
      </c>
      <c r="N60" s="344">
        <v>396196</v>
      </c>
      <c r="O60" s="344">
        <v>0</v>
      </c>
      <c r="P60" s="344">
        <v>0</v>
      </c>
      <c r="Q60" s="1121">
        <v>0</v>
      </c>
      <c r="S60" s="472"/>
      <c r="T60" s="473"/>
      <c r="U60" s="473"/>
      <c r="V60" s="473"/>
      <c r="W60" s="473"/>
      <c r="X60" s="473"/>
      <c r="Y60" s="473">
        <v>396196</v>
      </c>
      <c r="Z60" s="626">
        <f t="shared" si="8"/>
        <v>5413977.8820857545</v>
      </c>
    </row>
    <row r="61" spans="2:27" ht="18" thickTop="1" thickBot="1" x14ac:dyDescent="0.35">
      <c r="B61" t="str">
        <f>'1.2 Budgeted Enrollment YR1'!E63</f>
        <v>Leadership Academy of Nevada</v>
      </c>
      <c r="C61" s="54">
        <v>2097692.5807055682</v>
      </c>
      <c r="D61" s="54">
        <v>21822.200488452861</v>
      </c>
      <c r="E61" s="54">
        <v>0</v>
      </c>
      <c r="F61" s="54">
        <f t="shared" si="9"/>
        <v>2119514.781194021</v>
      </c>
      <c r="H61" s="518">
        <f t="shared" si="10"/>
        <v>2119514.781194021</v>
      </c>
      <c r="I61" s="1028"/>
      <c r="J61" s="470">
        <v>262.75737500000002</v>
      </c>
      <c r="M61" s="1132">
        <f t="shared" si="3"/>
        <v>0</v>
      </c>
      <c r="N61" s="344">
        <v>70046.53</v>
      </c>
      <c r="O61" s="344">
        <v>0</v>
      </c>
      <c r="P61" s="344">
        <v>45012.53</v>
      </c>
      <c r="Q61" s="1121">
        <v>25034</v>
      </c>
      <c r="S61" s="472">
        <v>13200</v>
      </c>
      <c r="T61" s="473"/>
      <c r="U61" s="473"/>
      <c r="V61" s="473"/>
      <c r="W61" s="473"/>
      <c r="X61" s="473"/>
      <c r="Y61" s="473">
        <v>0</v>
      </c>
      <c r="Z61" s="626">
        <f t="shared" si="8"/>
        <v>2106314.781194021</v>
      </c>
    </row>
    <row r="62" spans="2:27" ht="18" thickTop="1" thickBot="1" x14ac:dyDescent="0.35">
      <c r="B62" t="str">
        <f>'1.2 Budgeted Enrollment YR1'!E64</f>
        <v>Learning Bridge</v>
      </c>
      <c r="C62" s="54">
        <v>2007853.0899941353</v>
      </c>
      <c r="D62" s="54">
        <v>95748.690292697138</v>
      </c>
      <c r="E62" s="54">
        <v>0</v>
      </c>
      <c r="F62" s="54">
        <f t="shared" ref="F62:F89" si="11">SUM(C62:E62)</f>
        <v>2103601.7802868322</v>
      </c>
      <c r="H62" s="518">
        <f t="shared" si="10"/>
        <v>2103601.7802868322</v>
      </c>
      <c r="I62" s="1028"/>
      <c r="J62" s="470">
        <v>180.91071249999999</v>
      </c>
      <c r="M62" s="1132">
        <f t="shared" si="3"/>
        <v>0</v>
      </c>
      <c r="N62" s="344">
        <v>86439.48</v>
      </c>
      <c r="O62" s="344">
        <v>0</v>
      </c>
      <c r="P62" s="344">
        <v>86439.48</v>
      </c>
      <c r="Q62" s="1121">
        <v>0</v>
      </c>
      <c r="S62" s="472">
        <v>10800</v>
      </c>
      <c r="T62" s="473"/>
      <c r="U62" s="473"/>
      <c r="V62" s="473"/>
      <c r="W62" s="473"/>
      <c r="X62" s="473"/>
      <c r="Y62" s="473">
        <v>0</v>
      </c>
      <c r="Z62" s="626">
        <f t="shared" ref="Z62:Z89" si="12">H62-SUM(S62:Y62)</f>
        <v>2092801.7802868322</v>
      </c>
    </row>
    <row r="63" spans="2:27" ht="18" thickTop="1" thickBot="1" x14ac:dyDescent="0.35">
      <c r="B63" t="str">
        <f>'1.2 Budgeted Enrollment YR1'!E65</f>
        <v>Legacy Traditional Schools</v>
      </c>
      <c r="C63" s="54">
        <v>30110812.935092501</v>
      </c>
      <c r="D63" s="54">
        <v>549792.24436481483</v>
      </c>
      <c r="E63" s="54">
        <v>0</v>
      </c>
      <c r="F63" s="54">
        <f t="shared" si="11"/>
        <v>30660605.179457314</v>
      </c>
      <c r="H63" s="518">
        <f t="shared" si="10"/>
        <v>30660605.179457314</v>
      </c>
      <c r="I63" s="1028"/>
      <c r="J63" s="470">
        <v>4157.8304200000002</v>
      </c>
      <c r="M63" s="1132">
        <f t="shared" si="3"/>
        <v>0</v>
      </c>
      <c r="N63" s="344">
        <v>667312.80000000005</v>
      </c>
      <c r="O63" s="344">
        <v>0</v>
      </c>
      <c r="P63" s="344">
        <v>667312.80000000005</v>
      </c>
      <c r="Q63" s="1121">
        <v>0</v>
      </c>
      <c r="S63" s="472">
        <v>180000</v>
      </c>
      <c r="T63" s="473"/>
      <c r="U63" s="473"/>
      <c r="V63" s="473"/>
      <c r="W63" s="473"/>
      <c r="X63" s="473"/>
      <c r="Y63" s="473">
        <v>0</v>
      </c>
      <c r="Z63" s="626">
        <f t="shared" si="12"/>
        <v>30480605.179457314</v>
      </c>
    </row>
    <row r="64" spans="2:27" ht="18" thickTop="1" thickBot="1" x14ac:dyDescent="0.35">
      <c r="B64" t="str">
        <f>'1.2 Budgeted Enrollment YR1'!E66</f>
        <v>Mariposa Dual Language Academy</v>
      </c>
      <c r="C64" s="54">
        <v>1264461.1971841913</v>
      </c>
      <c r="D64" s="54">
        <v>245.08</v>
      </c>
      <c r="E64" s="54">
        <v>0</v>
      </c>
      <c r="F64" s="54">
        <f t="shared" si="11"/>
        <v>1264706.2771841914</v>
      </c>
      <c r="H64" s="518">
        <f t="shared" si="10"/>
        <v>1264706.2771841914</v>
      </c>
      <c r="I64" s="1028"/>
      <c r="J64" s="470">
        <v>141.298315</v>
      </c>
      <c r="M64" s="1132">
        <f t="shared" si="3"/>
        <v>96944.9</v>
      </c>
      <c r="N64" s="344">
        <v>96944.9</v>
      </c>
      <c r="O64" s="344">
        <v>0</v>
      </c>
      <c r="P64" s="344">
        <v>0</v>
      </c>
      <c r="Q64" s="1121">
        <v>0</v>
      </c>
      <c r="S64" s="472"/>
      <c r="T64" s="473"/>
      <c r="U64" s="473"/>
      <c r="V64" s="473"/>
      <c r="W64" s="473"/>
      <c r="X64" s="473"/>
      <c r="Y64" s="473">
        <v>96944.9</v>
      </c>
      <c r="Z64" s="626">
        <f t="shared" si="12"/>
        <v>1167761.3771841915</v>
      </c>
    </row>
    <row r="65" spans="2:27" ht="18" thickTop="1" thickBot="1" x14ac:dyDescent="0.35">
      <c r="B65" t="str">
        <f>'1.2 Budgeted Enrollment YR1'!E67</f>
        <v>Mater Academy</v>
      </c>
      <c r="C65" s="54">
        <v>14291663.75647302</v>
      </c>
      <c r="D65" s="54">
        <v>2006366.6801574507</v>
      </c>
      <c r="E65" s="54">
        <v>0</v>
      </c>
      <c r="F65" s="54">
        <f t="shared" si="11"/>
        <v>16298030.436630471</v>
      </c>
      <c r="H65" s="518">
        <f t="shared" si="10"/>
        <v>16298030.436630471</v>
      </c>
      <c r="I65" s="1028"/>
      <c r="J65" s="470">
        <v>1973.4592965000002</v>
      </c>
      <c r="M65" s="1132">
        <f t="shared" si="3"/>
        <v>0</v>
      </c>
      <c r="N65" s="344">
        <v>577415.74</v>
      </c>
      <c r="O65" s="344">
        <v>0</v>
      </c>
      <c r="P65" s="344">
        <v>577415.74</v>
      </c>
      <c r="Q65" s="1121">
        <v>0</v>
      </c>
      <c r="S65" s="472">
        <v>525600</v>
      </c>
      <c r="T65" s="473">
        <v>1102566.0266843152</v>
      </c>
      <c r="U65" s="473"/>
      <c r="V65" s="473"/>
      <c r="W65" s="473"/>
      <c r="X65" s="473"/>
      <c r="Y65" s="473">
        <v>0</v>
      </c>
      <c r="Z65" s="626">
        <f t="shared" si="12"/>
        <v>14669864.409946155</v>
      </c>
    </row>
    <row r="66" spans="2:27" ht="18" thickTop="1" thickBot="1" x14ac:dyDescent="0.35">
      <c r="B66" t="str">
        <f>'1.2 Budgeted Enrollment YR1'!E68</f>
        <v>Mater Academy of Northern Nevada</v>
      </c>
      <c r="C66" s="54">
        <v>2594884.122464966</v>
      </c>
      <c r="D66" s="54">
        <v>379211.80482647056</v>
      </c>
      <c r="E66" s="54">
        <v>0</v>
      </c>
      <c r="F66" s="54">
        <f t="shared" si="11"/>
        <v>2974095.9272914366</v>
      </c>
      <c r="H66" s="518">
        <f t="shared" si="10"/>
        <v>2974095.9272914366</v>
      </c>
      <c r="I66" s="1028"/>
      <c r="J66" s="470">
        <v>347.39350000000002</v>
      </c>
      <c r="M66" s="1132">
        <f t="shared" si="3"/>
        <v>140924</v>
      </c>
      <c r="N66" s="344">
        <v>237736.22</v>
      </c>
      <c r="O66" s="344">
        <v>0</v>
      </c>
      <c r="P66" s="344">
        <v>96812.22</v>
      </c>
      <c r="Q66" s="1121">
        <v>0</v>
      </c>
      <c r="S66" s="472">
        <v>80400</v>
      </c>
      <c r="T66" s="473">
        <v>134714.47301125081</v>
      </c>
      <c r="U66" s="473"/>
      <c r="V66" s="473"/>
      <c r="W66" s="473"/>
      <c r="X66" s="473"/>
      <c r="Y66" s="473">
        <v>140924</v>
      </c>
      <c r="Z66" s="626">
        <f t="shared" si="12"/>
        <v>2618057.4542801855</v>
      </c>
    </row>
    <row r="67" spans="2:27" ht="18" thickTop="1" thickBot="1" x14ac:dyDescent="0.35">
      <c r="B67" t="str">
        <f>'1.2 Budgeted Enrollment YR1'!E69</f>
        <v>Nevada Connections Academy</v>
      </c>
      <c r="C67" s="54">
        <v>25878077.429902133</v>
      </c>
      <c r="D67" s="54">
        <v>871546.18926109455</v>
      </c>
      <c r="E67" s="54">
        <v>0</v>
      </c>
      <c r="F67" s="54">
        <f t="shared" si="11"/>
        <v>26749623.619163226</v>
      </c>
      <c r="H67" s="518">
        <f t="shared" si="10"/>
        <v>26749623.619163226</v>
      </c>
      <c r="I67" s="1028"/>
      <c r="J67" s="470">
        <v>3282.6674575360644</v>
      </c>
      <c r="M67" s="1132">
        <f t="shared" si="3"/>
        <v>0</v>
      </c>
      <c r="N67" s="344">
        <v>1058019.4099999999</v>
      </c>
      <c r="O67" s="344">
        <v>0</v>
      </c>
      <c r="P67" s="344">
        <v>1058019.4099999999</v>
      </c>
      <c r="Q67" s="1121">
        <v>0</v>
      </c>
      <c r="S67" s="472">
        <v>609600</v>
      </c>
      <c r="T67" s="473">
        <v>0</v>
      </c>
      <c r="U67" s="473"/>
      <c r="V67" s="473">
        <v>53762.1</v>
      </c>
      <c r="W67" s="473"/>
      <c r="X67" s="473"/>
      <c r="Y67" s="473">
        <v>0</v>
      </c>
      <c r="Z67" s="626">
        <f t="shared" si="12"/>
        <v>26086261.519163225</v>
      </c>
    </row>
    <row r="68" spans="2:27" ht="18" thickTop="1" thickBot="1" x14ac:dyDescent="0.35">
      <c r="B68" t="str">
        <f>'1.2 Budgeted Enrollment YR1'!E70</f>
        <v>Nevada Prep</v>
      </c>
      <c r="C68" s="54">
        <v>1503086.9126624239</v>
      </c>
      <c r="D68" s="54">
        <v>20955.445726591512</v>
      </c>
      <c r="E68" s="54">
        <v>0</v>
      </c>
      <c r="F68" s="54">
        <f t="shared" si="11"/>
        <v>1524042.3583890153</v>
      </c>
      <c r="H68" s="518">
        <f t="shared" si="10"/>
        <v>1524042.3583890153</v>
      </c>
      <c r="I68" s="1028"/>
      <c r="J68" s="470">
        <v>207.55364499999999</v>
      </c>
      <c r="M68" s="1132">
        <f t="shared" si="3"/>
        <v>31230</v>
      </c>
      <c r="N68" s="344">
        <v>79636.11</v>
      </c>
      <c r="O68" s="344">
        <v>0</v>
      </c>
      <c r="P68" s="344">
        <v>48406.11</v>
      </c>
      <c r="Q68" s="1121">
        <v>0</v>
      </c>
      <c r="S68" s="472"/>
      <c r="T68" s="473">
        <v>15976.7</v>
      </c>
      <c r="U68" s="473"/>
      <c r="V68" s="473"/>
      <c r="W68" s="473"/>
      <c r="X68" s="473"/>
      <c r="Y68" s="473">
        <v>31230</v>
      </c>
      <c r="Z68" s="626">
        <f t="shared" si="12"/>
        <v>1476835.6583890154</v>
      </c>
    </row>
    <row r="69" spans="2:27" ht="18" thickTop="1" thickBot="1" x14ac:dyDescent="0.35">
      <c r="B69" t="str">
        <f>'1.2 Budgeted Enrollment YR1'!E71</f>
        <v xml:space="preserve">Nevada Rise </v>
      </c>
      <c r="C69" s="54">
        <v>1625577.6022471578</v>
      </c>
      <c r="D69" s="54">
        <v>95463.161672584887</v>
      </c>
      <c r="E69" s="54">
        <v>0</v>
      </c>
      <c r="F69" s="54">
        <f t="shared" si="11"/>
        <v>1721040.7639197428</v>
      </c>
      <c r="H69" s="518">
        <f t="shared" si="10"/>
        <v>1721040.7639197428</v>
      </c>
      <c r="I69" s="1028"/>
      <c r="J69" s="470">
        <v>224.46602000000001</v>
      </c>
      <c r="M69" s="1132">
        <f t="shared" si="3"/>
        <v>0</v>
      </c>
      <c r="N69" s="344">
        <v>44948.53</v>
      </c>
      <c r="O69" s="344">
        <v>0</v>
      </c>
      <c r="P69" s="344">
        <v>44948.53</v>
      </c>
      <c r="Q69" s="1121">
        <v>0</v>
      </c>
      <c r="S69" s="472"/>
      <c r="T69" s="473">
        <v>16671.34</v>
      </c>
      <c r="U69" s="473"/>
      <c r="V69" s="473"/>
      <c r="W69" s="473"/>
      <c r="X69" s="473"/>
      <c r="Y69" s="473">
        <v>0</v>
      </c>
      <c r="Z69" s="626">
        <f t="shared" si="12"/>
        <v>1704369.4239197427</v>
      </c>
    </row>
    <row r="70" spans="2:27" ht="18" thickTop="1" thickBot="1" x14ac:dyDescent="0.35">
      <c r="B70" t="str">
        <f>'1.2 Budgeted Enrollment YR1'!E72</f>
        <v>Nevada State High School</v>
      </c>
      <c r="C70" s="54">
        <v>5359824.7253101273</v>
      </c>
      <c r="D70" s="54">
        <v>338551.93665118894</v>
      </c>
      <c r="E70" s="54">
        <v>0</v>
      </c>
      <c r="F70" s="54">
        <f t="shared" si="11"/>
        <v>5698376.6619613161</v>
      </c>
      <c r="H70" s="518">
        <f t="shared" si="10"/>
        <v>5698376.6619613161</v>
      </c>
      <c r="I70" s="1028"/>
      <c r="J70" s="470">
        <v>738.88392750000003</v>
      </c>
      <c r="M70" s="1132">
        <f t="shared" si="3"/>
        <v>0</v>
      </c>
      <c r="N70" s="344">
        <v>24203.05</v>
      </c>
      <c r="O70" s="344">
        <v>0</v>
      </c>
      <c r="P70" s="344">
        <v>24203.05</v>
      </c>
      <c r="Q70" s="1121">
        <v>0</v>
      </c>
      <c r="S70" s="472"/>
      <c r="T70" s="473">
        <v>5231.6300198544013</v>
      </c>
      <c r="U70" s="473"/>
      <c r="V70" s="473"/>
      <c r="W70" s="473"/>
      <c r="X70" s="473"/>
      <c r="Y70" s="473">
        <v>0</v>
      </c>
      <c r="Z70" s="626">
        <f t="shared" si="12"/>
        <v>5693145.0319414614</v>
      </c>
    </row>
    <row r="71" spans="2:27" ht="18" thickTop="1" thickBot="1" x14ac:dyDescent="0.35">
      <c r="B71" t="str">
        <f>'1.2 Budgeted Enrollment YR1'!E73</f>
        <v>Nevada State High School-Meadowwood</v>
      </c>
      <c r="C71" s="54">
        <v>410736.85509709385</v>
      </c>
      <c r="D71" s="54">
        <v>843.37063706618846</v>
      </c>
      <c r="E71" s="54">
        <v>0</v>
      </c>
      <c r="F71" s="54">
        <f t="shared" si="11"/>
        <v>411580.22573416005</v>
      </c>
      <c r="H71" s="518">
        <f t="shared" si="10"/>
        <v>411580.22573416005</v>
      </c>
      <c r="I71" s="1028"/>
      <c r="J71" s="470">
        <v>53.673810000000003</v>
      </c>
      <c r="M71" s="1132">
        <f t="shared" si="3"/>
        <v>0</v>
      </c>
      <c r="N71" s="344">
        <v>0</v>
      </c>
      <c r="O71" s="344">
        <v>0</v>
      </c>
      <c r="P71" s="344">
        <v>0</v>
      </c>
      <c r="Q71" s="1121">
        <v>0</v>
      </c>
      <c r="S71" s="472"/>
      <c r="T71" s="473"/>
      <c r="U71" s="473"/>
      <c r="V71" s="473"/>
      <c r="W71" s="473"/>
      <c r="X71" s="473"/>
      <c r="Y71" s="473">
        <v>0</v>
      </c>
      <c r="Z71" s="626">
        <f t="shared" si="12"/>
        <v>411580.22573416005</v>
      </c>
    </row>
    <row r="72" spans="2:27" ht="18" thickTop="1" thickBot="1" x14ac:dyDescent="0.35">
      <c r="B72" t="str">
        <f>'1.2 Budgeted Enrollment YR1'!E74</f>
        <v>Nevada Virtual Academy</v>
      </c>
      <c r="C72" s="54">
        <v>11136051.398751795</v>
      </c>
      <c r="D72" s="54">
        <v>401494.34011281776</v>
      </c>
      <c r="E72" s="54">
        <v>0</v>
      </c>
      <c r="F72" s="54">
        <f t="shared" si="11"/>
        <v>11537545.738864614</v>
      </c>
      <c r="H72" s="518">
        <f t="shared" si="10"/>
        <v>11537545.738864614</v>
      </c>
      <c r="I72" s="1028"/>
      <c r="J72" s="470">
        <v>1486.74559</v>
      </c>
      <c r="M72" s="1132">
        <f t="shared" si="3"/>
        <v>0</v>
      </c>
      <c r="N72" s="344">
        <v>708803.75</v>
      </c>
      <c r="O72" s="344">
        <v>0</v>
      </c>
      <c r="P72" s="344">
        <v>708803.75</v>
      </c>
      <c r="Q72" s="1121">
        <v>0</v>
      </c>
      <c r="S72" s="472">
        <v>270000</v>
      </c>
      <c r="T72" s="473"/>
      <c r="U72" s="473"/>
      <c r="V72" s="473"/>
      <c r="W72" s="473"/>
      <c r="X72" s="473"/>
      <c r="Y72" s="473">
        <v>0</v>
      </c>
      <c r="Z72" s="626">
        <f t="shared" si="12"/>
        <v>11267545.738864614</v>
      </c>
    </row>
    <row r="73" spans="2:27" ht="18" thickTop="1" thickBot="1" x14ac:dyDescent="0.35">
      <c r="B73" t="str">
        <f>'1.2 Budgeted Enrollment YR1'!E75</f>
        <v>Oasis Academy</v>
      </c>
      <c r="C73" s="54">
        <v>5287734.5641816529</v>
      </c>
      <c r="D73" s="54">
        <v>265348.58032720088</v>
      </c>
      <c r="E73" s="54">
        <v>0</v>
      </c>
      <c r="F73" s="54">
        <f t="shared" si="11"/>
        <v>5553083.1445088536</v>
      </c>
      <c r="H73" s="518">
        <f t="shared" si="10"/>
        <v>5553083.1445088536</v>
      </c>
      <c r="I73" s="1028"/>
      <c r="J73" s="470">
        <v>638.00608999999997</v>
      </c>
      <c r="M73" s="1132">
        <f t="shared" ref="M73:M86" si="13">N73-O73-P73-Q73</f>
        <v>208794.16000000003</v>
      </c>
      <c r="N73" s="344">
        <v>416248.92000000004</v>
      </c>
      <c r="O73" s="344">
        <v>0</v>
      </c>
      <c r="P73" s="344">
        <v>207454.76</v>
      </c>
      <c r="Q73" s="1121">
        <v>0</v>
      </c>
      <c r="S73" s="472"/>
      <c r="T73" s="473"/>
      <c r="U73" s="473"/>
      <c r="V73" s="473"/>
      <c r="W73" s="473"/>
      <c r="X73" s="473"/>
      <c r="Y73" s="473">
        <v>208794.16000000003</v>
      </c>
      <c r="Z73" s="626">
        <f t="shared" si="12"/>
        <v>5344288.9845088534</v>
      </c>
    </row>
    <row r="74" spans="2:27" ht="18" thickTop="1" thickBot="1" x14ac:dyDescent="0.35">
      <c r="B74" t="str">
        <f>'1.2 Budgeted Enrollment YR1'!E76</f>
        <v>Odyssey Charter Schools</v>
      </c>
      <c r="C74" s="54">
        <v>15919361.988174073</v>
      </c>
      <c r="D74" s="54">
        <v>34466.94</v>
      </c>
      <c r="E74" s="54">
        <v>0</v>
      </c>
      <c r="F74" s="54">
        <f t="shared" si="11"/>
        <v>15953828.928174073</v>
      </c>
      <c r="H74" s="518">
        <f t="shared" si="10"/>
        <v>15953828.928174073</v>
      </c>
      <c r="I74" s="1028"/>
      <c r="J74" s="470">
        <v>2198.2159775</v>
      </c>
      <c r="M74" s="1132">
        <f t="shared" si="13"/>
        <v>2183088.98</v>
      </c>
      <c r="N74" s="344">
        <v>2183088.98</v>
      </c>
      <c r="O74" s="344">
        <v>0</v>
      </c>
      <c r="P74" s="344">
        <v>0</v>
      </c>
      <c r="Q74" s="1121">
        <v>0</v>
      </c>
      <c r="S74" s="472">
        <v>4800</v>
      </c>
      <c r="T74" s="473"/>
      <c r="U74" s="473"/>
      <c r="V74" s="473"/>
      <c r="W74" s="473"/>
      <c r="X74" s="473"/>
      <c r="Y74" s="473">
        <v>2183088.98</v>
      </c>
      <c r="Z74" s="626">
        <f t="shared" si="12"/>
        <v>13765939.948174072</v>
      </c>
    </row>
    <row r="75" spans="2:27" ht="18" thickTop="1" thickBot="1" x14ac:dyDescent="0.35">
      <c r="B75" t="str">
        <f>'1.2 Budgeted Enrollment YR1'!E77</f>
        <v>Pinecrest Academy of Northern Nevada</v>
      </c>
      <c r="C75" s="1014">
        <v>0</v>
      </c>
      <c r="D75" s="1014">
        <v>0</v>
      </c>
      <c r="E75" s="1014">
        <v>0</v>
      </c>
      <c r="F75" s="1014">
        <f t="shared" si="11"/>
        <v>0</v>
      </c>
      <c r="H75" s="1019">
        <f t="shared" si="10"/>
        <v>0</v>
      </c>
      <c r="I75" s="1028"/>
      <c r="J75" s="1015">
        <v>0</v>
      </c>
      <c r="M75" s="1154">
        <f t="shared" si="13"/>
        <v>0</v>
      </c>
      <c r="N75" s="1127"/>
      <c r="O75" s="1127"/>
      <c r="P75" s="1127"/>
      <c r="Q75" s="1128"/>
      <c r="S75" s="1016"/>
      <c r="T75" s="1017"/>
      <c r="U75" s="1017"/>
      <c r="V75" s="1017"/>
      <c r="W75" s="1017"/>
      <c r="X75" s="1017"/>
      <c r="Y75" s="1017">
        <v>0</v>
      </c>
      <c r="Z75" s="1020">
        <f t="shared" si="12"/>
        <v>0</v>
      </c>
      <c r="AA75" t="s">
        <v>1326</v>
      </c>
    </row>
    <row r="76" spans="2:27" ht="18" thickTop="1" thickBot="1" x14ac:dyDescent="0.35">
      <c r="B76" t="str">
        <f>'1.2 Budgeted Enrollment YR1'!E78</f>
        <v>Pinecrest Academy of Nevada</v>
      </c>
      <c r="C76" s="54">
        <v>43226715.739039689</v>
      </c>
      <c r="D76" s="54">
        <v>1069492.502838318</v>
      </c>
      <c r="E76" s="54">
        <v>0</v>
      </c>
      <c r="F76" s="54">
        <f t="shared" si="11"/>
        <v>44296208.24187801</v>
      </c>
      <c r="H76" s="518">
        <f t="shared" si="10"/>
        <v>44296208.24187801</v>
      </c>
      <c r="I76" s="1028"/>
      <c r="J76" s="470">
        <v>5968.9445674999997</v>
      </c>
      <c r="M76" s="1132">
        <f t="shared" si="13"/>
        <v>0</v>
      </c>
      <c r="N76" s="344">
        <v>1472928.76</v>
      </c>
      <c r="O76" s="344">
        <v>0</v>
      </c>
      <c r="P76" s="344">
        <v>1472928.76</v>
      </c>
      <c r="Q76" s="1121">
        <v>0</v>
      </c>
      <c r="S76" s="472"/>
      <c r="T76" s="473"/>
      <c r="U76" s="473"/>
      <c r="V76" s="473">
        <v>162993.03</v>
      </c>
      <c r="W76" s="473"/>
      <c r="X76" s="473"/>
      <c r="Y76" s="473">
        <v>0</v>
      </c>
      <c r="Z76" s="626">
        <f t="shared" si="12"/>
        <v>44133215.211878009</v>
      </c>
    </row>
    <row r="77" spans="2:27" ht="18" thickTop="1" thickBot="1" x14ac:dyDescent="0.35">
      <c r="B77" t="str">
        <f>'1.2 Budgeted Enrollment YR1'!E79</f>
        <v>Quest Academy</v>
      </c>
      <c r="C77" s="54">
        <v>3468035.323635322</v>
      </c>
      <c r="D77" s="54">
        <v>258049.72279773594</v>
      </c>
      <c r="E77" s="54">
        <v>0</v>
      </c>
      <c r="F77" s="54">
        <f t="shared" si="11"/>
        <v>3726085.0464330581</v>
      </c>
      <c r="H77" s="518">
        <f t="shared" si="10"/>
        <v>3726085.0464330581</v>
      </c>
      <c r="I77" s="1028"/>
      <c r="J77" s="470">
        <v>473.36828499999996</v>
      </c>
      <c r="M77" s="1132">
        <f t="shared" si="13"/>
        <v>46604</v>
      </c>
      <c r="N77" s="344">
        <v>174534.43</v>
      </c>
      <c r="O77" s="344">
        <v>0</v>
      </c>
      <c r="P77" s="344">
        <v>127930.43</v>
      </c>
      <c r="Q77" s="1121">
        <v>0</v>
      </c>
      <c r="S77" s="472">
        <v>159600</v>
      </c>
      <c r="T77" s="473"/>
      <c r="U77" s="473"/>
      <c r="V77" s="473"/>
      <c r="W77" s="473"/>
      <c r="X77" s="473"/>
      <c r="Y77" s="473">
        <v>46604</v>
      </c>
      <c r="Z77" s="626">
        <f t="shared" si="12"/>
        <v>3519881.0464330581</v>
      </c>
    </row>
    <row r="78" spans="2:27" ht="18" thickTop="1" thickBot="1" x14ac:dyDescent="0.35">
      <c r="B78" t="str">
        <f>'1.2 Budgeted Enrollment YR1'!E80</f>
        <v>Rainbow Dreams Academy</v>
      </c>
      <c r="C78" s="54">
        <v>2238632.8303267565</v>
      </c>
      <c r="D78" s="54">
        <v>0</v>
      </c>
      <c r="E78" s="54">
        <v>0</v>
      </c>
      <c r="F78" s="54">
        <f t="shared" si="11"/>
        <v>2238632.8303267565</v>
      </c>
      <c r="H78" s="518">
        <f t="shared" si="10"/>
        <v>2238632.8303267565</v>
      </c>
      <c r="I78" s="1028"/>
      <c r="J78" s="470">
        <v>309.1138657125</v>
      </c>
      <c r="M78" s="1132">
        <f t="shared" si="13"/>
        <v>40986</v>
      </c>
      <c r="N78" s="344">
        <v>40986</v>
      </c>
      <c r="O78" s="344">
        <v>0</v>
      </c>
      <c r="P78" s="344">
        <v>0</v>
      </c>
      <c r="Q78" s="1121">
        <v>0</v>
      </c>
      <c r="S78" s="472"/>
      <c r="T78" s="473"/>
      <c r="U78" s="473"/>
      <c r="V78" s="473"/>
      <c r="W78" s="473"/>
      <c r="X78" s="473"/>
      <c r="Y78" s="473">
        <v>40986</v>
      </c>
      <c r="Z78" s="626">
        <f t="shared" si="12"/>
        <v>2197646.8303267565</v>
      </c>
    </row>
    <row r="79" spans="2:27" ht="18" thickTop="1" thickBot="1" x14ac:dyDescent="0.35">
      <c r="B79" t="str">
        <f>'1.2 Budgeted Enrollment YR1'!E81</f>
        <v>Rooted Charter School</v>
      </c>
      <c r="C79" s="1014">
        <v>0</v>
      </c>
      <c r="D79" s="1014">
        <v>0</v>
      </c>
      <c r="E79" s="1014">
        <v>0</v>
      </c>
      <c r="F79" s="1014">
        <f t="shared" ref="F79" si="14">SUM(C79:E79)</f>
        <v>0</v>
      </c>
      <c r="H79" s="1019">
        <f t="shared" ref="H79" si="15">F79</f>
        <v>0</v>
      </c>
      <c r="I79" s="1028"/>
      <c r="J79" s="1015">
        <v>0</v>
      </c>
      <c r="M79" s="1154">
        <f t="shared" ref="M79" si="16">N79-O79-P79-Q79</f>
        <v>0</v>
      </c>
      <c r="N79" s="1127"/>
      <c r="O79" s="1127"/>
      <c r="P79" s="1127"/>
      <c r="Q79" s="1128"/>
      <c r="S79" s="1016"/>
      <c r="T79" s="1017"/>
      <c r="U79" s="1017"/>
      <c r="V79" s="1017"/>
      <c r="W79" s="1017"/>
      <c r="X79" s="1017"/>
      <c r="Y79" s="1017">
        <v>0</v>
      </c>
      <c r="Z79" s="1020">
        <f t="shared" ref="Z79" si="17">H79-SUM(S79:Y79)</f>
        <v>0</v>
      </c>
      <c r="AA79" t="s">
        <v>1326</v>
      </c>
    </row>
    <row r="80" spans="2:27" ht="18" thickTop="1" thickBot="1" x14ac:dyDescent="0.35">
      <c r="B80" t="str">
        <f>'1.2 Budgeted Enrollment YR1'!E82</f>
        <v>Sage Collegiate Academy</v>
      </c>
      <c r="C80" s="1014">
        <v>0</v>
      </c>
      <c r="D80" s="1014">
        <v>0</v>
      </c>
      <c r="E80" s="1014">
        <v>0</v>
      </c>
      <c r="F80" s="1014">
        <f t="shared" si="11"/>
        <v>0</v>
      </c>
      <c r="H80" s="1019">
        <f t="shared" si="10"/>
        <v>0</v>
      </c>
      <c r="I80" s="1028"/>
      <c r="J80" s="1015">
        <v>0</v>
      </c>
      <c r="M80" s="1154">
        <f t="shared" si="13"/>
        <v>0</v>
      </c>
      <c r="N80" s="1127"/>
      <c r="O80" s="1127"/>
      <c r="P80" s="1127"/>
      <c r="Q80" s="1128"/>
      <c r="S80" s="1016"/>
      <c r="T80" s="1017"/>
      <c r="U80" s="1017"/>
      <c r="V80" s="1017"/>
      <c r="W80" s="1017"/>
      <c r="X80" s="1017"/>
      <c r="Y80" s="1017">
        <v>0</v>
      </c>
      <c r="Z80" s="1020">
        <f t="shared" si="12"/>
        <v>0</v>
      </c>
      <c r="AA80" t="s">
        <v>1326</v>
      </c>
    </row>
    <row r="81" spans="1:27" ht="18" thickTop="1" thickBot="1" x14ac:dyDescent="0.35">
      <c r="B81" t="str">
        <f>'1.2 Budgeted Enrollment YR1'!E83</f>
        <v>Sierra Nevada Academy Charter</v>
      </c>
      <c r="C81" s="54">
        <v>3076925.349553898</v>
      </c>
      <c r="D81" s="54">
        <v>0</v>
      </c>
      <c r="E81" s="54">
        <v>0</v>
      </c>
      <c r="F81" s="54">
        <f t="shared" si="11"/>
        <v>3076925.349553898</v>
      </c>
      <c r="H81" s="518">
        <f t="shared" si="10"/>
        <v>3076925.349553898</v>
      </c>
      <c r="I81" s="1028"/>
      <c r="J81" s="470">
        <v>383.22259250000002</v>
      </c>
      <c r="M81" s="1132">
        <f t="shared" si="13"/>
        <v>200432.8</v>
      </c>
      <c r="N81" s="344">
        <v>200432.8</v>
      </c>
      <c r="O81" s="344">
        <v>0</v>
      </c>
      <c r="P81" s="344">
        <v>0</v>
      </c>
      <c r="Q81" s="1121">
        <v>0</v>
      </c>
      <c r="S81" s="472"/>
      <c r="T81" s="473"/>
      <c r="U81" s="473"/>
      <c r="V81" s="473"/>
      <c r="W81" s="473"/>
      <c r="X81" s="473"/>
      <c r="Y81" s="473">
        <v>200432.8</v>
      </c>
      <c r="Z81" s="626">
        <f t="shared" si="12"/>
        <v>2876492.5495538982</v>
      </c>
    </row>
    <row r="82" spans="1:27" ht="18" thickTop="1" thickBot="1" x14ac:dyDescent="0.35">
      <c r="B82" t="str">
        <f>'1.2 Budgeted Enrollment YR1'!E84</f>
        <v>Signature Preparatory</v>
      </c>
      <c r="C82" s="54">
        <v>4044915.4772497313</v>
      </c>
      <c r="D82" s="54">
        <v>85522.348302977116</v>
      </c>
      <c r="E82" s="54">
        <v>0</v>
      </c>
      <c r="F82" s="54">
        <f t="shared" si="11"/>
        <v>4130437.8255527085</v>
      </c>
      <c r="H82" s="518">
        <f t="shared" si="10"/>
        <v>4130437.8255527085</v>
      </c>
      <c r="I82" s="1028"/>
      <c r="J82" s="470">
        <v>558.54129249999994</v>
      </c>
      <c r="M82" s="1132">
        <f t="shared" si="13"/>
        <v>151938</v>
      </c>
      <c r="N82" s="344">
        <v>151938</v>
      </c>
      <c r="O82" s="344">
        <v>0</v>
      </c>
      <c r="P82" s="344">
        <v>0</v>
      </c>
      <c r="Q82" s="1121">
        <v>0</v>
      </c>
      <c r="S82" s="472"/>
      <c r="T82" s="473"/>
      <c r="U82" s="473"/>
      <c r="V82" s="473"/>
      <c r="W82" s="473"/>
      <c r="X82" s="473"/>
      <c r="Y82" s="473">
        <v>151938</v>
      </c>
      <c r="Z82" s="626">
        <f t="shared" si="12"/>
        <v>3978499.8255527085</v>
      </c>
    </row>
    <row r="83" spans="1:27" ht="18" thickTop="1" thickBot="1" x14ac:dyDescent="0.35">
      <c r="B83" t="str">
        <f>'1.2 Budgeted Enrollment YR1'!E85</f>
        <v>Silver Sands Montessori</v>
      </c>
      <c r="C83" s="54">
        <v>2137113.2657472566</v>
      </c>
      <c r="D83" s="54">
        <v>91324.197627867121</v>
      </c>
      <c r="E83" s="54">
        <v>0</v>
      </c>
      <c r="F83" s="54">
        <f t="shared" si="11"/>
        <v>2228437.4633751237</v>
      </c>
      <c r="H83" s="518">
        <f t="shared" si="10"/>
        <v>2228437.4633751237</v>
      </c>
      <c r="I83" s="1028"/>
      <c r="J83" s="470">
        <v>295.10142875000003</v>
      </c>
      <c r="M83" s="1132">
        <f t="shared" si="13"/>
        <v>0</v>
      </c>
      <c r="N83" s="344">
        <v>79524.320000000007</v>
      </c>
      <c r="O83" s="344">
        <v>0</v>
      </c>
      <c r="P83" s="344">
        <v>79524.320000000007</v>
      </c>
      <c r="Q83" s="1121">
        <v>0</v>
      </c>
      <c r="S83" s="472">
        <v>9600</v>
      </c>
      <c r="T83" s="473"/>
      <c r="U83" s="473"/>
      <c r="V83" s="473"/>
      <c r="W83" s="473"/>
      <c r="X83" s="473"/>
      <c r="Y83" s="473">
        <v>0</v>
      </c>
      <c r="Z83" s="626">
        <f t="shared" si="12"/>
        <v>2218837.4633751237</v>
      </c>
    </row>
    <row r="84" spans="1:27" ht="18" thickTop="1" thickBot="1" x14ac:dyDescent="0.35">
      <c r="B84" t="str">
        <f>'1.2 Budgeted Enrollment YR1'!E86</f>
        <v>Somerset Academy</v>
      </c>
      <c r="C84" s="54">
        <v>65714012.864307508</v>
      </c>
      <c r="D84" s="54">
        <v>1505939.040146111</v>
      </c>
      <c r="E84" s="54">
        <v>0</v>
      </c>
      <c r="F84" s="54">
        <f t="shared" si="11"/>
        <v>67219951.90445362</v>
      </c>
      <c r="H84" s="518">
        <f t="shared" si="10"/>
        <v>67219951.90445362</v>
      </c>
      <c r="I84" s="1028"/>
      <c r="J84" s="470">
        <v>9074.0997949999983</v>
      </c>
      <c r="M84" s="1132">
        <f t="shared" si="13"/>
        <v>0</v>
      </c>
      <c r="N84" s="344">
        <v>3177515.34</v>
      </c>
      <c r="O84" s="344">
        <v>0</v>
      </c>
      <c r="P84" s="344">
        <v>3177515.34</v>
      </c>
      <c r="Q84" s="1121">
        <v>0</v>
      </c>
      <c r="S84" s="472">
        <v>498000</v>
      </c>
      <c r="T84" s="473"/>
      <c r="U84" s="473"/>
      <c r="V84" s="473"/>
      <c r="W84" s="473"/>
      <c r="X84" s="473"/>
      <c r="Y84" s="473">
        <v>0</v>
      </c>
      <c r="Z84" s="626">
        <f t="shared" si="12"/>
        <v>66721951.90445362</v>
      </c>
    </row>
    <row r="85" spans="1:27" ht="18" thickTop="1" thickBot="1" x14ac:dyDescent="0.35">
      <c r="B85" t="str">
        <f>'1.2 Budgeted Enrollment YR1'!E87</f>
        <v>Southern Nevada Trade High School</v>
      </c>
      <c r="C85" s="1014">
        <v>0</v>
      </c>
      <c r="D85" s="1014">
        <v>0</v>
      </c>
      <c r="E85" s="1014">
        <v>0</v>
      </c>
      <c r="F85" s="1014">
        <f t="shared" ref="F85" si="18">SUM(C85:E85)</f>
        <v>0</v>
      </c>
      <c r="H85" s="1019">
        <f t="shared" ref="H85" si="19">F85</f>
        <v>0</v>
      </c>
      <c r="I85" s="1028"/>
      <c r="J85" s="1015">
        <v>0</v>
      </c>
      <c r="M85" s="1154">
        <f t="shared" ref="M85" si="20">N85-O85-P85-Q85</f>
        <v>0</v>
      </c>
      <c r="N85" s="1127">
        <v>0</v>
      </c>
      <c r="O85" s="1127">
        <v>0</v>
      </c>
      <c r="P85" s="1127">
        <v>0</v>
      </c>
      <c r="Q85" s="1128">
        <v>0</v>
      </c>
      <c r="S85" s="1016">
        <v>0</v>
      </c>
      <c r="T85" s="1017">
        <v>0</v>
      </c>
      <c r="U85" s="1017">
        <v>0</v>
      </c>
      <c r="V85" s="1017"/>
      <c r="W85" s="1017">
        <v>0</v>
      </c>
      <c r="X85" s="1017"/>
      <c r="Y85" s="1017">
        <v>0</v>
      </c>
      <c r="Z85" s="1020">
        <f t="shared" ref="Z85" si="21">H85-SUM(S85:Y85)</f>
        <v>0</v>
      </c>
      <c r="AA85" t="s">
        <v>1326</v>
      </c>
    </row>
    <row r="86" spans="1:27" ht="18" thickTop="1" thickBot="1" x14ac:dyDescent="0.35">
      <c r="B86" t="str">
        <f>'1.2 Budgeted Enrollment YR1'!E88</f>
        <v>Sports Leadership and Management Academy</v>
      </c>
      <c r="C86" s="54">
        <v>7446197.3442745358</v>
      </c>
      <c r="D86" s="54">
        <v>385818.62756832084</v>
      </c>
      <c r="E86" s="54">
        <v>0</v>
      </c>
      <c r="F86" s="54">
        <f t="shared" si="11"/>
        <v>7832015.9718428571</v>
      </c>
      <c r="H86" s="518">
        <f t="shared" si="10"/>
        <v>7832015.9718428571</v>
      </c>
      <c r="I86" s="1028"/>
      <c r="J86" s="470">
        <v>1027.8300375000001</v>
      </c>
      <c r="M86" s="1132">
        <f t="shared" si="13"/>
        <v>0</v>
      </c>
      <c r="N86" s="344">
        <v>304266.96999999997</v>
      </c>
      <c r="O86" s="344">
        <v>0</v>
      </c>
      <c r="P86" s="344">
        <v>304266.96999999997</v>
      </c>
      <c r="Q86" s="1121">
        <v>0</v>
      </c>
      <c r="S86" s="472">
        <v>121200</v>
      </c>
      <c r="T86" s="473">
        <v>137330.28802117801</v>
      </c>
      <c r="U86" s="473"/>
      <c r="V86" s="473"/>
      <c r="W86" s="473"/>
      <c r="X86" s="473"/>
      <c r="Y86" s="473">
        <v>0</v>
      </c>
      <c r="Z86" s="626">
        <f t="shared" si="12"/>
        <v>7573485.6838216791</v>
      </c>
    </row>
    <row r="87" spans="1:27" s="302" customFormat="1" ht="18" thickTop="1" thickBot="1" x14ac:dyDescent="0.35">
      <c r="B87" s="302" t="str">
        <f>'1.2 Budgeted Enrollment YR1'!E89</f>
        <v>Strong Start Academy</v>
      </c>
      <c r="C87" s="1021">
        <v>0</v>
      </c>
      <c r="D87" s="1021">
        <v>0</v>
      </c>
      <c r="E87" s="1021">
        <v>0</v>
      </c>
      <c r="F87" s="1021">
        <f t="shared" si="11"/>
        <v>0</v>
      </c>
      <c r="G87" s="1027"/>
      <c r="H87" s="1022">
        <f t="shared" si="10"/>
        <v>0</v>
      </c>
      <c r="I87" s="1027"/>
      <c r="J87" s="1023">
        <v>0</v>
      </c>
      <c r="K87" s="1027"/>
      <c r="L87" s="1027"/>
      <c r="M87" s="1155"/>
      <c r="N87" s="1024"/>
      <c r="O87" s="1024"/>
      <c r="P87" s="1024"/>
      <c r="Q87" s="1129"/>
      <c r="R87" s="1027"/>
      <c r="S87" s="1025"/>
      <c r="T87" s="1024"/>
      <c r="U87" s="1024"/>
      <c r="V87" s="1024"/>
      <c r="W87" s="1024"/>
      <c r="X87" s="1024"/>
      <c r="Y87" s="1024">
        <v>0</v>
      </c>
      <c r="Z87" s="1026">
        <f t="shared" si="12"/>
        <v>0</v>
      </c>
      <c r="AA87" s="302" t="s">
        <v>1326</v>
      </c>
    </row>
    <row r="88" spans="1:27" s="302" customFormat="1" ht="18" thickTop="1" thickBot="1" x14ac:dyDescent="0.35">
      <c r="B88" s="302" t="str">
        <f>'1.2 Budgeted Enrollment YR1'!E90</f>
        <v>TEACH Las Vegas</v>
      </c>
      <c r="C88" s="1021">
        <v>0</v>
      </c>
      <c r="D88" s="1021">
        <v>0</v>
      </c>
      <c r="E88" s="1021">
        <v>0</v>
      </c>
      <c r="F88" s="1021">
        <f>SUM(C88:E88)</f>
        <v>0</v>
      </c>
      <c r="G88" s="1027"/>
      <c r="H88" s="1022">
        <f>F88</f>
        <v>0</v>
      </c>
      <c r="I88" s="1027"/>
      <c r="J88" s="1023">
        <v>0</v>
      </c>
      <c r="K88" s="1027"/>
      <c r="L88" s="1027"/>
      <c r="M88" s="1155"/>
      <c r="N88" s="1024"/>
      <c r="O88" s="1024"/>
      <c r="P88" s="1024"/>
      <c r="Q88" s="1129"/>
      <c r="R88" s="1027"/>
      <c r="S88" s="1025"/>
      <c r="T88" s="1024"/>
      <c r="U88" s="1024"/>
      <c r="V88" s="1024"/>
      <c r="W88" s="1024"/>
      <c r="X88" s="1024"/>
      <c r="Y88" s="1024">
        <v>0</v>
      </c>
      <c r="Z88" s="1026">
        <f>H88-SUM(S88:Y88)</f>
        <v>0</v>
      </c>
      <c r="AA88" s="302" t="s">
        <v>1326</v>
      </c>
    </row>
    <row r="89" spans="1:27" s="302" customFormat="1" ht="18" thickTop="1" thickBot="1" x14ac:dyDescent="0.35">
      <c r="B89" s="302" t="str">
        <f>'1.2 Budgeted Enrollment YR1'!E91</f>
        <v>Young Women's Leadership Academy</v>
      </c>
      <c r="C89" s="1021">
        <v>0</v>
      </c>
      <c r="D89" s="1021">
        <v>0</v>
      </c>
      <c r="E89" s="1021">
        <v>0</v>
      </c>
      <c r="F89" s="1021">
        <f t="shared" si="11"/>
        <v>0</v>
      </c>
      <c r="G89" s="1027"/>
      <c r="H89" s="1022">
        <f t="shared" si="10"/>
        <v>0</v>
      </c>
      <c r="I89" s="1027"/>
      <c r="J89" s="1023">
        <v>0</v>
      </c>
      <c r="K89" s="1027"/>
      <c r="L89" s="1027"/>
      <c r="M89" s="1155"/>
      <c r="N89" s="1024"/>
      <c r="O89" s="1024"/>
      <c r="P89" s="1024"/>
      <c r="Q89" s="1129"/>
      <c r="R89" s="1027"/>
      <c r="S89" s="1025"/>
      <c r="T89" s="1024"/>
      <c r="U89" s="1024"/>
      <c r="V89" s="1024"/>
      <c r="W89" s="1024"/>
      <c r="X89" s="1024"/>
      <c r="Y89" s="1024">
        <v>0</v>
      </c>
      <c r="Z89" s="1026">
        <f t="shared" si="12"/>
        <v>0</v>
      </c>
      <c r="AA89" s="302" t="s">
        <v>1326</v>
      </c>
    </row>
    <row r="90" spans="1:27" ht="18" thickTop="1" thickBot="1" x14ac:dyDescent="0.35">
      <c r="B90" t="str">
        <f>'1.2 Budgeted Enrollment YR1'!E92</f>
        <v>Total Charter Schools</v>
      </c>
      <c r="C90" s="621">
        <f>SUM(C30:C89)</f>
        <v>419484402.46934551</v>
      </c>
      <c r="D90" s="621">
        <f>SUM(D30:D89)</f>
        <v>14322123.576852214</v>
      </c>
      <c r="E90" s="621">
        <f>SUM(E30:E89)</f>
        <v>0</v>
      </c>
      <c r="F90" s="621">
        <f>SUM(F30:F89)</f>
        <v>433806526.04619783</v>
      </c>
      <c r="G90" s="1"/>
      <c r="H90" s="621">
        <f>F90</f>
        <v>433806526.04619783</v>
      </c>
      <c r="I90" s="1028"/>
      <c r="J90" s="627">
        <f>SUM(J30:J89)</f>
        <v>57012.474131748568</v>
      </c>
      <c r="M90" s="1133">
        <f>SUM(M30:M89)</f>
        <v>6459882.2700000005</v>
      </c>
      <c r="N90" s="1123">
        <f>SUM(N30:N89)</f>
        <v>19726471.600000001</v>
      </c>
      <c r="O90" s="1123">
        <f>SUM(O30:O89)</f>
        <v>0</v>
      </c>
      <c r="P90" s="1123">
        <f>SUM(P30:P89)</f>
        <v>13241555.330000004</v>
      </c>
      <c r="Q90" s="1124">
        <f>SUM(Q30:Q89)</f>
        <v>25034</v>
      </c>
      <c r="S90" s="623">
        <f>SUM(S30:S89)</f>
        <v>3217200</v>
      </c>
      <c r="T90" s="624">
        <f>SUM(T30:T89)</f>
        <v>2076276.27</v>
      </c>
      <c r="U90" s="624">
        <f>SUM(U30:U89)</f>
        <v>627557.84</v>
      </c>
      <c r="V90" s="624">
        <f>SUM(V30:V89)</f>
        <v>471058.39</v>
      </c>
      <c r="W90" s="624">
        <v>0</v>
      </c>
      <c r="X90" s="624">
        <v>0</v>
      </c>
      <c r="Y90" s="624">
        <v>6459882.2700000005</v>
      </c>
      <c r="Z90" s="625">
        <f>SUM(Z30:Z89)</f>
        <v>420954551.27619779</v>
      </c>
    </row>
    <row r="91" spans="1:27" ht="15.75" customHeight="1" thickTop="1" x14ac:dyDescent="0.25">
      <c r="C91" s="2"/>
      <c r="D91" s="2"/>
      <c r="E91" s="2"/>
      <c r="F91" s="2"/>
      <c r="G91" s="1028"/>
      <c r="J91" s="302"/>
      <c r="R91" s="1130"/>
    </row>
    <row r="92" spans="1:27" ht="16.5" customHeight="1" thickBot="1" x14ac:dyDescent="0.35">
      <c r="A92" s="3" t="s">
        <v>1256</v>
      </c>
      <c r="B92" s="3"/>
      <c r="C92" s="257"/>
      <c r="D92" s="257"/>
      <c r="E92" s="257"/>
      <c r="F92" s="257"/>
      <c r="G92" s="257"/>
      <c r="H92" s="257"/>
      <c r="I92" s="257"/>
      <c r="J92" s="257"/>
      <c r="K92" s="257"/>
      <c r="L92" s="257"/>
      <c r="M92" s="257"/>
      <c r="N92" s="257"/>
      <c r="O92" s="257"/>
      <c r="P92" s="257"/>
      <c r="Q92" s="257"/>
      <c r="R92" s="1130"/>
      <c r="S92" s="257"/>
      <c r="T92" s="257"/>
      <c r="U92" s="257"/>
      <c r="V92" s="257"/>
      <c r="W92" s="257"/>
      <c r="X92" s="257"/>
      <c r="Y92" s="257"/>
      <c r="Z92" s="257"/>
      <c r="AA92" s="257"/>
    </row>
    <row r="93" spans="1:27" ht="18" thickTop="1" thickBot="1" x14ac:dyDescent="0.35">
      <c r="B93" t="str">
        <f>'1.2 Budgeted Enrollment YR1'!E96</f>
        <v>Davidson Academy</v>
      </c>
      <c r="C93" s="54">
        <v>1160008.2199696808</v>
      </c>
      <c r="D93" s="54">
        <v>1398.37</v>
      </c>
      <c r="E93" s="54">
        <v>0</v>
      </c>
      <c r="F93" s="54">
        <f>SUM(C93:E93)</f>
        <v>1161406.5899696809</v>
      </c>
      <c r="H93" s="518">
        <f>F93</f>
        <v>1161406.5899696809</v>
      </c>
      <c r="I93" s="1028"/>
      <c r="J93" s="702">
        <v>143.645726495611</v>
      </c>
      <c r="M93" s="1131">
        <f>N93-O93-P93-Q93</f>
        <v>0</v>
      </c>
      <c r="N93" s="848">
        <v>0</v>
      </c>
      <c r="O93" s="848">
        <v>0</v>
      </c>
      <c r="P93" s="848">
        <v>0</v>
      </c>
      <c r="Q93" s="1126">
        <v>0</v>
      </c>
      <c r="R93" s="1130"/>
      <c r="S93" s="703">
        <v>0</v>
      </c>
      <c r="T93" s="704">
        <v>0</v>
      </c>
      <c r="U93" s="704">
        <v>0</v>
      </c>
      <c r="V93" s="704">
        <v>0</v>
      </c>
      <c r="W93" s="704">
        <v>0</v>
      </c>
      <c r="X93" s="704">
        <v>0</v>
      </c>
      <c r="Y93" s="704">
        <v>0</v>
      </c>
      <c r="Z93" s="705">
        <f>H93-SUM(S93:Y93)</f>
        <v>1161406.5899696809</v>
      </c>
    </row>
    <row r="94" spans="1:27" ht="18" thickTop="1" thickBot="1" x14ac:dyDescent="0.35">
      <c r="B94" s="3"/>
      <c r="C94" s="54"/>
      <c r="D94" s="54"/>
      <c r="E94" s="54"/>
      <c r="F94" s="54"/>
      <c r="H94" s="518"/>
      <c r="I94" s="1028"/>
      <c r="J94" s="470">
        <v>0</v>
      </c>
      <c r="M94" s="1132">
        <f>N94-O94-P94-Q94</f>
        <v>0</v>
      </c>
      <c r="N94" s="344">
        <v>0</v>
      </c>
      <c r="O94" s="344">
        <v>0</v>
      </c>
      <c r="P94" s="344">
        <v>0</v>
      </c>
      <c r="Q94" s="1121">
        <v>0</v>
      </c>
      <c r="R94" s="1130"/>
      <c r="S94" s="472">
        <v>0</v>
      </c>
      <c r="T94" s="473">
        <v>0</v>
      </c>
      <c r="U94" s="473">
        <v>0</v>
      </c>
      <c r="V94" s="473">
        <v>0</v>
      </c>
      <c r="W94" s="473">
        <v>0</v>
      </c>
      <c r="X94" s="473">
        <v>0</v>
      </c>
      <c r="Y94" s="473">
        <v>0</v>
      </c>
      <c r="Z94" s="626">
        <f>H94-SUM(S94:Y94)</f>
        <v>0</v>
      </c>
    </row>
    <row r="95" spans="1:27" ht="18" thickTop="1" thickBot="1" x14ac:dyDescent="0.35">
      <c r="C95" s="621">
        <f>SUM(C93:C94)</f>
        <v>1160008.2199696808</v>
      </c>
      <c r="D95" s="621">
        <f>SUM(D93:D94)</f>
        <v>1398.37</v>
      </c>
      <c r="E95" s="621">
        <f>SUM(E93:E94)</f>
        <v>0</v>
      </c>
      <c r="F95" s="621">
        <f>SUM(F93:F94)</f>
        <v>1161406.5899696809</v>
      </c>
      <c r="G95" s="1"/>
      <c r="H95" s="621">
        <f>F95</f>
        <v>1161406.5899696809</v>
      </c>
      <c r="I95" s="1028"/>
      <c r="J95" s="627">
        <f>SUM(J93:J94)</f>
        <v>143.645726495611</v>
      </c>
      <c r="M95" s="1133">
        <f>SUM(M93:M94)</f>
        <v>0</v>
      </c>
      <c r="N95" s="1134">
        <f>SUM(N93:N94)</f>
        <v>0</v>
      </c>
      <c r="O95" s="1134">
        <f>SUM(O93:O94)</f>
        <v>0</v>
      </c>
      <c r="P95" s="1134">
        <f>SUM(P93:P94)</f>
        <v>0</v>
      </c>
      <c r="Q95" s="1135">
        <f>SUM(Q93:Q94)</f>
        <v>0</v>
      </c>
      <c r="R95" s="1130"/>
      <c r="S95" s="625">
        <f>SUM(S93:S94)</f>
        <v>0</v>
      </c>
      <c r="T95" s="623">
        <f t="shared" ref="T95:Y95" si="22">SUM(T93:T94)</f>
        <v>0</v>
      </c>
      <c r="U95" s="623">
        <f t="shared" si="22"/>
        <v>0</v>
      </c>
      <c r="V95" s="623">
        <f t="shared" si="22"/>
        <v>0</v>
      </c>
      <c r="W95" s="623">
        <f t="shared" si="22"/>
        <v>0</v>
      </c>
      <c r="X95" s="623">
        <f t="shared" si="22"/>
        <v>0</v>
      </c>
      <c r="Y95" s="623">
        <f t="shared" si="22"/>
        <v>0</v>
      </c>
      <c r="Z95" s="625">
        <f>SUM(Z93:Z94)</f>
        <v>1161406.5899696809</v>
      </c>
      <c r="AA95" s="701"/>
    </row>
    <row r="96" spans="1:27" ht="15.75" customHeight="1" thickTop="1" x14ac:dyDescent="0.25">
      <c r="C96" s="2"/>
      <c r="D96" s="2"/>
      <c r="E96" s="2"/>
      <c r="F96" s="2"/>
      <c r="G96" s="1028"/>
      <c r="H96" s="817"/>
      <c r="J96" s="818"/>
      <c r="M96" s="819"/>
      <c r="N96" s="311"/>
      <c r="O96" s="311"/>
      <c r="P96" s="311"/>
      <c r="Q96" s="311"/>
      <c r="R96" s="1130"/>
      <c r="S96" s="336"/>
      <c r="T96" s="336"/>
      <c r="U96" s="336"/>
      <c r="V96" s="336"/>
      <c r="W96" s="336"/>
      <c r="X96" s="336"/>
      <c r="Y96" s="336"/>
      <c r="Z96" s="335"/>
    </row>
    <row r="97" spans="2:18" ht="15" customHeight="1" x14ac:dyDescent="0.25">
      <c r="C97" s="2"/>
      <c r="D97" s="2"/>
      <c r="E97" s="2"/>
      <c r="F97" s="2"/>
      <c r="G97" s="1028"/>
      <c r="J97" s="818"/>
      <c r="N97" s="311"/>
      <c r="O97" s="311"/>
      <c r="P97" s="311"/>
      <c r="Q97" s="311"/>
      <c r="R97" s="1130"/>
    </row>
    <row r="98" spans="2:18" ht="15" customHeight="1" x14ac:dyDescent="0.25">
      <c r="B98" s="3" t="s">
        <v>1303</v>
      </c>
      <c r="C98" s="2"/>
      <c r="D98" s="2"/>
      <c r="E98" s="2"/>
      <c r="F98" s="2"/>
      <c r="G98" s="1028"/>
      <c r="J98" s="2"/>
      <c r="N98" s="311"/>
      <c r="O98" s="311"/>
      <c r="P98" s="311"/>
      <c r="Q98" s="311"/>
      <c r="R98" s="1130"/>
    </row>
    <row r="99" spans="2:18" x14ac:dyDescent="0.25">
      <c r="B99" s="3" t="s">
        <v>1346</v>
      </c>
      <c r="J99" s="2"/>
      <c r="R99" s="1130"/>
    </row>
    <row r="100" spans="2:18" x14ac:dyDescent="0.25">
      <c r="R100" s="1130"/>
    </row>
    <row r="101" spans="2:18" x14ac:dyDescent="0.25">
      <c r="R101" s="1130"/>
    </row>
    <row r="102" spans="2:18" x14ac:dyDescent="0.25">
      <c r="R102" s="1130"/>
    </row>
  </sheetData>
  <sheetProtection algorithmName="SHA-512" hashValue="3FH//9EZBMZrIPqAHygxT6Cj/iP/iRP7a5S9TNXp5rOdBj4a3nJk694++4mHCL27YkRSEpsU+4hESuQxT8yTPw==" saltValue="oO4bwgmU+KDrK2K9oxyzgQ==" spinCount="100000" sheet="1" objects="1" scenarios="1"/>
  <customSheetViews>
    <customSheetView guid="{92EB2B16-3546-4CC6-AF3A-0019867B62A7}" scale="90" fitToPage="1" hiddenRows="1" topLeftCell="A5">
      <selection activeCell="L31" sqref="L31"/>
      <rowBreaks count="2" manualBreakCount="2">
        <brk id="27" max="16383" man="1"/>
        <brk id="52" max="16383" man="1"/>
      </rowBreaks>
      <pageMargins left="0.7" right="0.7" top="0.75" bottom="0.75" header="0.3" footer="0.3"/>
      <pageSetup paperSize="3" scale="86" fitToHeight="0"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90" fitToPage="1" hiddenRows="1" state="hidden" topLeftCell="A5">
      <selection activeCell="D15" sqref="D15"/>
      <rowBreaks count="2" manualBreakCount="2">
        <brk id="27" max="16383" man="1"/>
        <brk id="52" max="16383" man="1"/>
      </rowBreaks>
      <pageMargins left="0.7" right="0.7" top="0.75" bottom="0.75" header="0.3" footer="0.3"/>
      <pageSetup paperSize="3" scale="86" fitToHeight="0"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90" fitToPage="1" hiddenRows="1" state="hidden" topLeftCell="A5">
      <selection activeCell="D15" sqref="D15"/>
      <rowBreaks count="2" manualBreakCount="2">
        <brk id="27" max="16383" man="1"/>
        <brk id="52" max="16383" man="1"/>
      </rowBreaks>
      <pageMargins left="0.7" right="0.7" top="0.75" bottom="0.75" header="0.3" footer="0.3"/>
      <pageSetup paperSize="3" scale="86" fitToHeight="0" orientation="landscape" r:id="rId3"/>
      <headerFooter>
        <oddHeader>&amp;R&amp;"Arial Narrow,Regular"&amp;10&amp;A
&amp;P</oddHeader>
        <oddFooter>&amp;L&amp;"Arial Narrow,Regular"&amp;10This is a draft document. It is intended for discussion purposes only.&amp;R&amp;G</oddFooter>
      </headerFooter>
    </customSheetView>
  </customSheetViews>
  <mergeCells count="1">
    <mergeCell ref="C5:F5"/>
  </mergeCells>
  <conditionalFormatting sqref="H2">
    <cfRule type="cellIs" dxfId="32" priority="1" operator="equal">
      <formula>"Hold Harmless, Out of Balance"</formula>
    </cfRule>
  </conditionalFormatting>
  <pageMargins left="0.7" right="0.7" top="0.75" bottom="0.75" header="0.3" footer="0.3"/>
  <pageSetup paperSize="3" fitToHeight="0" orientation="landscape" r:id="rId4"/>
  <headerFooter>
    <oddHeader>&amp;R&amp;"Arial Narrow,Regular"&amp;10&amp;A
&amp;P</oddHeader>
  </headerFooter>
  <rowBreaks count="2" manualBreakCount="2">
    <brk id="28" max="16383" man="1"/>
    <brk id="67" max="11" man="1"/>
  </rowBreaks>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87E86-E146-43BB-AA29-2531D9D8CE46}">
  <sheetPr codeName="Sheet298">
    <tabColor theme="6"/>
    <pageSetUpPr autoPageBreaks="0" fitToPage="1"/>
  </sheetPr>
  <dimension ref="A1:O79"/>
  <sheetViews>
    <sheetView zoomScale="85" zoomScaleNormal="85" workbookViewId="0"/>
  </sheetViews>
  <sheetFormatPr defaultColWidth="8.85546875" defaultRowHeight="16.5" x14ac:dyDescent="0.3"/>
  <cols>
    <col min="1" max="1" width="6.85546875" style="10" customWidth="1"/>
    <col min="2" max="2" width="31" style="10" customWidth="1"/>
    <col min="3" max="4" width="20" style="10" bestFit="1" customWidth="1"/>
    <col min="5" max="6" width="20.140625" style="10" bestFit="1" customWidth="1"/>
    <col min="7" max="7" width="16.85546875" style="10" bestFit="1" customWidth="1"/>
    <col min="8" max="8" width="20.140625" style="10" bestFit="1" customWidth="1"/>
    <col min="9" max="9" width="16.5703125" style="10" bestFit="1" customWidth="1"/>
    <col min="10" max="10" width="10" style="10" bestFit="1" customWidth="1"/>
    <col min="11" max="11" width="2.7109375" style="10" customWidth="1"/>
    <col min="12" max="14" width="8.85546875" style="10"/>
    <col min="15" max="15" width="9.5703125" style="10" bestFit="1" customWidth="1"/>
    <col min="16" max="16384" width="8.85546875" style="10"/>
  </cols>
  <sheetData>
    <row r="1" spans="1:15" s="4" customFormat="1" x14ac:dyDescent="0.3">
      <c r="A1" s="4" t="s">
        <v>602</v>
      </c>
    </row>
    <row r="2" spans="1:15" x14ac:dyDescent="0.3">
      <c r="A2" s="10" t="str">
        <f>CONCATENATE("Pupil Center Funding Plan | FY",'1.1 Assumption Control YR1'!D5)</f>
        <v>Pupil Center Funding Plan | FY2024</v>
      </c>
    </row>
    <row r="3" spans="1:15" x14ac:dyDescent="0.3">
      <c r="A3" s="10" t="s">
        <v>1264</v>
      </c>
    </row>
    <row r="4" spans="1:15" x14ac:dyDescent="0.3">
      <c r="B4" s="87"/>
      <c r="F4" s="274" t="s">
        <v>993</v>
      </c>
      <c r="H4" s="274" t="s">
        <v>993</v>
      </c>
    </row>
    <row r="5" spans="1:15" x14ac:dyDescent="0.3">
      <c r="C5" s="17" t="s">
        <v>92</v>
      </c>
      <c r="D5" s="17" t="s">
        <v>93</v>
      </c>
      <c r="E5" s="18" t="s">
        <v>94</v>
      </c>
      <c r="F5" s="150" t="s">
        <v>994</v>
      </c>
      <c r="H5" s="150" t="s">
        <v>1181</v>
      </c>
      <c r="I5" s="17"/>
    </row>
    <row r="6" spans="1:15" x14ac:dyDescent="0.3">
      <c r="B6" s="17" t="s">
        <v>597</v>
      </c>
      <c r="C6" s="834">
        <f>'1.3 Budgeted Revenues YR1'!C35</f>
        <v>5476921809.4808378</v>
      </c>
      <c r="D6" s="835">
        <f>I31</f>
        <v>195255480.53</v>
      </c>
      <c r="E6" s="836">
        <f>C6-D6</f>
        <v>5281666328.9508381</v>
      </c>
      <c r="F6" s="837" t="s">
        <v>746</v>
      </c>
      <c r="H6" s="837" t="s">
        <v>746</v>
      </c>
      <c r="I6" s="231" t="s">
        <v>738</v>
      </c>
    </row>
    <row r="7" spans="1:15" x14ac:dyDescent="0.3">
      <c r="D7" s="18"/>
      <c r="E7" s="18"/>
      <c r="F7" s="1003">
        <f>'1.1 Assumption Control YR1'!E25</f>
        <v>4.5216082512546531E-2</v>
      </c>
      <c r="H7" s="1003">
        <f>F7</f>
        <v>4.5216082512546531E-2</v>
      </c>
      <c r="I7" s="231" t="s">
        <v>746</v>
      </c>
    </row>
    <row r="8" spans="1:15" s="88" customFormat="1" x14ac:dyDescent="0.3">
      <c r="A8" s="106"/>
      <c r="B8" s="106" t="s">
        <v>1304</v>
      </c>
      <c r="C8" s="826" t="s">
        <v>849</v>
      </c>
      <c r="D8" s="827" t="s">
        <v>62</v>
      </c>
      <c r="E8" s="827"/>
      <c r="F8" s="827"/>
      <c r="G8" s="828" t="s">
        <v>919</v>
      </c>
      <c r="H8" s="829"/>
      <c r="I8" s="829" t="s">
        <v>600</v>
      </c>
      <c r="J8" s="830"/>
    </row>
    <row r="9" spans="1:15" x14ac:dyDescent="0.3">
      <c r="A9" s="90"/>
      <c r="B9" s="41"/>
      <c r="C9" s="341"/>
      <c r="D9" s="831" t="s">
        <v>997</v>
      </c>
      <c r="E9" s="831" t="s">
        <v>995</v>
      </c>
      <c r="F9" s="831" t="s">
        <v>962</v>
      </c>
      <c r="G9" s="832" t="s">
        <v>997</v>
      </c>
      <c r="H9" s="832" t="s">
        <v>995</v>
      </c>
      <c r="I9" s="832" t="s">
        <v>860</v>
      </c>
      <c r="J9" s="833" t="s">
        <v>19</v>
      </c>
      <c r="L9" s="262" t="s">
        <v>977</v>
      </c>
    </row>
    <row r="10" spans="1:15" x14ac:dyDescent="0.3">
      <c r="A10" s="813"/>
      <c r="B10" s="821" t="s">
        <v>879</v>
      </c>
      <c r="C10" s="487" t="s">
        <v>856</v>
      </c>
      <c r="D10" s="822" t="s">
        <v>1143</v>
      </c>
      <c r="E10" s="822" t="s">
        <v>996</v>
      </c>
      <c r="F10" s="822"/>
      <c r="G10" s="823" t="s">
        <v>1144</v>
      </c>
      <c r="H10" s="824" t="s">
        <v>1006</v>
      </c>
      <c r="I10" s="824" t="s">
        <v>916</v>
      </c>
      <c r="J10" s="825" t="s">
        <v>884</v>
      </c>
      <c r="L10" s="262" t="s">
        <v>978</v>
      </c>
    </row>
    <row r="11" spans="1:15" x14ac:dyDescent="0.3">
      <c r="A11" s="90" t="s">
        <v>87</v>
      </c>
      <c r="B11" s="41"/>
      <c r="C11" s="137"/>
      <c r="D11" s="152"/>
      <c r="E11" s="152"/>
      <c r="F11" s="152"/>
      <c r="G11" s="281"/>
      <c r="H11" s="281"/>
      <c r="I11" s="282"/>
      <c r="J11" s="153"/>
      <c r="O11" s="12"/>
    </row>
    <row r="12" spans="1:15" x14ac:dyDescent="0.3">
      <c r="A12" s="41"/>
      <c r="B12" s="41" t="str">
        <f>'1.2 Budgeted Enrollment YR1'!E9</f>
        <v>Carson City</v>
      </c>
      <c r="C12" s="532">
        <f>'1.2 Budgeted Enrollment YR1'!G9</f>
        <v>7200.2984639728293</v>
      </c>
      <c r="D12" s="533">
        <f>G40</f>
        <v>2586477.3925000001</v>
      </c>
      <c r="E12" s="995">
        <f>IF($F$6="Yes",(D12*$F$7),0)</f>
        <v>0</v>
      </c>
      <c r="F12" s="210"/>
      <c r="G12" s="534">
        <f>G61</f>
        <v>416802.7475</v>
      </c>
      <c r="H12" s="998">
        <f>IF($H$6="Yes",(G12*$H$7),0)</f>
        <v>0</v>
      </c>
      <c r="I12" s="998">
        <f>SUM(D12:E12)+F12+SUM(G12:H12)</f>
        <v>3003280.14</v>
      </c>
      <c r="J12" s="999">
        <f>IF(C12=0,0,I12/C12)</f>
        <v>417.1049512776604</v>
      </c>
    </row>
    <row r="13" spans="1:15" x14ac:dyDescent="0.3">
      <c r="A13" s="41"/>
      <c r="B13" s="41" t="str">
        <f>'1.2 Budgeted Enrollment YR1'!E10</f>
        <v>Churchill</v>
      </c>
      <c r="C13" s="532">
        <f>'1.2 Budgeted Enrollment YR1'!G10</f>
        <v>3191.1266236748447</v>
      </c>
      <c r="D13" s="533">
        <f t="shared" ref="D13:D28" si="0">G41</f>
        <v>1654639.5</v>
      </c>
      <c r="E13" s="995">
        <f t="shared" ref="E13:E30" si="1">IF($F$6="Yes",(D13*$F$7),0)</f>
        <v>0</v>
      </c>
      <c r="F13" s="210"/>
      <c r="G13" s="534">
        <f t="shared" ref="G13:G28" si="2">G62</f>
        <v>12500.122499999999</v>
      </c>
      <c r="H13" s="998">
        <f>IF($H$6="Yes",(G13*$H$7),0)</f>
        <v>0</v>
      </c>
      <c r="I13" s="998">
        <f>SUM(D13:E13)+F13+SUM(G13:H13)</f>
        <v>1667139.6225000001</v>
      </c>
      <c r="J13" s="999">
        <f t="shared" ref="J13:J30" si="3">IF(C13=0,0,I13/C13)</f>
        <v>522.42979333115636</v>
      </c>
    </row>
    <row r="14" spans="1:15" x14ac:dyDescent="0.3">
      <c r="A14" s="41"/>
      <c r="B14" s="41" t="str">
        <f>'1.2 Budgeted Enrollment YR1'!E11</f>
        <v>Clark</v>
      </c>
      <c r="C14" s="532">
        <f>'1.2 Budgeted Enrollment YR1'!G11</f>
        <v>293209.81057058816</v>
      </c>
      <c r="D14" s="533">
        <f t="shared" si="0"/>
        <v>140911845.43249997</v>
      </c>
      <c r="E14" s="995">
        <f t="shared" si="1"/>
        <v>0</v>
      </c>
      <c r="F14" s="210"/>
      <c r="G14" s="534">
        <f t="shared" si="2"/>
        <v>0</v>
      </c>
      <c r="H14" s="998">
        <f t="shared" ref="H14:H30" si="4">IF($H$6="Yes",(G14*$H$7),0)</f>
        <v>0</v>
      </c>
      <c r="I14" s="998">
        <f t="shared" ref="I14:I27" si="5">SUM(D14:E14)+F14+SUM(G14:H14)</f>
        <v>140911845.43249997</v>
      </c>
      <c r="J14" s="999">
        <f t="shared" si="3"/>
        <v>480.58366518597938</v>
      </c>
    </row>
    <row r="15" spans="1:15" x14ac:dyDescent="0.3">
      <c r="A15" s="41"/>
      <c r="B15" s="41" t="str">
        <f>'1.2 Budgeted Enrollment YR1'!E12</f>
        <v>Douglas</v>
      </c>
      <c r="C15" s="532">
        <f>'1.2 Budgeted Enrollment YR1'!G12</f>
        <v>5165.4763710930883</v>
      </c>
      <c r="D15" s="533">
        <f t="shared" si="0"/>
        <v>3889783.55</v>
      </c>
      <c r="E15" s="995">
        <f t="shared" si="1"/>
        <v>0</v>
      </c>
      <c r="F15" s="210"/>
      <c r="G15" s="534">
        <f t="shared" si="2"/>
        <v>0</v>
      </c>
      <c r="H15" s="998">
        <f t="shared" si="4"/>
        <v>0</v>
      </c>
      <c r="I15" s="998">
        <f t="shared" si="5"/>
        <v>3889783.55</v>
      </c>
      <c r="J15" s="999">
        <f t="shared" si="3"/>
        <v>753.03481625971824</v>
      </c>
    </row>
    <row r="16" spans="1:15" x14ac:dyDescent="0.3">
      <c r="A16" s="41"/>
      <c r="B16" s="41" t="str">
        <f>'1.2 Budgeted Enrollment YR1'!E13</f>
        <v>Elko</v>
      </c>
      <c r="C16" s="532">
        <f>'1.2 Budgeted Enrollment YR1'!G13</f>
        <v>9808.5957553950393</v>
      </c>
      <c r="D16" s="533">
        <f t="shared" si="0"/>
        <v>4707742.2574999994</v>
      </c>
      <c r="E16" s="995">
        <f t="shared" si="1"/>
        <v>0</v>
      </c>
      <c r="F16" s="210"/>
      <c r="G16" s="534">
        <f t="shared" si="2"/>
        <v>384179.53</v>
      </c>
      <c r="H16" s="998">
        <f t="shared" si="4"/>
        <v>0</v>
      </c>
      <c r="I16" s="998">
        <f t="shared" si="5"/>
        <v>5091921.7874999996</v>
      </c>
      <c r="J16" s="999">
        <f t="shared" si="3"/>
        <v>519.12851895229562</v>
      </c>
    </row>
    <row r="17" spans="1:10" x14ac:dyDescent="0.3">
      <c r="A17" s="41"/>
      <c r="B17" s="41" t="str">
        <f>'1.2 Budgeted Enrollment YR1'!E14</f>
        <v>Esmeralda</v>
      </c>
      <c r="C17" s="532">
        <f>'1.2 Budgeted Enrollment YR1'!G14</f>
        <v>77.315222103844732</v>
      </c>
      <c r="D17" s="533">
        <f t="shared" si="0"/>
        <v>362615.88249999995</v>
      </c>
      <c r="E17" s="995">
        <f t="shared" si="1"/>
        <v>0</v>
      </c>
      <c r="F17" s="210"/>
      <c r="G17" s="534">
        <f t="shared" si="2"/>
        <v>60581.75</v>
      </c>
      <c r="H17" s="998">
        <f t="shared" si="4"/>
        <v>0</v>
      </c>
      <c r="I17" s="998">
        <f t="shared" si="5"/>
        <v>423197.63249999995</v>
      </c>
      <c r="J17" s="999">
        <f t="shared" si="3"/>
        <v>5473.6650944569319</v>
      </c>
    </row>
    <row r="18" spans="1:10" x14ac:dyDescent="0.3">
      <c r="A18" s="41"/>
      <c r="B18" s="41" t="str">
        <f>'1.2 Budgeted Enrollment YR1'!E15</f>
        <v>Eureka</v>
      </c>
      <c r="C18" s="532">
        <f>'1.2 Budgeted Enrollment YR1'!G15</f>
        <v>323.70253352744805</v>
      </c>
      <c r="D18" s="533">
        <f t="shared" si="0"/>
        <v>748499.52</v>
      </c>
      <c r="E18" s="995">
        <f t="shared" si="1"/>
        <v>0</v>
      </c>
      <c r="F18" s="210"/>
      <c r="G18" s="534">
        <f t="shared" si="2"/>
        <v>253810.08500000002</v>
      </c>
      <c r="H18" s="998">
        <f t="shared" si="4"/>
        <v>0</v>
      </c>
      <c r="I18" s="998">
        <f t="shared" si="5"/>
        <v>1002309.605</v>
      </c>
      <c r="J18" s="999">
        <f t="shared" si="3"/>
        <v>3096.3909799458215</v>
      </c>
    </row>
    <row r="19" spans="1:10" x14ac:dyDescent="0.3">
      <c r="A19" s="41"/>
      <c r="B19" s="41" t="str">
        <f>'1.2 Budgeted Enrollment YR1'!E16</f>
        <v>Humboldt</v>
      </c>
      <c r="C19" s="532">
        <f>'1.2 Budgeted Enrollment YR1'!G16</f>
        <v>3182.6225722447102</v>
      </c>
      <c r="D19" s="533">
        <f t="shared" si="0"/>
        <v>2017965.7149999999</v>
      </c>
      <c r="E19" s="995">
        <f t="shared" si="1"/>
        <v>0</v>
      </c>
      <c r="F19" s="210"/>
      <c r="G19" s="534">
        <f t="shared" si="2"/>
        <v>19090.5</v>
      </c>
      <c r="H19" s="998">
        <f t="shared" si="4"/>
        <v>0</v>
      </c>
      <c r="I19" s="998">
        <f t="shared" si="5"/>
        <v>2037056.2149999999</v>
      </c>
      <c r="J19" s="999">
        <f t="shared" si="3"/>
        <v>640.0558560618955</v>
      </c>
    </row>
    <row r="20" spans="1:10" x14ac:dyDescent="0.3">
      <c r="A20" s="41"/>
      <c r="B20" s="41" t="str">
        <f>'1.2 Budgeted Enrollment YR1'!E17</f>
        <v>Lander</v>
      </c>
      <c r="C20" s="532">
        <f>'1.2 Budgeted Enrollment YR1'!G17</f>
        <v>1002.8726085550823</v>
      </c>
      <c r="D20" s="533">
        <f t="shared" si="0"/>
        <v>413952.86249999993</v>
      </c>
      <c r="E20" s="995">
        <f t="shared" si="1"/>
        <v>0</v>
      </c>
      <c r="F20" s="210"/>
      <c r="G20" s="534">
        <f t="shared" si="2"/>
        <v>25000</v>
      </c>
      <c r="H20" s="998">
        <f t="shared" si="4"/>
        <v>0</v>
      </c>
      <c r="I20" s="998">
        <f t="shared" si="5"/>
        <v>438952.86249999993</v>
      </c>
      <c r="J20" s="999">
        <f t="shared" si="3"/>
        <v>437.69553456289327</v>
      </c>
    </row>
    <row r="21" spans="1:10" x14ac:dyDescent="0.3">
      <c r="A21" s="41"/>
      <c r="B21" s="41" t="str">
        <f>'1.2 Budgeted Enrollment YR1'!E18</f>
        <v>Lincoln</v>
      </c>
      <c r="C21" s="532">
        <f>'1.2 Budgeted Enrollment YR1'!G18</f>
        <v>883.01945001270019</v>
      </c>
      <c r="D21" s="533">
        <f t="shared" si="0"/>
        <v>623019.91</v>
      </c>
      <c r="E21" s="995">
        <f t="shared" si="1"/>
        <v>0</v>
      </c>
      <c r="F21" s="210"/>
      <c r="G21" s="534">
        <f t="shared" si="2"/>
        <v>60319.5</v>
      </c>
      <c r="H21" s="998">
        <f t="shared" si="4"/>
        <v>0</v>
      </c>
      <c r="I21" s="998">
        <f t="shared" si="5"/>
        <v>683339.41</v>
      </c>
      <c r="J21" s="999">
        <f t="shared" si="3"/>
        <v>773.86677042071017</v>
      </c>
    </row>
    <row r="22" spans="1:10" x14ac:dyDescent="0.3">
      <c r="A22" s="41"/>
      <c r="B22" s="41" t="str">
        <f>'1.2 Budgeted Enrollment YR1'!E19</f>
        <v>Lyon</v>
      </c>
      <c r="C22" s="532">
        <f>'1.2 Budgeted Enrollment YR1'!G19</f>
        <v>9036.0334518079708</v>
      </c>
      <c r="D22" s="533">
        <f t="shared" si="0"/>
        <v>5015867.6725000003</v>
      </c>
      <c r="E22" s="995">
        <f t="shared" si="1"/>
        <v>0</v>
      </c>
      <c r="F22" s="210"/>
      <c r="G22" s="534">
        <f t="shared" si="2"/>
        <v>0</v>
      </c>
      <c r="H22" s="998">
        <f t="shared" si="4"/>
        <v>0</v>
      </c>
      <c r="I22" s="998">
        <f t="shared" si="5"/>
        <v>5015867.6725000003</v>
      </c>
      <c r="J22" s="999">
        <f t="shared" si="3"/>
        <v>555.09618232947139</v>
      </c>
    </row>
    <row r="23" spans="1:10" x14ac:dyDescent="0.3">
      <c r="A23" s="41"/>
      <c r="B23" s="41" t="str">
        <f>'1.2 Budgeted Enrollment YR1'!E20</f>
        <v>Mineral</v>
      </c>
      <c r="C23" s="532">
        <f>'1.2 Budgeted Enrollment YR1'!G20</f>
        <v>567.43327210269706</v>
      </c>
      <c r="D23" s="533">
        <f t="shared" si="0"/>
        <v>316048.27</v>
      </c>
      <c r="E23" s="995">
        <f t="shared" si="1"/>
        <v>0</v>
      </c>
      <c r="F23" s="210"/>
      <c r="G23" s="534">
        <f t="shared" si="2"/>
        <v>159025</v>
      </c>
      <c r="H23" s="998">
        <f t="shared" si="4"/>
        <v>0</v>
      </c>
      <c r="I23" s="998">
        <f t="shared" si="5"/>
        <v>475073.27</v>
      </c>
      <c r="J23" s="999">
        <f t="shared" si="3"/>
        <v>837.23195899238488</v>
      </c>
    </row>
    <row r="24" spans="1:10" x14ac:dyDescent="0.3">
      <c r="A24" s="41"/>
      <c r="B24" s="41" t="str">
        <f>'1.2 Budgeted Enrollment YR1'!E21</f>
        <v>Nye</v>
      </c>
      <c r="C24" s="532">
        <f>'1.2 Budgeted Enrollment YR1'!G21</f>
        <v>5588.923509690796</v>
      </c>
      <c r="D24" s="533">
        <f t="shared" si="0"/>
        <v>4268308.3025000002</v>
      </c>
      <c r="E24" s="995">
        <f t="shared" si="1"/>
        <v>0</v>
      </c>
      <c r="F24" s="210"/>
      <c r="G24" s="534">
        <f t="shared" si="2"/>
        <v>0</v>
      </c>
      <c r="H24" s="998">
        <f t="shared" si="4"/>
        <v>0</v>
      </c>
      <c r="I24" s="998">
        <f t="shared" si="5"/>
        <v>4268308.3025000002</v>
      </c>
      <c r="J24" s="999">
        <f t="shared" si="3"/>
        <v>763.7084843081243</v>
      </c>
    </row>
    <row r="25" spans="1:10" x14ac:dyDescent="0.3">
      <c r="A25" s="41"/>
      <c r="B25" s="41" t="str">
        <f>'1.2 Budgeted Enrollment YR1'!E22</f>
        <v>Pershing</v>
      </c>
      <c r="C25" s="532">
        <f>'1.2 Budgeted Enrollment YR1'!G22</f>
        <v>660.16040063426465</v>
      </c>
      <c r="D25" s="533">
        <f t="shared" si="0"/>
        <v>800420.59250000003</v>
      </c>
      <c r="E25" s="995">
        <f t="shared" si="1"/>
        <v>0</v>
      </c>
      <c r="F25" s="210"/>
      <c r="G25" s="534">
        <f t="shared" si="2"/>
        <v>25224.75</v>
      </c>
      <c r="H25" s="998">
        <f t="shared" si="4"/>
        <v>0</v>
      </c>
      <c r="I25" s="998">
        <f t="shared" si="5"/>
        <v>825645.34250000003</v>
      </c>
      <c r="J25" s="999">
        <f t="shared" si="3"/>
        <v>1250.6738388227193</v>
      </c>
    </row>
    <row r="26" spans="1:10" x14ac:dyDescent="0.3">
      <c r="A26" s="41"/>
      <c r="B26" s="41" t="str">
        <f>'1.2 Budgeted Enrollment YR1'!E23</f>
        <v>Storey</v>
      </c>
      <c r="C26" s="532">
        <f>'1.2 Budgeted Enrollment YR1'!G23</f>
        <v>413.05444673325331</v>
      </c>
      <c r="D26" s="533">
        <f t="shared" si="0"/>
        <v>491092.25</v>
      </c>
      <c r="E26" s="995">
        <f t="shared" si="1"/>
        <v>0</v>
      </c>
      <c r="F26" s="210"/>
      <c r="G26" s="534">
        <f t="shared" si="2"/>
        <v>22323.5</v>
      </c>
      <c r="H26" s="998">
        <f t="shared" si="4"/>
        <v>0</v>
      </c>
      <c r="I26" s="998">
        <f t="shared" si="5"/>
        <v>513415.75</v>
      </c>
      <c r="J26" s="999">
        <f t="shared" si="3"/>
        <v>1242.973545159675</v>
      </c>
    </row>
    <row r="27" spans="1:10" x14ac:dyDescent="0.3">
      <c r="A27" s="41"/>
      <c r="B27" s="41" t="str">
        <f>'1.2 Budgeted Enrollment YR1'!E24</f>
        <v>Washoe</v>
      </c>
      <c r="C27" s="532">
        <f>'1.2 Budgeted Enrollment YR1'!G24</f>
        <v>60547.590413175996</v>
      </c>
      <c r="D27" s="533">
        <f t="shared" si="0"/>
        <v>23740800.767499998</v>
      </c>
      <c r="E27" s="995">
        <f t="shared" si="1"/>
        <v>0</v>
      </c>
      <c r="F27" s="210"/>
      <c r="G27" s="534">
        <f t="shared" si="2"/>
        <v>0</v>
      </c>
      <c r="H27" s="998">
        <f t="shared" si="4"/>
        <v>0</v>
      </c>
      <c r="I27" s="998">
        <f t="shared" si="5"/>
        <v>23740800.767499998</v>
      </c>
      <c r="J27" s="999">
        <f t="shared" si="3"/>
        <v>392.10149579022175</v>
      </c>
    </row>
    <row r="28" spans="1:10" x14ac:dyDescent="0.3">
      <c r="A28" s="41"/>
      <c r="B28" s="41" t="str">
        <f>'1.2 Budgeted Enrollment YR1'!E25</f>
        <v>White Pine</v>
      </c>
      <c r="C28" s="532">
        <f>'1.2 Budgeted Enrollment YR1'!G25</f>
        <v>1259.3902506538202</v>
      </c>
      <c r="D28" s="534">
        <f t="shared" si="0"/>
        <v>1218747.9900000002</v>
      </c>
      <c r="E28" s="996">
        <f>IF($F$6="Yes",(D28*$F$7),0)</f>
        <v>0</v>
      </c>
      <c r="F28" s="210"/>
      <c r="G28" s="534">
        <f t="shared" si="2"/>
        <v>48795.177500000005</v>
      </c>
      <c r="H28" s="995">
        <f>IF($H$6="Yes",(G28*$H$7),0)</f>
        <v>0</v>
      </c>
      <c r="I28" s="998">
        <f>SUM(D28:E28)+F28+SUM(G28:H28)</f>
        <v>1267543.1675000002</v>
      </c>
      <c r="J28" s="999">
        <f t="shared" si="3"/>
        <v>1006.4737017314112</v>
      </c>
    </row>
    <row r="29" spans="1:10" x14ac:dyDescent="0.3">
      <c r="A29" s="41"/>
      <c r="B29" s="41" t="str">
        <f>'1.2 Budgeted Enrollment YR1'!E26</f>
        <v>Charter Schools (Combined)</v>
      </c>
      <c r="C29" s="532">
        <v>0</v>
      </c>
      <c r="D29" s="534">
        <v>0</v>
      </c>
      <c r="E29" s="996">
        <f>IF($F$6="Yes",(D29*$F$7),0)</f>
        <v>0</v>
      </c>
      <c r="F29" s="803"/>
      <c r="G29" s="534">
        <v>0</v>
      </c>
      <c r="H29" s="996">
        <f>IF($H$6="Yes",(G29*$H$7),0)</f>
        <v>0</v>
      </c>
      <c r="I29" s="998">
        <f>SUM(D29:E29)+F29+SUM(G29:H29)</f>
        <v>0</v>
      </c>
      <c r="J29" s="999">
        <f t="shared" si="3"/>
        <v>0</v>
      </c>
    </row>
    <row r="30" spans="1:10" x14ac:dyDescent="0.3">
      <c r="A30" s="709"/>
      <c r="B30" s="709" t="str">
        <f>'1.2 Budgeted Enrollment YR1'!E27</f>
        <v>University Schools</v>
      </c>
      <c r="C30" s="710">
        <v>0</v>
      </c>
      <c r="D30" s="714">
        <v>0</v>
      </c>
      <c r="E30" s="997">
        <f t="shared" si="1"/>
        <v>0</v>
      </c>
      <c r="F30" s="804"/>
      <c r="G30" s="714">
        <v>0</v>
      </c>
      <c r="H30" s="997">
        <f t="shared" si="4"/>
        <v>0</v>
      </c>
      <c r="I30" s="1000">
        <f>SUM(D30:E30)+F30+SUM(G30:H30)</f>
        <v>0</v>
      </c>
      <c r="J30" s="1001">
        <f t="shared" si="3"/>
        <v>0</v>
      </c>
    </row>
    <row r="31" spans="1:10" s="4" customFormat="1" x14ac:dyDescent="0.3">
      <c r="A31" s="813"/>
      <c r="B31" s="814" t="s">
        <v>89</v>
      </c>
      <c r="C31" s="1156">
        <f t="shared" ref="C31:I31" si="6">SUM(C12:C30)</f>
        <v>402117.42591596657</v>
      </c>
      <c r="D31" s="1156">
        <f t="shared" si="6"/>
        <v>193767827.86750007</v>
      </c>
      <c r="E31" s="1156">
        <f t="shared" si="6"/>
        <v>0</v>
      </c>
      <c r="F31" s="1156">
        <f t="shared" si="6"/>
        <v>0</v>
      </c>
      <c r="G31" s="1156">
        <f t="shared" si="6"/>
        <v>1487652.6625000001</v>
      </c>
      <c r="H31" s="1156">
        <f t="shared" si="6"/>
        <v>0</v>
      </c>
      <c r="I31" s="1157">
        <f t="shared" si="6"/>
        <v>195255480.53</v>
      </c>
      <c r="J31" s="1002">
        <f>I31/C31</f>
        <v>485.56831399493734</v>
      </c>
    </row>
    <row r="32" spans="1:10" x14ac:dyDescent="0.3">
      <c r="A32" s="41"/>
      <c r="B32" s="41"/>
      <c r="C32" s="41"/>
      <c r="D32" s="532">
        <f>D31-G57</f>
        <v>0</v>
      </c>
      <c r="E32" s="41"/>
      <c r="F32" s="41"/>
      <c r="G32" s="994">
        <f>G31-G78</f>
        <v>0</v>
      </c>
      <c r="H32" s="43"/>
      <c r="I32" s="41"/>
      <c r="J32" s="42"/>
    </row>
    <row r="33" spans="2:8" x14ac:dyDescent="0.3">
      <c r="B33" s="291" t="s">
        <v>1452</v>
      </c>
      <c r="C33" s="4"/>
      <c r="D33" s="4"/>
      <c r="E33" s="4"/>
      <c r="F33" s="4"/>
    </row>
    <row r="34" spans="2:8" s="4" customFormat="1" x14ac:dyDescent="0.3">
      <c r="B34" s="291" t="s">
        <v>1451</v>
      </c>
    </row>
    <row r="35" spans="2:8" s="4" customFormat="1" x14ac:dyDescent="0.3">
      <c r="B35" s="291"/>
    </row>
    <row r="36" spans="2:8" x14ac:dyDescent="0.3">
      <c r="B36" s="262"/>
    </row>
    <row r="37" spans="2:8" x14ac:dyDescent="0.3">
      <c r="B37" s="1584" t="s">
        <v>1005</v>
      </c>
      <c r="C37" s="1585"/>
      <c r="D37" s="1585"/>
      <c r="E37" s="1585"/>
      <c r="F37" s="1585"/>
      <c r="G37" s="1586"/>
      <c r="H37" s="294"/>
    </row>
    <row r="38" spans="2:8" ht="15.75" customHeight="1" x14ac:dyDescent="0.3">
      <c r="B38" s="17" t="s">
        <v>1001</v>
      </c>
      <c r="C38" s="4">
        <v>2019</v>
      </c>
      <c r="D38" s="4">
        <v>2020</v>
      </c>
      <c r="E38" s="4">
        <v>2021</v>
      </c>
      <c r="F38" s="4">
        <v>2022</v>
      </c>
      <c r="G38" s="17" t="s">
        <v>1357</v>
      </c>
      <c r="H38" s="17"/>
    </row>
    <row r="39" spans="2:8" s="4" customFormat="1" x14ac:dyDescent="0.3">
      <c r="B39" s="290" t="s">
        <v>1000</v>
      </c>
      <c r="C39" s="181" t="s">
        <v>1002</v>
      </c>
      <c r="D39" s="181" t="s">
        <v>1003</v>
      </c>
      <c r="E39" s="290" t="s">
        <v>1305</v>
      </c>
      <c r="F39" s="290" t="s">
        <v>1445</v>
      </c>
      <c r="G39" s="290" t="s">
        <v>1356</v>
      </c>
      <c r="H39" s="17"/>
    </row>
    <row r="40" spans="2:8" x14ac:dyDescent="0.3">
      <c r="B40" s="10" t="s">
        <v>18</v>
      </c>
      <c r="C40" s="468">
        <v>2591616.7700000005</v>
      </c>
      <c r="D40" s="468">
        <v>2354421</v>
      </c>
      <c r="E40" s="468">
        <v>2176089</v>
      </c>
      <c r="F40" s="468">
        <v>3223782.7999999993</v>
      </c>
      <c r="G40" s="550">
        <f>SUM(C40:F40)/4</f>
        <v>2586477.3925000001</v>
      </c>
      <c r="H40" s="11"/>
    </row>
    <row r="41" spans="2:8" x14ac:dyDescent="0.3">
      <c r="B41" s="10" t="s">
        <v>1</v>
      </c>
      <c r="C41" s="468">
        <v>1954425.49</v>
      </c>
      <c r="D41" s="1489">
        <v>1719375.49</v>
      </c>
      <c r="E41" s="1489">
        <v>1423239.53</v>
      </c>
      <c r="F41" s="1489">
        <v>1521517.49</v>
      </c>
      <c r="G41" s="550">
        <f>SUM(C41:F41)/4</f>
        <v>1654639.5</v>
      </c>
      <c r="H41" s="11"/>
    </row>
    <row r="42" spans="2:8" x14ac:dyDescent="0.3">
      <c r="B42" s="10" t="s">
        <v>2</v>
      </c>
      <c r="C42" s="468">
        <v>160606166.15999997</v>
      </c>
      <c r="D42" s="468">
        <v>144286074</v>
      </c>
      <c r="E42" s="468">
        <v>133062632.91999999</v>
      </c>
      <c r="F42" s="468">
        <v>125692508.64999999</v>
      </c>
      <c r="G42" s="550">
        <f t="shared" ref="G42:G56" si="7">SUM(C42:F42)/4</f>
        <v>140911845.43249997</v>
      </c>
      <c r="H42" s="11"/>
    </row>
    <row r="43" spans="2:8" x14ac:dyDescent="0.3">
      <c r="B43" s="10" t="s">
        <v>3</v>
      </c>
      <c r="C43" s="468">
        <v>3931543</v>
      </c>
      <c r="D43" s="468">
        <v>3465564.2</v>
      </c>
      <c r="E43" s="468">
        <v>3955235</v>
      </c>
      <c r="F43" s="468">
        <v>4206792</v>
      </c>
      <c r="G43" s="550">
        <f t="shared" si="7"/>
        <v>3889783.55</v>
      </c>
      <c r="H43" s="11"/>
    </row>
    <row r="44" spans="2:8" x14ac:dyDescent="0.3">
      <c r="B44" s="10" t="s">
        <v>4</v>
      </c>
      <c r="C44" s="468">
        <v>4886649</v>
      </c>
      <c r="D44" s="468">
        <v>4285094.2</v>
      </c>
      <c r="E44" s="468">
        <v>4009665.7</v>
      </c>
      <c r="F44" s="468">
        <v>5649560.1299999999</v>
      </c>
      <c r="G44" s="550">
        <f t="shared" si="7"/>
        <v>4707742.2574999994</v>
      </c>
      <c r="H44" s="11"/>
    </row>
    <row r="45" spans="2:8" x14ac:dyDescent="0.3">
      <c r="B45" s="10" t="s">
        <v>5</v>
      </c>
      <c r="C45" s="468">
        <v>324260</v>
      </c>
      <c r="D45" s="468">
        <v>328549.57999999996</v>
      </c>
      <c r="E45" s="468">
        <v>462905.83999999997</v>
      </c>
      <c r="F45" s="468">
        <v>334748.11</v>
      </c>
      <c r="G45" s="550">
        <f t="shared" si="7"/>
        <v>362615.88249999995</v>
      </c>
      <c r="H45" s="11"/>
    </row>
    <row r="46" spans="2:8" x14ac:dyDescent="0.3">
      <c r="B46" s="10" t="s">
        <v>6</v>
      </c>
      <c r="C46" s="468">
        <v>537295</v>
      </c>
      <c r="D46" s="468">
        <v>434259</v>
      </c>
      <c r="E46" s="468">
        <v>1026559.44</v>
      </c>
      <c r="F46" s="468">
        <v>995884.6399999999</v>
      </c>
      <c r="G46" s="550">
        <f t="shared" si="7"/>
        <v>748499.52</v>
      </c>
      <c r="H46" s="11"/>
    </row>
    <row r="47" spans="2:8" x14ac:dyDescent="0.3">
      <c r="B47" s="10" t="s">
        <v>7</v>
      </c>
      <c r="C47" s="468">
        <v>2622861.29</v>
      </c>
      <c r="D47" s="468">
        <v>1619978</v>
      </c>
      <c r="E47" s="468">
        <v>1542016.67</v>
      </c>
      <c r="F47" s="468">
        <v>2287006.9</v>
      </c>
      <c r="G47" s="550">
        <f t="shared" si="7"/>
        <v>2017965.7149999999</v>
      </c>
      <c r="H47" s="11"/>
    </row>
    <row r="48" spans="2:8" x14ac:dyDescent="0.3">
      <c r="B48" s="10" t="s">
        <v>8</v>
      </c>
      <c r="C48" s="468">
        <v>392352.21</v>
      </c>
      <c r="D48" s="468">
        <v>582580.19999999995</v>
      </c>
      <c r="E48" s="468">
        <v>250328.34999999998</v>
      </c>
      <c r="F48" s="468">
        <v>430550.69</v>
      </c>
      <c r="G48" s="550">
        <f t="shared" si="7"/>
        <v>413952.86249999993</v>
      </c>
      <c r="H48" s="11"/>
    </row>
    <row r="49" spans="2:9" x14ac:dyDescent="0.3">
      <c r="B49" s="10" t="s">
        <v>9</v>
      </c>
      <c r="C49" s="468">
        <v>598189</v>
      </c>
      <c r="D49" s="468">
        <v>773153</v>
      </c>
      <c r="E49" s="468">
        <v>352938</v>
      </c>
      <c r="F49" s="468">
        <v>767799.64</v>
      </c>
      <c r="G49" s="550">
        <f t="shared" si="7"/>
        <v>623019.91</v>
      </c>
      <c r="H49" s="11"/>
    </row>
    <row r="50" spans="2:9" x14ac:dyDescent="0.3">
      <c r="B50" s="10" t="s">
        <v>10</v>
      </c>
      <c r="C50" s="468">
        <v>4676120</v>
      </c>
      <c r="D50" s="468">
        <v>4568463</v>
      </c>
      <c r="E50" s="468">
        <v>5048651.82</v>
      </c>
      <c r="F50" s="468">
        <v>5770235.8700000001</v>
      </c>
      <c r="G50" s="550">
        <f t="shared" si="7"/>
        <v>5015867.6725000003</v>
      </c>
      <c r="H50" s="11"/>
    </row>
    <row r="51" spans="2:9" x14ac:dyDescent="0.3">
      <c r="B51" s="10" t="s">
        <v>11</v>
      </c>
      <c r="C51" s="468">
        <v>257034</v>
      </c>
      <c r="D51" s="468">
        <v>310614.5</v>
      </c>
      <c r="E51" s="468">
        <v>343102.13</v>
      </c>
      <c r="F51" s="468">
        <v>353442.45</v>
      </c>
      <c r="G51" s="550">
        <f t="shared" si="7"/>
        <v>316048.27</v>
      </c>
      <c r="H51" s="11"/>
    </row>
    <row r="52" spans="2:9" x14ac:dyDescent="0.3">
      <c r="B52" s="10" t="s">
        <v>12</v>
      </c>
      <c r="C52" s="468">
        <v>4092226.0000000005</v>
      </c>
      <c r="D52" s="468">
        <v>3846650</v>
      </c>
      <c r="E52" s="468">
        <v>3910725.66</v>
      </c>
      <c r="F52" s="468">
        <v>5223631.55</v>
      </c>
      <c r="G52" s="550">
        <f t="shared" si="7"/>
        <v>4268308.3025000002</v>
      </c>
      <c r="H52" s="11"/>
    </row>
    <row r="53" spans="2:9" x14ac:dyDescent="0.3">
      <c r="B53" s="10" t="s">
        <v>14</v>
      </c>
      <c r="C53" s="468">
        <v>887515</v>
      </c>
      <c r="D53" s="468">
        <v>723394.99999999988</v>
      </c>
      <c r="E53" s="468">
        <v>722657</v>
      </c>
      <c r="F53" s="468">
        <v>868115.37000000011</v>
      </c>
      <c r="G53" s="550">
        <f t="shared" si="7"/>
        <v>800420.59250000003</v>
      </c>
      <c r="H53" s="11"/>
    </row>
    <row r="54" spans="2:9" x14ac:dyDescent="0.3">
      <c r="B54" s="10" t="s">
        <v>15</v>
      </c>
      <c r="C54" s="468">
        <v>366721</v>
      </c>
      <c r="D54" s="468">
        <v>547375</v>
      </c>
      <c r="E54" s="468">
        <v>316473</v>
      </c>
      <c r="F54" s="468">
        <v>733800</v>
      </c>
      <c r="G54" s="550">
        <f t="shared" si="7"/>
        <v>491092.25</v>
      </c>
      <c r="H54" s="11"/>
    </row>
    <row r="55" spans="2:9" x14ac:dyDescent="0.3">
      <c r="B55" s="10" t="s">
        <v>16</v>
      </c>
      <c r="C55" s="468">
        <v>24028205.629999999</v>
      </c>
      <c r="D55" s="468">
        <v>24043223.830000002</v>
      </c>
      <c r="E55" s="468">
        <v>22182599.509999998</v>
      </c>
      <c r="F55" s="468">
        <v>24709174.099999994</v>
      </c>
      <c r="G55" s="550">
        <f t="shared" si="7"/>
        <v>23740800.767499998</v>
      </c>
      <c r="H55" s="11"/>
    </row>
    <row r="56" spans="2:9" x14ac:dyDescent="0.3">
      <c r="B56" s="183" t="s">
        <v>17</v>
      </c>
      <c r="C56" s="1293">
        <v>1054973.6399999999</v>
      </c>
      <c r="D56" s="1293">
        <v>1054977.0000000002</v>
      </c>
      <c r="E56" s="1293">
        <v>1590085.7000000002</v>
      </c>
      <c r="F56" s="1293">
        <v>1174955.6200000001</v>
      </c>
      <c r="G56" s="577">
        <f t="shared" si="7"/>
        <v>1218747.9900000002</v>
      </c>
      <c r="H56" s="11"/>
    </row>
    <row r="57" spans="2:9" x14ac:dyDescent="0.3">
      <c r="C57" s="552">
        <f>SUM(C40:C56)</f>
        <v>213808153.18999994</v>
      </c>
      <c r="D57" s="552">
        <f>SUM(D40:D56)</f>
        <v>194943747</v>
      </c>
      <c r="E57" s="552">
        <f>SUM(E40:E56)</f>
        <v>182375905.26999992</v>
      </c>
      <c r="F57" s="552">
        <f>SUM(F40:F56)</f>
        <v>183943506.00999999</v>
      </c>
      <c r="G57" s="552">
        <f>SUM(G40:G56)</f>
        <v>193767827.86750007</v>
      </c>
      <c r="H57" s="175">
        <f>G57-'6.1 Auxiliary Services YR2'!G56</f>
        <v>0</v>
      </c>
      <c r="I57" s="12"/>
    </row>
    <row r="58" spans="2:9" x14ac:dyDescent="0.3">
      <c r="C58" s="15"/>
      <c r="D58" s="15"/>
      <c r="E58" s="15"/>
      <c r="F58" s="15"/>
      <c r="G58" s="15">
        <f>D31-G57</f>
        <v>0</v>
      </c>
      <c r="H58" s="175"/>
      <c r="I58" s="15"/>
    </row>
    <row r="59" spans="2:9" x14ac:dyDescent="0.3">
      <c r="B59" s="17" t="s">
        <v>998</v>
      </c>
      <c r="C59" s="4">
        <f t="shared" ref="C59:F60" si="8">C38</f>
        <v>2019</v>
      </c>
      <c r="D59" s="4">
        <f t="shared" si="8"/>
        <v>2020</v>
      </c>
      <c r="E59" s="4">
        <f t="shared" si="8"/>
        <v>2021</v>
      </c>
      <c r="F59" s="4">
        <f t="shared" si="8"/>
        <v>2022</v>
      </c>
      <c r="G59" s="17" t="s">
        <v>999</v>
      </c>
      <c r="H59" s="203"/>
    </row>
    <row r="60" spans="2:9" x14ac:dyDescent="0.3">
      <c r="B60" s="290" t="s">
        <v>1004</v>
      </c>
      <c r="C60" s="290" t="str">
        <f t="shared" si="8"/>
        <v>2019 NRS 387 Report</v>
      </c>
      <c r="D60" s="290" t="str">
        <f t="shared" si="8"/>
        <v>2020 NRS 387 Report</v>
      </c>
      <c r="E60" s="290" t="str">
        <f t="shared" si="8"/>
        <v>2021 NRS 387 Report</v>
      </c>
      <c r="F60" s="290" t="str">
        <f t="shared" si="8"/>
        <v>2022 NRS 387 Report</v>
      </c>
      <c r="G60" s="290"/>
      <c r="H60" s="203"/>
    </row>
    <row r="61" spans="2:9" x14ac:dyDescent="0.3">
      <c r="B61" s="10" t="s">
        <v>18</v>
      </c>
      <c r="C61" s="468">
        <v>216197.99</v>
      </c>
      <c r="D61" s="468">
        <v>529286</v>
      </c>
      <c r="E61" s="468">
        <v>921727</v>
      </c>
      <c r="F61" s="468">
        <v>0</v>
      </c>
      <c r="G61" s="550">
        <f>SUM(C61:F61)/4</f>
        <v>416802.7475</v>
      </c>
      <c r="H61" s="240"/>
    </row>
    <row r="62" spans="2:9" x14ac:dyDescent="0.3">
      <c r="B62" s="10" t="s">
        <v>1</v>
      </c>
      <c r="C62" s="468">
        <v>50000.49</v>
      </c>
      <c r="D62" s="468">
        <v>0</v>
      </c>
      <c r="E62" s="468">
        <v>0</v>
      </c>
      <c r="F62" s="468">
        <v>0</v>
      </c>
      <c r="G62" s="550">
        <f>SUM(C62:F62)/4</f>
        <v>12500.122499999999</v>
      </c>
      <c r="H62" s="240"/>
    </row>
    <row r="63" spans="2:9" x14ac:dyDescent="0.3">
      <c r="B63" s="10" t="s">
        <v>2</v>
      </c>
      <c r="C63" s="468">
        <v>0</v>
      </c>
      <c r="D63" s="468">
        <v>0</v>
      </c>
      <c r="E63" s="468">
        <v>0</v>
      </c>
      <c r="F63" s="468">
        <v>0</v>
      </c>
      <c r="G63" s="550">
        <f>SUM(C63:F63)/4</f>
        <v>0</v>
      </c>
      <c r="H63" s="240"/>
    </row>
    <row r="64" spans="2:9" x14ac:dyDescent="0.3">
      <c r="B64" s="10" t="s">
        <v>3</v>
      </c>
      <c r="C64" s="468">
        <v>0</v>
      </c>
      <c r="D64" s="468">
        <v>0</v>
      </c>
      <c r="E64" s="468">
        <v>0</v>
      </c>
      <c r="F64" s="468">
        <v>0</v>
      </c>
      <c r="G64" s="550">
        <f t="shared" ref="G64:G77" si="9">SUM(C64:F64)/4</f>
        <v>0</v>
      </c>
      <c r="H64" s="240"/>
    </row>
    <row r="65" spans="2:9" x14ac:dyDescent="0.3">
      <c r="B65" s="10" t="s">
        <v>4</v>
      </c>
      <c r="C65" s="468">
        <v>301364</v>
      </c>
      <c r="D65" s="468">
        <v>347096</v>
      </c>
      <c r="E65" s="468">
        <v>543565.12</v>
      </c>
      <c r="F65" s="468">
        <v>344693</v>
      </c>
      <c r="G65" s="550">
        <f t="shared" si="9"/>
        <v>384179.53</v>
      </c>
      <c r="H65" s="240"/>
    </row>
    <row r="66" spans="2:9" x14ac:dyDescent="0.3">
      <c r="B66" s="10" t="s">
        <v>5</v>
      </c>
      <c r="C66" s="468">
        <v>49638</v>
      </c>
      <c r="D66" s="468">
        <v>49284</v>
      </c>
      <c r="E66" s="468">
        <v>83405</v>
      </c>
      <c r="F66" s="468">
        <v>60000</v>
      </c>
      <c r="G66" s="550">
        <f t="shared" si="9"/>
        <v>60581.75</v>
      </c>
      <c r="H66" s="240"/>
    </row>
    <row r="67" spans="2:9" x14ac:dyDescent="0.3">
      <c r="B67" s="10" t="s">
        <v>6</v>
      </c>
      <c r="C67" s="468">
        <v>281756</v>
      </c>
      <c r="D67" s="468">
        <v>399223</v>
      </c>
      <c r="E67" s="468">
        <v>0</v>
      </c>
      <c r="F67" s="468">
        <v>334261.34000000003</v>
      </c>
      <c r="G67" s="550">
        <f t="shared" si="9"/>
        <v>253810.08500000002</v>
      </c>
      <c r="H67" s="240"/>
    </row>
    <row r="68" spans="2:9" x14ac:dyDescent="0.3">
      <c r="B68" s="10" t="s">
        <v>7</v>
      </c>
      <c r="C68" s="468">
        <v>19890</v>
      </c>
      <c r="D68" s="468">
        <v>56472</v>
      </c>
      <c r="E68" s="468">
        <v>0</v>
      </c>
      <c r="F68" s="468">
        <v>0</v>
      </c>
      <c r="G68" s="550">
        <f t="shared" si="9"/>
        <v>19090.5</v>
      </c>
      <c r="H68" s="240"/>
    </row>
    <row r="69" spans="2:9" x14ac:dyDescent="0.3">
      <c r="B69" s="10" t="s">
        <v>8</v>
      </c>
      <c r="C69" s="468">
        <v>0</v>
      </c>
      <c r="D69" s="468">
        <v>100000</v>
      </c>
      <c r="E69" s="468">
        <v>0</v>
      </c>
      <c r="F69" s="468">
        <v>0</v>
      </c>
      <c r="G69" s="550">
        <f t="shared" si="9"/>
        <v>25000</v>
      </c>
      <c r="H69" s="240"/>
    </row>
    <row r="70" spans="2:9" x14ac:dyDescent="0.3">
      <c r="B70" s="10" t="s">
        <v>9</v>
      </c>
      <c r="C70" s="468">
        <v>70000</v>
      </c>
      <c r="D70" s="468">
        <v>70000</v>
      </c>
      <c r="E70" s="468">
        <v>30000</v>
      </c>
      <c r="F70" s="468">
        <v>71278</v>
      </c>
      <c r="G70" s="550">
        <f t="shared" si="9"/>
        <v>60319.5</v>
      </c>
      <c r="H70" s="240"/>
    </row>
    <row r="71" spans="2:9" x14ac:dyDescent="0.3">
      <c r="B71" s="10" t="s">
        <v>10</v>
      </c>
      <c r="C71" s="468">
        <v>0</v>
      </c>
      <c r="D71" s="468">
        <v>0</v>
      </c>
      <c r="E71" s="468">
        <v>0</v>
      </c>
      <c r="F71" s="468">
        <v>0</v>
      </c>
      <c r="G71" s="550">
        <f t="shared" si="9"/>
        <v>0</v>
      </c>
      <c r="H71" s="240"/>
    </row>
    <row r="72" spans="2:9" x14ac:dyDescent="0.3">
      <c r="B72" s="10" t="s">
        <v>11</v>
      </c>
      <c r="C72" s="468">
        <v>88000</v>
      </c>
      <c r="D72" s="468">
        <v>88000</v>
      </c>
      <c r="E72" s="468">
        <v>179605</v>
      </c>
      <c r="F72" s="468">
        <v>280495</v>
      </c>
      <c r="G72" s="550">
        <f t="shared" si="9"/>
        <v>159025</v>
      </c>
      <c r="H72" s="240"/>
    </row>
    <row r="73" spans="2:9" x14ac:dyDescent="0.3">
      <c r="B73" s="10" t="s">
        <v>12</v>
      </c>
      <c r="C73" s="468">
        <v>0</v>
      </c>
      <c r="D73" s="468">
        <v>0</v>
      </c>
      <c r="E73" s="468">
        <v>0</v>
      </c>
      <c r="F73" s="468">
        <v>0</v>
      </c>
      <c r="G73" s="550">
        <f t="shared" si="9"/>
        <v>0</v>
      </c>
      <c r="H73" s="240"/>
    </row>
    <row r="74" spans="2:9" x14ac:dyDescent="0.3">
      <c r="B74" s="10" t="s">
        <v>14</v>
      </c>
      <c r="C74" s="468">
        <v>20000</v>
      </c>
      <c r="D74" s="468">
        <v>60899</v>
      </c>
      <c r="E74" s="468">
        <v>20000</v>
      </c>
      <c r="F74" s="468">
        <v>0</v>
      </c>
      <c r="G74" s="550">
        <f t="shared" si="9"/>
        <v>25224.75</v>
      </c>
      <c r="H74" s="240"/>
    </row>
    <row r="75" spans="2:9" x14ac:dyDescent="0.3">
      <c r="B75" s="10" t="s">
        <v>15</v>
      </c>
      <c r="C75" s="468">
        <v>21848</v>
      </c>
      <c r="D75" s="468">
        <v>23002</v>
      </c>
      <c r="E75" s="468">
        <v>26812</v>
      </c>
      <c r="F75" s="468">
        <v>17632</v>
      </c>
      <c r="G75" s="550">
        <f t="shared" si="9"/>
        <v>22323.5</v>
      </c>
      <c r="H75" s="240"/>
    </row>
    <row r="76" spans="2:9" x14ac:dyDescent="0.3">
      <c r="B76" s="10" t="s">
        <v>16</v>
      </c>
      <c r="C76" s="468">
        <v>0</v>
      </c>
      <c r="D76" s="468">
        <v>0</v>
      </c>
      <c r="E76" s="468">
        <v>0</v>
      </c>
      <c r="F76" s="468">
        <v>0</v>
      </c>
      <c r="G76" s="550">
        <f t="shared" si="9"/>
        <v>0</v>
      </c>
      <c r="H76" s="240"/>
    </row>
    <row r="77" spans="2:9" x14ac:dyDescent="0.3">
      <c r="B77" s="183" t="s">
        <v>17</v>
      </c>
      <c r="C77" s="1293">
        <v>76980.100000000006</v>
      </c>
      <c r="D77" s="1293">
        <v>89088.22</v>
      </c>
      <c r="E77" s="1293">
        <v>25318</v>
      </c>
      <c r="F77" s="1293">
        <v>3794.39</v>
      </c>
      <c r="G77" s="577">
        <f t="shared" si="9"/>
        <v>48795.177500000005</v>
      </c>
      <c r="H77" s="1475"/>
    </row>
    <row r="78" spans="2:9" x14ac:dyDescent="0.3">
      <c r="C78" s="552">
        <f>SUM(C61:C77)</f>
        <v>1195674.58</v>
      </c>
      <c r="D78" s="552">
        <f>SUM(D61:D77)</f>
        <v>1812350.22</v>
      </c>
      <c r="E78" s="552">
        <f>SUM(E61:E77)</f>
        <v>1830432.12</v>
      </c>
      <c r="F78" s="552">
        <f>SUM(F61:F77)</f>
        <v>1112153.73</v>
      </c>
      <c r="G78" s="552">
        <f>SUM(G61:G77)</f>
        <v>1487652.6625000001</v>
      </c>
      <c r="H78" s="175">
        <f>G78-'6.1 Auxiliary Services YR2'!G77</f>
        <v>0</v>
      </c>
      <c r="I78" s="12"/>
    </row>
    <row r="79" spans="2:9" x14ac:dyDescent="0.3">
      <c r="G79" s="136">
        <f>G78-G31</f>
        <v>0</v>
      </c>
      <c r="H79" s="136"/>
      <c r="I79" s="15"/>
    </row>
  </sheetData>
  <sheetProtection algorithmName="SHA-512" hashValue="GQId6DO+3Edjx3oRGHL0GKEBQovcqkH6a/nbxHOnmtkZPRdD8moWrNPN/qXDSeXmy8N7UDMcSO9BHHbbYsaz6w==" saltValue="tMWOgMz2A+rBSsAAEO2xHg==" spinCount="100000" sheet="1" objects="1" scenarios="1"/>
  <customSheetViews>
    <customSheetView guid="{92EB2B16-3546-4CC6-AF3A-0019867B62A7}" scale="70" fitToPage="1">
      <pane xSplit="2" ySplit="9" topLeftCell="C10" activePane="bottomRight" state="frozen"/>
      <selection pane="bottomRight" activeCell="B48" sqref="B48"/>
      <rowBreaks count="1" manualBreakCount="1">
        <brk id="29" max="16383" man="1"/>
      </rowBreaks>
      <pageMargins left="0.7" right="0.7" top="0.75" bottom="0.75" header="0.3" footer="0.3"/>
      <pageSetup paperSize="3" fitToHeight="0"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70" showPageBreaks="1" fitToPage="1" printArea="1">
      <pane xSplit="2" ySplit="9" topLeftCell="C10" activePane="bottomRight" state="frozen"/>
      <selection pane="bottomRight" activeCell="A3" sqref="A3:XFD3"/>
      <rowBreaks count="1" manualBreakCount="1">
        <brk id="29" max="16383" man="1"/>
      </rowBreaks>
      <pageMargins left="0.7" right="0.7" top="0.75" bottom="0.75" header="0.3" footer="0.3"/>
      <pageSetup paperSize="3" fitToHeight="0"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70" showPageBreaks="1" fitToPage="1" printArea="1">
      <pane xSplit="2" ySplit="9" topLeftCell="C10" activePane="bottomRight" state="frozen"/>
      <selection pane="bottomRight" activeCell="A4" sqref="A4"/>
      <rowBreaks count="1" manualBreakCount="1">
        <brk id="29" max="16383" man="1"/>
      </rowBreaks>
      <pageMargins left="0.7" right="0.7" top="0.75" bottom="0.75" header="0.3" footer="0.3"/>
      <pageSetup paperSize="3" fitToHeight="0" orientation="landscape" r:id="rId3"/>
      <headerFooter>
        <oddHeader>&amp;R&amp;"Arial Narrow,Regular"&amp;10&amp;A
&amp;P</oddHeader>
        <oddFooter>&amp;L&amp;"Arial Narrow,Regular"&amp;10This is a draft document. It is intended for discussion purposes only.&amp;R&amp;G</oddFooter>
      </headerFooter>
    </customSheetView>
  </customSheetViews>
  <mergeCells count="1">
    <mergeCell ref="B37:G37"/>
  </mergeCells>
  <phoneticPr fontId="79" type="noConversion"/>
  <dataValidations count="1">
    <dataValidation type="list" allowBlank="1" showInputMessage="1" showErrorMessage="1" sqref="F6 H6" xr:uid="{9312075F-4538-4E51-93F8-374F3329553F}">
      <formula1>$I$6:$I$7</formula1>
    </dataValidation>
  </dataValidations>
  <pageMargins left="0.7" right="0.7" top="0.75" bottom="0.75" header="0.3" footer="0.3"/>
  <pageSetup paperSize="3" fitToHeight="0" orientation="landscape" r:id="rId4"/>
  <headerFooter>
    <oddHeader>&amp;R&amp;"Arial Narrow,Regular"&amp;10&amp;A
&amp;P</oddHeader>
  </headerFooter>
  <rowBreaks count="1" manualBreakCount="1">
    <brk id="31" max="1638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8DA5D-1CD2-45F2-B270-B6FAF952602E}">
  <sheetPr>
    <tabColor theme="6"/>
    <pageSetUpPr autoPageBreaks="0" fitToPage="1"/>
  </sheetPr>
  <dimension ref="A1:N96"/>
  <sheetViews>
    <sheetView zoomScale="85" zoomScaleNormal="85" workbookViewId="0">
      <selection activeCell="N23" sqref="N23"/>
    </sheetView>
  </sheetViews>
  <sheetFormatPr defaultColWidth="8.85546875" defaultRowHeight="16.5" x14ac:dyDescent="0.3"/>
  <cols>
    <col min="1" max="1" width="6.85546875" style="10" customWidth="1"/>
    <col min="2" max="2" width="40.7109375" style="10" customWidth="1"/>
    <col min="3" max="3" width="14.5703125" style="10" bestFit="1" customWidth="1"/>
    <col min="4" max="4" width="16.7109375" style="10" bestFit="1" customWidth="1"/>
    <col min="5" max="5" width="15" style="10" bestFit="1" customWidth="1"/>
    <col min="6" max="6" width="14.42578125" style="10" bestFit="1" customWidth="1"/>
    <col min="7" max="8" width="11.140625" style="10" bestFit="1" customWidth="1"/>
    <col min="9" max="9" width="14.5703125" style="10" bestFit="1" customWidth="1"/>
    <col min="10" max="10" width="17.140625" style="10" bestFit="1" customWidth="1"/>
    <col min="11" max="12" width="5.5703125" style="10" customWidth="1"/>
    <col min="13" max="13" width="10.28515625" style="10" customWidth="1"/>
    <col min="14" max="14" width="9" style="10" customWidth="1"/>
    <col min="15" max="16384" width="8.85546875" style="10"/>
  </cols>
  <sheetData>
    <row r="1" spans="1:14" s="4" customFormat="1" x14ac:dyDescent="0.3">
      <c r="A1" s="4" t="s">
        <v>602</v>
      </c>
    </row>
    <row r="2" spans="1:14" x14ac:dyDescent="0.3">
      <c r="A2" s="10" t="str">
        <f>CONCATENATE("Pupil Center Funding Plan | FY",'1.1 Assumption Control YR1'!D5)</f>
        <v>Pupil Center Funding Plan | FY2024</v>
      </c>
    </row>
    <row r="3" spans="1:14" x14ac:dyDescent="0.3">
      <c r="A3" s="10" t="s">
        <v>1290</v>
      </c>
    </row>
    <row r="4" spans="1:14" x14ac:dyDescent="0.3">
      <c r="B4" s="87"/>
    </row>
    <row r="5" spans="1:14" x14ac:dyDescent="0.3">
      <c r="C5" s="17" t="s">
        <v>92</v>
      </c>
      <c r="D5" s="17" t="s">
        <v>93</v>
      </c>
      <c r="E5" s="18" t="s">
        <v>94</v>
      </c>
    </row>
    <row r="6" spans="1:14" x14ac:dyDescent="0.3">
      <c r="B6" s="17" t="s">
        <v>597</v>
      </c>
      <c r="C6" s="834">
        <f>'2.1 Auxiliary Services YR1'!E6</f>
        <v>5281666328.9508381</v>
      </c>
      <c r="D6" s="835">
        <f>J28</f>
        <v>485346698.84000003</v>
      </c>
      <c r="E6" s="836">
        <f>C6-D6</f>
        <v>4796319630.1108379</v>
      </c>
    </row>
    <row r="7" spans="1:14" x14ac:dyDescent="0.3">
      <c r="B7" s="1275"/>
      <c r="D7" s="18"/>
      <c r="E7" s="18"/>
    </row>
    <row r="8" spans="1:14" ht="90.75" x14ac:dyDescent="0.3">
      <c r="A8" s="838" t="s">
        <v>87</v>
      </c>
      <c r="B8" s="839"/>
      <c r="C8" s="840" t="s">
        <v>1446</v>
      </c>
      <c r="D8" s="840" t="s">
        <v>1019</v>
      </c>
      <c r="E8" s="840" t="s">
        <v>1020</v>
      </c>
      <c r="F8" s="840" t="s">
        <v>1823</v>
      </c>
      <c r="G8" s="840" t="s">
        <v>1018</v>
      </c>
      <c r="H8" s="840" t="s">
        <v>1024</v>
      </c>
      <c r="I8" s="840" t="s">
        <v>1036</v>
      </c>
      <c r="J8" s="841" t="s">
        <v>1447</v>
      </c>
      <c r="L8" s="22"/>
      <c r="M8" s="306" t="s">
        <v>1023</v>
      </c>
    </row>
    <row r="9" spans="1:14" x14ac:dyDescent="0.3">
      <c r="A9" s="301"/>
      <c r="B9" s="211" t="str">
        <f>'1.2 Budgeted Enrollment YR1'!E9</f>
        <v>Carson City</v>
      </c>
      <c r="C9" s="1294">
        <v>13010124.960000001</v>
      </c>
      <c r="D9" s="1294">
        <v>0</v>
      </c>
      <c r="E9" s="1294">
        <v>5101021.96</v>
      </c>
      <c r="F9" s="1294">
        <v>0</v>
      </c>
      <c r="G9" s="1294">
        <v>1485504</v>
      </c>
      <c r="H9" s="1294">
        <v>1485422</v>
      </c>
      <c r="I9" s="1295">
        <f>G9-H9</f>
        <v>82</v>
      </c>
      <c r="J9" s="842">
        <f>C9-D9-E9-F9-G9</f>
        <v>6423599.0000000009</v>
      </c>
      <c r="L9" s="22"/>
      <c r="M9" s="477">
        <v>1165</v>
      </c>
      <c r="N9" s="550">
        <f>J9/M9</f>
        <v>5513.8188841201727</v>
      </c>
    </row>
    <row r="10" spans="1:14" x14ac:dyDescent="0.3">
      <c r="A10" s="301"/>
      <c r="B10" s="211" t="str">
        <f>'1.2 Budgeted Enrollment YR1'!E10</f>
        <v>Churchill</v>
      </c>
      <c r="C10" s="1294">
        <v>5111599.38</v>
      </c>
      <c r="D10" s="1294">
        <v>98048</v>
      </c>
      <c r="E10" s="1294">
        <v>3371237.22</v>
      </c>
      <c r="F10" s="1294">
        <v>0</v>
      </c>
      <c r="G10" s="1294">
        <v>3207</v>
      </c>
      <c r="H10" s="1294">
        <v>8033</v>
      </c>
      <c r="I10" s="1295">
        <f t="shared" ref="I10:I25" si="0">G10-H10</f>
        <v>-4826</v>
      </c>
      <c r="J10" s="842">
        <f t="shared" ref="J10:J25" si="1">C10-D10-E10-F10-G10</f>
        <v>1639107.1599999997</v>
      </c>
      <c r="L10" s="22"/>
      <c r="M10" s="477">
        <v>553</v>
      </c>
      <c r="N10" s="550">
        <f t="shared" ref="N10:N26" si="2">J10/M10</f>
        <v>2964.0274141048817</v>
      </c>
    </row>
    <row r="11" spans="1:14" x14ac:dyDescent="0.3">
      <c r="A11" s="301"/>
      <c r="B11" s="211" t="str">
        <f>'1.2 Budgeted Enrollment YR1'!E11</f>
        <v>Clark</v>
      </c>
      <c r="C11" s="1294">
        <v>527034587</v>
      </c>
      <c r="D11" s="1294">
        <v>0</v>
      </c>
      <c r="E11" s="1294">
        <v>142496449</v>
      </c>
      <c r="F11" s="1294">
        <v>0</v>
      </c>
      <c r="G11" s="1294">
        <v>0</v>
      </c>
      <c r="H11" s="1294">
        <v>0</v>
      </c>
      <c r="I11" s="1295">
        <f t="shared" si="0"/>
        <v>0</v>
      </c>
      <c r="J11" s="842">
        <f t="shared" si="1"/>
        <v>384538138</v>
      </c>
      <c r="K11" s="20"/>
      <c r="L11" s="22"/>
      <c r="M11" s="477">
        <v>41867</v>
      </c>
      <c r="N11" s="550">
        <f t="shared" si="2"/>
        <v>9184.7550099123418</v>
      </c>
    </row>
    <row r="12" spans="1:14" x14ac:dyDescent="0.3">
      <c r="A12" s="301"/>
      <c r="B12" s="211" t="str">
        <f>'1.2 Budgeted Enrollment YR1'!E12</f>
        <v>Douglas</v>
      </c>
      <c r="C12" s="1294">
        <v>8817844</v>
      </c>
      <c r="D12" s="1294">
        <v>0</v>
      </c>
      <c r="E12" s="1294">
        <v>4062193</v>
      </c>
      <c r="F12" s="1294">
        <v>0</v>
      </c>
      <c r="G12" s="1294">
        <v>741847</v>
      </c>
      <c r="H12" s="1294">
        <v>633711</v>
      </c>
      <c r="I12" s="1295">
        <f t="shared" si="0"/>
        <v>108136</v>
      </c>
      <c r="J12" s="842">
        <f>C12-D12-E12-F12-G12</f>
        <v>4013804</v>
      </c>
      <c r="L12" s="22"/>
      <c r="M12" s="477">
        <v>803</v>
      </c>
      <c r="N12" s="550">
        <f t="shared" si="2"/>
        <v>4998.5105853051055</v>
      </c>
    </row>
    <row r="13" spans="1:14" x14ac:dyDescent="0.3">
      <c r="A13" s="301"/>
      <c r="B13" s="211" t="str">
        <f>'1.2 Budgeted Enrollment YR1'!E13</f>
        <v>Elko</v>
      </c>
      <c r="C13" s="1294">
        <v>10349424</v>
      </c>
      <c r="D13" s="1294">
        <v>83253</v>
      </c>
      <c r="E13" s="1294">
        <v>4952267</v>
      </c>
      <c r="F13" s="1294">
        <v>0</v>
      </c>
      <c r="G13" s="1294">
        <v>260357</v>
      </c>
      <c r="H13" s="1294">
        <v>545836</v>
      </c>
      <c r="I13" s="1295">
        <f t="shared" si="0"/>
        <v>-285479</v>
      </c>
      <c r="J13" s="842">
        <f t="shared" si="1"/>
        <v>5053547</v>
      </c>
      <c r="L13" s="22"/>
      <c r="M13" s="477">
        <v>1316</v>
      </c>
      <c r="N13" s="550">
        <f t="shared" si="2"/>
        <v>3840.0813069908813</v>
      </c>
    </row>
    <row r="14" spans="1:14" x14ac:dyDescent="0.3">
      <c r="A14" s="301"/>
      <c r="B14" s="211" t="str">
        <f>'1.2 Budgeted Enrollment YR1'!E14</f>
        <v>Esmeralda</v>
      </c>
      <c r="C14" s="1294">
        <v>129768</v>
      </c>
      <c r="D14" s="1294">
        <v>0</v>
      </c>
      <c r="E14" s="1294">
        <v>58786</v>
      </c>
      <c r="F14" s="1294">
        <v>0</v>
      </c>
      <c r="G14" s="1294">
        <v>24039</v>
      </c>
      <c r="H14" s="1294">
        <v>10819</v>
      </c>
      <c r="I14" s="1295">
        <f t="shared" si="0"/>
        <v>13220</v>
      </c>
      <c r="J14" s="842">
        <f t="shared" si="1"/>
        <v>46943</v>
      </c>
      <c r="L14" s="22"/>
      <c r="M14" s="477">
        <v>8</v>
      </c>
      <c r="N14" s="550">
        <f t="shared" si="2"/>
        <v>5867.875</v>
      </c>
    </row>
    <row r="15" spans="1:14" x14ac:dyDescent="0.3">
      <c r="A15" s="301"/>
      <c r="B15" s="211" t="str">
        <f>'1.2 Budgeted Enrollment YR1'!E15</f>
        <v>Eureka</v>
      </c>
      <c r="C15" s="1294">
        <v>2138116.5</v>
      </c>
      <c r="D15" s="1294">
        <v>0</v>
      </c>
      <c r="E15" s="1294">
        <v>278039</v>
      </c>
      <c r="F15" s="1294">
        <v>0</v>
      </c>
      <c r="G15" s="1294">
        <v>911116</v>
      </c>
      <c r="H15" s="1294">
        <v>1406717</v>
      </c>
      <c r="I15" s="1295">
        <f t="shared" si="0"/>
        <v>-495601</v>
      </c>
      <c r="J15" s="842">
        <f t="shared" si="1"/>
        <v>948961.5</v>
      </c>
      <c r="L15" s="22"/>
      <c r="M15" s="477">
        <v>45</v>
      </c>
      <c r="N15" s="550">
        <f t="shared" si="2"/>
        <v>21088.033333333333</v>
      </c>
    </row>
    <row r="16" spans="1:14" x14ac:dyDescent="0.3">
      <c r="A16" s="301"/>
      <c r="B16" s="211" t="str">
        <f>'1.2 Budgeted Enrollment YR1'!E16</f>
        <v>Humboldt</v>
      </c>
      <c r="C16" s="1294">
        <v>4581282</v>
      </c>
      <c r="D16" s="1294">
        <v>48124</v>
      </c>
      <c r="E16" s="1294">
        <v>2174688</v>
      </c>
      <c r="F16" s="1294">
        <v>0</v>
      </c>
      <c r="G16" s="1294">
        <v>0</v>
      </c>
      <c r="H16" s="1294">
        <v>0</v>
      </c>
      <c r="I16" s="1295">
        <f t="shared" si="0"/>
        <v>0</v>
      </c>
      <c r="J16" s="842">
        <f t="shared" si="1"/>
        <v>2358470</v>
      </c>
      <c r="L16" s="22"/>
      <c r="M16" s="477">
        <v>510</v>
      </c>
      <c r="N16" s="550">
        <f t="shared" si="2"/>
        <v>4624.4509803921565</v>
      </c>
    </row>
    <row r="17" spans="1:14" x14ac:dyDescent="0.3">
      <c r="A17" s="301"/>
      <c r="B17" s="211" t="str">
        <f>'1.2 Budgeted Enrollment YR1'!E17</f>
        <v>Lander</v>
      </c>
      <c r="C17" s="1294">
        <v>1940854</v>
      </c>
      <c r="D17" s="1294">
        <v>0</v>
      </c>
      <c r="E17" s="1294">
        <v>717877</v>
      </c>
      <c r="F17" s="1294">
        <v>0</v>
      </c>
      <c r="G17" s="1294">
        <v>169982</v>
      </c>
      <c r="H17" s="1294">
        <v>649034</v>
      </c>
      <c r="I17" s="1295">
        <f t="shared" si="0"/>
        <v>-479052</v>
      </c>
      <c r="J17" s="842">
        <f t="shared" si="1"/>
        <v>1052995</v>
      </c>
      <c r="L17" s="22"/>
      <c r="M17" s="477">
        <v>128</v>
      </c>
      <c r="N17" s="550">
        <f t="shared" si="2"/>
        <v>8226.5234375</v>
      </c>
    </row>
    <row r="18" spans="1:14" x14ac:dyDescent="0.3">
      <c r="A18" s="301"/>
      <c r="B18" s="211" t="str">
        <f>'1.2 Budgeted Enrollment YR1'!E18</f>
        <v>Lincoln</v>
      </c>
      <c r="C18" s="1294">
        <v>1945092</v>
      </c>
      <c r="D18" s="1294">
        <v>0</v>
      </c>
      <c r="E18" s="1294">
        <v>1233363</v>
      </c>
      <c r="F18" s="1294">
        <v>0</v>
      </c>
      <c r="G18" s="1294">
        <v>384014</v>
      </c>
      <c r="H18" s="1294">
        <v>595170</v>
      </c>
      <c r="I18" s="1295">
        <f t="shared" si="0"/>
        <v>-211156</v>
      </c>
      <c r="J18" s="842">
        <f t="shared" si="1"/>
        <v>327715</v>
      </c>
      <c r="L18" s="22"/>
      <c r="M18" s="477">
        <v>154</v>
      </c>
      <c r="N18" s="550">
        <f t="shared" si="2"/>
        <v>2128.0194805194806</v>
      </c>
    </row>
    <row r="19" spans="1:14" x14ac:dyDescent="0.3">
      <c r="A19" s="301"/>
      <c r="B19" s="211" t="str">
        <f>'1.2 Budgeted Enrollment YR1'!E19</f>
        <v>Lyon</v>
      </c>
      <c r="C19" s="1294">
        <v>14066770</v>
      </c>
      <c r="D19" s="1294">
        <v>0</v>
      </c>
      <c r="E19" s="1294">
        <v>4472708</v>
      </c>
      <c r="F19" s="1294">
        <v>0</v>
      </c>
      <c r="G19" s="1294">
        <v>11110</v>
      </c>
      <c r="H19" s="1294">
        <v>840728</v>
      </c>
      <c r="I19" s="1295">
        <f t="shared" si="0"/>
        <v>-829618</v>
      </c>
      <c r="J19" s="842">
        <f t="shared" si="1"/>
        <v>9582952</v>
      </c>
      <c r="L19" s="22"/>
      <c r="M19" s="477">
        <v>1232</v>
      </c>
      <c r="N19" s="550">
        <f t="shared" si="2"/>
        <v>7778.3701298701299</v>
      </c>
    </row>
    <row r="20" spans="1:14" x14ac:dyDescent="0.3">
      <c r="A20" s="301"/>
      <c r="B20" s="211" t="str">
        <f>'1.2 Budgeted Enrollment YR1'!E20</f>
        <v>Mineral</v>
      </c>
      <c r="C20" s="1294">
        <v>1024271</v>
      </c>
      <c r="D20" s="1294">
        <v>5393</v>
      </c>
      <c r="E20" s="1294">
        <v>553455</v>
      </c>
      <c r="F20" s="1294">
        <v>0</v>
      </c>
      <c r="G20" s="1294">
        <v>249758</v>
      </c>
      <c r="H20" s="1294">
        <v>162254</v>
      </c>
      <c r="I20" s="1295">
        <f>G20-H20</f>
        <v>87504</v>
      </c>
      <c r="J20" s="842">
        <f t="shared" si="1"/>
        <v>215665</v>
      </c>
      <c r="L20" s="22"/>
      <c r="M20" s="477">
        <v>86</v>
      </c>
      <c r="N20" s="550">
        <f t="shared" si="2"/>
        <v>2507.7325581395348</v>
      </c>
    </row>
    <row r="21" spans="1:14" x14ac:dyDescent="0.3">
      <c r="A21" s="301"/>
      <c r="B21" s="211" t="str">
        <f>'1.2 Budgeted Enrollment YR1'!E21</f>
        <v>Nye</v>
      </c>
      <c r="C21" s="1294">
        <v>12034460</v>
      </c>
      <c r="D21" s="1294">
        <v>33309</v>
      </c>
      <c r="E21" s="1294">
        <v>3686207</v>
      </c>
      <c r="F21" s="1294">
        <v>0</v>
      </c>
      <c r="G21" s="1294">
        <v>0</v>
      </c>
      <c r="H21" s="1294">
        <v>0</v>
      </c>
      <c r="I21" s="1295">
        <f t="shared" si="0"/>
        <v>0</v>
      </c>
      <c r="J21" s="842">
        <f t="shared" si="1"/>
        <v>8314944</v>
      </c>
      <c r="L21" s="22"/>
      <c r="M21" s="477">
        <v>793</v>
      </c>
      <c r="N21" s="550">
        <f t="shared" si="2"/>
        <v>10485.427490542244</v>
      </c>
    </row>
    <row r="22" spans="1:14" x14ac:dyDescent="0.3">
      <c r="A22" s="301"/>
      <c r="B22" s="211" t="str">
        <f>'1.2 Budgeted Enrollment YR1'!E22</f>
        <v>Pershing</v>
      </c>
      <c r="C22" s="1294">
        <v>1416111</v>
      </c>
      <c r="D22" s="1294">
        <v>0</v>
      </c>
      <c r="E22" s="1294">
        <v>952073</v>
      </c>
      <c r="F22" s="1294">
        <v>0</v>
      </c>
      <c r="G22" s="1294">
        <v>7223</v>
      </c>
      <c r="H22" s="1294">
        <v>385669</v>
      </c>
      <c r="I22" s="1295">
        <f t="shared" si="0"/>
        <v>-378446</v>
      </c>
      <c r="J22" s="842">
        <f t="shared" si="1"/>
        <v>456815</v>
      </c>
      <c r="L22" s="22"/>
      <c r="M22" s="477">
        <v>125</v>
      </c>
      <c r="N22" s="550">
        <f t="shared" si="2"/>
        <v>3654.52</v>
      </c>
    </row>
    <row r="23" spans="1:14" x14ac:dyDescent="0.3">
      <c r="A23" s="301"/>
      <c r="B23" s="211" t="str">
        <f>'1.2 Budgeted Enrollment YR1'!E23</f>
        <v>Storey</v>
      </c>
      <c r="C23" s="1294">
        <v>523001</v>
      </c>
      <c r="D23" s="1294">
        <v>0</v>
      </c>
      <c r="E23" s="1294">
        <v>468334</v>
      </c>
      <c r="F23" s="1294">
        <v>0</v>
      </c>
      <c r="G23" s="1294">
        <v>0</v>
      </c>
      <c r="H23" s="1294">
        <v>84868</v>
      </c>
      <c r="I23" s="1295">
        <f t="shared" si="0"/>
        <v>-84868</v>
      </c>
      <c r="J23" s="842">
        <f t="shared" si="1"/>
        <v>54667</v>
      </c>
      <c r="L23" s="22"/>
      <c r="M23" s="477">
        <v>53</v>
      </c>
      <c r="N23" s="550">
        <f t="shared" si="2"/>
        <v>1031.4528301886792</v>
      </c>
    </row>
    <row r="24" spans="1:14" x14ac:dyDescent="0.3">
      <c r="A24" s="301"/>
      <c r="B24" s="211" t="str">
        <f>'1.2 Budgeted Enrollment YR1'!E24</f>
        <v>Washoe</v>
      </c>
      <c r="C24" s="1294">
        <v>80031210</v>
      </c>
      <c r="D24" s="1294">
        <v>0</v>
      </c>
      <c r="E24" s="1294">
        <v>35095900</v>
      </c>
      <c r="F24" s="1294">
        <v>0</v>
      </c>
      <c r="G24" s="1294">
        <v>0</v>
      </c>
      <c r="H24" s="1294">
        <v>0</v>
      </c>
      <c r="I24" s="1295">
        <f t="shared" si="0"/>
        <v>0</v>
      </c>
      <c r="J24" s="842">
        <f t="shared" si="1"/>
        <v>44935310</v>
      </c>
      <c r="K24" s="20"/>
      <c r="L24" s="22"/>
      <c r="M24" s="477">
        <v>9345</v>
      </c>
      <c r="N24" s="550">
        <f t="shared" si="2"/>
        <v>4808.4868913857681</v>
      </c>
    </row>
    <row r="25" spans="1:14" x14ac:dyDescent="0.3">
      <c r="A25" s="301"/>
      <c r="B25" s="211" t="str">
        <f>'1.2 Budgeted Enrollment YR1'!E25</f>
        <v>White Pine</v>
      </c>
      <c r="C25" s="1294">
        <v>1929886</v>
      </c>
      <c r="D25" s="1294">
        <v>0</v>
      </c>
      <c r="E25" s="1294">
        <v>1330270</v>
      </c>
      <c r="F25" s="1294">
        <v>0</v>
      </c>
      <c r="G25" s="1294">
        <v>0</v>
      </c>
      <c r="H25" s="1294">
        <v>0</v>
      </c>
      <c r="I25" s="1295">
        <f t="shared" si="0"/>
        <v>0</v>
      </c>
      <c r="J25" s="842">
        <f t="shared" si="1"/>
        <v>599616</v>
      </c>
      <c r="L25" s="22"/>
      <c r="M25" s="477">
        <v>202</v>
      </c>
      <c r="N25" s="550">
        <f t="shared" si="2"/>
        <v>2968.3960396039606</v>
      </c>
    </row>
    <row r="26" spans="1:14" x14ac:dyDescent="0.3">
      <c r="A26" s="301"/>
      <c r="B26" s="211" t="str">
        <f>'1.2 Budgeted Enrollment YR1'!E26</f>
        <v>Charter Schools (Combined)</v>
      </c>
      <c r="C26" s="1300">
        <f t="shared" ref="C26:H26" si="3">C90</f>
        <v>32033643.18</v>
      </c>
      <c r="D26" s="1300">
        <f t="shared" si="3"/>
        <v>648079</v>
      </c>
      <c r="E26" s="1300">
        <f t="shared" si="3"/>
        <v>14064586</v>
      </c>
      <c r="F26" s="1300">
        <f t="shared" si="3"/>
        <v>2506754</v>
      </c>
      <c r="G26" s="1300">
        <f t="shared" si="3"/>
        <v>30774</v>
      </c>
      <c r="H26" s="1300">
        <f t="shared" si="3"/>
        <v>352903</v>
      </c>
      <c r="I26" s="1295">
        <f>G26-H26</f>
        <v>-322129</v>
      </c>
      <c r="J26" s="842">
        <f>C26-D26-E26-F26-G26</f>
        <v>14783450.18</v>
      </c>
      <c r="L26" s="22"/>
      <c r="M26" s="719">
        <v>4653</v>
      </c>
      <c r="N26" s="570">
        <f t="shared" si="2"/>
        <v>3177.1867999140341</v>
      </c>
    </row>
    <row r="27" spans="1:14" x14ac:dyDescent="0.3">
      <c r="A27" s="843"/>
      <c r="B27" s="722" t="str">
        <f>'1.2 Budgeted Enrollment YR1'!E27</f>
        <v>University Schools</v>
      </c>
      <c r="C27" s="1301">
        <f t="shared" ref="C27:H27" si="4">C95</f>
        <v>7389</v>
      </c>
      <c r="D27" s="1301">
        <f t="shared" si="4"/>
        <v>0</v>
      </c>
      <c r="E27" s="1301">
        <f t="shared" si="4"/>
        <v>7389</v>
      </c>
      <c r="F27" s="1301">
        <f t="shared" si="4"/>
        <v>0</v>
      </c>
      <c r="G27" s="1301">
        <f t="shared" si="4"/>
        <v>0</v>
      </c>
      <c r="H27" s="1301">
        <f t="shared" si="4"/>
        <v>0</v>
      </c>
      <c r="I27" s="1299">
        <f>G27-H27</f>
        <v>0</v>
      </c>
      <c r="J27" s="842">
        <f>C27-D27-E27-F27-G27</f>
        <v>0</v>
      </c>
      <c r="L27" s="22"/>
      <c r="M27" s="719"/>
      <c r="N27" s="570"/>
    </row>
    <row r="28" spans="1:14" x14ac:dyDescent="0.3">
      <c r="A28" s="843"/>
      <c r="B28" s="720"/>
      <c r="C28" s="845">
        <f>SUM(C9:C27)</f>
        <v>718125433.01999998</v>
      </c>
      <c r="D28" s="845">
        <f t="shared" ref="D28:G28" si="5">SUM(D9:D27)</f>
        <v>916206</v>
      </c>
      <c r="E28" s="845">
        <f>SUM(E9:E27)</f>
        <v>225076843.18000001</v>
      </c>
      <c r="F28" s="845">
        <f t="shared" si="5"/>
        <v>2506754</v>
      </c>
      <c r="G28" s="845">
        <f t="shared" si="5"/>
        <v>4278931</v>
      </c>
      <c r="H28" s="845">
        <f>SUM(H9:H27)</f>
        <v>7161164</v>
      </c>
      <c r="I28" s="845">
        <f>SUM(I9:I27)</f>
        <v>-2882233</v>
      </c>
      <c r="J28" s="975">
        <f>SUM(J9:J27)</f>
        <v>485346698.84000003</v>
      </c>
      <c r="M28" s="588">
        <f>SUM(M9:M26)</f>
        <v>63038</v>
      </c>
      <c r="N28" s="550">
        <f>J28/M28</f>
        <v>7699.2718493607035</v>
      </c>
    </row>
    <row r="29" spans="1:14" x14ac:dyDescent="0.3">
      <c r="A29" s="312" t="s">
        <v>84</v>
      </c>
      <c r="B29"/>
      <c r="C29" s="976"/>
      <c r="D29" s="976"/>
      <c r="E29" s="976"/>
      <c r="F29" s="976"/>
      <c r="G29" s="976"/>
      <c r="H29" s="976"/>
      <c r="I29" s="976"/>
      <c r="J29" s="976">
        <f>J28-'6.2 Spec Ed Local YR2'!J28</f>
        <v>0</v>
      </c>
      <c r="K29" s="976"/>
    </row>
    <row r="30" spans="1:14" x14ac:dyDescent="0.3">
      <c r="A30" s="846"/>
      <c r="B30" s="847" t="str">
        <f>'1.2 Budgeted Enrollment YR1'!E32</f>
        <v>100 Academy Of Excellence</v>
      </c>
      <c r="C30" s="1296">
        <v>358092</v>
      </c>
      <c r="D30" s="1296">
        <v>228128</v>
      </c>
      <c r="E30" s="1296">
        <v>0</v>
      </c>
      <c r="F30" s="1296">
        <v>0</v>
      </c>
      <c r="G30" s="1296">
        <v>0</v>
      </c>
      <c r="H30" s="1296">
        <v>129964</v>
      </c>
      <c r="I30" s="1302">
        <f>G30-H30</f>
        <v>-129964</v>
      </c>
      <c r="J30" s="850">
        <f>C30-D30-E30-F30-G30</f>
        <v>129964</v>
      </c>
    </row>
    <row r="31" spans="1:14" x14ac:dyDescent="0.3">
      <c r="A31" s="301"/>
      <c r="B31" t="str">
        <f>'1.2 Budgeted Enrollment YR1'!E33</f>
        <v>Academy For Career Education</v>
      </c>
      <c r="C31" s="1294">
        <v>199617</v>
      </c>
      <c r="D31" s="1294">
        <v>0</v>
      </c>
      <c r="E31" s="1294">
        <v>0</v>
      </c>
      <c r="F31" s="1294">
        <v>104422</v>
      </c>
      <c r="G31" s="1294">
        <v>0</v>
      </c>
      <c r="H31" s="1294">
        <v>0</v>
      </c>
      <c r="I31" s="1295">
        <f>G31-H31</f>
        <v>0</v>
      </c>
      <c r="J31" s="842">
        <f>C31-D31-E31-F31-G31</f>
        <v>95195</v>
      </c>
    </row>
    <row r="32" spans="1:14" x14ac:dyDescent="0.3">
      <c r="A32" s="301"/>
      <c r="B32" t="str">
        <f>'1.2 Budgeted Enrollment YR1'!E34</f>
        <v xml:space="preserve">Alpine Academy </v>
      </c>
      <c r="C32" s="1294">
        <v>162601</v>
      </c>
      <c r="D32" s="1294">
        <v>0</v>
      </c>
      <c r="E32" s="1294">
        <v>52352</v>
      </c>
      <c r="F32" s="1294">
        <v>0</v>
      </c>
      <c r="G32" s="1294">
        <v>30774</v>
      </c>
      <c r="H32" s="1294">
        <v>61672</v>
      </c>
      <c r="I32" s="1295">
        <f t="shared" ref="I32:I89" si="6">G32-H32</f>
        <v>-30898</v>
      </c>
      <c r="J32" s="842">
        <f t="shared" ref="J32:J88" si="7">C32-D32-E32-F32-G32</f>
        <v>79475</v>
      </c>
    </row>
    <row r="33" spans="1:10" x14ac:dyDescent="0.3">
      <c r="A33" s="301"/>
      <c r="B33" t="str">
        <f>'1.2 Budgeted Enrollment YR1'!E35</f>
        <v xml:space="preserve">Amplus (Formerly American Preparatory Academy) </v>
      </c>
      <c r="C33" s="1294">
        <v>321164</v>
      </c>
      <c r="D33" s="1294">
        <v>0</v>
      </c>
      <c r="E33" s="1294">
        <v>297580</v>
      </c>
      <c r="F33" s="1294">
        <v>0</v>
      </c>
      <c r="G33" s="1294">
        <v>0</v>
      </c>
      <c r="H33" s="1294">
        <v>0</v>
      </c>
      <c r="I33" s="1295">
        <f t="shared" si="6"/>
        <v>0</v>
      </c>
      <c r="J33" s="842">
        <f t="shared" si="7"/>
        <v>23584</v>
      </c>
    </row>
    <row r="34" spans="1:10" x14ac:dyDescent="0.3">
      <c r="A34" s="301"/>
      <c r="B34" t="str">
        <f>'1.2 Budgeted Enrollment YR1'!E36</f>
        <v>Bailey Charter School</v>
      </c>
      <c r="C34" s="1294">
        <v>137829</v>
      </c>
      <c r="D34" s="1294">
        <v>0</v>
      </c>
      <c r="E34" s="1294">
        <v>0</v>
      </c>
      <c r="F34" s="1294">
        <v>70060</v>
      </c>
      <c r="G34" s="1294">
        <v>0</v>
      </c>
      <c r="H34" s="1294">
        <v>0</v>
      </c>
      <c r="I34" s="1295">
        <f t="shared" si="6"/>
        <v>0</v>
      </c>
      <c r="J34" s="842">
        <f t="shared" si="7"/>
        <v>67769</v>
      </c>
    </row>
    <row r="35" spans="1:10" x14ac:dyDescent="0.3">
      <c r="A35" s="301"/>
      <c r="B35" t="str">
        <f>'1.2 Budgeted Enrollment YR1'!E37</f>
        <v>Battle Born Academy</v>
      </c>
      <c r="C35" s="1294">
        <v>0</v>
      </c>
      <c r="D35" s="1294">
        <v>0</v>
      </c>
      <c r="E35" s="1294">
        <v>0</v>
      </c>
      <c r="F35" s="1294">
        <v>0</v>
      </c>
      <c r="G35" s="1294">
        <v>0</v>
      </c>
      <c r="H35" s="1294">
        <v>0</v>
      </c>
      <c r="I35" s="1295">
        <f t="shared" si="6"/>
        <v>0</v>
      </c>
      <c r="J35" s="842">
        <f t="shared" si="7"/>
        <v>0</v>
      </c>
    </row>
    <row r="36" spans="1:10" x14ac:dyDescent="0.3">
      <c r="A36" s="301"/>
      <c r="B36" t="str">
        <f>'1.2 Budgeted Enrollment YR1'!E38</f>
        <v>Beacon Academy</v>
      </c>
      <c r="C36" s="1294">
        <v>537617</v>
      </c>
      <c r="D36" s="1294">
        <v>0</v>
      </c>
      <c r="E36" s="1294">
        <v>261760</v>
      </c>
      <c r="F36" s="1294">
        <v>0</v>
      </c>
      <c r="G36" s="1294">
        <v>0</v>
      </c>
      <c r="H36" s="1294">
        <v>0</v>
      </c>
      <c r="I36" s="1295">
        <f t="shared" si="6"/>
        <v>0</v>
      </c>
      <c r="J36" s="842">
        <f t="shared" si="7"/>
        <v>275857</v>
      </c>
    </row>
    <row r="37" spans="1:10" x14ac:dyDescent="0.3">
      <c r="A37" s="301"/>
      <c r="B37" t="str">
        <f>'1.2 Budgeted Enrollment YR1'!E39</f>
        <v>Cactus Park</v>
      </c>
      <c r="C37" s="1294">
        <v>0</v>
      </c>
      <c r="D37" s="1294">
        <v>0</v>
      </c>
      <c r="E37" s="1294">
        <v>0</v>
      </c>
      <c r="F37" s="1294">
        <v>0</v>
      </c>
      <c r="G37" s="1294">
        <v>0</v>
      </c>
      <c r="H37" s="1294">
        <v>0</v>
      </c>
      <c r="I37" s="1295">
        <f t="shared" si="6"/>
        <v>0</v>
      </c>
      <c r="J37" s="842">
        <f t="shared" si="7"/>
        <v>0</v>
      </c>
    </row>
    <row r="38" spans="1:10" x14ac:dyDescent="0.3">
      <c r="A38" s="301"/>
      <c r="B38" t="str">
        <f>'1.2 Budgeted Enrollment YR1'!E40</f>
        <v>Carson Montessori</v>
      </c>
      <c r="C38" s="1294">
        <v>144597</v>
      </c>
      <c r="D38" s="1294">
        <v>0</v>
      </c>
      <c r="E38" s="1294">
        <v>0</v>
      </c>
      <c r="F38" s="1294">
        <v>0</v>
      </c>
      <c r="G38" s="1294">
        <v>0</v>
      </c>
      <c r="H38" s="1294">
        <v>36703</v>
      </c>
      <c r="I38" s="1295">
        <f t="shared" si="6"/>
        <v>-36703</v>
      </c>
      <c r="J38" s="842">
        <f t="shared" si="7"/>
        <v>144597</v>
      </c>
    </row>
    <row r="39" spans="1:10" x14ac:dyDescent="0.3">
      <c r="A39" s="301"/>
      <c r="B39" t="str">
        <f>'1.2 Budgeted Enrollment YR1'!E41</f>
        <v>CIVICA Nevada Career &amp; Collegiate Academy</v>
      </c>
      <c r="C39" s="1294">
        <v>258073</v>
      </c>
      <c r="D39" s="1294">
        <v>0</v>
      </c>
      <c r="E39" s="1294">
        <v>0</v>
      </c>
      <c r="F39" s="1294">
        <v>0</v>
      </c>
      <c r="G39" s="1294">
        <v>0</v>
      </c>
      <c r="H39" s="1294">
        <v>0</v>
      </c>
      <c r="I39" s="1295">
        <f t="shared" si="6"/>
        <v>0</v>
      </c>
      <c r="J39" s="842">
        <f t="shared" si="7"/>
        <v>258073</v>
      </c>
    </row>
    <row r="40" spans="1:10" x14ac:dyDescent="0.3">
      <c r="A40" s="301"/>
      <c r="B40" t="str">
        <f>'1.2 Budgeted Enrollment YR1'!E42</f>
        <v>Coral Academy of Science Las Vegas</v>
      </c>
      <c r="C40" s="1294">
        <v>1327304</v>
      </c>
      <c r="D40" s="1294">
        <v>0</v>
      </c>
      <c r="E40" s="1294">
        <v>705379</v>
      </c>
      <c r="F40" s="1294">
        <v>0</v>
      </c>
      <c r="G40" s="1294">
        <v>0</v>
      </c>
      <c r="H40" s="1294">
        <v>0</v>
      </c>
      <c r="I40" s="1295">
        <f t="shared" si="6"/>
        <v>0</v>
      </c>
      <c r="J40" s="842">
        <f t="shared" si="7"/>
        <v>621925</v>
      </c>
    </row>
    <row r="41" spans="1:10" x14ac:dyDescent="0.3">
      <c r="A41" s="301"/>
      <c r="B41" t="str">
        <f>'1.2 Budgeted Enrollment YR1'!E43</f>
        <v>Coral Academy Washoe</v>
      </c>
      <c r="C41" s="1294">
        <v>461536</v>
      </c>
      <c r="D41" s="1294">
        <v>0</v>
      </c>
      <c r="E41" s="1294">
        <v>0</v>
      </c>
      <c r="F41" s="1294">
        <v>231472</v>
      </c>
      <c r="G41" s="1294">
        <v>0</v>
      </c>
      <c r="H41" s="1294">
        <v>92392</v>
      </c>
      <c r="I41" s="1295">
        <f t="shared" si="6"/>
        <v>-92392</v>
      </c>
      <c r="J41" s="842">
        <f t="shared" si="7"/>
        <v>230064</v>
      </c>
    </row>
    <row r="42" spans="1:10" x14ac:dyDescent="0.3">
      <c r="A42" s="301"/>
      <c r="B42" t="str">
        <f>'1.2 Budgeted Enrollment YR1'!E44</f>
        <v>Delta Academy</v>
      </c>
      <c r="C42" s="1294">
        <v>697270</v>
      </c>
      <c r="D42" s="1294">
        <v>0</v>
      </c>
      <c r="E42" s="1294">
        <v>0</v>
      </c>
      <c r="F42" s="1294">
        <v>381829</v>
      </c>
      <c r="G42" s="1294">
        <v>0</v>
      </c>
      <c r="H42" s="1294">
        <v>0</v>
      </c>
      <c r="I42" s="1295">
        <f t="shared" si="6"/>
        <v>0</v>
      </c>
      <c r="J42" s="842">
        <f t="shared" si="7"/>
        <v>315441</v>
      </c>
    </row>
    <row r="43" spans="1:10" x14ac:dyDescent="0.3">
      <c r="A43" s="301"/>
      <c r="B43" t="str">
        <f>'1.2 Budgeted Enrollment YR1'!E45</f>
        <v>Democracy Prep</v>
      </c>
      <c r="C43" s="1294">
        <v>281050</v>
      </c>
      <c r="D43" s="1294">
        <v>0</v>
      </c>
      <c r="E43" s="1294">
        <v>281050</v>
      </c>
      <c r="F43" s="1294">
        <v>0</v>
      </c>
      <c r="G43" s="1294">
        <v>0</v>
      </c>
      <c r="H43" s="1294">
        <v>0</v>
      </c>
      <c r="I43" s="1295">
        <f t="shared" si="6"/>
        <v>0</v>
      </c>
      <c r="J43" s="842">
        <f t="shared" si="7"/>
        <v>0</v>
      </c>
    </row>
    <row r="44" spans="1:10" x14ac:dyDescent="0.3">
      <c r="A44" s="301"/>
      <c r="B44" t="str">
        <f>'1.2 Budgeted Enrollment YR1'!E46</f>
        <v>Discovery Charter</v>
      </c>
      <c r="C44" s="1294">
        <v>128472</v>
      </c>
      <c r="D44" s="1294">
        <v>27316</v>
      </c>
      <c r="E44" s="1294">
        <v>82661</v>
      </c>
      <c r="F44" s="1294">
        <v>0</v>
      </c>
      <c r="G44" s="1294">
        <v>0</v>
      </c>
      <c r="H44" s="1294">
        <v>0</v>
      </c>
      <c r="I44" s="1295">
        <f t="shared" si="6"/>
        <v>0</v>
      </c>
      <c r="J44" s="842">
        <f t="shared" si="7"/>
        <v>18495</v>
      </c>
    </row>
    <row r="45" spans="1:10" x14ac:dyDescent="0.3">
      <c r="A45" s="301"/>
      <c r="B45" t="str">
        <f>'1.2 Budgeted Enrollment YR1'!E47</f>
        <v>Doral Academy</v>
      </c>
      <c r="C45" s="1294">
        <v>3526402</v>
      </c>
      <c r="D45" s="1294">
        <v>0</v>
      </c>
      <c r="E45" s="1294">
        <v>1578837</v>
      </c>
      <c r="F45" s="1294">
        <v>0</v>
      </c>
      <c r="G45" s="1294">
        <v>0</v>
      </c>
      <c r="H45" s="1294">
        <v>0</v>
      </c>
      <c r="I45" s="1295">
        <f t="shared" si="6"/>
        <v>0</v>
      </c>
      <c r="J45" s="842">
        <f t="shared" si="7"/>
        <v>1947565</v>
      </c>
    </row>
    <row r="46" spans="1:10" x14ac:dyDescent="0.3">
      <c r="A46" s="301"/>
      <c r="B46" t="str">
        <f>'1.2 Budgeted Enrollment YR1'!E48</f>
        <v>Doral Academy of Northern Nevada</v>
      </c>
      <c r="C46" s="1294">
        <v>360732</v>
      </c>
      <c r="D46" s="1294">
        <v>0</v>
      </c>
      <c r="E46" s="1294">
        <v>275539</v>
      </c>
      <c r="F46" s="1294">
        <v>0</v>
      </c>
      <c r="G46" s="1294">
        <v>0</v>
      </c>
      <c r="H46" s="1294">
        <v>0</v>
      </c>
      <c r="I46" s="1295">
        <f t="shared" si="6"/>
        <v>0</v>
      </c>
      <c r="J46" s="842">
        <f t="shared" si="7"/>
        <v>85193</v>
      </c>
    </row>
    <row r="47" spans="1:10" x14ac:dyDescent="0.3">
      <c r="A47" s="301"/>
      <c r="B47" t="str">
        <f>'1.2 Budgeted Enrollment YR1'!E49</f>
        <v>Eagle Charter School</v>
      </c>
      <c r="C47" s="1294">
        <v>0</v>
      </c>
      <c r="D47" s="1294">
        <v>0</v>
      </c>
      <c r="E47" s="1294">
        <v>0</v>
      </c>
      <c r="F47" s="1294">
        <v>0</v>
      </c>
      <c r="G47" s="1294">
        <v>0</v>
      </c>
      <c r="H47" s="1294">
        <v>0</v>
      </c>
      <c r="I47" s="1295">
        <f t="shared" si="6"/>
        <v>0</v>
      </c>
      <c r="J47" s="842">
        <f t="shared" si="7"/>
        <v>0</v>
      </c>
    </row>
    <row r="48" spans="1:10" x14ac:dyDescent="0.3">
      <c r="A48" s="301"/>
      <c r="B48" t="str">
        <f>'1.2 Budgeted Enrollment YR1'!E50</f>
        <v>Elko Institute for Academic Achievement</v>
      </c>
      <c r="C48" s="1294">
        <v>118894</v>
      </c>
      <c r="D48" s="1294">
        <v>0</v>
      </c>
      <c r="E48" s="1294">
        <v>79906</v>
      </c>
      <c r="F48" s="1294">
        <v>0</v>
      </c>
      <c r="G48" s="1294">
        <v>0</v>
      </c>
      <c r="H48" s="1294">
        <v>0</v>
      </c>
      <c r="I48" s="1295">
        <f t="shared" si="6"/>
        <v>0</v>
      </c>
      <c r="J48" s="842">
        <f t="shared" si="7"/>
        <v>38988</v>
      </c>
    </row>
    <row r="49" spans="1:10" x14ac:dyDescent="0.3">
      <c r="A49" s="301"/>
      <c r="B49" t="str">
        <f>'1.2 Budgeted Enrollment YR1'!E51</f>
        <v>enCompass Academy</v>
      </c>
      <c r="C49" s="1294">
        <v>148109</v>
      </c>
      <c r="D49" s="1294">
        <v>0</v>
      </c>
      <c r="E49" s="1294">
        <v>0</v>
      </c>
      <c r="F49" s="1294">
        <v>75414</v>
      </c>
      <c r="G49" s="1294">
        <v>0</v>
      </c>
      <c r="H49" s="1294">
        <v>0</v>
      </c>
      <c r="I49" s="1295">
        <f t="shared" si="6"/>
        <v>0</v>
      </c>
      <c r="J49" s="842">
        <f t="shared" si="7"/>
        <v>72695</v>
      </c>
    </row>
    <row r="50" spans="1:10" x14ac:dyDescent="0.3">
      <c r="A50" s="301"/>
      <c r="B50" t="str">
        <f>'1.2 Budgeted Enrollment YR1'!E52</f>
        <v>Equipo Academy</v>
      </c>
      <c r="C50" s="1294">
        <v>218653.03999999998</v>
      </c>
      <c r="D50" s="1294">
        <v>0</v>
      </c>
      <c r="E50" s="1294">
        <v>121237</v>
      </c>
      <c r="F50" s="1294">
        <v>0</v>
      </c>
      <c r="G50" s="1294">
        <v>0</v>
      </c>
      <c r="H50" s="1294">
        <v>0</v>
      </c>
      <c r="I50" s="1295">
        <f t="shared" si="6"/>
        <v>0</v>
      </c>
      <c r="J50" s="842">
        <f t="shared" si="7"/>
        <v>97416.039999999979</v>
      </c>
    </row>
    <row r="51" spans="1:10" x14ac:dyDescent="0.3">
      <c r="A51" s="301"/>
      <c r="B51" t="str">
        <f>'1.2 Budgeted Enrollment YR1'!E53</f>
        <v>Explore Academy</v>
      </c>
      <c r="C51" s="1294">
        <v>52352</v>
      </c>
      <c r="D51" s="1294">
        <v>0</v>
      </c>
      <c r="E51" s="1294">
        <v>52352</v>
      </c>
      <c r="F51" s="1294">
        <v>0</v>
      </c>
      <c r="G51" s="1294">
        <v>0</v>
      </c>
      <c r="H51" s="1294">
        <v>0</v>
      </c>
      <c r="I51" s="1295">
        <f t="shared" si="6"/>
        <v>0</v>
      </c>
      <c r="J51" s="842">
        <f t="shared" si="7"/>
        <v>0</v>
      </c>
    </row>
    <row r="52" spans="1:10" x14ac:dyDescent="0.3">
      <c r="A52" s="301"/>
      <c r="B52" t="str">
        <f>'1.2 Budgeted Enrollment YR1'!E54</f>
        <v>Explore Knowledge Academy</v>
      </c>
      <c r="C52" s="1294">
        <v>384675</v>
      </c>
      <c r="D52" s="1294">
        <v>0</v>
      </c>
      <c r="E52" s="1294">
        <v>0</v>
      </c>
      <c r="F52" s="1294">
        <v>205323</v>
      </c>
      <c r="G52" s="1294">
        <v>0</v>
      </c>
      <c r="H52" s="1294">
        <v>0</v>
      </c>
      <c r="I52" s="1295">
        <f t="shared" si="6"/>
        <v>0</v>
      </c>
      <c r="J52" s="842">
        <f t="shared" si="7"/>
        <v>179352</v>
      </c>
    </row>
    <row r="53" spans="1:10" x14ac:dyDescent="0.3">
      <c r="A53" s="301"/>
      <c r="B53" t="str">
        <f>'1.2 Budgeted Enrollment YR1'!E55</f>
        <v>Founders Academy of Las Vegas</v>
      </c>
      <c r="C53" s="1294">
        <v>219265</v>
      </c>
      <c r="D53" s="1294">
        <v>0</v>
      </c>
      <c r="E53" s="1294">
        <v>107460</v>
      </c>
      <c r="F53" s="1294">
        <v>0</v>
      </c>
      <c r="G53" s="1294">
        <v>0</v>
      </c>
      <c r="H53" s="1294">
        <v>0</v>
      </c>
      <c r="I53" s="1295">
        <f t="shared" si="6"/>
        <v>0</v>
      </c>
      <c r="J53" s="842">
        <f t="shared" si="7"/>
        <v>111805</v>
      </c>
    </row>
    <row r="54" spans="1:10" x14ac:dyDescent="0.3">
      <c r="A54" s="301"/>
      <c r="B54" t="str">
        <f>'1.2 Budgeted Enrollment YR1'!E56</f>
        <v>Freedom Classical Academy</v>
      </c>
      <c r="C54" s="1294">
        <v>582936</v>
      </c>
      <c r="D54" s="1294">
        <v>0</v>
      </c>
      <c r="E54" s="1294">
        <v>281050</v>
      </c>
      <c r="F54" s="1294">
        <v>0</v>
      </c>
      <c r="G54" s="1294">
        <v>0</v>
      </c>
      <c r="H54" s="1294">
        <v>0</v>
      </c>
      <c r="I54" s="1295">
        <f t="shared" si="6"/>
        <v>0</v>
      </c>
      <c r="J54" s="842">
        <f t="shared" si="7"/>
        <v>301886</v>
      </c>
    </row>
    <row r="55" spans="1:10" x14ac:dyDescent="0.3">
      <c r="A55" s="301"/>
      <c r="B55" t="str">
        <f>'1.2 Budgeted Enrollment YR1'!E57</f>
        <v>Futuro Academy Elementary</v>
      </c>
      <c r="C55" s="1294">
        <v>329794</v>
      </c>
      <c r="D55" s="1294">
        <v>0</v>
      </c>
      <c r="E55" s="1294">
        <v>77151</v>
      </c>
      <c r="F55" s="1294">
        <v>0</v>
      </c>
      <c r="G55" s="1294">
        <v>0</v>
      </c>
      <c r="H55" s="1294">
        <v>0</v>
      </c>
      <c r="I55" s="1295">
        <f t="shared" si="6"/>
        <v>0</v>
      </c>
      <c r="J55" s="842">
        <f t="shared" si="7"/>
        <v>252643</v>
      </c>
    </row>
    <row r="56" spans="1:10" x14ac:dyDescent="0.3">
      <c r="A56" s="301"/>
      <c r="B56" t="str">
        <f>'1.2 Budgeted Enrollment YR1'!E58</f>
        <v>Girls Athletic Leadership Schools</v>
      </c>
      <c r="C56" s="1294">
        <v>30309</v>
      </c>
      <c r="D56" s="1294">
        <v>0</v>
      </c>
      <c r="E56" s="1294">
        <v>30309</v>
      </c>
      <c r="F56" s="1294">
        <v>0</v>
      </c>
      <c r="G56" s="1294">
        <v>0</v>
      </c>
      <c r="H56" s="1294">
        <v>0</v>
      </c>
      <c r="I56" s="1295">
        <f t="shared" si="6"/>
        <v>0</v>
      </c>
      <c r="J56" s="842">
        <f t="shared" si="7"/>
        <v>0</v>
      </c>
    </row>
    <row r="57" spans="1:10" x14ac:dyDescent="0.3">
      <c r="A57" s="301"/>
      <c r="B57" t="str">
        <f>'1.2 Budgeted Enrollment YR1'!E59</f>
        <v>High Desert Montessori</v>
      </c>
      <c r="C57" s="1294">
        <v>322765</v>
      </c>
      <c r="D57" s="1294">
        <v>0</v>
      </c>
      <c r="E57" s="1294">
        <v>0</v>
      </c>
      <c r="F57" s="1294">
        <v>158566</v>
      </c>
      <c r="G57" s="1294">
        <v>0</v>
      </c>
      <c r="H57" s="1294">
        <v>0</v>
      </c>
      <c r="I57" s="1295">
        <f t="shared" si="6"/>
        <v>0</v>
      </c>
      <c r="J57" s="842">
        <f t="shared" si="7"/>
        <v>164199</v>
      </c>
    </row>
    <row r="58" spans="1:10" x14ac:dyDescent="0.3">
      <c r="A58" s="301"/>
      <c r="B58" t="str">
        <f>'1.2 Budgeted Enrollment YR1'!E60</f>
        <v>Honors Academy of Literature</v>
      </c>
      <c r="C58" s="1294">
        <v>115521</v>
      </c>
      <c r="D58" s="1294">
        <v>0</v>
      </c>
      <c r="E58" s="1294">
        <v>88172</v>
      </c>
      <c r="F58" s="1294">
        <v>0</v>
      </c>
      <c r="G58" s="1294">
        <v>0</v>
      </c>
      <c r="H58" s="1294">
        <v>0</v>
      </c>
      <c r="I58" s="1295">
        <f t="shared" si="6"/>
        <v>0</v>
      </c>
      <c r="J58" s="842">
        <f t="shared" si="7"/>
        <v>27349</v>
      </c>
    </row>
    <row r="59" spans="1:10" x14ac:dyDescent="0.3">
      <c r="A59" s="301"/>
      <c r="B59" t="str">
        <f>'1.2 Budgeted Enrollment YR1'!E61</f>
        <v>Imagine School Mountain View</v>
      </c>
      <c r="C59" s="1294">
        <v>451349.89999999997</v>
      </c>
      <c r="D59" s="1294">
        <v>0</v>
      </c>
      <c r="E59" s="1294">
        <v>281050</v>
      </c>
      <c r="F59" s="1294">
        <v>0</v>
      </c>
      <c r="G59" s="1294">
        <v>0</v>
      </c>
      <c r="H59" s="1294">
        <v>0</v>
      </c>
      <c r="I59" s="1295">
        <f t="shared" si="6"/>
        <v>0</v>
      </c>
      <c r="J59" s="842">
        <f t="shared" si="7"/>
        <v>170299.89999999997</v>
      </c>
    </row>
    <row r="60" spans="1:10" x14ac:dyDescent="0.3">
      <c r="A60" s="301"/>
      <c r="B60" t="str">
        <f>'1.2 Budgeted Enrollment YR1'!E62</f>
        <v>Innovations Int'l Charter</v>
      </c>
      <c r="C60" s="1294">
        <v>392635</v>
      </c>
      <c r="D60" s="1294">
        <v>392635</v>
      </c>
      <c r="E60" s="1294">
        <v>0</v>
      </c>
      <c r="F60" s="1294">
        <v>0</v>
      </c>
      <c r="G60" s="1294">
        <v>0</v>
      </c>
      <c r="H60" s="1294">
        <v>32172</v>
      </c>
      <c r="I60" s="1295">
        <f t="shared" si="6"/>
        <v>-32172</v>
      </c>
      <c r="J60" s="842">
        <f t="shared" si="7"/>
        <v>0</v>
      </c>
    </row>
    <row r="61" spans="1:10" x14ac:dyDescent="0.3">
      <c r="A61" s="301"/>
      <c r="B61" t="str">
        <f>'1.2 Budgeted Enrollment YR1'!E63</f>
        <v>Leadership Academy of Nevada</v>
      </c>
      <c r="C61" s="1294">
        <v>46842</v>
      </c>
      <c r="D61" s="1294">
        <v>0</v>
      </c>
      <c r="E61" s="1294">
        <v>46842</v>
      </c>
      <c r="F61" s="1294">
        <v>0</v>
      </c>
      <c r="G61" s="1294">
        <v>0</v>
      </c>
      <c r="H61" s="1294">
        <v>0</v>
      </c>
      <c r="I61" s="1295">
        <f t="shared" si="6"/>
        <v>0</v>
      </c>
      <c r="J61" s="842">
        <f t="shared" si="7"/>
        <v>0</v>
      </c>
    </row>
    <row r="62" spans="1:10" x14ac:dyDescent="0.3">
      <c r="A62" s="301"/>
      <c r="B62" t="str">
        <f>'1.2 Budgeted Enrollment YR1'!E64</f>
        <v>Learning Bridge</v>
      </c>
      <c r="C62" s="1294">
        <v>85417</v>
      </c>
      <c r="D62" s="1294">
        <v>0</v>
      </c>
      <c r="E62" s="1294">
        <v>85417</v>
      </c>
      <c r="F62" s="1294">
        <v>0</v>
      </c>
      <c r="G62" s="1294">
        <v>0</v>
      </c>
      <c r="H62" s="1294">
        <v>0</v>
      </c>
      <c r="I62" s="1295">
        <f t="shared" si="6"/>
        <v>0</v>
      </c>
      <c r="J62" s="842">
        <f t="shared" si="7"/>
        <v>0</v>
      </c>
    </row>
    <row r="63" spans="1:10" x14ac:dyDescent="0.3">
      <c r="A63" s="301"/>
      <c r="B63" t="str">
        <f>'1.2 Budgeted Enrollment YR1'!E65</f>
        <v>Legacy Traditional Schools</v>
      </c>
      <c r="C63" s="1294">
        <v>865192</v>
      </c>
      <c r="D63" s="1294">
        <v>0</v>
      </c>
      <c r="E63" s="1294">
        <v>865192</v>
      </c>
      <c r="F63" s="1294">
        <v>0</v>
      </c>
      <c r="G63" s="1294">
        <v>0</v>
      </c>
      <c r="H63" s="1294">
        <v>0</v>
      </c>
      <c r="I63" s="1295">
        <f t="shared" si="6"/>
        <v>0</v>
      </c>
      <c r="J63" s="842">
        <f t="shared" si="7"/>
        <v>0</v>
      </c>
    </row>
    <row r="64" spans="1:10" x14ac:dyDescent="0.3">
      <c r="A64" s="301"/>
      <c r="B64" t="str">
        <f>'1.2 Budgeted Enrollment YR1'!E66</f>
        <v>Mariposa Dual Language Academy</v>
      </c>
      <c r="C64" s="1294">
        <v>179125</v>
      </c>
      <c r="D64" s="1294">
        <v>0</v>
      </c>
      <c r="E64" s="1294">
        <v>0</v>
      </c>
      <c r="F64" s="1294">
        <v>50277</v>
      </c>
      <c r="G64" s="1294">
        <v>0</v>
      </c>
      <c r="H64" s="1294">
        <v>0</v>
      </c>
      <c r="I64" s="1295">
        <f t="shared" si="6"/>
        <v>0</v>
      </c>
      <c r="J64" s="842">
        <f t="shared" si="7"/>
        <v>128848</v>
      </c>
    </row>
    <row r="65" spans="1:10" x14ac:dyDescent="0.3">
      <c r="A65" s="301"/>
      <c r="B65" t="str">
        <f>'1.2 Budgeted Enrollment YR1'!E67</f>
        <v>Mater Academy</v>
      </c>
      <c r="C65" s="1294">
        <v>1504975.72</v>
      </c>
      <c r="D65" s="1294">
        <v>0</v>
      </c>
      <c r="E65" s="1294">
        <v>823506</v>
      </c>
      <c r="F65" s="1294">
        <v>0</v>
      </c>
      <c r="G65" s="1294">
        <v>0</v>
      </c>
      <c r="H65" s="1294">
        <v>0</v>
      </c>
      <c r="I65" s="1295">
        <f t="shared" si="6"/>
        <v>0</v>
      </c>
      <c r="J65" s="842">
        <f t="shared" si="7"/>
        <v>681469.72</v>
      </c>
    </row>
    <row r="66" spans="1:10" x14ac:dyDescent="0.3">
      <c r="A66" s="301"/>
      <c r="B66" t="str">
        <f>'1.2 Budgeted Enrollment YR1'!E68</f>
        <v>Mater Academy of Northern Nevada</v>
      </c>
      <c r="C66" s="1294">
        <v>233053</v>
      </c>
      <c r="D66" s="1294">
        <v>0</v>
      </c>
      <c r="E66" s="1294">
        <v>179100</v>
      </c>
      <c r="F66" s="1294">
        <v>0</v>
      </c>
      <c r="G66" s="1294">
        <v>0</v>
      </c>
      <c r="H66" s="1294">
        <v>0</v>
      </c>
      <c r="I66" s="1295">
        <f t="shared" si="6"/>
        <v>0</v>
      </c>
      <c r="J66" s="842">
        <f t="shared" si="7"/>
        <v>53953</v>
      </c>
    </row>
    <row r="67" spans="1:10" x14ac:dyDescent="0.3">
      <c r="A67" s="301"/>
      <c r="B67" t="str">
        <f>'1.2 Budgeted Enrollment YR1'!E69</f>
        <v>Nevada Connections Academy</v>
      </c>
      <c r="C67" s="1294">
        <v>369416</v>
      </c>
      <c r="D67" s="1294">
        <v>0</v>
      </c>
      <c r="E67" s="1294">
        <v>369416</v>
      </c>
      <c r="F67" s="1294">
        <v>0</v>
      </c>
      <c r="G67" s="1294">
        <v>0</v>
      </c>
      <c r="H67" s="1294">
        <v>0</v>
      </c>
      <c r="I67" s="1295">
        <f t="shared" si="6"/>
        <v>0</v>
      </c>
      <c r="J67" s="842">
        <f t="shared" si="7"/>
        <v>0</v>
      </c>
    </row>
    <row r="68" spans="1:10" x14ac:dyDescent="0.3">
      <c r="A68" s="301"/>
      <c r="B68" t="str">
        <f>'1.2 Budgeted Enrollment YR1'!E70</f>
        <v>Nevada Prep</v>
      </c>
      <c r="C68" s="1294">
        <v>180571</v>
      </c>
      <c r="D68" s="1294">
        <v>0</v>
      </c>
      <c r="E68" s="1294">
        <v>74395</v>
      </c>
      <c r="F68" s="1294">
        <v>0</v>
      </c>
      <c r="G68" s="1294">
        <v>0</v>
      </c>
      <c r="H68" s="1294">
        <v>0</v>
      </c>
      <c r="I68" s="1295">
        <f t="shared" si="6"/>
        <v>0</v>
      </c>
      <c r="J68" s="842">
        <f t="shared" si="7"/>
        <v>106176</v>
      </c>
    </row>
    <row r="69" spans="1:10" x14ac:dyDescent="0.3">
      <c r="A69" s="301"/>
      <c r="B69" t="str">
        <f>'1.2 Budgeted Enrollment YR1'!E71</f>
        <v xml:space="preserve">Nevada Rise </v>
      </c>
      <c r="C69" s="1294">
        <v>219836</v>
      </c>
      <c r="D69" s="1294">
        <v>0</v>
      </c>
      <c r="E69" s="1294">
        <v>55108</v>
      </c>
      <c r="F69" s="1294">
        <v>0</v>
      </c>
      <c r="G69" s="1294">
        <v>0</v>
      </c>
      <c r="H69" s="1294">
        <v>0</v>
      </c>
      <c r="I69" s="1295">
        <f t="shared" si="6"/>
        <v>0</v>
      </c>
      <c r="J69" s="842">
        <f t="shared" si="7"/>
        <v>164728</v>
      </c>
    </row>
    <row r="70" spans="1:10" x14ac:dyDescent="0.3">
      <c r="A70" s="301"/>
      <c r="B70" t="str">
        <f>'1.2 Budgeted Enrollment YR1'!E72</f>
        <v>Nevada State High School</v>
      </c>
      <c r="C70" s="1294">
        <v>35820</v>
      </c>
      <c r="D70" s="1294">
        <v>0</v>
      </c>
      <c r="E70" s="1294">
        <v>35820</v>
      </c>
      <c r="F70" s="1294">
        <v>0</v>
      </c>
      <c r="G70" s="1294">
        <v>0</v>
      </c>
      <c r="H70" s="1294">
        <v>0</v>
      </c>
      <c r="I70" s="1295">
        <f t="shared" si="6"/>
        <v>0</v>
      </c>
      <c r="J70" s="842">
        <f t="shared" si="7"/>
        <v>0</v>
      </c>
    </row>
    <row r="71" spans="1:10" x14ac:dyDescent="0.3">
      <c r="A71" s="301"/>
      <c r="B71" t="str">
        <f>'1.2 Budgeted Enrollment YR1'!E73</f>
        <v>Nevada State High School-Meadowwood</v>
      </c>
      <c r="C71" s="1294">
        <v>0</v>
      </c>
      <c r="D71" s="1294">
        <v>0</v>
      </c>
      <c r="E71" s="1294">
        <v>0</v>
      </c>
      <c r="F71" s="1294">
        <v>0</v>
      </c>
      <c r="G71" s="1294">
        <v>0</v>
      </c>
      <c r="H71" s="1294">
        <v>0</v>
      </c>
      <c r="I71" s="1295">
        <f t="shared" si="6"/>
        <v>0</v>
      </c>
      <c r="J71" s="842">
        <f t="shared" si="7"/>
        <v>0</v>
      </c>
    </row>
    <row r="72" spans="1:10" x14ac:dyDescent="0.3">
      <c r="A72" s="301"/>
      <c r="B72" t="str">
        <f>'1.2 Budgeted Enrollment YR1'!E74</f>
        <v>Nevada Virtual Academy</v>
      </c>
      <c r="C72" s="1294">
        <v>731675</v>
      </c>
      <c r="D72" s="1294">
        <v>0</v>
      </c>
      <c r="E72" s="1294">
        <v>731675</v>
      </c>
      <c r="F72" s="1294">
        <v>0</v>
      </c>
      <c r="G72" s="1294">
        <v>0</v>
      </c>
      <c r="H72" s="1294">
        <v>0</v>
      </c>
      <c r="I72" s="1295">
        <f t="shared" si="6"/>
        <v>0</v>
      </c>
      <c r="J72" s="842">
        <f t="shared" si="7"/>
        <v>0</v>
      </c>
    </row>
    <row r="73" spans="1:10" x14ac:dyDescent="0.3">
      <c r="A73" s="301"/>
      <c r="B73" t="str">
        <f>'1.2 Budgeted Enrollment YR1'!E75</f>
        <v>Oasis Academy</v>
      </c>
      <c r="C73" s="1294">
        <v>527065</v>
      </c>
      <c r="D73" s="1294">
        <v>0</v>
      </c>
      <c r="E73" s="1294">
        <v>223186</v>
      </c>
      <c r="F73" s="1294">
        <v>0</v>
      </c>
      <c r="G73" s="1294">
        <v>0</v>
      </c>
      <c r="H73" s="1294">
        <v>0</v>
      </c>
      <c r="I73" s="1295">
        <f t="shared" si="6"/>
        <v>0</v>
      </c>
      <c r="J73" s="842">
        <f t="shared" si="7"/>
        <v>303879</v>
      </c>
    </row>
    <row r="74" spans="1:10" x14ac:dyDescent="0.3">
      <c r="A74" s="301"/>
      <c r="B74" t="str">
        <f>'1.2 Budgeted Enrollment YR1'!E76</f>
        <v>Odyssey Charter Schools</v>
      </c>
      <c r="C74" s="1294">
        <v>3232629</v>
      </c>
      <c r="D74" s="1294">
        <v>0</v>
      </c>
      <c r="E74" s="1294">
        <v>0</v>
      </c>
      <c r="F74" s="1294">
        <v>1023013</v>
      </c>
      <c r="G74" s="1294">
        <v>0</v>
      </c>
      <c r="H74" s="1294">
        <v>0</v>
      </c>
      <c r="I74" s="1295">
        <f t="shared" si="6"/>
        <v>0</v>
      </c>
      <c r="J74" s="842">
        <f t="shared" si="7"/>
        <v>2209616</v>
      </c>
    </row>
    <row r="75" spans="1:10" x14ac:dyDescent="0.3">
      <c r="A75" s="301"/>
      <c r="B75" t="str">
        <f>'1.2 Budgeted Enrollment YR1'!E77</f>
        <v>Pinecrest Academy of Northern Nevada</v>
      </c>
      <c r="C75" s="1294">
        <v>378345</v>
      </c>
      <c r="D75" s="1294">
        <v>0</v>
      </c>
      <c r="E75" s="1294">
        <v>234208</v>
      </c>
      <c r="F75" s="1294">
        <v>0</v>
      </c>
      <c r="G75" s="1294">
        <v>0</v>
      </c>
      <c r="H75" s="1294">
        <v>0</v>
      </c>
      <c r="I75" s="1295">
        <f t="shared" si="6"/>
        <v>0</v>
      </c>
      <c r="J75" s="842">
        <f t="shared" si="7"/>
        <v>144137</v>
      </c>
    </row>
    <row r="76" spans="1:10" x14ac:dyDescent="0.3">
      <c r="A76" s="301"/>
      <c r="B76" t="str">
        <f>'1.2 Budgeted Enrollment YR1'!E78</f>
        <v>Pinecrest Academy of Nevada</v>
      </c>
      <c r="C76" s="1294">
        <v>2994939</v>
      </c>
      <c r="D76" s="1294">
        <v>0</v>
      </c>
      <c r="E76" s="1294">
        <v>1743902</v>
      </c>
      <c r="F76" s="1294">
        <v>0</v>
      </c>
      <c r="G76" s="1294">
        <v>0</v>
      </c>
      <c r="H76" s="1294">
        <v>0</v>
      </c>
      <c r="I76" s="1295">
        <f t="shared" si="6"/>
        <v>0</v>
      </c>
      <c r="J76" s="842">
        <f t="shared" si="7"/>
        <v>1251037</v>
      </c>
    </row>
    <row r="77" spans="1:10" x14ac:dyDescent="0.3">
      <c r="A77" s="301"/>
      <c r="B77" t="str">
        <f>'1.2 Budgeted Enrollment YR1'!E79</f>
        <v>Quest Academy</v>
      </c>
      <c r="C77" s="1294">
        <v>197827</v>
      </c>
      <c r="D77" s="1294">
        <v>0</v>
      </c>
      <c r="E77" s="1294">
        <v>151546</v>
      </c>
      <c r="F77" s="1294">
        <v>0</v>
      </c>
      <c r="G77" s="1294">
        <v>0</v>
      </c>
      <c r="H77" s="1294">
        <v>0</v>
      </c>
      <c r="I77" s="1295">
        <f t="shared" si="6"/>
        <v>0</v>
      </c>
      <c r="J77" s="842">
        <f t="shared" si="7"/>
        <v>46281</v>
      </c>
    </row>
    <row r="78" spans="1:10" x14ac:dyDescent="0.3">
      <c r="A78" s="301"/>
      <c r="B78" t="str">
        <f>'1.2 Budgeted Enrollment YR1'!E80</f>
        <v>Rainbow Dreams Academy</v>
      </c>
      <c r="C78" s="1294">
        <v>47906</v>
      </c>
      <c r="D78" s="1294">
        <v>0</v>
      </c>
      <c r="E78" s="1294">
        <v>0</v>
      </c>
      <c r="F78" s="1294">
        <v>7204</v>
      </c>
      <c r="G78" s="1294">
        <v>0</v>
      </c>
      <c r="H78" s="1294">
        <v>0</v>
      </c>
      <c r="I78" s="1295">
        <f t="shared" si="6"/>
        <v>0</v>
      </c>
      <c r="J78" s="842">
        <f t="shared" si="7"/>
        <v>40702</v>
      </c>
    </row>
    <row r="79" spans="1:10" x14ac:dyDescent="0.3">
      <c r="A79" s="301"/>
      <c r="B79" t="str">
        <f>'1.2 Budgeted Enrollment YR1'!E81</f>
        <v>Rooted Charter School</v>
      </c>
      <c r="C79" s="1294">
        <v>0</v>
      </c>
      <c r="D79" s="1294">
        <v>0</v>
      </c>
      <c r="E79" s="1294">
        <v>0</v>
      </c>
      <c r="F79" s="1294">
        <v>0</v>
      </c>
      <c r="G79" s="1294">
        <v>0</v>
      </c>
      <c r="H79" s="1294">
        <v>0</v>
      </c>
      <c r="I79" s="1295">
        <f t="shared" ref="I79" si="8">G79-H79</f>
        <v>0</v>
      </c>
      <c r="J79" s="842">
        <f t="shared" ref="J79" si="9">C79-D79-E79-F79-G79</f>
        <v>0</v>
      </c>
    </row>
    <row r="80" spans="1:10" x14ac:dyDescent="0.3">
      <c r="A80" s="301"/>
      <c r="B80" t="str">
        <f>'1.2 Budgeted Enrollment YR1'!E82</f>
        <v>Sage Collegiate Academy</v>
      </c>
      <c r="C80" s="1294">
        <v>0</v>
      </c>
      <c r="D80" s="1294">
        <v>0</v>
      </c>
      <c r="E80" s="1294">
        <v>0</v>
      </c>
      <c r="F80" s="1294">
        <v>0</v>
      </c>
      <c r="G80" s="1294">
        <v>0</v>
      </c>
      <c r="H80" s="1294">
        <v>0</v>
      </c>
      <c r="I80" s="1295">
        <f t="shared" si="6"/>
        <v>0</v>
      </c>
      <c r="J80" s="842">
        <f t="shared" si="7"/>
        <v>0</v>
      </c>
    </row>
    <row r="81" spans="1:10" x14ac:dyDescent="0.3">
      <c r="A81" s="301"/>
      <c r="B81" t="str">
        <f>'1.2 Budgeted Enrollment YR1'!E83</f>
        <v>Sierra Nevada Academy Charter</v>
      </c>
      <c r="C81" s="1294">
        <v>318452</v>
      </c>
      <c r="D81" s="1294">
        <v>0</v>
      </c>
      <c r="E81" s="1294">
        <v>0</v>
      </c>
      <c r="F81" s="1294">
        <v>199174</v>
      </c>
      <c r="G81" s="1294">
        <v>0</v>
      </c>
      <c r="H81" s="1294">
        <v>0</v>
      </c>
      <c r="I81" s="1295">
        <f t="shared" si="6"/>
        <v>0</v>
      </c>
      <c r="J81" s="842">
        <f t="shared" si="7"/>
        <v>119278</v>
      </c>
    </row>
    <row r="82" spans="1:10" x14ac:dyDescent="0.3">
      <c r="A82" s="301"/>
      <c r="B82" t="str">
        <f>'1.2 Budgeted Enrollment YR1'!E84</f>
        <v>Signature Preparatory</v>
      </c>
      <c r="C82" s="1294">
        <v>572187.5199999999</v>
      </c>
      <c r="D82" s="1294">
        <v>0</v>
      </c>
      <c r="E82" s="1294">
        <v>281050</v>
      </c>
      <c r="F82" s="1294">
        <v>0</v>
      </c>
      <c r="G82" s="1294">
        <v>0</v>
      </c>
      <c r="H82" s="1294">
        <v>0</v>
      </c>
      <c r="I82" s="1295">
        <f t="shared" si="6"/>
        <v>0</v>
      </c>
      <c r="J82" s="842">
        <f t="shared" si="7"/>
        <v>291137.5199999999</v>
      </c>
    </row>
    <row r="83" spans="1:10" x14ac:dyDescent="0.3">
      <c r="A83" s="301"/>
      <c r="B83" t="str">
        <f>'1.2 Budgeted Enrollment YR1'!E85</f>
        <v>Silver Sands Montessori</v>
      </c>
      <c r="C83" s="1294">
        <v>74410</v>
      </c>
      <c r="D83" s="1294">
        <v>0</v>
      </c>
      <c r="E83" s="1294">
        <v>74410</v>
      </c>
      <c r="F83" s="1294">
        <v>0</v>
      </c>
      <c r="G83" s="1294">
        <v>0</v>
      </c>
      <c r="H83" s="1294">
        <v>0</v>
      </c>
      <c r="I83" s="1295">
        <f t="shared" si="6"/>
        <v>0</v>
      </c>
      <c r="J83" s="842">
        <f t="shared" si="7"/>
        <v>0</v>
      </c>
    </row>
    <row r="84" spans="1:10" x14ac:dyDescent="0.3">
      <c r="A84" s="301"/>
      <c r="B84" t="str">
        <f>'1.2 Budgeted Enrollment YR1'!E86</f>
        <v>Somerset Academy</v>
      </c>
      <c r="C84" s="1294">
        <v>5786390</v>
      </c>
      <c r="D84" s="1294">
        <v>0</v>
      </c>
      <c r="E84" s="1294">
        <v>3063991</v>
      </c>
      <c r="F84" s="1294">
        <v>0</v>
      </c>
      <c r="G84" s="1294">
        <v>0</v>
      </c>
      <c r="H84" s="1294">
        <v>0</v>
      </c>
      <c r="I84" s="1295">
        <f t="shared" si="6"/>
        <v>0</v>
      </c>
      <c r="J84" s="842">
        <f t="shared" si="7"/>
        <v>2722399</v>
      </c>
    </row>
    <row r="85" spans="1:10" x14ac:dyDescent="0.3">
      <c r="A85" s="301"/>
      <c r="B85" t="str">
        <f>'1.2 Budgeted Enrollment YR1'!E87</f>
        <v>Southern Nevada Trade High School</v>
      </c>
      <c r="C85" s="1294">
        <v>0</v>
      </c>
      <c r="D85" s="1294">
        <v>0</v>
      </c>
      <c r="E85" s="1294">
        <v>0</v>
      </c>
      <c r="F85" s="1294">
        <v>0</v>
      </c>
      <c r="G85" s="1294">
        <v>0</v>
      </c>
      <c r="H85" s="1294">
        <v>0</v>
      </c>
      <c r="I85" s="1295">
        <f t="shared" ref="I85" si="10">G85-H85</f>
        <v>0</v>
      </c>
      <c r="J85" s="842">
        <f t="shared" ref="J85" si="11">C85-D85-E85-F85-G85</f>
        <v>0</v>
      </c>
    </row>
    <row r="86" spans="1:10" x14ac:dyDescent="0.3">
      <c r="A86" s="301"/>
      <c r="B86" t="str">
        <f>'1.2 Budgeted Enrollment YR1'!E88</f>
        <v>Sports Leadership and Management Academy</v>
      </c>
      <c r="C86" s="1294">
        <v>1133707</v>
      </c>
      <c r="D86" s="1294">
        <v>0</v>
      </c>
      <c r="E86" s="1294">
        <v>371977</v>
      </c>
      <c r="F86" s="1294">
        <v>0</v>
      </c>
      <c r="G86" s="1294">
        <v>0</v>
      </c>
      <c r="H86" s="1294">
        <v>0</v>
      </c>
      <c r="I86" s="1295">
        <f t="shared" si="6"/>
        <v>0</v>
      </c>
      <c r="J86" s="842">
        <f t="shared" si="7"/>
        <v>761730</v>
      </c>
    </row>
    <row r="87" spans="1:10" x14ac:dyDescent="0.3">
      <c r="A87" s="301"/>
      <c r="B87" t="str">
        <f>'1.2 Budgeted Enrollment YR1'!E89</f>
        <v>Strong Start Academy</v>
      </c>
      <c r="C87" s="1294">
        <v>0</v>
      </c>
      <c r="D87" s="1294">
        <v>0</v>
      </c>
      <c r="E87" s="1294">
        <v>0</v>
      </c>
      <c r="F87" s="1294">
        <v>0</v>
      </c>
      <c r="G87" s="1294">
        <v>0</v>
      </c>
      <c r="H87" s="1294">
        <v>0</v>
      </c>
      <c r="I87" s="1295">
        <f t="shared" si="6"/>
        <v>0</v>
      </c>
      <c r="J87" s="842">
        <f t="shared" si="7"/>
        <v>0</v>
      </c>
    </row>
    <row r="88" spans="1:10" x14ac:dyDescent="0.3">
      <c r="A88" s="301"/>
      <c r="B88" t="str">
        <f>'1.2 Budgeted Enrollment YR1'!E90</f>
        <v>TEACH Las Vegas</v>
      </c>
      <c r="C88" s="1294">
        <v>48249</v>
      </c>
      <c r="D88" s="1294">
        <v>0</v>
      </c>
      <c r="E88" s="1294">
        <v>0</v>
      </c>
      <c r="F88" s="1294">
        <v>0</v>
      </c>
      <c r="G88" s="1294">
        <v>0</v>
      </c>
      <c r="H88" s="1294">
        <v>0</v>
      </c>
      <c r="I88" s="1295">
        <f t="shared" si="6"/>
        <v>0</v>
      </c>
      <c r="J88" s="842">
        <f t="shared" si="7"/>
        <v>48249</v>
      </c>
    </row>
    <row r="89" spans="1:10" x14ac:dyDescent="0.3">
      <c r="A89" s="843"/>
      <c r="B89" s="720" t="str">
        <f>'1.2 Budgeted Enrollment YR1'!E91</f>
        <v>Young Women's Leadership Academy</v>
      </c>
      <c r="C89" s="1297">
        <v>0</v>
      </c>
      <c r="D89" s="1297">
        <v>0</v>
      </c>
      <c r="E89" s="1297">
        <v>0</v>
      </c>
      <c r="F89" s="1297">
        <v>0</v>
      </c>
      <c r="G89" s="1297">
        <v>0</v>
      </c>
      <c r="H89" s="1297">
        <v>0</v>
      </c>
      <c r="I89" s="1299">
        <f t="shared" si="6"/>
        <v>0</v>
      </c>
      <c r="J89" s="844">
        <f>C89-D89-E89-F89-G89</f>
        <v>0</v>
      </c>
    </row>
    <row r="90" spans="1:10" x14ac:dyDescent="0.3">
      <c r="A90" s="843"/>
      <c r="B90" s="720" t="str">
        <f>'1.2 Budgeted Enrollment YR1'!E92</f>
        <v>Total Charter Schools</v>
      </c>
      <c r="C90" s="845">
        <f t="shared" ref="C90:J90" si="12">SUM(C30:C89)</f>
        <v>32033643.18</v>
      </c>
      <c r="D90" s="845">
        <f t="shared" si="12"/>
        <v>648079</v>
      </c>
      <c r="E90" s="845">
        <f t="shared" si="12"/>
        <v>14064586</v>
      </c>
      <c r="F90" s="845">
        <f t="shared" si="12"/>
        <v>2506754</v>
      </c>
      <c r="G90" s="845">
        <f t="shared" si="12"/>
        <v>30774</v>
      </c>
      <c r="H90" s="845">
        <f t="shared" si="12"/>
        <v>352903</v>
      </c>
      <c r="I90" s="845">
        <f t="shared" si="12"/>
        <v>-322129</v>
      </c>
      <c r="J90" s="851">
        <f t="shared" si="12"/>
        <v>14783450.18</v>
      </c>
    </row>
    <row r="91" spans="1:10" x14ac:dyDescent="0.3">
      <c r="B91"/>
    </row>
    <row r="92" spans="1:10" x14ac:dyDescent="0.3">
      <c r="A92" s="3" t="s">
        <v>1258</v>
      </c>
      <c r="B92"/>
    </row>
    <row r="93" spans="1:10" x14ac:dyDescent="0.3">
      <c r="A93" s="683"/>
      <c r="B93" s="847" t="str">
        <f>'1.2 Budgeted Enrollment YR1'!E96</f>
        <v>Davidson Academy</v>
      </c>
      <c r="C93" s="1296">
        <v>7389</v>
      </c>
      <c r="D93" s="1296">
        <v>0</v>
      </c>
      <c r="E93" s="1296">
        <v>7389</v>
      </c>
      <c r="F93" s="1296">
        <v>0</v>
      </c>
      <c r="G93" s="1296">
        <v>0</v>
      </c>
      <c r="H93" s="1296"/>
      <c r="I93" s="1302">
        <f>G93-H93</f>
        <v>0</v>
      </c>
      <c r="J93" s="850">
        <f>C93-D93-E93-F93-G93</f>
        <v>0</v>
      </c>
    </row>
    <row r="94" spans="1:10" x14ac:dyDescent="0.3">
      <c r="A94" s="195"/>
      <c r="B94" s="720"/>
      <c r="C94" s="1297">
        <v>0</v>
      </c>
      <c r="D94" s="1297">
        <v>0</v>
      </c>
      <c r="E94" s="1297">
        <v>0</v>
      </c>
      <c r="F94" s="1297">
        <v>0</v>
      </c>
      <c r="G94" s="1297">
        <v>0</v>
      </c>
      <c r="H94" s="1297"/>
      <c r="I94" s="1299">
        <f>G94-H94</f>
        <v>0</v>
      </c>
      <c r="J94" s="844">
        <f>C94-D94-E94-F94-G94</f>
        <v>0</v>
      </c>
    </row>
    <row r="95" spans="1:10" s="4" customFormat="1" x14ac:dyDescent="0.3">
      <c r="A95" s="304"/>
      <c r="B95" s="852" t="str">
        <f>'1.2 Budgeted Enrollment YR1'!E98</f>
        <v>Total University Schools</v>
      </c>
      <c r="C95" s="853">
        <f>SUM(C93:C94)</f>
        <v>7389</v>
      </c>
      <c r="D95" s="853">
        <f t="shared" ref="D95:J95" si="13">SUM(D93:D94)</f>
        <v>0</v>
      </c>
      <c r="E95" s="853">
        <f t="shared" si="13"/>
        <v>7389</v>
      </c>
      <c r="F95" s="853">
        <f t="shared" ref="F95" si="14">SUM(F93:F94)</f>
        <v>0</v>
      </c>
      <c r="G95" s="853">
        <f t="shared" si="13"/>
        <v>0</v>
      </c>
      <c r="H95" s="853">
        <f t="shared" si="13"/>
        <v>0</v>
      </c>
      <c r="I95" s="853">
        <f t="shared" si="13"/>
        <v>0</v>
      </c>
      <c r="J95" s="854">
        <f t="shared" si="13"/>
        <v>0</v>
      </c>
    </row>
    <row r="96" spans="1:10" x14ac:dyDescent="0.3">
      <c r="B96"/>
    </row>
  </sheetData>
  <sheetProtection algorithmName="SHA-512" hashValue="cFpo6B4TWtCvt0uu0A2vfrjbiM9uorh4LZPcNVkKn6xmqHdwcREOU6oZNM355/dpEx3g62gtjj5GsUpqRGttwg==" saltValue="oooPDK1ZPLtF25QLbh4M8g==" spinCount="100000" sheet="1" objects="1" scenarios="1"/>
  <pageMargins left="0.7" right="0.7" top="0.75" bottom="0.75" header="0.3" footer="0.3"/>
  <pageSetup paperSize="3" fitToHeight="0" orientation="landscape" r:id="rId1"/>
  <headerFooter>
    <oddHeader>&amp;R&amp;"Arial Narrow,Regular"&amp;10&amp;A
&amp;P</oddHead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FD114-4A4E-4EC2-8BA5-C1A7900628C1}">
  <sheetPr codeName="Sheet299">
    <tabColor theme="6" tint="0.59999389629810485"/>
    <pageSetUpPr autoPageBreaks="0" fitToPage="1"/>
  </sheetPr>
  <dimension ref="A1:AL101"/>
  <sheetViews>
    <sheetView workbookViewId="0"/>
  </sheetViews>
  <sheetFormatPr defaultColWidth="8.85546875" defaultRowHeight="16.5" x14ac:dyDescent="0.3"/>
  <cols>
    <col min="1" max="1" width="6.140625" style="10" customWidth="1"/>
    <col min="2" max="2" width="39.28515625" style="10" bestFit="1" customWidth="1"/>
    <col min="3" max="3" width="18.140625" style="10" bestFit="1" customWidth="1"/>
    <col min="4" max="4" width="14.5703125" style="22" bestFit="1" customWidth="1"/>
    <col min="5" max="5" width="15.42578125" style="10" bestFit="1" customWidth="1"/>
    <col min="6" max="11" width="8.85546875" style="10"/>
    <col min="12" max="12" width="13.85546875" style="10" customWidth="1"/>
    <col min="13" max="16384" width="8.85546875" style="10"/>
  </cols>
  <sheetData>
    <row r="1" spans="1:38" s="4" customFormat="1" x14ac:dyDescent="0.3">
      <c r="A1" s="4" t="s">
        <v>602</v>
      </c>
    </row>
    <row r="2" spans="1:38" x14ac:dyDescent="0.3">
      <c r="A2" s="10" t="str">
        <f>CONCATENATE("Pupil Center Funding Plan | FY",'1.1 Assumption Control YR1'!D5)</f>
        <v>Pupil Center Funding Plan | FY2024</v>
      </c>
      <c r="D2" s="10"/>
    </row>
    <row r="3" spans="1:38" x14ac:dyDescent="0.3">
      <c r="A3" s="10" t="s">
        <v>1265</v>
      </c>
      <c r="D3" s="10"/>
    </row>
    <row r="4" spans="1:38" s="4" customFormat="1" ht="14.85" customHeight="1" x14ac:dyDescent="0.3">
      <c r="B4" s="87"/>
      <c r="D4" s="23"/>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L4" s="16"/>
    </row>
    <row r="5" spans="1:38" ht="17.25" thickBot="1" x14ac:dyDescent="0.35">
      <c r="C5" s="17" t="s">
        <v>92</v>
      </c>
      <c r="D5" s="17" t="s">
        <v>93</v>
      </c>
      <c r="E5" s="18" t="s">
        <v>94</v>
      </c>
    </row>
    <row r="6" spans="1:38" ht="18" thickTop="1" thickBot="1" x14ac:dyDescent="0.35">
      <c r="B6" s="17" t="s">
        <v>597</v>
      </c>
      <c r="C6" s="50">
        <f>'2.2 Spec Ed Local YR1'!E6</f>
        <v>4796319630.1108379</v>
      </c>
      <c r="D6" s="174">
        <f>E33</f>
        <v>4232592316.9441381</v>
      </c>
      <c r="E6" s="52">
        <f>C6-D6</f>
        <v>563727313.16669989</v>
      </c>
    </row>
    <row r="7" spans="1:38" ht="18" thickTop="1" thickBot="1" x14ac:dyDescent="0.35">
      <c r="B7" s="17"/>
      <c r="C7" s="208"/>
      <c r="D7" s="209"/>
      <c r="E7" s="208"/>
    </row>
    <row r="8" spans="1:38" ht="18" thickTop="1" thickBot="1" x14ac:dyDescent="0.35">
      <c r="B8" s="17" t="str">
        <f>CONCATENATE("Statewide Base Per Pupil Funding | FY",'1.1 Assumption Control YR1'!$D$5,":")</f>
        <v>Statewide Base Per Pupil Funding | FY2024:</v>
      </c>
      <c r="C8" s="535">
        <f>'1.1 Assumption Control YR1'!D30</f>
        <v>8981</v>
      </c>
      <c r="D8" t="s">
        <v>897</v>
      </c>
    </row>
    <row r="9" spans="1:38" ht="17.25" thickTop="1" x14ac:dyDescent="0.3">
      <c r="D9" s="23"/>
    </row>
    <row r="10" spans="1:38" x14ac:dyDescent="0.3">
      <c r="C10" s="24" t="s">
        <v>598</v>
      </c>
      <c r="D10" s="23" t="s">
        <v>0</v>
      </c>
      <c r="E10" s="24" t="s">
        <v>858</v>
      </c>
    </row>
    <row r="11" spans="1:38" ht="14.45" customHeight="1" x14ac:dyDescent="0.3">
      <c r="A11" s="4"/>
      <c r="C11" s="119" t="s">
        <v>737</v>
      </c>
      <c r="D11" s="967" t="s">
        <v>21</v>
      </c>
      <c r="E11" s="119" t="s">
        <v>859</v>
      </c>
    </row>
    <row r="12" spans="1:38" s="101" customFormat="1" ht="14.45" customHeight="1" x14ac:dyDescent="0.25">
      <c r="A12" s="961"/>
      <c r="B12" s="303" t="s">
        <v>879</v>
      </c>
      <c r="C12" s="968" t="s">
        <v>941</v>
      </c>
      <c r="D12" s="964" t="s">
        <v>856</v>
      </c>
      <c r="E12" s="502" t="s">
        <v>898</v>
      </c>
    </row>
    <row r="13" spans="1:38" x14ac:dyDescent="0.3">
      <c r="A13" s="4" t="s">
        <v>87</v>
      </c>
      <c r="C13" s="18"/>
      <c r="E13" s="7"/>
    </row>
    <row r="14" spans="1:38" x14ac:dyDescent="0.3">
      <c r="B14" s="10" t="str">
        <f>'1.2 Budgeted Enrollment YR1'!E9</f>
        <v>Carson City</v>
      </c>
      <c r="C14" s="12">
        <f>$C$8</f>
        <v>8981</v>
      </c>
      <c r="D14" s="536">
        <f>'1.2 Budgeted Enrollment YR1'!$G9</f>
        <v>7200.2984639728293</v>
      </c>
      <c r="E14" s="552">
        <f>D14*C14</f>
        <v>64665880.504939981</v>
      </c>
    </row>
    <row r="15" spans="1:38" x14ac:dyDescent="0.3">
      <c r="B15" s="10" t="str">
        <f>'1.2 Budgeted Enrollment YR1'!E10</f>
        <v>Churchill</v>
      </c>
      <c r="C15" s="12">
        <f>$C$8</f>
        <v>8981</v>
      </c>
      <c r="D15" s="536">
        <f>'1.2 Budgeted Enrollment YR1'!$G10</f>
        <v>3191.1266236748447</v>
      </c>
      <c r="E15" s="552">
        <f>D15*C15</f>
        <v>28659508.20722378</v>
      </c>
      <c r="N15" s="15"/>
    </row>
    <row r="16" spans="1:38" x14ac:dyDescent="0.3">
      <c r="B16" s="10" t="str">
        <f>'1.2 Budgeted Enrollment YR1'!E11</f>
        <v>Clark</v>
      </c>
      <c r="C16" s="12">
        <f t="shared" ref="C16:C31" si="0">$C$8</f>
        <v>8981</v>
      </c>
      <c r="D16" s="536">
        <f>'1.2 Budgeted Enrollment YR1'!$G11</f>
        <v>293209.81057058816</v>
      </c>
      <c r="E16" s="552">
        <f>D16*C16</f>
        <v>2633317308.7344522</v>
      </c>
    </row>
    <row r="17" spans="1:12" x14ac:dyDescent="0.3">
      <c r="B17" s="10" t="str">
        <f>'1.2 Budgeted Enrollment YR1'!E12</f>
        <v>Douglas</v>
      </c>
      <c r="C17" s="12">
        <f t="shared" si="0"/>
        <v>8981</v>
      </c>
      <c r="D17" s="536">
        <f>'1.2 Budgeted Enrollment YR1'!$G12</f>
        <v>5165.4763710930883</v>
      </c>
      <c r="E17" s="552">
        <f>D17*C17</f>
        <v>46391143.28878703</v>
      </c>
    </row>
    <row r="18" spans="1:12" x14ac:dyDescent="0.3">
      <c r="B18" s="10" t="str">
        <f>'1.2 Budgeted Enrollment YR1'!E13</f>
        <v>Elko</v>
      </c>
      <c r="C18" s="12">
        <f t="shared" si="0"/>
        <v>8981</v>
      </c>
      <c r="D18" s="536">
        <f>'1.2 Budgeted Enrollment YR1'!$G13</f>
        <v>9808.5957553950393</v>
      </c>
      <c r="E18" s="552">
        <f t="shared" ref="E18:E32" si="1">D18*C18</f>
        <v>88090998.479202852</v>
      </c>
    </row>
    <row r="19" spans="1:12" x14ac:dyDescent="0.3">
      <c r="B19" s="10" t="str">
        <f>'1.2 Budgeted Enrollment YR1'!E14</f>
        <v>Esmeralda</v>
      </c>
      <c r="C19" s="12">
        <f t="shared" si="0"/>
        <v>8981</v>
      </c>
      <c r="D19" s="536">
        <f>'1.2 Budgeted Enrollment YR1'!$G14</f>
        <v>77.315222103844732</v>
      </c>
      <c r="E19" s="552">
        <f t="shared" si="1"/>
        <v>694368.0097146295</v>
      </c>
    </row>
    <row r="20" spans="1:12" x14ac:dyDescent="0.3">
      <c r="B20" s="10" t="str">
        <f>'1.2 Budgeted Enrollment YR1'!E15</f>
        <v>Eureka</v>
      </c>
      <c r="C20" s="12">
        <f t="shared" si="0"/>
        <v>8981</v>
      </c>
      <c r="D20" s="536">
        <f>'1.2 Budgeted Enrollment YR1'!$G15</f>
        <v>323.70253352744805</v>
      </c>
      <c r="E20" s="552">
        <f t="shared" si="1"/>
        <v>2907172.4536100109</v>
      </c>
    </row>
    <row r="21" spans="1:12" x14ac:dyDescent="0.3">
      <c r="B21" s="10" t="str">
        <f>'1.2 Budgeted Enrollment YR1'!E16</f>
        <v>Humboldt</v>
      </c>
      <c r="C21" s="12">
        <f t="shared" si="0"/>
        <v>8981</v>
      </c>
      <c r="D21" s="536">
        <f>'1.2 Budgeted Enrollment YR1'!$G16</f>
        <v>3182.6225722447102</v>
      </c>
      <c r="E21" s="552">
        <f t="shared" si="1"/>
        <v>28583133.321329743</v>
      </c>
      <c r="L21" s="15"/>
    </row>
    <row r="22" spans="1:12" x14ac:dyDescent="0.3">
      <c r="B22" s="10" t="str">
        <f>'1.2 Budgeted Enrollment YR1'!E17</f>
        <v>Lander</v>
      </c>
      <c r="C22" s="12">
        <f t="shared" si="0"/>
        <v>8981</v>
      </c>
      <c r="D22" s="536">
        <f>'1.2 Budgeted Enrollment YR1'!$G17</f>
        <v>1002.8726085550823</v>
      </c>
      <c r="E22" s="552">
        <f t="shared" si="1"/>
        <v>9006798.8974331934</v>
      </c>
    </row>
    <row r="23" spans="1:12" x14ac:dyDescent="0.3">
      <c r="B23" s="10" t="str">
        <f>'1.2 Budgeted Enrollment YR1'!E18</f>
        <v>Lincoln</v>
      </c>
      <c r="C23" s="12">
        <f t="shared" si="0"/>
        <v>8981</v>
      </c>
      <c r="D23" s="536">
        <f>'1.2 Budgeted Enrollment YR1'!$G18</f>
        <v>883.01945001270019</v>
      </c>
      <c r="E23" s="552">
        <f>D23*C23</f>
        <v>7930397.6805640608</v>
      </c>
    </row>
    <row r="24" spans="1:12" x14ac:dyDescent="0.3">
      <c r="B24" s="10" t="str">
        <f>'1.2 Budgeted Enrollment YR1'!E19</f>
        <v>Lyon</v>
      </c>
      <c r="C24" s="12">
        <f t="shared" si="0"/>
        <v>8981</v>
      </c>
      <c r="D24" s="536">
        <f>'1.2 Budgeted Enrollment YR1'!$G19</f>
        <v>9036.0334518079708</v>
      </c>
      <c r="E24" s="552">
        <f t="shared" si="1"/>
        <v>81152616.430687383</v>
      </c>
    </row>
    <row r="25" spans="1:12" x14ac:dyDescent="0.3">
      <c r="B25" s="10" t="str">
        <f>'1.2 Budgeted Enrollment YR1'!E20</f>
        <v>Mineral</v>
      </c>
      <c r="C25" s="12">
        <f t="shared" si="0"/>
        <v>8981</v>
      </c>
      <c r="D25" s="536">
        <f>'1.2 Budgeted Enrollment YR1'!$G20</f>
        <v>567.43327210269706</v>
      </c>
      <c r="E25" s="552">
        <f t="shared" si="1"/>
        <v>5096118.2167543219</v>
      </c>
    </row>
    <row r="26" spans="1:12" x14ac:dyDescent="0.3">
      <c r="B26" s="10" t="str">
        <f>'1.2 Budgeted Enrollment YR1'!E21</f>
        <v>Nye</v>
      </c>
      <c r="C26" s="12">
        <f t="shared" si="0"/>
        <v>8981</v>
      </c>
      <c r="D26" s="536">
        <f>'1.2 Budgeted Enrollment YR1'!$G21</f>
        <v>5588.923509690796</v>
      </c>
      <c r="E26" s="552">
        <f t="shared" si="1"/>
        <v>50194122.040533036</v>
      </c>
    </row>
    <row r="27" spans="1:12" x14ac:dyDescent="0.3">
      <c r="B27" s="10" t="str">
        <f>'1.2 Budgeted Enrollment YR1'!E22</f>
        <v>Pershing</v>
      </c>
      <c r="C27" s="12">
        <f t="shared" si="0"/>
        <v>8981</v>
      </c>
      <c r="D27" s="536">
        <f>'1.2 Budgeted Enrollment YR1'!$G22</f>
        <v>660.16040063426465</v>
      </c>
      <c r="E27" s="552">
        <f t="shared" si="1"/>
        <v>5928900.5580963306</v>
      </c>
      <c r="I27" s="11"/>
    </row>
    <row r="28" spans="1:12" x14ac:dyDescent="0.3">
      <c r="B28" s="10" t="str">
        <f>'1.2 Budgeted Enrollment YR1'!E23</f>
        <v>Storey</v>
      </c>
      <c r="C28" s="12">
        <f t="shared" si="0"/>
        <v>8981</v>
      </c>
      <c r="D28" s="536">
        <f>'1.2 Budgeted Enrollment YR1'!$G23</f>
        <v>413.05444673325331</v>
      </c>
      <c r="E28" s="552">
        <f t="shared" si="1"/>
        <v>3709641.986111348</v>
      </c>
    </row>
    <row r="29" spans="1:12" x14ac:dyDescent="0.3">
      <c r="B29" s="10" t="str">
        <f>'1.2 Budgeted Enrollment YR1'!E24</f>
        <v>Washoe</v>
      </c>
      <c r="C29" s="12">
        <f t="shared" si="0"/>
        <v>8981</v>
      </c>
      <c r="D29" s="536">
        <f>'1.2 Budgeted Enrollment YR1'!$G24</f>
        <v>60547.590413175996</v>
      </c>
      <c r="E29" s="552">
        <f t="shared" si="1"/>
        <v>543777909.50073361</v>
      </c>
    </row>
    <row r="30" spans="1:12" x14ac:dyDescent="0.3">
      <c r="B30" s="10" t="str">
        <f>'1.2 Budgeted Enrollment YR1'!E25</f>
        <v>White Pine</v>
      </c>
      <c r="C30" s="12">
        <f t="shared" si="0"/>
        <v>8981</v>
      </c>
      <c r="D30" s="536">
        <f>'1.2 Budgeted Enrollment YR1'!$G25</f>
        <v>1259.3902506538202</v>
      </c>
      <c r="E30" s="552">
        <f t="shared" si="1"/>
        <v>11310583.841121959</v>
      </c>
    </row>
    <row r="31" spans="1:12" x14ac:dyDescent="0.3">
      <c r="B31" s="10" t="str">
        <f>'1.2 Budgeted Enrollment YR1'!E26</f>
        <v>Charter Schools (Combined)</v>
      </c>
      <c r="C31" s="12">
        <f t="shared" si="0"/>
        <v>8981</v>
      </c>
      <c r="D31" s="536">
        <f>'1.2 Budgeted Enrollment YR1'!$G26</f>
        <v>69003.49592143159</v>
      </c>
      <c r="E31" s="552">
        <f>D31*C31</f>
        <v>619720396.87037706</v>
      </c>
    </row>
    <row r="32" spans="1:12" x14ac:dyDescent="0.3">
      <c r="A32" s="183"/>
      <c r="B32" s="183" t="str">
        <f>'1.2 Budgeted Enrollment YR1'!E27</f>
        <v>University Schools</v>
      </c>
      <c r="C32" s="664">
        <f>$C$8</f>
        <v>8981</v>
      </c>
      <c r="D32" s="538">
        <f>'1.2 Budgeted Enrollment YR1'!$G27</f>
        <v>162.04408445225002</v>
      </c>
      <c r="E32" s="604">
        <f t="shared" si="1"/>
        <v>1455317.9224656573</v>
      </c>
    </row>
    <row r="33" spans="1:5" s="4" customFormat="1" x14ac:dyDescent="0.3">
      <c r="A33" s="425"/>
      <c r="B33" s="427" t="s">
        <v>89</v>
      </c>
      <c r="C33" s="605">
        <f>E33/D33</f>
        <v>8980.9999999999982</v>
      </c>
      <c r="D33" s="606">
        <f>SUM(D14:D32)</f>
        <v>471282.96592185041</v>
      </c>
      <c r="E33" s="969">
        <f>SUM(E14:E32)</f>
        <v>4232592316.9441381</v>
      </c>
    </row>
    <row r="34" spans="1:5" x14ac:dyDescent="0.3">
      <c r="D34" s="22">
        <f>D33-'1.2 Budgeted Enrollment YR1'!G28</f>
        <v>0</v>
      </c>
    </row>
    <row r="35" spans="1:5" x14ac:dyDescent="0.3">
      <c r="A35" s="4" t="s">
        <v>84</v>
      </c>
    </row>
    <row r="36" spans="1:5" x14ac:dyDescent="0.3">
      <c r="B36" s="10" t="str">
        <f>'1.2 Budgeted Enrollment YR1'!E32</f>
        <v>100 Academy Of Excellence</v>
      </c>
      <c r="C36" s="12">
        <f>$C$8</f>
        <v>8981</v>
      </c>
      <c r="D36" s="536">
        <f>'1.2 Budgeted Enrollment YR1'!$G32</f>
        <v>317.31241129082491</v>
      </c>
      <c r="E36" s="552">
        <f>D36*C36</f>
        <v>2849782.7658028984</v>
      </c>
    </row>
    <row r="37" spans="1:5" x14ac:dyDescent="0.3">
      <c r="B37" s="10" t="str">
        <f>'1.2 Budgeted Enrollment YR1'!E33</f>
        <v>Academy For Career Education</v>
      </c>
      <c r="C37" s="12">
        <f t="shared" ref="C37:C94" si="2">$C$8</f>
        <v>8981</v>
      </c>
      <c r="D37" s="536">
        <f>'1.2 Budgeted Enrollment YR1'!$G33</f>
        <v>233.16666714265924</v>
      </c>
      <c r="E37" s="552">
        <f t="shared" ref="E37:E44" si="3">D37*C37</f>
        <v>2094069.8376082226</v>
      </c>
    </row>
    <row r="38" spans="1:5" x14ac:dyDescent="0.3">
      <c r="B38" s="10" t="str">
        <f>'1.2 Budgeted Enrollment YR1'!E34</f>
        <v xml:space="preserve">Alpine Academy </v>
      </c>
      <c r="C38" s="12">
        <f t="shared" si="2"/>
        <v>8981</v>
      </c>
      <c r="D38" s="536">
        <f>'1.2 Budgeted Enrollment YR1'!$G34</f>
        <v>147.81508498571816</v>
      </c>
      <c r="E38" s="552">
        <f t="shared" si="3"/>
        <v>1327527.2782567348</v>
      </c>
    </row>
    <row r="39" spans="1:5" x14ac:dyDescent="0.3">
      <c r="B39" s="10" t="str">
        <f>'1.2 Budgeted Enrollment YR1'!E35</f>
        <v xml:space="preserve">Amplus (Formerly American Preparatory Academy) </v>
      </c>
      <c r="C39" s="12">
        <f t="shared" si="2"/>
        <v>8981</v>
      </c>
      <c r="D39" s="536">
        <f>'1.2 Budgeted Enrollment YR1'!$G35</f>
        <v>2267.7086546556943</v>
      </c>
      <c r="E39" s="552">
        <f t="shared" si="3"/>
        <v>20366291.42746279</v>
      </c>
    </row>
    <row r="40" spans="1:5" x14ac:dyDescent="0.3">
      <c r="B40" s="10" t="str">
        <f>'1.2 Budgeted Enrollment YR1'!E36</f>
        <v>Bailey Charter School</v>
      </c>
      <c r="C40" s="12">
        <f t="shared" si="2"/>
        <v>8981</v>
      </c>
      <c r="D40" s="536">
        <f>'1.2 Budgeted Enrollment YR1'!$G36</f>
        <v>175.32944363044109</v>
      </c>
      <c r="E40" s="552">
        <f t="shared" si="3"/>
        <v>1574633.7332449914</v>
      </c>
    </row>
    <row r="41" spans="1:5" x14ac:dyDescent="0.3">
      <c r="B41" s="10" t="str">
        <f>'1.2 Budgeted Enrollment YR1'!E37</f>
        <v>Battle Born Academy</v>
      </c>
      <c r="C41" s="12">
        <f t="shared" si="2"/>
        <v>8981</v>
      </c>
      <c r="D41" s="536">
        <f>'1.2 Budgeted Enrollment YR1'!$G37</f>
        <v>132.17090111224999</v>
      </c>
      <c r="E41" s="552">
        <f t="shared" si="3"/>
        <v>1187026.8628891171</v>
      </c>
    </row>
    <row r="42" spans="1:5" x14ac:dyDescent="0.3">
      <c r="B42" s="10" t="str">
        <f>'1.2 Budgeted Enrollment YR1'!E38</f>
        <v>Beacon Academy</v>
      </c>
      <c r="C42" s="12">
        <f t="shared" si="2"/>
        <v>8981</v>
      </c>
      <c r="D42" s="536">
        <f>'1.2 Budgeted Enrollment YR1'!$G38</f>
        <v>601.2087101019498</v>
      </c>
      <c r="E42" s="552">
        <f t="shared" si="3"/>
        <v>5399455.4254256114</v>
      </c>
    </row>
    <row r="43" spans="1:5" x14ac:dyDescent="0.3">
      <c r="B43" s="10" t="str">
        <f>'1.2 Budgeted Enrollment YR1'!E39</f>
        <v>Cactus Park</v>
      </c>
      <c r="C43" s="12">
        <f t="shared" si="2"/>
        <v>8981</v>
      </c>
      <c r="D43" s="536">
        <f>'1.2 Budgeted Enrollment YR1'!$G39</f>
        <v>108.52961244150023</v>
      </c>
      <c r="E43" s="552">
        <f t="shared" si="3"/>
        <v>974704.44933711365</v>
      </c>
    </row>
    <row r="44" spans="1:5" x14ac:dyDescent="0.3">
      <c r="B44" s="10" t="str">
        <f>'1.2 Budgeted Enrollment YR1'!E40</f>
        <v>Carson Montessori</v>
      </c>
      <c r="C44" s="12">
        <f t="shared" si="2"/>
        <v>8981</v>
      </c>
      <c r="D44" s="536">
        <f>'1.2 Budgeted Enrollment YR1'!$G40</f>
        <v>286.27617033770758</v>
      </c>
      <c r="E44" s="552">
        <f t="shared" si="3"/>
        <v>2571046.285802952</v>
      </c>
    </row>
    <row r="45" spans="1:5" x14ac:dyDescent="0.3">
      <c r="B45" s="10" t="str">
        <f>'1.2 Budgeted Enrollment YR1'!E41</f>
        <v>CIVICA Nevada Career &amp; Collegiate Academy</v>
      </c>
      <c r="C45" s="12">
        <f t="shared" si="2"/>
        <v>8981</v>
      </c>
      <c r="D45" s="536">
        <f>'1.2 Budgeted Enrollment YR1'!$G41</f>
        <v>766.05776499241983</v>
      </c>
      <c r="E45" s="552">
        <f t="shared" ref="E45:E59" si="4">D45*C45</f>
        <v>6879964.7873969227</v>
      </c>
    </row>
    <row r="46" spans="1:5" x14ac:dyDescent="0.3">
      <c r="B46" s="10" t="str">
        <f>'1.2 Budgeted Enrollment YR1'!E42</f>
        <v>Coral Academy of Science Las Vegas</v>
      </c>
      <c r="C46" s="12">
        <f t="shared" si="2"/>
        <v>8981</v>
      </c>
      <c r="D46" s="536">
        <f>'1.2 Budgeted Enrollment YR1'!$G42</f>
        <v>5176.4761285646673</v>
      </c>
      <c r="E46" s="552">
        <f t="shared" si="4"/>
        <v>46489932.110639274</v>
      </c>
    </row>
    <row r="47" spans="1:5" x14ac:dyDescent="0.3">
      <c r="B47" s="10" t="str">
        <f>'1.2 Budgeted Enrollment YR1'!E43</f>
        <v>Coral Academy Washoe</v>
      </c>
      <c r="C47" s="12">
        <f t="shared" si="2"/>
        <v>8981</v>
      </c>
      <c r="D47" s="536">
        <f>'1.2 Budgeted Enrollment YR1'!$G43</f>
        <v>1763.0640733328873</v>
      </c>
      <c r="E47" s="552">
        <f t="shared" si="4"/>
        <v>15834078.442602661</v>
      </c>
    </row>
    <row r="48" spans="1:5" x14ac:dyDescent="0.3">
      <c r="B48" s="10" t="str">
        <f>'1.2 Budgeted Enrollment YR1'!E44</f>
        <v>Delta Academy</v>
      </c>
      <c r="C48" s="12">
        <f t="shared" si="2"/>
        <v>8981</v>
      </c>
      <c r="D48" s="536">
        <f>'1.2 Budgeted Enrollment YR1'!$G44</f>
        <v>1259.1651890316498</v>
      </c>
      <c r="E48" s="552">
        <f t="shared" si="4"/>
        <v>11308562.562693248</v>
      </c>
    </row>
    <row r="49" spans="2:5" x14ac:dyDescent="0.3">
      <c r="B49" s="10" t="str">
        <f>'1.2 Budgeted Enrollment YR1'!E45</f>
        <v>Democracy Prep</v>
      </c>
      <c r="C49" s="12">
        <f t="shared" si="2"/>
        <v>8981</v>
      </c>
      <c r="D49" s="536">
        <f>'1.2 Budgeted Enrollment YR1'!$G45</f>
        <v>1203.3189781200335</v>
      </c>
      <c r="E49" s="552">
        <f t="shared" si="4"/>
        <v>10807007.742496021</v>
      </c>
    </row>
    <row r="50" spans="2:5" x14ac:dyDescent="0.3">
      <c r="B50" s="10" t="str">
        <f>'1.2 Budgeted Enrollment YR1'!E46</f>
        <v>Discovery Charter</v>
      </c>
      <c r="C50" s="12">
        <f t="shared" si="2"/>
        <v>8981</v>
      </c>
      <c r="D50" s="536">
        <f>'1.2 Budgeted Enrollment YR1'!$G46</f>
        <v>492.2101138405701</v>
      </c>
      <c r="E50" s="552">
        <f t="shared" si="4"/>
        <v>4420539.0324021596</v>
      </c>
    </row>
    <row r="51" spans="2:5" x14ac:dyDescent="0.3">
      <c r="B51" s="10" t="str">
        <f>'1.2 Budgeted Enrollment YR1'!E47</f>
        <v>Doral Academy</v>
      </c>
      <c r="C51" s="12">
        <f t="shared" si="2"/>
        <v>8981</v>
      </c>
      <c r="D51" s="536">
        <f>'1.2 Budgeted Enrollment YR1'!$G47</f>
        <v>6280.1363579608906</v>
      </c>
      <c r="E51" s="552">
        <f t="shared" si="4"/>
        <v>56401904.630846761</v>
      </c>
    </row>
    <row r="52" spans="2:5" x14ac:dyDescent="0.3">
      <c r="B52" s="10" t="str">
        <f>'1.2 Budgeted Enrollment YR1'!E48</f>
        <v>Doral Academy of Northern Nevada</v>
      </c>
      <c r="C52" s="12">
        <f t="shared" si="2"/>
        <v>8981</v>
      </c>
      <c r="D52" s="536">
        <f>'1.2 Budgeted Enrollment YR1'!$G48</f>
        <v>957.41882339550943</v>
      </c>
      <c r="E52" s="552">
        <f t="shared" si="4"/>
        <v>8598578.4529150706</v>
      </c>
    </row>
    <row r="53" spans="2:5" x14ac:dyDescent="0.3">
      <c r="B53" s="10" t="str">
        <f>'1.2 Budgeted Enrollment YR1'!E49</f>
        <v>Eagle Charter School</v>
      </c>
      <c r="C53" s="12">
        <f t="shared" si="2"/>
        <v>8981</v>
      </c>
      <c r="D53" s="536">
        <f>'1.2 Budgeted Enrollment YR1'!$G49</f>
        <v>540</v>
      </c>
      <c r="E53" s="552">
        <f t="shared" si="4"/>
        <v>4849740</v>
      </c>
    </row>
    <row r="54" spans="2:5" x14ac:dyDescent="0.3">
      <c r="B54" s="10" t="str">
        <f>'1.2 Budgeted Enrollment YR1'!E50</f>
        <v>Elko Institute for Academic Achievement</v>
      </c>
      <c r="C54" s="12">
        <f t="shared" si="2"/>
        <v>8981</v>
      </c>
      <c r="D54" s="536">
        <f>'1.2 Budgeted Enrollment YR1'!$G50</f>
        <v>197.24352683287754</v>
      </c>
      <c r="E54" s="552">
        <f t="shared" si="4"/>
        <v>1771444.1144860731</v>
      </c>
    </row>
    <row r="55" spans="2:5" x14ac:dyDescent="0.3">
      <c r="B55" s="10" t="str">
        <f>'1.2 Budgeted Enrollment YR1'!E51</f>
        <v>enCompass Academy</v>
      </c>
      <c r="C55" s="12">
        <f t="shared" si="2"/>
        <v>8981</v>
      </c>
      <c r="D55" s="536">
        <f>'1.2 Budgeted Enrollment YR1'!$G51</f>
        <v>114.87381551473325</v>
      </c>
      <c r="E55" s="552">
        <f t="shared" si="4"/>
        <v>1031681.7371378193</v>
      </c>
    </row>
    <row r="56" spans="2:5" x14ac:dyDescent="0.3">
      <c r="B56" s="10" t="str">
        <f>'1.2 Budgeted Enrollment YR1'!E52</f>
        <v>Equipo Academy</v>
      </c>
      <c r="C56" s="12">
        <f t="shared" si="2"/>
        <v>8981</v>
      </c>
      <c r="D56" s="536">
        <f>'1.2 Budgeted Enrollment YR1'!$G52</f>
        <v>799.12049898931241</v>
      </c>
      <c r="E56" s="552">
        <f t="shared" si="4"/>
        <v>7176901.2014230145</v>
      </c>
    </row>
    <row r="57" spans="2:5" x14ac:dyDescent="0.3">
      <c r="B57" s="10" t="str">
        <f>'1.2 Budgeted Enrollment YR1'!E53</f>
        <v>Explore Academy</v>
      </c>
      <c r="C57" s="12">
        <f t="shared" si="2"/>
        <v>8981</v>
      </c>
      <c r="D57" s="536">
        <f>'1.2 Budgeted Enrollment YR1'!$G53</f>
        <v>274.7332568453723</v>
      </c>
      <c r="E57" s="552">
        <f t="shared" si="4"/>
        <v>2467379.3797282884</v>
      </c>
    </row>
    <row r="58" spans="2:5" x14ac:dyDescent="0.3">
      <c r="B58" s="10" t="str">
        <f>'1.2 Budgeted Enrollment YR1'!E54</f>
        <v>Explore Knowledge Academy</v>
      </c>
      <c r="C58" s="12">
        <f t="shared" si="2"/>
        <v>8981</v>
      </c>
      <c r="D58" s="536">
        <f>'1.2 Budgeted Enrollment YR1'!$G54</f>
        <v>671.81849159460035</v>
      </c>
      <c r="E58" s="552">
        <f t="shared" si="4"/>
        <v>6033601.8730111057</v>
      </c>
    </row>
    <row r="59" spans="2:5" x14ac:dyDescent="0.3">
      <c r="B59" s="10" t="str">
        <f>'1.2 Budgeted Enrollment YR1'!E55</f>
        <v>Founders Academy of Las Vegas</v>
      </c>
      <c r="C59" s="12">
        <f t="shared" si="2"/>
        <v>8981</v>
      </c>
      <c r="D59" s="536">
        <f>'1.2 Budgeted Enrollment YR1'!$G55</f>
        <v>942.31500888524988</v>
      </c>
      <c r="E59" s="552">
        <f t="shared" si="4"/>
        <v>8462931.0947984289</v>
      </c>
    </row>
    <row r="60" spans="2:5" x14ac:dyDescent="0.3">
      <c r="B60" s="10" t="str">
        <f>'1.2 Budgeted Enrollment YR1'!E56</f>
        <v>Freedom Classical Academy</v>
      </c>
      <c r="C60" s="12">
        <f>$C$8</f>
        <v>8981</v>
      </c>
      <c r="D60" s="536">
        <f>'1.2 Budgeted Enrollment YR1'!$G56</f>
        <v>1044.9532334148407</v>
      </c>
      <c r="E60" s="552">
        <f>D60*C60</f>
        <v>9384724.9892986845</v>
      </c>
    </row>
    <row r="61" spans="2:5" s="19" customFormat="1" x14ac:dyDescent="0.3">
      <c r="B61" s="10" t="str">
        <f>'1.2 Budgeted Enrollment YR1'!E57</f>
        <v>Futuro Academy Elementary</v>
      </c>
      <c r="C61" s="12">
        <f t="shared" si="2"/>
        <v>8981</v>
      </c>
      <c r="D61" s="536">
        <f>'1.2 Budgeted Enrollment YR1'!$G57</f>
        <v>463.70725498344746</v>
      </c>
      <c r="E61" s="552">
        <f t="shared" ref="E61:E79" si="5">D61*C61</f>
        <v>4164554.8570063417</v>
      </c>
    </row>
    <row r="62" spans="2:5" x14ac:dyDescent="0.3">
      <c r="B62" s="10" t="str">
        <f>'1.2 Budgeted Enrollment YR1'!E58</f>
        <v>Girls Athletic Leadership Schools</v>
      </c>
      <c r="C62" s="12">
        <f t="shared" si="2"/>
        <v>8981</v>
      </c>
      <c r="D62" s="536">
        <f>'1.2 Budgeted Enrollment YR1'!$G58</f>
        <v>0</v>
      </c>
      <c r="E62" s="552">
        <f t="shared" si="5"/>
        <v>0</v>
      </c>
    </row>
    <row r="63" spans="2:5" x14ac:dyDescent="0.3">
      <c r="B63" s="10" t="str">
        <f>'1.2 Budgeted Enrollment YR1'!E59</f>
        <v>High Desert Montessori</v>
      </c>
      <c r="C63" s="12">
        <f t="shared" si="2"/>
        <v>8981</v>
      </c>
      <c r="D63" s="536">
        <f>'1.2 Budgeted Enrollment YR1'!$G59</f>
        <v>392.33027145830016</v>
      </c>
      <c r="E63" s="552">
        <f t="shared" si="5"/>
        <v>3523518.1679669935</v>
      </c>
    </row>
    <row r="64" spans="2:5" x14ac:dyDescent="0.3">
      <c r="B64" s="10" t="str">
        <f>'1.2 Budgeted Enrollment YR1'!E60</f>
        <v>Honors Academy of Literature</v>
      </c>
      <c r="C64" s="12">
        <f t="shared" si="2"/>
        <v>8981</v>
      </c>
      <c r="D64" s="536">
        <f>'1.2 Budgeted Enrollment YR1'!$G60</f>
        <v>216.56435878747669</v>
      </c>
      <c r="E64" s="552">
        <f t="shared" si="5"/>
        <v>1944964.5062703281</v>
      </c>
    </row>
    <row r="65" spans="2:5" x14ac:dyDescent="0.3">
      <c r="B65" s="10" t="str">
        <f>'1.2 Budgeted Enrollment YR1'!E61</f>
        <v>Imagine School Mountain View</v>
      </c>
      <c r="C65" s="12">
        <f t="shared" si="2"/>
        <v>8981</v>
      </c>
      <c r="D65" s="536">
        <f>'1.2 Budgeted Enrollment YR1'!$G61</f>
        <v>671.37820674925001</v>
      </c>
      <c r="E65" s="552">
        <f t="shared" si="5"/>
        <v>6029647.674815014</v>
      </c>
    </row>
    <row r="66" spans="2:5" x14ac:dyDescent="0.3">
      <c r="B66" s="10" t="str">
        <f>'1.2 Budgeted Enrollment YR1'!E62</f>
        <v>Innovations Int'l Charter</v>
      </c>
      <c r="C66" s="12">
        <f t="shared" si="2"/>
        <v>8981</v>
      </c>
      <c r="D66" s="536">
        <f>'1.2 Budgeted Enrollment YR1'!$G62</f>
        <v>737.09270922985206</v>
      </c>
      <c r="E66" s="552">
        <f t="shared" si="5"/>
        <v>6619829.6215933012</v>
      </c>
    </row>
    <row r="67" spans="2:5" x14ac:dyDescent="0.3">
      <c r="B67" s="10" t="str">
        <f>'1.2 Budgeted Enrollment YR1'!E63</f>
        <v>Leadership Academy of Nevada</v>
      </c>
      <c r="C67" s="12">
        <f t="shared" si="2"/>
        <v>8981</v>
      </c>
      <c r="D67" s="536">
        <f>'1.2 Budgeted Enrollment YR1'!$G63</f>
        <v>267.63967675179731</v>
      </c>
      <c r="E67" s="552">
        <f t="shared" si="5"/>
        <v>2403671.9369078916</v>
      </c>
    </row>
    <row r="68" spans="2:5" x14ac:dyDescent="0.3">
      <c r="B68" s="10" t="str">
        <f>'1.2 Budgeted Enrollment YR1'!E64</f>
        <v>Learning Bridge</v>
      </c>
      <c r="C68" s="12">
        <f t="shared" si="2"/>
        <v>8981</v>
      </c>
      <c r="D68" s="536">
        <f>'1.2 Budgeted Enrollment YR1'!$G64</f>
        <v>175.19825529226023</v>
      </c>
      <c r="E68" s="552">
        <f t="shared" si="5"/>
        <v>1573455.5307797892</v>
      </c>
    </row>
    <row r="69" spans="2:5" x14ac:dyDescent="0.3">
      <c r="B69" s="10" t="str">
        <f>'1.2 Budgeted Enrollment YR1'!E65</f>
        <v>Legacy Traditional Schools</v>
      </c>
      <c r="C69" s="12">
        <f t="shared" si="2"/>
        <v>8981</v>
      </c>
      <c r="D69" s="536">
        <f>'1.2 Budgeted Enrollment YR1'!$G65</f>
        <v>4014.3643229322638</v>
      </c>
      <c r="E69" s="552">
        <f t="shared" si="5"/>
        <v>36053005.984254658</v>
      </c>
    </row>
    <row r="70" spans="2:5" x14ac:dyDescent="0.3">
      <c r="B70" s="10" t="str">
        <f>'1.2 Budgeted Enrollment YR1'!E66</f>
        <v>Mariposa Dual Language Academy</v>
      </c>
      <c r="C70" s="12">
        <f t="shared" si="2"/>
        <v>8981</v>
      </c>
      <c r="D70" s="536">
        <f>'1.2 Budgeted Enrollment YR1'!$G66</f>
        <v>160.16230530300001</v>
      </c>
      <c r="E70" s="552">
        <f t="shared" si="5"/>
        <v>1438417.6639262431</v>
      </c>
    </row>
    <row r="71" spans="2:5" x14ac:dyDescent="0.3">
      <c r="B71" s="10" t="str">
        <f>'1.2 Budgeted Enrollment YR1'!E67</f>
        <v>Mater Academy</v>
      </c>
      <c r="C71" s="12">
        <f t="shared" si="2"/>
        <v>8981</v>
      </c>
      <c r="D71" s="536">
        <f>'1.2 Budgeted Enrollment YR1'!$G67</f>
        <v>3957.4480253588026</v>
      </c>
      <c r="E71" s="552">
        <f t="shared" si="5"/>
        <v>35541840.715747409</v>
      </c>
    </row>
    <row r="72" spans="2:5" x14ac:dyDescent="0.3">
      <c r="B72" s="10" t="str">
        <f>'1.2 Budgeted Enrollment YR1'!E68</f>
        <v>Mater Academy of Northern Nevada</v>
      </c>
      <c r="C72" s="12">
        <f t="shared" si="2"/>
        <v>8981</v>
      </c>
      <c r="D72" s="536">
        <f>'1.2 Budgeted Enrollment YR1'!$G68</f>
        <v>491.47528742099291</v>
      </c>
      <c r="E72" s="552">
        <f t="shared" si="5"/>
        <v>4413939.5563279372</v>
      </c>
    </row>
    <row r="73" spans="2:5" x14ac:dyDescent="0.3">
      <c r="B73" s="10" t="str">
        <f>'1.2 Budgeted Enrollment YR1'!E69</f>
        <v>Nevada Connections Academy</v>
      </c>
      <c r="C73" s="12">
        <f t="shared" si="2"/>
        <v>8981</v>
      </c>
      <c r="D73" s="536">
        <f>'1.2 Budgeted Enrollment YR1'!$G69</f>
        <v>1065.9410335586765</v>
      </c>
      <c r="E73" s="552">
        <f t="shared" si="5"/>
        <v>9573216.422390474</v>
      </c>
    </row>
    <row r="74" spans="2:5" x14ac:dyDescent="0.3">
      <c r="B74" s="10" t="str">
        <f>'1.2 Budgeted Enrollment YR1'!E70</f>
        <v>Nevada Prep</v>
      </c>
      <c r="C74" s="12">
        <f t="shared" si="2"/>
        <v>8981</v>
      </c>
      <c r="D74" s="536">
        <f>'1.2 Budgeted Enrollment YR1'!$G70</f>
        <v>281.33643740972769</v>
      </c>
      <c r="E74" s="552">
        <f t="shared" si="5"/>
        <v>2526682.5443767644</v>
      </c>
    </row>
    <row r="75" spans="2:5" x14ac:dyDescent="0.3">
      <c r="B75" s="10" t="str">
        <f>'1.2 Budgeted Enrollment YR1'!E71</f>
        <v xml:space="preserve">Nevada Rise </v>
      </c>
      <c r="C75" s="12">
        <f t="shared" si="2"/>
        <v>8981</v>
      </c>
      <c r="D75" s="536">
        <f>'1.2 Budgeted Enrollment YR1'!$G71</f>
        <v>457.90871082754296</v>
      </c>
      <c r="E75" s="552">
        <f t="shared" si="5"/>
        <v>4112478.1319421632</v>
      </c>
    </row>
    <row r="76" spans="2:5" x14ac:dyDescent="0.3">
      <c r="B76" s="10" t="str">
        <f>'1.2 Budgeted Enrollment YR1'!E72</f>
        <v>Nevada State High School</v>
      </c>
      <c r="C76" s="12">
        <f t="shared" si="2"/>
        <v>8981</v>
      </c>
      <c r="D76" s="536">
        <f>'1.2 Budgeted Enrollment YR1'!$G72</f>
        <v>983.31703457725234</v>
      </c>
      <c r="E76" s="552">
        <f t="shared" si="5"/>
        <v>8831170.2875383031</v>
      </c>
    </row>
    <row r="77" spans="2:5" x14ac:dyDescent="0.3">
      <c r="B77" s="10" t="str">
        <f>'1.2 Budgeted Enrollment YR1'!E73</f>
        <v>Nevada State High School-Meadowwood</v>
      </c>
      <c r="C77" s="12">
        <f t="shared" si="2"/>
        <v>8981</v>
      </c>
      <c r="D77" s="536">
        <f>'1.2 Budgeted Enrollment YR1'!$G73</f>
        <v>31.821411371749999</v>
      </c>
      <c r="E77" s="552">
        <f t="shared" si="5"/>
        <v>285788.09552968672</v>
      </c>
    </row>
    <row r="78" spans="2:5" x14ac:dyDescent="0.3">
      <c r="B78" s="10" t="str">
        <f>'1.2 Budgeted Enrollment YR1'!E74</f>
        <v>Nevada Virtual Academy</v>
      </c>
      <c r="C78" s="12">
        <f t="shared" si="2"/>
        <v>8981</v>
      </c>
      <c r="D78" s="536">
        <f>'1.2 Budgeted Enrollment YR1'!$G74</f>
        <v>2158.3957640639396</v>
      </c>
      <c r="E78" s="552">
        <f t="shared" si="5"/>
        <v>19384552.357058242</v>
      </c>
    </row>
    <row r="79" spans="2:5" x14ac:dyDescent="0.3">
      <c r="B79" s="10" t="str">
        <f>'1.2 Budgeted Enrollment YR1'!E75</f>
        <v>Oasis Academy</v>
      </c>
      <c r="C79" s="12">
        <f t="shared" si="2"/>
        <v>8981</v>
      </c>
      <c r="D79" s="536">
        <f>'1.2 Budgeted Enrollment YR1'!$G75</f>
        <v>734.20464267162504</v>
      </c>
      <c r="E79" s="552">
        <f t="shared" si="5"/>
        <v>6593891.8958338648</v>
      </c>
    </row>
    <row r="80" spans="2:5" x14ac:dyDescent="0.3">
      <c r="B80" s="10" t="str">
        <f>'1.2 Budgeted Enrollment YR1'!E76</f>
        <v>Odyssey Charter Schools</v>
      </c>
      <c r="C80" s="12">
        <f>$C$8</f>
        <v>8981</v>
      </c>
      <c r="D80" s="536">
        <f>'1.2 Budgeted Enrollment YR1'!$G76</f>
        <v>2325.2299469256354</v>
      </c>
      <c r="E80" s="552">
        <f>D80*C80</f>
        <v>20882890.153339133</v>
      </c>
    </row>
    <row r="81" spans="1:5" x14ac:dyDescent="0.3">
      <c r="B81" s="10" t="str">
        <f>'1.2 Budgeted Enrollment YR1'!E77</f>
        <v>Pinecrest Academy of Northern Nevada</v>
      </c>
      <c r="C81" s="12">
        <f t="shared" si="2"/>
        <v>8981</v>
      </c>
      <c r="D81" s="536">
        <f>'1.2 Budgeted Enrollment YR1'!$G77</f>
        <v>926.97453717270901</v>
      </c>
      <c r="E81" s="552">
        <f t="shared" ref="E81:E94" si="6">D81*C81</f>
        <v>8325158.3183480995</v>
      </c>
    </row>
    <row r="82" spans="1:5" x14ac:dyDescent="0.3">
      <c r="B82" s="10" t="str">
        <f>'1.2 Budgeted Enrollment YR1'!E78</f>
        <v>Pinecrest Academy of Nevada</v>
      </c>
      <c r="C82" s="12">
        <f t="shared" si="2"/>
        <v>8981</v>
      </c>
      <c r="D82" s="536">
        <f>'1.2 Budgeted Enrollment YR1'!$G78</f>
        <v>7406.4449235623106</v>
      </c>
      <c r="E82" s="552">
        <f t="shared" si="6"/>
        <v>66517281.858513109</v>
      </c>
    </row>
    <row r="83" spans="1:5" x14ac:dyDescent="0.3">
      <c r="B83" s="10" t="str">
        <f>'1.2 Budgeted Enrollment YR1'!E79</f>
        <v>Quest Academy</v>
      </c>
      <c r="C83" s="12">
        <f t="shared" si="2"/>
        <v>8981</v>
      </c>
      <c r="D83" s="536">
        <f>'1.2 Budgeted Enrollment YR1'!$G79</f>
        <v>434.86954084714142</v>
      </c>
      <c r="E83" s="552">
        <f t="shared" si="6"/>
        <v>3905563.3463481772</v>
      </c>
    </row>
    <row r="84" spans="1:5" x14ac:dyDescent="0.3">
      <c r="B84" s="10" t="str">
        <f>'1.2 Budgeted Enrollment YR1'!E80</f>
        <v>Rainbow Dreams Academy</v>
      </c>
      <c r="C84" s="12">
        <f t="shared" si="2"/>
        <v>8981</v>
      </c>
      <c r="D84" s="536">
        <f>'1.2 Budgeted Enrollment YR1'!$G80</f>
        <v>70.235302237100015</v>
      </c>
      <c r="E84" s="552">
        <f t="shared" si="6"/>
        <v>630783.24939139525</v>
      </c>
    </row>
    <row r="85" spans="1:5" x14ac:dyDescent="0.3">
      <c r="B85" s="10" t="str">
        <f>'1.2 Budgeted Enrollment YR1'!E81</f>
        <v>Rooted Charter School</v>
      </c>
      <c r="C85" s="12">
        <f t="shared" si="2"/>
        <v>8981</v>
      </c>
      <c r="D85" s="536">
        <f>'1.2 Budgeted Enrollment YR1'!$G81</f>
        <v>180</v>
      </c>
      <c r="E85" s="552">
        <f t="shared" ref="E85" si="7">D85*C85</f>
        <v>1616580</v>
      </c>
    </row>
    <row r="86" spans="1:5" x14ac:dyDescent="0.3">
      <c r="B86" s="10" t="str">
        <f>'1.2 Budgeted Enrollment YR1'!E82</f>
        <v>Sage Collegiate Academy</v>
      </c>
      <c r="C86" s="12">
        <f t="shared" si="2"/>
        <v>8981</v>
      </c>
      <c r="D86" s="536">
        <f>'1.2 Budgeted Enrollment YR1'!$G82</f>
        <v>198.87805865204777</v>
      </c>
      <c r="E86" s="552">
        <f t="shared" si="6"/>
        <v>1786123.8447540409</v>
      </c>
    </row>
    <row r="87" spans="1:5" x14ac:dyDescent="0.3">
      <c r="B87" s="10" t="str">
        <f>'1.2 Budgeted Enrollment YR1'!E83</f>
        <v>Sierra Nevada Academy Charter</v>
      </c>
      <c r="C87" s="12">
        <f t="shared" si="2"/>
        <v>8981</v>
      </c>
      <c r="D87" s="536">
        <f>'1.2 Budgeted Enrollment YR1'!$G83</f>
        <v>323.96493651869849</v>
      </c>
      <c r="E87" s="552">
        <f t="shared" si="6"/>
        <v>2909529.0948744314</v>
      </c>
    </row>
    <row r="88" spans="1:5" x14ac:dyDescent="0.3">
      <c r="B88" s="10" t="str">
        <f>'1.2 Budgeted Enrollment YR1'!E84</f>
        <v>Signature Preparatory</v>
      </c>
      <c r="C88" s="12">
        <f t="shared" si="2"/>
        <v>8981</v>
      </c>
      <c r="D88" s="536">
        <f>'1.2 Budgeted Enrollment YR1'!$G84</f>
        <v>973.67545181721823</v>
      </c>
      <c r="E88" s="552">
        <f t="shared" si="6"/>
        <v>8744579.2327704374</v>
      </c>
    </row>
    <row r="89" spans="1:5" x14ac:dyDescent="0.3">
      <c r="B89" s="10" t="str">
        <f>'1.2 Budgeted Enrollment YR1'!E85</f>
        <v>Silver Sands Montessori</v>
      </c>
      <c r="C89" s="12">
        <f t="shared" si="2"/>
        <v>8981</v>
      </c>
      <c r="D89" s="536">
        <f>'1.2 Budgeted Enrollment YR1'!$G85</f>
        <v>240.14749458700001</v>
      </c>
      <c r="E89" s="552">
        <f t="shared" si="6"/>
        <v>2156764.6488858471</v>
      </c>
    </row>
    <row r="90" spans="1:5" x14ac:dyDescent="0.3">
      <c r="B90" s="10" t="str">
        <f>'1.2 Budgeted Enrollment YR1'!E86</f>
        <v>Somerset Academy</v>
      </c>
      <c r="C90" s="12">
        <f t="shared" si="2"/>
        <v>8981</v>
      </c>
      <c r="D90" s="536">
        <f>'1.2 Budgeted Enrollment YR1'!$G86</f>
        <v>9466.1700510654773</v>
      </c>
      <c r="E90" s="552">
        <f t="shared" si="6"/>
        <v>85015673.228619054</v>
      </c>
    </row>
    <row r="91" spans="1:5" x14ac:dyDescent="0.3">
      <c r="B91" s="10" t="str">
        <f>'1.2 Budgeted Enrollment YR1'!E87</f>
        <v>Southern Nevada Trade High School</v>
      </c>
      <c r="C91" s="12">
        <f t="shared" si="2"/>
        <v>8981</v>
      </c>
      <c r="D91" s="536">
        <f>'1.2 Budgeted Enrollment YR1'!$G87</f>
        <v>200</v>
      </c>
      <c r="E91" s="552">
        <f t="shared" ref="E91" si="8">D91*C91</f>
        <v>1796200</v>
      </c>
    </row>
    <row r="92" spans="1:5" x14ac:dyDescent="0.3">
      <c r="B92" s="10" t="str">
        <f>'1.2 Budgeted Enrollment YR1'!E88</f>
        <v>Sports Leadership and Management Academy</v>
      </c>
      <c r="C92" s="12">
        <f t="shared" si="2"/>
        <v>8981</v>
      </c>
      <c r="D92" s="536">
        <f>'1.2 Budgeted Enrollment YR1'!$G88</f>
        <v>1786.2260441729454</v>
      </c>
      <c r="E92" s="552">
        <f t="shared" si="6"/>
        <v>16042096.102717223</v>
      </c>
    </row>
    <row r="93" spans="1:5" x14ac:dyDescent="0.3">
      <c r="B93" s="10" t="str">
        <f>'1.2 Budgeted Enrollment YR1'!E89</f>
        <v>Strong Start Academy</v>
      </c>
      <c r="C93" s="12">
        <f t="shared" si="2"/>
        <v>8981</v>
      </c>
      <c r="D93" s="536">
        <f>'1.2 Budgeted Enrollment YR1'!$G89</f>
        <v>80.630345170274907</v>
      </c>
      <c r="E93" s="552">
        <f t="shared" si="6"/>
        <v>724141.12997423892</v>
      </c>
    </row>
    <row r="94" spans="1:5" x14ac:dyDescent="0.3">
      <c r="B94" s="10" t="str">
        <f>'1.2 Budgeted Enrollment YR1'!E90</f>
        <v>TEACH Las Vegas</v>
      </c>
      <c r="C94" s="12">
        <f t="shared" si="2"/>
        <v>8981</v>
      </c>
      <c r="D94" s="536">
        <f>'1.2 Budgeted Enrollment YR1'!$G90</f>
        <v>320.98389146971647</v>
      </c>
      <c r="E94" s="552">
        <f t="shared" si="6"/>
        <v>2882756.3292895234</v>
      </c>
    </row>
    <row r="95" spans="1:5" x14ac:dyDescent="0.3">
      <c r="A95" s="183"/>
      <c r="B95" s="183" t="str">
        <f>'1.2 Budgeted Enrollment YR1'!E91</f>
        <v>Young Women's Leadership Academy</v>
      </c>
      <c r="C95" s="664">
        <f t="shared" ref="C95:C101" si="9">$C$8</f>
        <v>8981</v>
      </c>
      <c r="D95" s="538">
        <f>'1.2 Budgeted Enrollment YR1'!$G91</f>
        <v>56.356771471000002</v>
      </c>
      <c r="E95" s="604">
        <f>D95*C95</f>
        <v>506140.16458105104</v>
      </c>
    </row>
    <row r="96" spans="1:5" s="4" customFormat="1" x14ac:dyDescent="0.3">
      <c r="A96" s="425"/>
      <c r="B96" s="427" t="s">
        <v>63</v>
      </c>
      <c r="C96" s="970">
        <f t="shared" si="9"/>
        <v>8981</v>
      </c>
      <c r="D96" s="606">
        <f>SUM(D36:D95)</f>
        <v>69003.49592143159</v>
      </c>
      <c r="E96" s="971">
        <f>SUM(E36:E95)</f>
        <v>619720396.87037718</v>
      </c>
    </row>
    <row r="97" spans="1:5" x14ac:dyDescent="0.3">
      <c r="C97" s="12"/>
    </row>
    <row r="98" spans="1:5" s="4" customFormat="1" x14ac:dyDescent="0.3">
      <c r="A98" s="4" t="s">
        <v>1256</v>
      </c>
      <c r="C98" s="9"/>
      <c r="D98" s="25"/>
    </row>
    <row r="99" spans="1:5" x14ac:dyDescent="0.3">
      <c r="A99" s="683"/>
      <c r="B99" s="307" t="str">
        <f>'1.2 Budgeted Enrollment YR1'!E96</f>
        <v>Davidson Academy</v>
      </c>
      <c r="C99" s="972">
        <f t="shared" si="9"/>
        <v>8981</v>
      </c>
      <c r="D99" s="973">
        <f>'1.2 Budgeted Enrollment YR1'!G96</f>
        <v>162.04408445225002</v>
      </c>
      <c r="E99" s="974">
        <f>D99*C99</f>
        <v>1455317.9224656573</v>
      </c>
    </row>
    <row r="100" spans="1:5" x14ac:dyDescent="0.3">
      <c r="A100" s="195"/>
      <c r="B100" s="183">
        <f>'1.2 Budgeted Enrollment YR1'!E97</f>
        <v>0</v>
      </c>
      <c r="C100" s="664">
        <f t="shared" si="9"/>
        <v>8981</v>
      </c>
      <c r="D100" s="724">
        <f>'1.2 Budgeted Enrollment YR1'!G97</f>
        <v>0</v>
      </c>
      <c r="E100" s="213">
        <f>D100*C100</f>
        <v>0</v>
      </c>
    </row>
    <row r="101" spans="1:5" x14ac:dyDescent="0.3">
      <c r="C101" s="12">
        <f t="shared" si="9"/>
        <v>8981</v>
      </c>
      <c r="D101" s="22">
        <f>SUM(D99:D100)</f>
        <v>162.04408445225002</v>
      </c>
      <c r="E101" s="11">
        <f>SUM(E99:E100)</f>
        <v>1455317.9224656573</v>
      </c>
    </row>
  </sheetData>
  <sheetProtection algorithmName="SHA-512" hashValue="L4i3tgdxaVuqYiLJFQcY8aes0C2J5k/ed9v6vd/k54uN7+Maa8z/WY1U87WP5u6qmZQGpgi3b2TpVcSRIFLMjA==" saltValue="kfUiHDnKRpbq03A0kyHx9Q==" spinCount="100000" sheet="1" objects="1" scenarios="1"/>
  <customSheetViews>
    <customSheetView guid="{92EB2B16-3546-4CC6-AF3A-0019867B62A7}" scale="70" fitToPage="1">
      <selection activeCell="I21" sqref="I21"/>
      <rowBreaks count="1" manualBreakCount="1">
        <brk id="30" max="16383" man="1"/>
      </rowBreaks>
      <pageMargins left="0.7" right="0.7" top="0.75" bottom="0.75" header="0.3" footer="0.3"/>
      <pageSetup paperSize="3" fitToHeight="0"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70" showPageBreaks="1" fitToPage="1" printArea="1">
      <selection activeCell="A3" sqref="A3"/>
      <rowBreaks count="1" manualBreakCount="1">
        <brk id="30" max="16383" man="1"/>
      </rowBreaks>
      <pageMargins left="0.7" right="0.7" top="0.75" bottom="0.75" header="0.3" footer="0.3"/>
      <pageSetup paperSize="3" fitToHeight="0"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70" showPageBreaks="1" fitToPage="1" printArea="1">
      <selection activeCell="A3" sqref="A3"/>
      <rowBreaks count="1" manualBreakCount="1">
        <brk id="30" max="16383" man="1"/>
      </rowBreaks>
      <pageMargins left="0.7" right="0.7" top="0.75" bottom="0.75" header="0.3" footer="0.3"/>
      <pageSetup paperSize="3" fitToHeight="0" orientation="landscape" r:id="rId3"/>
      <headerFooter>
        <oddHeader>&amp;R&amp;"Arial Narrow,Regular"&amp;10&amp;A
&amp;P</oddHeader>
        <oddFooter>&amp;L&amp;"Arial Narrow,Regular"&amp;10This is a draft document. It is intended for discussion purposes only.&amp;R&amp;G</oddFooter>
      </headerFooter>
    </customSheetView>
  </customSheetViews>
  <phoneticPr fontId="79" type="noConversion"/>
  <pageMargins left="0.7" right="0.7" top="0.75" bottom="0.75" header="0.3" footer="0.3"/>
  <pageSetup paperSize="3" fitToHeight="0" orientation="landscape" r:id="rId4"/>
  <headerFooter>
    <oddHeader>&amp;R&amp;"Arial Narrow,Regular"&amp;10&amp;A
&amp;P</oddHeader>
  </headerFooter>
  <rowBreaks count="2" manualBreakCount="2">
    <brk id="29" max="4" man="1"/>
    <brk id="64" max="4"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2AC63-58E9-4A3B-9532-66E53125971D}">
  <sheetPr>
    <tabColor theme="6" tint="0.59999389629810485"/>
    <pageSetUpPr fitToPage="1"/>
  </sheetPr>
  <dimension ref="A1:I198"/>
  <sheetViews>
    <sheetView zoomScale="85" zoomScaleNormal="85" workbookViewId="0"/>
  </sheetViews>
  <sheetFormatPr defaultColWidth="8.85546875" defaultRowHeight="16.5" x14ac:dyDescent="0.3"/>
  <cols>
    <col min="1" max="1" width="37.85546875" style="10" customWidth="1"/>
    <col min="2" max="2" width="16" style="10" customWidth="1"/>
    <col min="3" max="3" width="19.85546875" style="10" customWidth="1"/>
    <col min="4" max="4" width="23" style="10" customWidth="1"/>
    <col min="5" max="5" width="20" style="10" customWidth="1"/>
    <col min="6" max="6" width="19" style="10" customWidth="1"/>
    <col min="7" max="7" width="23.42578125" style="10" customWidth="1"/>
    <col min="8" max="8" width="8.85546875" style="10"/>
    <col min="9" max="9" width="12.42578125" style="10" bestFit="1" customWidth="1"/>
    <col min="10" max="16384" width="8.85546875" style="10"/>
  </cols>
  <sheetData>
    <row r="1" spans="1:9" s="4" customFormat="1" x14ac:dyDescent="0.3">
      <c r="A1" s="4" t="s">
        <v>602</v>
      </c>
    </row>
    <row r="2" spans="1:9" x14ac:dyDescent="0.3">
      <c r="A2" s="10" t="str">
        <f>CONCATENATE("Pupil Center Funding Plan | FY",'1.1 Assumption Control YR1'!D5)</f>
        <v>Pupil Center Funding Plan | FY2024</v>
      </c>
    </row>
    <row r="3" spans="1:9" x14ac:dyDescent="0.3">
      <c r="A3" s="10" t="s">
        <v>1266</v>
      </c>
    </row>
    <row r="4" spans="1:9" x14ac:dyDescent="0.3">
      <c r="A4" s="87"/>
    </row>
    <row r="5" spans="1:9" x14ac:dyDescent="0.3">
      <c r="A5" s="4" t="s">
        <v>755</v>
      </c>
    </row>
    <row r="6" spans="1:9" s="88" customFormat="1" ht="33.75" thickBot="1" x14ac:dyDescent="0.35">
      <c r="A6" s="95" t="s">
        <v>747</v>
      </c>
      <c r="B6" s="95" t="s">
        <v>748</v>
      </c>
      <c r="C6" s="95" t="s">
        <v>749</v>
      </c>
      <c r="D6" s="95" t="s">
        <v>750</v>
      </c>
      <c r="E6" s="96" t="s">
        <v>751</v>
      </c>
    </row>
    <row r="7" spans="1:9" ht="18" thickTop="1" thickBot="1" x14ac:dyDescent="0.35">
      <c r="A7" s="79">
        <v>0</v>
      </c>
      <c r="B7" s="79">
        <v>17</v>
      </c>
      <c r="C7" s="80">
        <f>25.003</f>
        <v>25.003</v>
      </c>
      <c r="D7" s="82">
        <v>-0.79100000000000004</v>
      </c>
      <c r="E7" s="38" t="s">
        <v>754</v>
      </c>
    </row>
    <row r="8" spans="1:9" ht="18" thickTop="1" thickBot="1" x14ac:dyDescent="0.35">
      <c r="A8" s="79">
        <v>18</v>
      </c>
      <c r="B8" s="79">
        <v>3899</v>
      </c>
      <c r="C8" s="81">
        <v>3.4</v>
      </c>
      <c r="D8" s="82">
        <f>-0.281</f>
        <v>-0.28100000000000003</v>
      </c>
      <c r="E8" s="38" t="s">
        <v>753</v>
      </c>
      <c r="G8" s="83"/>
    </row>
    <row r="9" spans="1:9" ht="18" thickTop="1" thickBot="1" x14ac:dyDescent="0.35">
      <c r="A9" s="79">
        <v>3900</v>
      </c>
      <c r="B9" s="79">
        <v>1000000</v>
      </c>
      <c r="C9" s="81">
        <f>1.0868</f>
        <v>1.0868</v>
      </c>
      <c r="D9" s="82">
        <f>(-0.000001735)</f>
        <v>-1.7349999999999999E-6</v>
      </c>
      <c r="E9" s="38" t="s">
        <v>752</v>
      </c>
      <c r="G9" s="83"/>
    </row>
    <row r="10" spans="1:9" ht="18" thickTop="1" thickBot="1" x14ac:dyDescent="0.35">
      <c r="E10" s="40"/>
    </row>
    <row r="11" spans="1:9" ht="18" thickTop="1" thickBot="1" x14ac:dyDescent="0.35">
      <c r="D11" s="92" t="str">
        <f>'1.1 Assumption Control YR1'!A23</f>
        <v>Statewide Base Funding including Inflation for | FY2024</v>
      </c>
      <c r="E11" s="537">
        <f>'1.1 Assumption Control YR1'!D30</f>
        <v>8981</v>
      </c>
      <c r="F11" t="s">
        <v>897</v>
      </c>
    </row>
    <row r="12" spans="1:9" ht="17.25" thickTop="1" x14ac:dyDescent="0.3">
      <c r="E12" s="40"/>
      <c r="F12" s="17"/>
    </row>
    <row r="13" spans="1:9" s="88" customFormat="1" ht="66" x14ac:dyDescent="0.3">
      <c r="A13" s="94" t="s">
        <v>811</v>
      </c>
      <c r="B13" s="94" t="s">
        <v>756</v>
      </c>
      <c r="C13" s="95" t="s">
        <v>1400</v>
      </c>
      <c r="D13" s="95" t="s">
        <v>926</v>
      </c>
      <c r="E13" s="95" t="s">
        <v>855</v>
      </c>
      <c r="F13" s="95" t="s">
        <v>927</v>
      </c>
      <c r="G13" s="95" t="s">
        <v>854</v>
      </c>
    </row>
    <row r="14" spans="1:9" s="156" customFormat="1" x14ac:dyDescent="0.25">
      <c r="A14" s="963"/>
      <c r="B14" s="303" t="s">
        <v>879</v>
      </c>
      <c r="C14" s="964" t="s">
        <v>856</v>
      </c>
      <c r="D14" s="965" t="s">
        <v>980</v>
      </c>
      <c r="E14" s="965" t="s">
        <v>882</v>
      </c>
      <c r="F14" s="966" t="s">
        <v>885</v>
      </c>
      <c r="G14" s="962" t="s">
        <v>899</v>
      </c>
    </row>
    <row r="15" spans="1:9" s="156" customFormat="1" ht="10.5" customHeight="1" x14ac:dyDescent="0.25">
      <c r="A15" s="161"/>
      <c r="B15" s="162"/>
      <c r="C15" s="163"/>
      <c r="D15" s="164"/>
      <c r="E15" s="164"/>
      <c r="F15" s="165"/>
      <c r="G15" s="165"/>
    </row>
    <row r="16" spans="1:9" s="4" customFormat="1" x14ac:dyDescent="0.3">
      <c r="A16" s="4" t="s">
        <v>13</v>
      </c>
      <c r="B16" s="479" t="s">
        <v>13</v>
      </c>
      <c r="C16" s="618">
        <f>SUMIF('1.2 Budgeted Enrollment YR1'!$D$102:$D$732,B16,'1.2 Budgeted Enrollment YR1'!$G$102:$G$732)</f>
        <v>7200.2984639728302</v>
      </c>
      <c r="D16" s="618">
        <f>IF(C16=0,0,(IF($C$9+($D$9*$C16)&lt;1,1,IF($C16&lt;=$B$7,$C$7*($C16^$D$7),IF($C16&lt;=$B$8,$C$8+($D$8*LN($C16)),$C$9+($C16*$D$9))))*C16-C16))</f>
        <v>535.03604969438948</v>
      </c>
      <c r="E16" s="44">
        <f>E11</f>
        <v>8981</v>
      </c>
      <c r="F16" s="554">
        <f>D16*E16</f>
        <v>4805158.7623053119</v>
      </c>
      <c r="G16" s="554">
        <f>F16/C16</f>
        <v>667.35549732392928</v>
      </c>
      <c r="H16" s="85"/>
      <c r="I16" s="86"/>
    </row>
    <row r="17" spans="1:9" x14ac:dyDescent="0.3">
      <c r="C17" s="83"/>
      <c r="D17" s="83"/>
      <c r="F17" s="11"/>
      <c r="G17" s="11"/>
      <c r="H17" s="40"/>
      <c r="I17" s="86"/>
    </row>
    <row r="18" spans="1:9" s="4" customFormat="1" x14ac:dyDescent="0.3">
      <c r="A18" s="4" t="s">
        <v>1</v>
      </c>
      <c r="B18" s="479" t="s">
        <v>757</v>
      </c>
      <c r="C18" s="618">
        <f>SUMIF('1.2 Budgeted Enrollment YR1'!$D$102:$D$732,B18,'1.2 Budgeted Enrollment YR1'!$G$102:$G$732)</f>
        <v>3191.1266236748452</v>
      </c>
      <c r="D18" s="618">
        <f>IF(C18=0,0,(IF($C$9+($D$9*$C18)&lt;1,1,IF($C18&lt;=$B$7,$C$7*($C18^$D$7),IF($C18&lt;=$B$8,$C$8+($D$8*LN($C18)),$C$9+($C18*$D$9))))*C18-C18))</f>
        <v>423.9592488412618</v>
      </c>
      <c r="E18" s="44">
        <f>E11</f>
        <v>8981</v>
      </c>
      <c r="F18" s="554">
        <f>D18*E18</f>
        <v>3807578.013843372</v>
      </c>
      <c r="G18" s="554">
        <f>F18/C18</f>
        <v>1193.1767249833015</v>
      </c>
      <c r="H18" s="85"/>
      <c r="I18" s="86"/>
    </row>
    <row r="19" spans="1:9" x14ac:dyDescent="0.3">
      <c r="C19" s="83"/>
      <c r="D19" s="83"/>
      <c r="F19" s="11"/>
      <c r="G19" s="11"/>
      <c r="H19" s="40"/>
    </row>
    <row r="20" spans="1:9" x14ac:dyDescent="0.3">
      <c r="A20" s="4" t="s">
        <v>2</v>
      </c>
      <c r="B20" s="457" t="s">
        <v>759</v>
      </c>
      <c r="C20" s="587">
        <f>SUMIF('1.2 Budgeted Enrollment YR1'!$D$102:$D$732,B20,'1.2 Budgeted Enrollment YR1'!$G$102:$G$732)</f>
        <v>36.97251634383808</v>
      </c>
      <c r="D20" s="587">
        <f>IF(C20=0,0,(IF($C$9+($D$9*$C20)&lt;1,1,IF($C20&lt;=$B$7,$C$7*($C20^$D$7),IF($C20&lt;=$B$8,$C$8+($D$8*LN($C20)),$C$9+($C20*$D$9))))*C20-C20))</f>
        <v>51.226932510428298</v>
      </c>
      <c r="E20" s="29">
        <f>$E$11</f>
        <v>8981</v>
      </c>
      <c r="F20" s="550">
        <f>D20*E20</f>
        <v>460069.08087615657</v>
      </c>
      <c r="G20" s="550">
        <f t="shared" ref="G20:G30" si="0">F20/C20</f>
        <v>12443.542565444905</v>
      </c>
      <c r="H20" s="40"/>
    </row>
    <row r="21" spans="1:9" x14ac:dyDescent="0.3">
      <c r="B21" s="457" t="s">
        <v>760</v>
      </c>
      <c r="C21" s="587">
        <f>SUMIF('1.2 Budgeted Enrollment YR1'!$D$102:$D$732,B21,'1.2 Budgeted Enrollment YR1'!$G$102:$G$732)</f>
        <v>1742.140343172134</v>
      </c>
      <c r="D21" s="587">
        <f t="shared" ref="D21:D30" si="1">IF(C21=0,0,(IF($C$9+($D$9*$C21)&lt;1,1,IF($C21&lt;=$B$7,$C$7*($C21^$D$7),IF($C21&lt;=$B$8,$C$8+($D$8*LN($C21)),$C$9+($C21*$D$9))))*C21-C21))</f>
        <v>527.75286168906746</v>
      </c>
      <c r="E21" s="29">
        <f t="shared" ref="E21:E30" si="2">$E$11</f>
        <v>8981</v>
      </c>
      <c r="F21" s="550">
        <f t="shared" ref="F21:F30" si="3">D21*E21</f>
        <v>4739748.4508295152</v>
      </c>
      <c r="G21" s="550">
        <f t="shared" si="0"/>
        <v>2720.6467431890474</v>
      </c>
      <c r="H21" s="40"/>
    </row>
    <row r="22" spans="1:9" x14ac:dyDescent="0.3">
      <c r="B22" s="457" t="s">
        <v>761</v>
      </c>
      <c r="C22" s="587">
        <f>SUMIF('1.2 Budgeted Enrollment YR1'!$D$102:$D$732,B22,'1.2 Budgeted Enrollment YR1'!$G$102:$G$732)</f>
        <v>2.4241459465222999</v>
      </c>
      <c r="D22" s="587">
        <f t="shared" si="1"/>
        <v>27.661885311118986</v>
      </c>
      <c r="E22" s="29">
        <f t="shared" si="2"/>
        <v>8981</v>
      </c>
      <c r="F22" s="550">
        <f t="shared" si="3"/>
        <v>248431.39197915961</v>
      </c>
      <c r="G22" s="550">
        <f t="shared" si="0"/>
        <v>102482.02767476164</v>
      </c>
      <c r="H22" s="40"/>
    </row>
    <row r="23" spans="1:9" x14ac:dyDescent="0.3">
      <c r="B23" s="457" t="s">
        <v>762</v>
      </c>
      <c r="C23" s="587">
        <f>SUMIF('1.2 Budgeted Enrollment YR1'!$D$102:$D$732,B23,'1.2 Budgeted Enrollment YR1'!$G$102:$G$732)</f>
        <v>327.8153782280877</v>
      </c>
      <c r="D23" s="587">
        <f t="shared" si="1"/>
        <v>253.17882772333115</v>
      </c>
      <c r="E23" s="29">
        <f t="shared" si="2"/>
        <v>8981</v>
      </c>
      <c r="F23" s="550">
        <f t="shared" si="3"/>
        <v>2273799.0517832371</v>
      </c>
      <c r="G23" s="550">
        <f t="shared" si="0"/>
        <v>6936.2183802163518</v>
      </c>
      <c r="H23" s="40"/>
    </row>
    <row r="24" spans="1:9" x14ac:dyDescent="0.3">
      <c r="B24" s="457" t="s">
        <v>758</v>
      </c>
      <c r="C24" s="587">
        <f>SUMIF('1.2 Budgeted Enrollment YR1'!$D$102:$D$732,B24,'1.2 Budgeted Enrollment YR1'!$G$102:$G$732)</f>
        <v>286024.20893197652</v>
      </c>
      <c r="D24" s="587">
        <f t="shared" si="1"/>
        <v>0</v>
      </c>
      <c r="E24" s="29">
        <f t="shared" si="2"/>
        <v>8981</v>
      </c>
      <c r="F24" s="550">
        <f t="shared" si="3"/>
        <v>0</v>
      </c>
      <c r="G24" s="550">
        <f>F24/C24</f>
        <v>0</v>
      </c>
      <c r="H24" s="84"/>
    </row>
    <row r="25" spans="1:9" x14ac:dyDescent="0.3">
      <c r="B25" s="457" t="s">
        <v>763</v>
      </c>
      <c r="C25" s="587">
        <f>SUMIF('1.2 Budgeted Enrollment YR1'!$D$102:$D$732,B25,'1.2 Budgeted Enrollment YR1'!$G$102:$G$732)</f>
        <v>705.52222965257033</v>
      </c>
      <c r="D25" s="587">
        <f t="shared" si="1"/>
        <v>392.93238178357228</v>
      </c>
      <c r="E25" s="29">
        <f t="shared" si="2"/>
        <v>8981</v>
      </c>
      <c r="F25" s="550">
        <f t="shared" si="3"/>
        <v>3528925.7207982629</v>
      </c>
      <c r="G25" s="550">
        <f t="shared" si="0"/>
        <v>5001.8632616807245</v>
      </c>
      <c r="H25" s="40"/>
    </row>
    <row r="26" spans="1:9" x14ac:dyDescent="0.3">
      <c r="B26" s="457" t="s">
        <v>764</v>
      </c>
      <c r="C26" s="587">
        <f>SUMIF('1.2 Budgeted Enrollment YR1'!$D$102:$D$732,B26,'1.2 Budgeted Enrollment YR1'!$G$102:$G$732)</f>
        <v>11.631489870000001</v>
      </c>
      <c r="D26" s="587">
        <f t="shared" si="1"/>
        <v>30.123646688184685</v>
      </c>
      <c r="E26" s="29">
        <f t="shared" si="2"/>
        <v>8981</v>
      </c>
      <c r="F26" s="550">
        <f t="shared" si="3"/>
        <v>270540.47090658668</v>
      </c>
      <c r="G26" s="550">
        <f t="shared" si="0"/>
        <v>23259.313633102673</v>
      </c>
      <c r="H26" s="40"/>
    </row>
    <row r="27" spans="1:9" x14ac:dyDescent="0.3">
      <c r="B27" s="457" t="s">
        <v>765</v>
      </c>
      <c r="C27" s="587">
        <f>SUMIF('1.2 Budgeted Enrollment YR1'!$D$102:$D$732,B27,'1.2 Budgeted Enrollment YR1'!$G$102:$G$732)</f>
        <v>2300.7290819333821</v>
      </c>
      <c r="D27" s="587">
        <f t="shared" si="1"/>
        <v>517.16764361218702</v>
      </c>
      <c r="E27" s="29">
        <f t="shared" si="2"/>
        <v>8981</v>
      </c>
      <c r="F27" s="550">
        <f t="shared" si="3"/>
        <v>4644682.6072810516</v>
      </c>
      <c r="G27" s="550">
        <f t="shared" si="0"/>
        <v>2018.7872808466282</v>
      </c>
      <c r="H27" s="40"/>
    </row>
    <row r="28" spans="1:9" x14ac:dyDescent="0.3">
      <c r="B28" s="457" t="s">
        <v>766</v>
      </c>
      <c r="C28" s="587">
        <f>SUMIF('1.2 Budgeted Enrollment YR1'!$D$102:$D$732,B28,'1.2 Budgeted Enrollment YR1'!$G$102:$G$732)</f>
        <v>1758.0672210828475</v>
      </c>
      <c r="D28" s="587">
        <f t="shared" si="1"/>
        <v>528.08180007085093</v>
      </c>
      <c r="E28" s="29">
        <f t="shared" si="2"/>
        <v>8981</v>
      </c>
      <c r="F28" s="550">
        <f t="shared" si="3"/>
        <v>4742702.6464363122</v>
      </c>
      <c r="G28" s="550">
        <f t="shared" si="0"/>
        <v>2697.6799234759274</v>
      </c>
      <c r="H28" s="40"/>
    </row>
    <row r="29" spans="1:9" x14ac:dyDescent="0.3">
      <c r="B29" s="457" t="s">
        <v>767</v>
      </c>
      <c r="C29" s="587">
        <f>SUMIF('1.2 Budgeted Enrollment YR1'!$D$102:$D$732,B29,'1.2 Budgeted Enrollment YR1'!$G$102:$G$732)</f>
        <v>290.99775254532483</v>
      </c>
      <c r="D29" s="587">
        <f t="shared" si="1"/>
        <v>234.48550366209349</v>
      </c>
      <c r="E29" s="29">
        <f t="shared" si="2"/>
        <v>8981</v>
      </c>
      <c r="F29" s="550">
        <f t="shared" si="3"/>
        <v>2105914.3083892618</v>
      </c>
      <c r="G29" s="550">
        <f t="shared" si="0"/>
        <v>7236.8748210907634</v>
      </c>
      <c r="H29" s="40"/>
    </row>
    <row r="30" spans="1:9" x14ac:dyDescent="0.3">
      <c r="B30" s="858" t="s">
        <v>768</v>
      </c>
      <c r="C30" s="906">
        <f>SUMIF('1.2 Budgeted Enrollment YR1'!$D$102:$D$732,B30,'1.2 Budgeted Enrollment YR1'!$G$102:$G$732)</f>
        <v>9.3014798368241749</v>
      </c>
      <c r="D30" s="906">
        <f t="shared" si="1"/>
        <v>30.547710258737443</v>
      </c>
      <c r="E30" s="201">
        <f t="shared" si="2"/>
        <v>8981</v>
      </c>
      <c r="F30" s="577">
        <f t="shared" si="3"/>
        <v>274348.98583372094</v>
      </c>
      <c r="G30" s="577">
        <f t="shared" si="0"/>
        <v>29495.19760797466</v>
      </c>
      <c r="H30" s="40"/>
    </row>
    <row r="31" spans="1:9" s="4" customFormat="1" x14ac:dyDescent="0.3">
      <c r="B31" s="4" t="s">
        <v>828</v>
      </c>
      <c r="C31" s="618">
        <f>SUM(C20:C30)</f>
        <v>293209.8105705881</v>
      </c>
      <c r="D31" s="618">
        <f>SUMPRODUCT(C20:C30,D20:D30)/C31</f>
        <v>11.830212127481692</v>
      </c>
      <c r="F31" s="553">
        <f>SUM(F20:F30)</f>
        <v>23289162.715113264</v>
      </c>
      <c r="G31" s="619">
        <f>F31/C31</f>
        <v>79.428320184077094</v>
      </c>
      <c r="H31" s="85"/>
    </row>
    <row r="32" spans="1:9" x14ac:dyDescent="0.3">
      <c r="C32" s="83"/>
      <c r="D32" s="83"/>
      <c r="H32" s="40"/>
    </row>
    <row r="33" spans="1:9" x14ac:dyDescent="0.3">
      <c r="A33" s="4" t="s">
        <v>3</v>
      </c>
      <c r="B33" s="457" t="s">
        <v>769</v>
      </c>
      <c r="C33" s="587">
        <f>SUMIF('1.2 Budgeted Enrollment YR1'!$D$102:$D$732,'2.4 District Size Adj. YR1'!$B33,'1.2 Budgeted Enrollment YR1'!$G$102:$G$732)</f>
        <v>4849.9630196428416</v>
      </c>
      <c r="D33" s="587">
        <f>IF(C33=0,0,(IF($C$9+($D$9*$C33)&lt;1,1,IF($C33&lt;=$B$7,$C$7*($C33^$D$7),IF($C33&lt;=$B$8,$C$8+($D$8*LN($C33)),$C$9+($C33*$D$9))))*C33-C33))</f>
        <v>380.16587496354623</v>
      </c>
      <c r="E33" s="29">
        <f>$E$11</f>
        <v>8981</v>
      </c>
      <c r="F33" s="550">
        <f>D33*E33</f>
        <v>3414269.7230476085</v>
      </c>
      <c r="G33" s="550">
        <f>F33/C33</f>
        <v>703.97850647921859</v>
      </c>
      <c r="H33" s="40"/>
    </row>
    <row r="34" spans="1:9" x14ac:dyDescent="0.3">
      <c r="B34" s="457" t="s">
        <v>812</v>
      </c>
      <c r="C34" s="587">
        <f>SUMIF('1.2 Budgeted Enrollment YR1'!$D$102:$D$732,'2.4 District Size Adj. YR1'!$B34,'1.2 Budgeted Enrollment YR1'!$G$102:$G$732)</f>
        <v>22.372530592186774</v>
      </c>
      <c r="D34" s="587">
        <f>IF(C34=0,0,(IF($C$9+($D$9*$C34)&lt;1,1,IF($C34&lt;=$B$7,$C$7*($C34^$D$7),IF($C34&lt;=$B$8,$C$8+($D$8*LN($C34)),$C$9+($C34*$D$9))))*C34-C34))</f>
        <v>34.156112832371974</v>
      </c>
      <c r="E34" s="29">
        <f>$E$11</f>
        <v>8981</v>
      </c>
      <c r="F34" s="550">
        <f>D34*E34</f>
        <v>306756.04934753268</v>
      </c>
      <c r="G34" s="550">
        <f>F34/C34</f>
        <v>13711.280808558242</v>
      </c>
      <c r="H34" s="40"/>
    </row>
    <row r="35" spans="1:9" x14ac:dyDescent="0.3">
      <c r="B35" s="858" t="s">
        <v>770</v>
      </c>
      <c r="C35" s="906">
        <f>SUMIF('1.2 Budgeted Enrollment YR1'!$D$102:$D$732,'2.4 District Size Adj. YR1'!$B35,'1.2 Budgeted Enrollment YR1'!$G$102:$G$732)</f>
        <v>293.14082085806018</v>
      </c>
      <c r="D35" s="906">
        <f>IF(C35=0,0,(IF($C$9+($D$9*$C35)&lt;1,1,IF($C35&lt;=$B$7,$C$7*($C35^$D$7),IF($C35&lt;=$B$8,$C$8+($D$8*LN($C35)),$C$9+($C35*$D$9))))*C35-C35))</f>
        <v>235.60797028699329</v>
      </c>
      <c r="E35" s="201">
        <f>$E$11</f>
        <v>8981</v>
      </c>
      <c r="F35" s="577">
        <f>D35*E35</f>
        <v>2115995.1811474869</v>
      </c>
      <c r="G35" s="577">
        <f>F35/C35</f>
        <v>7218.3572896934038</v>
      </c>
      <c r="H35" s="40"/>
    </row>
    <row r="36" spans="1:9" s="4" customFormat="1" x14ac:dyDescent="0.3">
      <c r="B36" s="4" t="s">
        <v>829</v>
      </c>
      <c r="C36" s="618">
        <f>SUM(C33:C35)</f>
        <v>5165.4763710930893</v>
      </c>
      <c r="D36" s="618">
        <f>SUMPRODUCT(C33:C35,D33:D35)/C36</f>
        <v>370.46358746353093</v>
      </c>
      <c r="F36" s="553">
        <f>SUM(F33:F35)</f>
        <v>5837020.9535426283</v>
      </c>
      <c r="G36" s="554">
        <f>F36/C36</f>
        <v>1130.0063216255562</v>
      </c>
      <c r="H36" s="85"/>
    </row>
    <row r="37" spans="1:9" x14ac:dyDescent="0.3">
      <c r="C37" s="83"/>
      <c r="D37" s="83"/>
      <c r="H37" s="40"/>
    </row>
    <row r="38" spans="1:9" x14ac:dyDescent="0.3">
      <c r="A38" s="4" t="s">
        <v>4</v>
      </c>
      <c r="B38" s="457" t="s">
        <v>771</v>
      </c>
      <c r="C38" s="587">
        <f>SUMIF('1.2 Budgeted Enrollment YR1'!$D$102:$D$732,'2.4 District Size Adj. YR1'!$B38,'1.2 Budgeted Enrollment YR1'!$G$102:$G$732)</f>
        <v>317.0008236903758</v>
      </c>
      <c r="D38" s="587">
        <f t="shared" ref="D38:D48" si="4">IF(C38=0,0,(IF($C$9+($D$9*$C38)&lt;1,1,IF($C38&lt;=$B$7,$C$7*($C38^$D$7),IF($C38&lt;=$B$8,$C$8+($D$8*LN($C38)),$C$9+($C38*$D$9))))*C38-C38))</f>
        <v>247.81471914983649</v>
      </c>
      <c r="E38" s="29">
        <f t="shared" ref="E38:E48" si="5">$E$11</f>
        <v>8981</v>
      </c>
      <c r="F38" s="550">
        <f t="shared" ref="F38:F48" si="6">D38*E38</f>
        <v>2225623.9926846814</v>
      </c>
      <c r="G38" s="550">
        <f t="shared" ref="G38:G48" si="7">F38/C38</f>
        <v>7020.8776329821621</v>
      </c>
      <c r="H38" s="40"/>
      <c r="I38" s="406"/>
    </row>
    <row r="39" spans="1:9" x14ac:dyDescent="0.3">
      <c r="B39" s="457" t="s">
        <v>4</v>
      </c>
      <c r="C39" s="587">
        <f>SUMIF('1.2 Budgeted Enrollment YR1'!$D$102:$D$732,'2.4 District Size Adj. YR1'!$B39,'1.2 Budgeted Enrollment YR1'!$G$102:$G$732)</f>
        <v>4786.201540037212</v>
      </c>
      <c r="D39" s="587">
        <f t="shared" si="4"/>
        <v>375.69739048471183</v>
      </c>
      <c r="E39" s="29">
        <f t="shared" si="5"/>
        <v>8981</v>
      </c>
      <c r="F39" s="550">
        <f t="shared" si="6"/>
        <v>3374138.2639431967</v>
      </c>
      <c r="G39" s="550">
        <f t="shared" si="7"/>
        <v>704.97204008608537</v>
      </c>
      <c r="H39" s="40"/>
      <c r="I39" s="406"/>
    </row>
    <row r="40" spans="1:9" x14ac:dyDescent="0.3">
      <c r="B40" s="479" t="s">
        <v>772</v>
      </c>
      <c r="C40" s="587">
        <f>SUMIF('1.2 Budgeted Enrollment YR1'!$D$102:$D$732,'2.4 District Size Adj. YR1'!$B40,'1.2 Budgeted Enrollment YR1'!$G$102:$G$732)</f>
        <v>4.4281422184999997</v>
      </c>
      <c r="D40" s="587">
        <f t="shared" si="4"/>
        <v>29.695267996909593</v>
      </c>
      <c r="E40" s="29">
        <f t="shared" si="5"/>
        <v>8981</v>
      </c>
      <c r="F40" s="550">
        <f t="shared" si="6"/>
        <v>266693.20188024506</v>
      </c>
      <c r="G40" s="550">
        <f t="shared" si="7"/>
        <v>60226.882679162321</v>
      </c>
      <c r="H40" s="40"/>
      <c r="I40" s="406"/>
    </row>
    <row r="41" spans="1:9" x14ac:dyDescent="0.3">
      <c r="B41" s="457" t="s">
        <v>773</v>
      </c>
      <c r="C41" s="587">
        <f>SUMIF('1.2 Budgeted Enrollment YR1'!$D$102:$D$732,'2.4 District Size Adj. YR1'!$B41,'1.2 Budgeted Enrollment YR1'!$G$102:$G$732)</f>
        <v>123.83567950661407</v>
      </c>
      <c r="D41" s="587">
        <f t="shared" si="4"/>
        <v>129.51645535859933</v>
      </c>
      <c r="E41" s="29">
        <f t="shared" si="5"/>
        <v>8981</v>
      </c>
      <c r="F41" s="550">
        <f t="shared" si="6"/>
        <v>1163187.2855755806</v>
      </c>
      <c r="G41" s="550">
        <f>F41/C41</f>
        <v>9392.9898895855349</v>
      </c>
      <c r="H41" s="40"/>
      <c r="I41" s="406"/>
    </row>
    <row r="42" spans="1:9" x14ac:dyDescent="0.3">
      <c r="B42" s="457" t="s">
        <v>813</v>
      </c>
      <c r="C42" s="587">
        <f>SUMIF('1.2 Budgeted Enrollment YR1'!$D$102:$D$732,'2.4 District Size Adj. YR1'!$B42,'1.2 Budgeted Enrollment YR1'!$G$102:$G$732)</f>
        <v>10.637126500000001</v>
      </c>
      <c r="D42" s="587">
        <f>IF(C42=0,0,(IF($C$9+($D$9*$C42)&lt;1,1,IF($C42&lt;=$B$7,$C$7*($C42^$D$7),IF($C42&lt;=$B$8,$C$8+($D$8*LN($C42)),$C$9+($C42*$D$9))))*C42-C42))</f>
        <v>30.345369447449293</v>
      </c>
      <c r="E42" s="29">
        <f>$E$11</f>
        <v>8981</v>
      </c>
      <c r="F42" s="550">
        <f>D42*E42</f>
        <v>272531.76300754212</v>
      </c>
      <c r="G42" s="550">
        <f>F42/C42</f>
        <v>25620.806804125354</v>
      </c>
      <c r="H42" s="40"/>
      <c r="I42" s="406"/>
    </row>
    <row r="43" spans="1:9" x14ac:dyDescent="0.3">
      <c r="B43" s="479" t="s">
        <v>774</v>
      </c>
      <c r="C43" s="587">
        <f>SUMIF('1.2 Budgeted Enrollment YR1'!$D$102:$D$732,'2.4 District Size Adj. YR1'!$B43,'1.2 Budgeted Enrollment YR1'!$G$102:$G$732)</f>
        <v>9.4904639829999997</v>
      </c>
      <c r="D43" s="587">
        <f t="shared" si="4"/>
        <v>30.526597723746839</v>
      </c>
      <c r="E43" s="29">
        <f t="shared" si="5"/>
        <v>8981</v>
      </c>
      <c r="F43" s="550">
        <f t="shared" si="6"/>
        <v>274159.37415697036</v>
      </c>
      <c r="G43" s="550">
        <f>F43/C43</f>
        <v>28887.878890649004</v>
      </c>
      <c r="H43" s="40"/>
      <c r="I43" s="406"/>
    </row>
    <row r="44" spans="1:9" x14ac:dyDescent="0.3">
      <c r="B44" s="457" t="s">
        <v>775</v>
      </c>
      <c r="C44" s="587">
        <f>SUMIF('1.2 Budgeted Enrollment YR1'!$D$102:$D$732,'2.4 District Size Adj. YR1'!$B44,'1.2 Budgeted Enrollment YR1'!$G$102:$G$732)</f>
        <v>219.54276313472005</v>
      </c>
      <c r="D44" s="587">
        <f t="shared" si="4"/>
        <v>194.28991902136167</v>
      </c>
      <c r="E44" s="29">
        <f t="shared" si="5"/>
        <v>8981</v>
      </c>
      <c r="F44" s="550">
        <f t="shared" si="6"/>
        <v>1744917.7627308492</v>
      </c>
      <c r="G44" s="550">
        <f>F44/C44</f>
        <v>7947.9630201251466</v>
      </c>
      <c r="H44" s="40"/>
      <c r="I44" s="406"/>
    </row>
    <row r="45" spans="1:9" x14ac:dyDescent="0.3">
      <c r="B45" s="479" t="s">
        <v>776</v>
      </c>
      <c r="C45" s="587">
        <f>SUMIF('1.2 Budgeted Enrollment YR1'!$D$102:$D$732,'2.4 District Size Adj. YR1'!$B45,'1.2 Budgeted Enrollment YR1'!$G$102:$G$732)</f>
        <v>10.228566347999999</v>
      </c>
      <c r="D45" s="587">
        <f t="shared" si="4"/>
        <v>30.419829113139649</v>
      </c>
      <c r="E45" s="29">
        <f t="shared" si="5"/>
        <v>8981</v>
      </c>
      <c r="F45" s="550">
        <f t="shared" si="6"/>
        <v>273200.48526510719</v>
      </c>
      <c r="G45" s="550">
        <f t="shared" si="7"/>
        <v>26709.557915565198</v>
      </c>
      <c r="H45" s="40"/>
      <c r="I45" s="406"/>
    </row>
    <row r="46" spans="1:9" x14ac:dyDescent="0.3">
      <c r="B46" s="457" t="s">
        <v>777</v>
      </c>
      <c r="C46" s="587">
        <f>SUMIF('1.2 Budgeted Enrollment YR1'!$D$102:$D$732,'2.4 District Size Adj. YR1'!$B46,'1.2 Budgeted Enrollment YR1'!$G$102:$G$732)</f>
        <v>3073.2301954442942</v>
      </c>
      <c r="D46" s="587">
        <f t="shared" si="4"/>
        <v>440.80528310093359</v>
      </c>
      <c r="E46" s="29">
        <f t="shared" si="5"/>
        <v>8981</v>
      </c>
      <c r="F46" s="550">
        <f t="shared" si="6"/>
        <v>3958872.2475294848</v>
      </c>
      <c r="G46" s="550">
        <f t="shared" si="7"/>
        <v>1288.1795361109141</v>
      </c>
      <c r="H46" s="40"/>
      <c r="I46" s="406"/>
    </row>
    <row r="47" spans="1:9" x14ac:dyDescent="0.3">
      <c r="B47" s="457" t="s">
        <v>778</v>
      </c>
      <c r="C47" s="587">
        <f>SUMIF('1.2 Budgeted Enrollment YR1'!$D$102:$D$732,'2.4 District Size Adj. YR1'!$B47,'1.2 Budgeted Enrollment YR1'!$G$102:$G$732)</f>
        <v>729.05929763533868</v>
      </c>
      <c r="D47" s="587">
        <f t="shared" si="4"/>
        <v>399.31804402645071</v>
      </c>
      <c r="E47" s="29">
        <f t="shared" si="5"/>
        <v>8981</v>
      </c>
      <c r="F47" s="550">
        <f t="shared" si="6"/>
        <v>3586275.3534015538</v>
      </c>
      <c r="G47" s="550">
        <f t="shared" si="7"/>
        <v>4919.0448088837611</v>
      </c>
      <c r="H47" s="40"/>
      <c r="I47" s="406"/>
    </row>
    <row r="48" spans="1:9" x14ac:dyDescent="0.3">
      <c r="B48" s="858" t="s">
        <v>779</v>
      </c>
      <c r="C48" s="906">
        <f>SUMIF('1.2 Budgeted Enrollment YR1'!$D$102:$D$732,'2.4 District Size Adj. YR1'!$B48,'1.2 Budgeted Enrollment YR1'!$G$102:$G$732)</f>
        <v>524.94115689698185</v>
      </c>
      <c r="D48" s="906">
        <f t="shared" si="4"/>
        <v>335.97104658797446</v>
      </c>
      <c r="E48" s="201">
        <f t="shared" si="5"/>
        <v>8981</v>
      </c>
      <c r="F48" s="577">
        <f t="shared" si="6"/>
        <v>3017355.9694065987</v>
      </c>
      <c r="G48" s="577">
        <f t="shared" si="7"/>
        <v>5747.9889503096174</v>
      </c>
      <c r="H48" s="40"/>
      <c r="I48" s="406"/>
    </row>
    <row r="49" spans="1:9" s="4" customFormat="1" x14ac:dyDescent="0.3">
      <c r="B49" s="4" t="s">
        <v>830</v>
      </c>
      <c r="C49" s="618">
        <f>SUM(C38:C48)</f>
        <v>9808.5957553950375</v>
      </c>
      <c r="D49" s="618">
        <f>SUMPRODUCT(C38:C48,D38:D48)/C49</f>
        <v>383.20035923872052</v>
      </c>
      <c r="F49" s="553">
        <f>SUM(F38:F48)</f>
        <v>20156955.699581809</v>
      </c>
      <c r="G49" s="554">
        <f>F49/C49</f>
        <v>2055.0297109038106</v>
      </c>
      <c r="H49" s="85"/>
    </row>
    <row r="50" spans="1:9" x14ac:dyDescent="0.3">
      <c r="C50" s="620"/>
      <c r="D50" s="620"/>
      <c r="H50" s="40"/>
    </row>
    <row r="51" spans="1:9" x14ac:dyDescent="0.3">
      <c r="A51" s="4" t="s">
        <v>889</v>
      </c>
      <c r="B51" s="457" t="s">
        <v>781</v>
      </c>
      <c r="C51" s="587">
        <f>SUMIF('1.2 Budgeted Enrollment YR1'!$D$102:$D$732,'2.4 District Size Adj. YR1'!$B51,'1.2 Budgeted Enrollment YR1'!$G$102:$G$732)</f>
        <v>50.045110397982704</v>
      </c>
      <c r="D51" s="587">
        <f>IF(C51=0,0,(IF($C$9+($D$9*$C51)&lt;1,1,IF($C51&lt;=$B$7,$C$7*($C51^$D$7),IF($C51&lt;=$B$8,$C$8+($D$8*LN($C51)),$C$9+($C51*$D$9))))*C51-C51))</f>
        <v>65.082071101546347</v>
      </c>
      <c r="E51" s="29">
        <f>$E$11</f>
        <v>8981</v>
      </c>
      <c r="F51" s="550">
        <f>D51*E51</f>
        <v>584502.08056298771</v>
      </c>
      <c r="G51" s="550">
        <f>F51/C51</f>
        <v>11679.504269542958</v>
      </c>
      <c r="H51" s="40"/>
      <c r="I51" s="406"/>
    </row>
    <row r="52" spans="1:9" x14ac:dyDescent="0.3">
      <c r="B52" s="457" t="s">
        <v>782</v>
      </c>
      <c r="C52" s="587">
        <f>SUMIF('1.2 Budgeted Enrollment YR1'!$D$102:$D$732,'2.4 District Size Adj. YR1'!$B52,'1.2 Budgeted Enrollment YR1'!$G$102:$G$732)</f>
        <v>21.413458903862022</v>
      </c>
      <c r="D52" s="587">
        <f>IF(C52=0,0,(IF($C$9+($D$9*$C52)&lt;1,1,IF($C52&lt;=$B$7,$C$7*($C52^$D$7),IF($C52&lt;=$B$8,$C$8+($D$8*LN($C52)),$C$9+($C52*$D$9))))*C52-C52))</f>
        <v>32.955537660357734</v>
      </c>
      <c r="E52" s="29">
        <f>$E$11</f>
        <v>8981</v>
      </c>
      <c r="F52" s="550">
        <f>D52*E52</f>
        <v>295973.68372767279</v>
      </c>
      <c r="G52" s="550">
        <f>F52/C52</f>
        <v>13821.853118474592</v>
      </c>
      <c r="H52" s="40"/>
      <c r="I52" s="406"/>
    </row>
    <row r="53" spans="1:9" x14ac:dyDescent="0.3">
      <c r="B53" s="858" t="s">
        <v>780</v>
      </c>
      <c r="C53" s="906">
        <f>SUMIF('1.2 Budgeted Enrollment YR1'!$D$102:$D$732,'2.4 District Size Adj. YR1'!$B53,'1.2 Budgeted Enrollment YR1'!$G$102:$G$732)</f>
        <v>5.8566528020000002</v>
      </c>
      <c r="D53" s="906">
        <f>IF(C53=0,0,(IF($C$9+($D$9*$C53)&lt;1,1,IF($C53&lt;=$B$7,$C$7*($C53^$D$7),IF($C53&lt;=$B$8,$C$8+($D$8*LN($C53)),$C$9+($C53*$D$9))))*C53-C53))</f>
        <v>30.320206590374433</v>
      </c>
      <c r="E53" s="201">
        <f>$E$11</f>
        <v>8981</v>
      </c>
      <c r="F53" s="577">
        <f>D53*E53</f>
        <v>272305.7753881528</v>
      </c>
      <c r="G53" s="577">
        <f>F53/C53</f>
        <v>46495.120095758888</v>
      </c>
      <c r="H53" s="40"/>
      <c r="I53" s="406"/>
    </row>
    <row r="54" spans="1:9" s="4" customFormat="1" x14ac:dyDescent="0.3">
      <c r="B54" s="4" t="s">
        <v>831</v>
      </c>
      <c r="C54" s="618">
        <f>SUM(C51:C53)</f>
        <v>77.315222103844732</v>
      </c>
      <c r="D54" s="618">
        <f>SUMPRODUCT(C51:C53,D51:D53)/C54</f>
        <v>53.550986400514276</v>
      </c>
      <c r="F54" s="553">
        <f>SUM(F51:F53)</f>
        <v>1152781.5396788134</v>
      </c>
      <c r="G54" s="554">
        <f>F54/C54</f>
        <v>14910.149752017434</v>
      </c>
      <c r="H54" s="85"/>
    </row>
    <row r="55" spans="1:9" x14ac:dyDescent="0.3">
      <c r="C55" s="83"/>
      <c r="D55" s="83"/>
      <c r="H55" s="40"/>
    </row>
    <row r="56" spans="1:9" x14ac:dyDescent="0.3">
      <c r="A56" s="4" t="s">
        <v>6</v>
      </c>
      <c r="B56" s="457" t="s">
        <v>783</v>
      </c>
      <c r="C56" s="907">
        <f>SUMIF('1.2 Budgeted Enrollment YR1'!$D$102:$D$732,'2.4 District Size Adj. YR1'!$B56,'1.2 Budgeted Enrollment YR1'!$G$102:$G$732)</f>
        <v>35.24500215939203</v>
      </c>
      <c r="D56" s="907">
        <f t="shared" ref="D56:D65" si="8">IF(C56=0,0,(IF($C$9+($D$9*$C56)&lt;1,1,IF($C56&lt;=$B$7,$C$7*($C56^$D$7),IF($C56&lt;=$B$8,$C$8+($D$8*LN($C56)),$C$9+($C56*$D$9))))*C56-C56))</f>
        <v>49.307300894905239</v>
      </c>
      <c r="E56" s="208">
        <f>$E$11</f>
        <v>8981</v>
      </c>
      <c r="F56" s="570">
        <f>D56*E56</f>
        <v>442828.86933714396</v>
      </c>
      <c r="G56" s="570">
        <f>F56/C56</f>
        <v>12564.302516836126</v>
      </c>
      <c r="H56" s="40"/>
    </row>
    <row r="57" spans="1:9" x14ac:dyDescent="0.3">
      <c r="B57" s="858" t="s">
        <v>6</v>
      </c>
      <c r="C57" s="906">
        <f>SUMIF('1.2 Budgeted Enrollment YR1'!$D$102:$D$732,'2.4 District Size Adj. YR1'!$B57,'1.2 Budgeted Enrollment YR1'!$G$102:$G$732)</f>
        <v>288.45753136805604</v>
      </c>
      <c r="D57" s="906">
        <f t="shared" si="8"/>
        <v>233.14927520537185</v>
      </c>
      <c r="E57" s="201">
        <f>$E$11</f>
        <v>8981</v>
      </c>
      <c r="F57" s="577">
        <f>D57*E57</f>
        <v>2093913.6406194447</v>
      </c>
      <c r="G57" s="577">
        <f>F57/C57</f>
        <v>7259.0014574718289</v>
      </c>
      <c r="H57" s="40"/>
    </row>
    <row r="58" spans="1:9" s="4" customFormat="1" x14ac:dyDescent="0.3">
      <c r="B58" s="4" t="s">
        <v>832</v>
      </c>
      <c r="C58" s="618">
        <f>SUM(C56:C57)</f>
        <v>323.70253352744805</v>
      </c>
      <c r="D58" s="618">
        <f>SUMPRODUCT(C56:C57,D56:D57)/C58</f>
        <v>213.13240752456991</v>
      </c>
      <c r="F58" s="553">
        <f>SUM(F56:F57)</f>
        <v>2536742.5099565885</v>
      </c>
      <c r="G58" s="554">
        <f>F58/C58</f>
        <v>7836.6470670254666</v>
      </c>
      <c r="H58" s="85"/>
    </row>
    <row r="59" spans="1:9" x14ac:dyDescent="0.3">
      <c r="C59" s="83"/>
      <c r="D59" s="83"/>
      <c r="H59" s="40"/>
    </row>
    <row r="60" spans="1:9" x14ac:dyDescent="0.3">
      <c r="A60" s="4" t="s">
        <v>7</v>
      </c>
      <c r="B60" s="457" t="s">
        <v>509</v>
      </c>
      <c r="C60" s="587">
        <f>SUMIF('1.2 Budgeted Enrollment YR1'!$D$102:$D$732,'2.4 District Size Adj. YR1'!$B60,'1.2 Budgeted Enrollment YR1'!$G$102:$G$732)</f>
        <v>7.9415139064511253</v>
      </c>
      <c r="D60" s="587">
        <f t="shared" si="8"/>
        <v>30.612705161954498</v>
      </c>
      <c r="E60" s="29">
        <f t="shared" ref="E60:E65" si="9">$E$11</f>
        <v>8981</v>
      </c>
      <c r="F60" s="550">
        <f t="shared" ref="F60:F65" si="10">D60*E60</f>
        <v>274932.70505951333</v>
      </c>
      <c r="G60" s="550">
        <f t="shared" ref="G60:G65" si="11">F60/C60</f>
        <v>34619.684394958676</v>
      </c>
      <c r="H60" s="40"/>
    </row>
    <row r="61" spans="1:9" x14ac:dyDescent="0.3">
      <c r="B61" s="457" t="s">
        <v>512</v>
      </c>
      <c r="C61" s="587">
        <f>SUMIF('1.2 Budgeted Enrollment YR1'!$D$102:$D$732,'2.4 District Size Adj. YR1'!$B61,'1.2 Budgeted Enrollment YR1'!$G$102:$G$732)</f>
        <v>5.9849289500000005</v>
      </c>
      <c r="D61" s="587">
        <f t="shared" si="8"/>
        <v>30.356119416994954</v>
      </c>
      <c r="E61" s="29">
        <f t="shared" si="9"/>
        <v>8981</v>
      </c>
      <c r="F61" s="550">
        <f t="shared" si="10"/>
        <v>272628.3084840317</v>
      </c>
      <c r="G61" s="550">
        <f t="shared" si="11"/>
        <v>45552.472011222737</v>
      </c>
      <c r="H61" s="40"/>
    </row>
    <row r="62" spans="1:9" x14ac:dyDescent="0.3">
      <c r="B62" s="457" t="s">
        <v>814</v>
      </c>
      <c r="C62" s="587">
        <f>SUMIF('1.2 Budgeted Enrollment YR1'!$D$102:$D$732,'2.4 District Size Adj. YR1'!$B62,'1.2 Budgeted Enrollment YR1'!$G$102:$G$732)</f>
        <v>97.480759125800049</v>
      </c>
      <c r="D62" s="587">
        <f t="shared" si="8"/>
        <v>108.50748434982425</v>
      </c>
      <c r="E62" s="29">
        <f t="shared" si="9"/>
        <v>8981</v>
      </c>
      <c r="F62" s="550">
        <f t="shared" si="10"/>
        <v>974505.71694577159</v>
      </c>
      <c r="G62" s="550">
        <f t="shared" si="11"/>
        <v>9996.9032420865806</v>
      </c>
      <c r="H62" s="40"/>
    </row>
    <row r="63" spans="1:9" x14ac:dyDescent="0.3">
      <c r="B63" s="457" t="s">
        <v>815</v>
      </c>
      <c r="C63" s="587">
        <f>SUMIF('1.2 Budgeted Enrollment YR1'!$D$102:$D$732,'2.4 District Size Adj. YR1'!$B63,'1.2 Budgeted Enrollment YR1'!$G$102:$G$732)</f>
        <v>37.723535850000005</v>
      </c>
      <c r="D63" s="587">
        <f t="shared" si="8"/>
        <v>52.054335234473157</v>
      </c>
      <c r="E63" s="29">
        <f t="shared" si="9"/>
        <v>8981</v>
      </c>
      <c r="F63" s="550">
        <f t="shared" si="10"/>
        <v>467499.98474080343</v>
      </c>
      <c r="G63" s="550">
        <f t="shared" si="11"/>
        <v>12392.793363796076</v>
      </c>
      <c r="H63" s="40"/>
    </row>
    <row r="64" spans="1:9" x14ac:dyDescent="0.3">
      <c r="B64" s="457" t="s">
        <v>784</v>
      </c>
      <c r="C64" s="587">
        <f>SUMIF('1.2 Budgeted Enrollment YR1'!$D$102:$D$732,'2.4 District Size Adj. YR1'!$B64,'1.2 Budgeted Enrollment YR1'!$G$102:$G$732)</f>
        <v>29.646662784839101</v>
      </c>
      <c r="D64" s="587">
        <f t="shared" si="8"/>
        <v>42.916294764239019</v>
      </c>
      <c r="E64" s="29">
        <f t="shared" si="9"/>
        <v>8981</v>
      </c>
      <c r="F64" s="550">
        <f t="shared" si="10"/>
        <v>385431.24327763065</v>
      </c>
      <c r="G64" s="550">
        <f t="shared" si="11"/>
        <v>13000.830686236122</v>
      </c>
      <c r="H64" s="40"/>
    </row>
    <row r="65" spans="1:9" x14ac:dyDescent="0.3">
      <c r="B65" s="858" t="s">
        <v>816</v>
      </c>
      <c r="C65" s="906">
        <f>SUMIF('1.2 Budgeted Enrollment YR1'!$D$102:$D$732,'2.4 District Size Adj. YR1'!$B65,'1.2 Budgeted Enrollment YR1'!$G$102:$G$732)</f>
        <v>3003.8451716276204</v>
      </c>
      <c r="D65" s="906">
        <f t="shared" si="8"/>
        <v>450.12854106582517</v>
      </c>
      <c r="E65" s="201">
        <f t="shared" si="9"/>
        <v>8981</v>
      </c>
      <c r="F65" s="577">
        <f t="shared" si="10"/>
        <v>4042604.4273121757</v>
      </c>
      <c r="G65" s="577">
        <f t="shared" si="11"/>
        <v>1345.8098524837444</v>
      </c>
      <c r="H65" s="40"/>
    </row>
    <row r="66" spans="1:9" s="4" customFormat="1" x14ac:dyDescent="0.3">
      <c r="B66" s="4" t="s">
        <v>834</v>
      </c>
      <c r="C66" s="618">
        <f>SUM(C60:C65)</f>
        <v>3182.6225722447107</v>
      </c>
      <c r="D66" s="618">
        <f>SUMPRODUCT(C60:C65,D60:D65)/C66</f>
        <v>429.31720446380314</v>
      </c>
      <c r="F66" s="553">
        <f>SUM(F60:F65)</f>
        <v>6417602.3858199269</v>
      </c>
      <c r="G66" s="554">
        <f>F66/C66</f>
        <v>2016.4509740448354</v>
      </c>
      <c r="H66" s="85"/>
    </row>
    <row r="67" spans="1:9" x14ac:dyDescent="0.3">
      <c r="C67" s="620"/>
      <c r="E67" s="40"/>
    </row>
    <row r="68" spans="1:9" x14ac:dyDescent="0.3">
      <c r="A68" s="4" t="s">
        <v>817</v>
      </c>
      <c r="B68" s="457" t="s">
        <v>785</v>
      </c>
      <c r="C68" s="587">
        <f>SUMIF('1.2 Budgeted Enrollment YR1'!$D$102:$D$732,'2.4 District Size Adj. YR1'!$B68,'1.2 Budgeted Enrollment YR1'!$G$102:$G$732)</f>
        <v>9.3593137463075244</v>
      </c>
      <c r="D68" s="587">
        <f>IF(C68=0,0,(IF($C$9+($D$9*$C68)&lt;1,1,IF($C68&lt;=$B$7,$C$7*($C68^$D$7),IF($C68&lt;=$B$8,$C$8+($D$8*LN($C68)),$C$9+($C68*$D$9))))*C68-C68))</f>
        <v>30.541533560086233</v>
      </c>
      <c r="E68" s="29">
        <f>$E$11</f>
        <v>8981</v>
      </c>
      <c r="F68" s="550">
        <f>D68*E68</f>
        <v>274293.51290313445</v>
      </c>
      <c r="G68" s="550">
        <f>F68/C68</f>
        <v>29307.011212371192</v>
      </c>
    </row>
    <row r="69" spans="1:9" x14ac:dyDescent="0.3">
      <c r="B69" s="858" t="s">
        <v>786</v>
      </c>
      <c r="C69" s="906">
        <f>SUMIF('1.2 Budgeted Enrollment YR1'!$D$102:$D$732,'2.4 District Size Adj. YR1'!$B69,'1.2 Budgeted Enrollment YR1'!$G$102:$G$732)</f>
        <v>993.51329480877473</v>
      </c>
      <c r="D69" s="906">
        <f>IF(C69=0,0,(IF($C$9+($D$9*$C69)&lt;1,1,IF($C69&lt;=$B$7,$C$7*($C69^$D$7),IF($C69&lt;=$B$8,$C$8+($D$8*LN($C69)),$C$9+($C69*$D$9))))*C69-C69))</f>
        <v>457.7607223543165</v>
      </c>
      <c r="E69" s="201">
        <f>$E$11</f>
        <v>8981</v>
      </c>
      <c r="F69" s="577">
        <f>D69*E69</f>
        <v>4111149.0474641165</v>
      </c>
      <c r="G69" s="577">
        <f>F69/C69</f>
        <v>4137.990975002911</v>
      </c>
    </row>
    <row r="70" spans="1:9" s="4" customFormat="1" x14ac:dyDescent="0.3">
      <c r="B70" s="4" t="s">
        <v>833</v>
      </c>
      <c r="C70" s="618">
        <f>C69+C68</f>
        <v>1002.8726085550823</v>
      </c>
      <c r="D70" s="618">
        <f>SUMPRODUCT(C68:C69,D68:D69)/C70</f>
        <v>453.77369709082956</v>
      </c>
      <c r="E70" s="5"/>
      <c r="F70" s="553">
        <f>SUM(F68:F69)</f>
        <v>4385442.5603672508</v>
      </c>
      <c r="G70" s="554">
        <f>F70/C70</f>
        <v>4372.8809850392709</v>
      </c>
      <c r="I70" s="10"/>
    </row>
    <row r="71" spans="1:9" x14ac:dyDescent="0.3">
      <c r="C71" s="83"/>
      <c r="E71" s="40"/>
    </row>
    <row r="72" spans="1:9" x14ac:dyDescent="0.3">
      <c r="A72" s="4" t="s">
        <v>9</v>
      </c>
      <c r="B72" s="457" t="s">
        <v>788</v>
      </c>
      <c r="C72" s="587">
        <f>SUMIF('1.2 Budgeted Enrollment YR1'!$D$102:$D$732,'2.4 District Size Adj. YR1'!$B72,'1.2 Budgeted Enrollment YR1'!$G$102:$G$732)</f>
        <v>308.02810698659999</v>
      </c>
      <c r="D72" s="587">
        <f>IF(C72=0,0,(IF($C$9+($D$9*$C72)&lt;1,1,IF($C72&lt;=$B$7,$C$7*($C72^$D$7),IF($C72&lt;=$B$8,$C$8+($D$8*LN($C72)),$C$9+($C72*$D$9))))*C72-C72))</f>
        <v>243.28562563701831</v>
      </c>
      <c r="E72" s="29">
        <f>$E$11</f>
        <v>8981</v>
      </c>
      <c r="F72" s="550">
        <f>D72*E72</f>
        <v>2184948.2038460616</v>
      </c>
      <c r="G72" s="550">
        <f>F72/C72</f>
        <v>7093.3403617648191</v>
      </c>
    </row>
    <row r="73" spans="1:9" x14ac:dyDescent="0.3">
      <c r="A73" s="4"/>
      <c r="B73" s="457" t="s">
        <v>787</v>
      </c>
      <c r="C73" s="587">
        <f>SUMIF('1.2 Budgeted Enrollment YR1'!$D$102:$D$732,'2.4 District Size Adj. YR1'!$B73,'1.2 Budgeted Enrollment YR1'!$G$102:$G$732)</f>
        <v>111.89961017235001</v>
      </c>
      <c r="D73" s="587">
        <f>IF(C73=0,0,(IF($C$9+($D$9*$C73)&lt;1,1,IF($C73&lt;=$B$7,$C$7*($C73^$D$7),IF($C73&lt;=$B$8,$C$8+($D$8*LN($C73)),$C$9+($C73*$D$9))))*C73-C73))</f>
        <v>120.21977152144905</v>
      </c>
      <c r="E73" s="29">
        <f>$E$11</f>
        <v>8981</v>
      </c>
      <c r="F73" s="550">
        <f>D73*E73</f>
        <v>1079693.7680341338</v>
      </c>
      <c r="G73" s="550">
        <f>F73/C73</f>
        <v>9648.771486970938</v>
      </c>
    </row>
    <row r="74" spans="1:9" x14ac:dyDescent="0.3">
      <c r="A74" s="4"/>
      <c r="B74" s="457" t="s">
        <v>789</v>
      </c>
      <c r="C74" s="587">
        <f>SUMIF('1.2 Budgeted Enrollment YR1'!$D$102:$D$732,'2.4 District Size Adj. YR1'!$B74,'1.2 Budgeted Enrollment YR1'!$G$102:$G$732)</f>
        <v>407.16793407289993</v>
      </c>
      <c r="D74" s="587">
        <f>IF(C74=0,0,(IF($C$9+($D$9*$C74)&lt;1,1,IF($C74&lt;=$B$7,$C$7*($C74^$D$7),IF($C74&lt;=$B$8,$C$8+($D$8*LN($C74)),$C$9+($C74*$D$9))))*C74-C74))</f>
        <v>289.66235225027242</v>
      </c>
      <c r="E74" s="29">
        <f>$E$11</f>
        <v>8981</v>
      </c>
      <c r="F74" s="550">
        <f>D74*E74</f>
        <v>2601457.5855596964</v>
      </c>
      <c r="G74" s="550">
        <f>F74/C74</f>
        <v>6389.1514234368169</v>
      </c>
    </row>
    <row r="75" spans="1:9" x14ac:dyDescent="0.3">
      <c r="A75" s="4"/>
      <c r="B75" s="858" t="s">
        <v>790</v>
      </c>
      <c r="C75" s="906">
        <f>SUMIF('1.2 Budgeted Enrollment YR1'!$D$102:$D$732,'2.4 District Size Adj. YR1'!$B75,'1.2 Budgeted Enrollment YR1'!$G$102:$G$732)</f>
        <v>55.923798780850007</v>
      </c>
      <c r="D75" s="906">
        <f>IF(C75=0,0,(IF($C$9+($D$9*$C75)&lt;1,1,IF($C75&lt;=$B$7,$C$7*($C75^$D$7),IF($C75&lt;=$B$8,$C$8+($D$8*LN($C75)),$C$9+($C75*$D$9))))*C75-C75))</f>
        <v>70.981773850673008</v>
      </c>
      <c r="E75" s="201">
        <f>$E$11</f>
        <v>8981</v>
      </c>
      <c r="F75" s="577">
        <f>D75*E75</f>
        <v>637487.31095289427</v>
      </c>
      <c r="G75" s="577">
        <f>F75/C75</f>
        <v>11399.213301854399</v>
      </c>
    </row>
    <row r="76" spans="1:9" s="4" customFormat="1" x14ac:dyDescent="0.3">
      <c r="B76" s="4" t="s">
        <v>833</v>
      </c>
      <c r="C76" s="618">
        <f>SUM(C72:C75)</f>
        <v>883.01945001269996</v>
      </c>
      <c r="D76" s="618">
        <f>SUMPRODUCT(C72:C75,D72:D75)/C76</f>
        <v>238.1625322858163</v>
      </c>
      <c r="E76" s="5"/>
      <c r="F76" s="553">
        <f>SUM(F72:F75)</f>
        <v>6503586.868392786</v>
      </c>
      <c r="G76" s="554">
        <f>F76/C76</f>
        <v>7365.1683077867065</v>
      </c>
      <c r="I76" s="10"/>
    </row>
    <row r="77" spans="1:9" x14ac:dyDescent="0.3">
      <c r="A77" s="4"/>
      <c r="C77" s="83"/>
      <c r="E77" s="40"/>
    </row>
    <row r="78" spans="1:9" x14ac:dyDescent="0.3">
      <c r="A78" s="4" t="s">
        <v>10</v>
      </c>
      <c r="B78" s="457" t="s">
        <v>792</v>
      </c>
      <c r="C78" s="587">
        <f>SUMIF('1.2 Budgeted Enrollment YR1'!$D$102:$D$732,'2.4 District Size Adj. YR1'!$B78,'1.2 Budgeted Enrollment YR1'!$G$102:$G$732)</f>
        <v>2368.1051317630158</v>
      </c>
      <c r="D78" s="587">
        <f>IF(C78=0,0,(IF($C$9+($D$9*$C78)&lt;1,1,IF($C78&lt;=$B$7,$C$7*($C78^$D$7),IF($C78&lt;=$B$8,$C$8+($D$8*LN($C78)),$C$9+($C78*$D$9))))*C78-C78))</f>
        <v>513.10549674265712</v>
      </c>
      <c r="E78" s="29">
        <f>$E$11</f>
        <v>8981</v>
      </c>
      <c r="F78" s="550">
        <f>D78*E78</f>
        <v>4608200.466245804</v>
      </c>
      <c r="G78" s="550">
        <f t="shared" ref="G78:G83" si="12">F78/C78</f>
        <v>1945.9442084883594</v>
      </c>
    </row>
    <row r="79" spans="1:9" x14ac:dyDescent="0.3">
      <c r="A79" s="4"/>
      <c r="B79" s="457" t="s">
        <v>791</v>
      </c>
      <c r="C79" s="587">
        <f>SUMIF('1.2 Budgeted Enrollment YR1'!$D$102:$D$732,'2.4 District Size Adj. YR1'!$B79,'1.2 Budgeted Enrollment YR1'!$G$102:$G$732)</f>
        <v>4145.9664316279104</v>
      </c>
      <c r="D79" s="587">
        <f>IF(C79=0,0,(IF($C$9+($D$9*$C79)&lt;1,1,IF($C79&lt;=$B$7,$C$7*($C79^$D$7),IF($C79&lt;=$B$8,$C$8+($D$8*LN($C79)),$C$9+($C79*$D$9))))*C79-C79))</f>
        <v>330.04690593876057</v>
      </c>
      <c r="E79" s="29">
        <f>$E$11</f>
        <v>8981</v>
      </c>
      <c r="F79" s="550">
        <f>D79*E79</f>
        <v>2964151.2622360089</v>
      </c>
      <c r="G79" s="550">
        <f t="shared" si="12"/>
        <v>714.94820595354827</v>
      </c>
    </row>
    <row r="80" spans="1:9" x14ac:dyDescent="0.3">
      <c r="A80" s="4"/>
      <c r="B80" s="457" t="s">
        <v>793</v>
      </c>
      <c r="C80" s="587">
        <f>SUMIF('1.2 Budgeted Enrollment YR1'!$D$102:$D$732,'2.4 District Size Adj. YR1'!$B80,'1.2 Budgeted Enrollment YR1'!$G$102:$G$732)</f>
        <v>1033.6009072480842</v>
      </c>
      <c r="D80" s="587">
        <f>IF(C80=0,0,(IF($C$9+($D$9*$C80)&lt;1,1,IF($C80&lt;=$B$7,$C$7*($C80^$D$7),IF($C80&lt;=$B$8,$C$8+($D$8*LN($C80)),$C$9+($C80*$D$9))))*C80-C80))</f>
        <v>464.74218575128816</v>
      </c>
      <c r="E80" s="29">
        <f>$E$11</f>
        <v>8981</v>
      </c>
      <c r="F80" s="550">
        <f>D80*E80</f>
        <v>4173849.5702323192</v>
      </c>
      <c r="G80" s="550">
        <f t="shared" si="12"/>
        <v>4038.1636093422221</v>
      </c>
    </row>
    <row r="81" spans="1:9" x14ac:dyDescent="0.3">
      <c r="A81" s="4"/>
      <c r="B81" s="457" t="s">
        <v>818</v>
      </c>
      <c r="C81" s="587">
        <f>SUMIF('1.2 Budgeted Enrollment YR1'!$D$102:$D$732,'2.4 District Size Adj. YR1'!$B81,'1.2 Budgeted Enrollment YR1'!$G$102:$G$732)</f>
        <v>204.99831442600509</v>
      </c>
      <c r="D81" s="587">
        <f>IF(C81=0,0,(IF($C$9+($D$9*$C81)&lt;1,1,IF($C81&lt;=$B$7,$C$7*($C81^$D$7),IF($C81&lt;=$B$8,$C$8+($D$8*LN($C81)),$C$9+($C81*$D$9))))*C81-C81))</f>
        <v>185.36695964243142</v>
      </c>
      <c r="E81" s="29">
        <f>$E$11</f>
        <v>8981</v>
      </c>
      <c r="F81" s="550">
        <f>D81*E81</f>
        <v>1664780.6645486767</v>
      </c>
      <c r="G81" s="550">
        <f t="shared" si="12"/>
        <v>8120.9480634514457</v>
      </c>
    </row>
    <row r="82" spans="1:9" x14ac:dyDescent="0.3">
      <c r="A82" s="4"/>
      <c r="B82" s="858" t="s">
        <v>794</v>
      </c>
      <c r="C82" s="906">
        <f>SUMIF('1.2 Budgeted Enrollment YR1'!$D$102:$D$732,'2.4 District Size Adj. YR1'!$B82,'1.2 Budgeted Enrollment YR1'!$G$102:$G$732)</f>
        <v>1283.3626667429567</v>
      </c>
      <c r="D82" s="906">
        <f>IF(C82=0,0,(IF($C$9+($D$9*$C82)&lt;1,1,IF($C82&lt;=$B$7,$C$7*($C82^$D$7),IF($C82&lt;=$B$8,$C$8+($D$8*LN($C82)),$C$9+($C82*$D$9))))*C82-C82))</f>
        <v>498.99173618071427</v>
      </c>
      <c r="E82" s="201">
        <f>$E$11</f>
        <v>8981</v>
      </c>
      <c r="F82" s="577">
        <f>D82*E82</f>
        <v>4481444.782638995</v>
      </c>
      <c r="G82" s="577">
        <f t="shared" si="12"/>
        <v>3491.955079239171</v>
      </c>
    </row>
    <row r="83" spans="1:9" s="4" customFormat="1" x14ac:dyDescent="0.3">
      <c r="B83" s="4" t="s">
        <v>835</v>
      </c>
      <c r="C83" s="618">
        <f>SUM(C78:C82)</f>
        <v>9036.0334518079726</v>
      </c>
      <c r="D83" s="618">
        <f>SUMPRODUCT(C78:C82,D78:D82)/C83</f>
        <v>414.14149218777379</v>
      </c>
      <c r="E83" s="5"/>
      <c r="F83" s="553">
        <f>SUM(F78:F82)</f>
        <v>17892426.745901801</v>
      </c>
      <c r="G83" s="554">
        <f t="shared" si="12"/>
        <v>1980.1195780568739</v>
      </c>
      <c r="I83" s="10"/>
    </row>
    <row r="84" spans="1:9" x14ac:dyDescent="0.3">
      <c r="A84" s="4"/>
      <c r="C84" s="83"/>
      <c r="E84" s="40"/>
    </row>
    <row r="85" spans="1:9" x14ac:dyDescent="0.3">
      <c r="A85" s="4" t="s">
        <v>11</v>
      </c>
      <c r="B85" s="457" t="s">
        <v>795</v>
      </c>
      <c r="C85" s="587">
        <f>SUMIF('1.2 Budgeted Enrollment YR1'!$D$102:$D$732,'2.4 District Size Adj. YR1'!$B85,'1.2 Budgeted Enrollment YR1'!$G$102:$G$732)</f>
        <v>498.18853438544193</v>
      </c>
      <c r="D85" s="587">
        <f>IF(C85=0,0,(IF($C$9+($D$9*$C85)&lt;1,1,IF($C85&lt;=$B$7,$C$7*($C85^$D$7),IF($C85&lt;=$B$8,$C$8+($D$8*LN($C85)),$C$9+($C85*$D$9))))*C85-C85))</f>
        <v>326.17151457810405</v>
      </c>
      <c r="E85" s="29">
        <f>$E$11</f>
        <v>8981</v>
      </c>
      <c r="F85" s="550">
        <f>D85*E85</f>
        <v>2929346.3724259525</v>
      </c>
      <c r="G85" s="550">
        <f>F85/C85</f>
        <v>5879.9955644092679</v>
      </c>
    </row>
    <row r="86" spans="1:9" x14ac:dyDescent="0.3">
      <c r="A86" s="4"/>
      <c r="B86" s="858" t="s">
        <v>819</v>
      </c>
      <c r="C86" s="906">
        <f>SUMIF('1.2 Budgeted Enrollment YR1'!$D$102:$D$732,'2.4 District Size Adj. YR1'!$B86,'1.2 Budgeted Enrollment YR1'!$G$102:$G$732)</f>
        <v>69.244737717255106</v>
      </c>
      <c r="D86" s="906">
        <f>IF(C86=0,0,(IF($C$9+($D$9*$C86)&lt;1,1,IF($C86&lt;=$B$7,$C$7*($C86^$D$7),IF($C86&lt;=$B$8,$C$8+($D$8*LN($C86)),$C$9+($C86*$D$9))))*C86-C86))</f>
        <v>83.732201383390276</v>
      </c>
      <c r="E86" s="201">
        <f>$E$11</f>
        <v>8981</v>
      </c>
      <c r="F86" s="577">
        <f>D86*E86</f>
        <v>751998.90062422806</v>
      </c>
      <c r="G86" s="577">
        <f>F86/C86</f>
        <v>10860.015149379899</v>
      </c>
    </row>
    <row r="87" spans="1:9" s="4" customFormat="1" x14ac:dyDescent="0.3">
      <c r="B87" s="4" t="s">
        <v>836</v>
      </c>
      <c r="C87" s="618">
        <f>SUM(C85:C86)</f>
        <v>567.43327210269706</v>
      </c>
      <c r="D87" s="618">
        <f>SUMPRODUCT(C85:C86,D85:D86)/C87</f>
        <v>296.58627966173992</v>
      </c>
      <c r="E87" s="5"/>
      <c r="F87" s="553">
        <f>SUM(F85:F86)</f>
        <v>3681345.2730501806</v>
      </c>
      <c r="G87" s="554">
        <f>F87/C87</f>
        <v>6487.7148627687648</v>
      </c>
      <c r="I87" s="10"/>
    </row>
    <row r="88" spans="1:9" x14ac:dyDescent="0.3">
      <c r="A88" s="4"/>
      <c r="C88" s="83"/>
      <c r="E88" s="40"/>
    </row>
    <row r="89" spans="1:9" x14ac:dyDescent="0.3">
      <c r="A89" s="4" t="s">
        <v>12</v>
      </c>
      <c r="B89" s="457" t="s">
        <v>796</v>
      </c>
      <c r="C89" s="587">
        <f>SUMIF('1.2 Budgeted Enrollment YR1'!$D$102:$D$732,'2.4 District Size Adj. YR1'!$B89,'1.2 Budgeted Enrollment YR1'!$G$102:$G$732)</f>
        <v>150.10767197133205</v>
      </c>
      <c r="D89" s="587">
        <f t="shared" ref="D89:D95" si="13">IF(C89=0,0,(IF($C$9+($D$9*$C89)&lt;1,1,IF($C89&lt;=$B$7,$C$7*($C89^$D$7),IF($C89&lt;=$B$8,$C$8+($D$8*LN($C89)),$C$9+($C89*$D$9))))*C89-C89))</f>
        <v>148.87826750537138</v>
      </c>
      <c r="E89" s="29">
        <f t="shared" ref="E89:E95" si="14">$E$11</f>
        <v>8981</v>
      </c>
      <c r="F89" s="550">
        <f t="shared" ref="F89:F95" si="15">D89*E89</f>
        <v>1337075.7204657404</v>
      </c>
      <c r="G89" s="550">
        <f t="shared" ref="G89:G96" si="16">F89/C89</f>
        <v>8907.4442558878582</v>
      </c>
    </row>
    <row r="90" spans="1:9" x14ac:dyDescent="0.3">
      <c r="B90" s="457" t="s">
        <v>797</v>
      </c>
      <c r="C90" s="587">
        <f>SUMIF('1.2 Budgeted Enrollment YR1'!$D$102:$D$732,'2.4 District Size Adj. YR1'!$B90,'1.2 Budgeted Enrollment YR1'!$G$102:$G$732)</f>
        <v>198.21962912892141</v>
      </c>
      <c r="D90" s="587">
        <f t="shared" si="13"/>
        <v>181.11038930201406</v>
      </c>
      <c r="E90" s="29">
        <f t="shared" si="14"/>
        <v>8981</v>
      </c>
      <c r="F90" s="550">
        <f t="shared" si="15"/>
        <v>1626552.4063213882</v>
      </c>
      <c r="G90" s="550">
        <f t="shared" si="16"/>
        <v>8205.8089477277936</v>
      </c>
    </row>
    <row r="91" spans="1:9" x14ac:dyDescent="0.3">
      <c r="B91" s="457" t="s">
        <v>798</v>
      </c>
      <c r="C91" s="587">
        <f>SUMIF('1.2 Budgeted Enrollment YR1'!$D$102:$D$732,'2.4 District Size Adj. YR1'!$B91,'1.2 Budgeted Enrollment YR1'!$G$102:$G$732)</f>
        <v>5.0041241250000006</v>
      </c>
      <c r="D91" s="587">
        <f t="shared" si="13"/>
        <v>30.002617427827065</v>
      </c>
      <c r="E91" s="29">
        <f t="shared" si="14"/>
        <v>8981</v>
      </c>
      <c r="F91" s="550">
        <f t="shared" si="15"/>
        <v>269453.50711931486</v>
      </c>
      <c r="G91" s="550">
        <f t="shared" si="16"/>
        <v>53846.287659644098</v>
      </c>
    </row>
    <row r="92" spans="1:9" x14ac:dyDescent="0.3">
      <c r="B92" s="457" t="s">
        <v>800</v>
      </c>
      <c r="C92" s="587">
        <f>SUMIF('1.2 Budgeted Enrollment YR1'!$D$102:$D$732,'2.4 District Size Adj. YR1'!$B92,'1.2 Budgeted Enrollment YR1'!$G$102:$G$732)</f>
        <v>30.725966342421351</v>
      </c>
      <c r="D92" s="587">
        <f t="shared" si="13"/>
        <v>44.169947675307476</v>
      </c>
      <c r="E92" s="29">
        <f t="shared" si="14"/>
        <v>8981</v>
      </c>
      <c r="F92" s="550">
        <f t="shared" si="15"/>
        <v>396690.30007193645</v>
      </c>
      <c r="G92" s="550">
        <f t="shared" si="16"/>
        <v>12910.588251353118</v>
      </c>
    </row>
    <row r="93" spans="1:9" x14ac:dyDescent="0.3">
      <c r="B93" s="457" t="s">
        <v>799</v>
      </c>
      <c r="C93" s="587">
        <f>SUMIF('1.2 Budgeted Enrollment YR1'!$D$102:$D$732,'2.4 District Size Adj. YR1'!$B93,'1.2 Budgeted Enrollment YR1'!$G$102:$G$732)</f>
        <v>4612.6885796058823</v>
      </c>
      <c r="D93" s="587">
        <f t="shared" si="13"/>
        <v>363.46595426703061</v>
      </c>
      <c r="E93" s="29">
        <f t="shared" si="14"/>
        <v>8981</v>
      </c>
      <c r="F93" s="550">
        <f t="shared" si="15"/>
        <v>3264287.7352722017</v>
      </c>
      <c r="G93" s="550">
        <f t="shared" si="16"/>
        <v>707.67572510848095</v>
      </c>
    </row>
    <row r="94" spans="1:9" x14ac:dyDescent="0.3">
      <c r="B94" s="457" t="s">
        <v>801</v>
      </c>
      <c r="C94" s="587">
        <f>SUMIF('1.2 Budgeted Enrollment YR1'!$D$102:$D$732,'2.4 District Size Adj. YR1'!$B94,'1.2 Budgeted Enrollment YR1'!$G$102:$G$732)</f>
        <v>274.02684920350742</v>
      </c>
      <c r="D94" s="587">
        <f t="shared" si="13"/>
        <v>225.4373587160585</v>
      </c>
      <c r="E94" s="29">
        <f t="shared" si="14"/>
        <v>8981</v>
      </c>
      <c r="F94" s="550">
        <f t="shared" si="15"/>
        <v>2024652.9186289213</v>
      </c>
      <c r="G94" s="550">
        <f t="shared" si="16"/>
        <v>7388.520228998811</v>
      </c>
    </row>
    <row r="95" spans="1:9" x14ac:dyDescent="0.3">
      <c r="B95" s="858" t="s">
        <v>802</v>
      </c>
      <c r="C95" s="906">
        <f>SUMIF('1.2 Budgeted Enrollment YR1'!$D$102:$D$732,'2.4 District Size Adj. YR1'!$B95,'1.2 Budgeted Enrollment YR1'!$G$102:$G$732)</f>
        <v>318.15068931373224</v>
      </c>
      <c r="D95" s="906">
        <f t="shared" si="13"/>
        <v>248.38992660353193</v>
      </c>
      <c r="E95" s="201">
        <f t="shared" si="14"/>
        <v>8981</v>
      </c>
      <c r="F95" s="577">
        <f t="shared" si="15"/>
        <v>2230789.9308263203</v>
      </c>
      <c r="G95" s="577">
        <f t="shared" si="16"/>
        <v>7011.7400519805615</v>
      </c>
    </row>
    <row r="96" spans="1:9" s="4" customFormat="1" x14ac:dyDescent="0.3">
      <c r="B96" s="4" t="s">
        <v>837</v>
      </c>
      <c r="C96" s="618">
        <f>SUM(C89:C95)</f>
        <v>5588.9235096907969</v>
      </c>
      <c r="D96" s="618">
        <f>SUMPRODUCT(C89:C95,D89:D95)/C96</f>
        <v>335.86276033766245</v>
      </c>
      <c r="E96" s="5"/>
      <c r="F96" s="553">
        <f>SUM(F89:F95)</f>
        <v>11149502.518705823</v>
      </c>
      <c r="G96" s="554">
        <f t="shared" si="16"/>
        <v>1994.9284507782895</v>
      </c>
      <c r="I96" s="10"/>
    </row>
    <row r="97" spans="1:9" x14ac:dyDescent="0.3">
      <c r="C97" s="83"/>
      <c r="E97" s="40"/>
    </row>
    <row r="98" spans="1:9" x14ac:dyDescent="0.3">
      <c r="A98" s="4" t="s">
        <v>820</v>
      </c>
      <c r="B98" s="457" t="s">
        <v>803</v>
      </c>
      <c r="C98" s="587">
        <f>SUMIF('1.2 Budgeted Enrollment YR1'!$D$102:$D$732,'2.4 District Size Adj. YR1'!$B98,'1.2 Budgeted Enrollment YR1'!$G$102:$G$732)</f>
        <v>16.733889585387971</v>
      </c>
      <c r="D98" s="587">
        <f>IF(C98=0,0,(IF($C$9+($D$9*$C98)&lt;1,1,IF($C98&lt;=$B$7,$C$7*($C98^$D$7),IF($C98&lt;=$B$8,$C$8+($D$8*LN($C98)),$C$9+($C98*$D$9))))*C98-C98))</f>
        <v>28.319126764341853</v>
      </c>
      <c r="E98" s="29">
        <f>$E$11</f>
        <v>8981</v>
      </c>
      <c r="F98" s="550">
        <f>D98*E98</f>
        <v>254334.07747055418</v>
      </c>
      <c r="G98" s="550">
        <f>F98/C98</f>
        <v>15198.742418656728</v>
      </c>
    </row>
    <row r="99" spans="1:9" x14ac:dyDescent="0.3">
      <c r="A99" s="4"/>
      <c r="B99" s="858" t="s">
        <v>804</v>
      </c>
      <c r="C99" s="906">
        <f>SUMIF('1.2 Budgeted Enrollment YR1'!$D$102:$D$732,'2.4 District Size Adj. YR1'!$B99,'1.2 Budgeted Enrollment YR1'!$G$102:$G$732)</f>
        <v>643.42651104887659</v>
      </c>
      <c r="D99" s="906">
        <f>IF(C99=0,0,(IF($C$9+($D$9*$C99)&lt;1,1,IF($C99&lt;=$B$7,$C$7*($C99^$D$7),IF($C99&lt;=$B$8,$C$8+($D$8*LN($C99)),$C$9+($C99*$D$9))))*C99-C99))</f>
        <v>375.00634507360053</v>
      </c>
      <c r="E99" s="201">
        <f>$E$11</f>
        <v>8981</v>
      </c>
      <c r="F99" s="577">
        <f>D99*E99</f>
        <v>3367931.9851060063</v>
      </c>
      <c r="G99" s="577">
        <f>F99/C99</f>
        <v>5234.3693137788168</v>
      </c>
    </row>
    <row r="100" spans="1:9" s="4" customFormat="1" x14ac:dyDescent="0.3">
      <c r="B100" s="4" t="s">
        <v>838</v>
      </c>
      <c r="C100" s="618">
        <f>SUM(C98:C99)</f>
        <v>660.16040063426453</v>
      </c>
      <c r="D100" s="618">
        <f>SUMPRODUCT(C98:C99,D98:D99)/C100</f>
        <v>366.21844197265938</v>
      </c>
      <c r="E100" s="5"/>
      <c r="F100" s="553">
        <f>SUM(F98:F99)</f>
        <v>3622266.0625765603</v>
      </c>
      <c r="G100" s="554">
        <f>F100/C100</f>
        <v>5486.948412986274</v>
      </c>
      <c r="I100" s="10"/>
    </row>
    <row r="101" spans="1:9" x14ac:dyDescent="0.3">
      <c r="A101" s="4"/>
      <c r="C101" s="83"/>
      <c r="E101" s="40"/>
    </row>
    <row r="102" spans="1:9" x14ac:dyDescent="0.3">
      <c r="A102" s="4" t="s">
        <v>15</v>
      </c>
      <c r="B102" s="457" t="s">
        <v>805</v>
      </c>
      <c r="C102" s="587">
        <f>SUMIF('1.2 Budgeted Enrollment YR1'!$D$102:$D$732,'2.4 District Size Adj. YR1'!$B102,'1.2 Budgeted Enrollment YR1'!$G$102:$G$732)</f>
        <v>48.883163745966556</v>
      </c>
      <c r="D102" s="587">
        <f>IF(C102=0,0,(IF($C$9+($D$9*$C102)&lt;1,1,IF($C102&lt;=$B$7,$C$7*($C102^$D$7),IF($C102&lt;=$B$8,$C$8+($D$8*LN($C102)),$C$9+($C102*$D$9))))*C102-C102))</f>
        <v>63.893683423654508</v>
      </c>
      <c r="E102" s="29">
        <f>$E$11</f>
        <v>8981</v>
      </c>
      <c r="F102" s="550">
        <f>D102*E102</f>
        <v>573829.17082784115</v>
      </c>
      <c r="G102" s="550">
        <f>F102/C102</f>
        <v>11738.789531092674</v>
      </c>
    </row>
    <row r="103" spans="1:9" x14ac:dyDescent="0.3">
      <c r="A103" s="4"/>
      <c r="B103" s="858" t="s">
        <v>806</v>
      </c>
      <c r="C103" s="906">
        <f>SUMIF('1.2 Budgeted Enrollment YR1'!$D$102:$D$732,'2.4 District Size Adj. YR1'!$B103,'1.2 Budgeted Enrollment YR1'!$G$102:$G$732)</f>
        <v>364.17128298728676</v>
      </c>
      <c r="D103" s="906">
        <f>IF(C103=0,0,(IF($C$9+($D$9*$C103)&lt;1,1,IF($C103&lt;=$B$7,$C$7*($C103^$D$7),IF($C103&lt;=$B$8,$C$8+($D$8*LN($C103)),$C$9+($C103*$D$9))))*C103-C103))</f>
        <v>270.49461805159399</v>
      </c>
      <c r="E103" s="201">
        <f>$E$11</f>
        <v>8981</v>
      </c>
      <c r="F103" s="577">
        <f>D103*E103</f>
        <v>2429312.1647213656</v>
      </c>
      <c r="G103" s="577">
        <f>F103/C103</f>
        <v>6670.7955245503881</v>
      </c>
    </row>
    <row r="104" spans="1:9" s="4" customFormat="1" x14ac:dyDescent="0.3">
      <c r="B104" s="4" t="s">
        <v>839</v>
      </c>
      <c r="C104" s="618">
        <f>SUM(C102:C103)</f>
        <v>413.05444673325331</v>
      </c>
      <c r="D104" s="618">
        <f>SUMPRODUCT(C102:C103,D102:D103)/C104</f>
        <v>246.0443127774098</v>
      </c>
      <c r="E104" s="5"/>
      <c r="F104" s="553">
        <f>SUM(F102:F103)</f>
        <v>3003141.3355492065</v>
      </c>
      <c r="G104" s="554">
        <f>F104/C104</f>
        <v>7270.5701616344222</v>
      </c>
      <c r="I104" s="10"/>
    </row>
    <row r="105" spans="1:9" x14ac:dyDescent="0.3">
      <c r="A105" s="4"/>
      <c r="C105" s="83"/>
      <c r="E105" s="40"/>
    </row>
    <row r="106" spans="1:9" x14ac:dyDescent="0.3">
      <c r="A106" s="4" t="s">
        <v>16</v>
      </c>
      <c r="B106" s="457" t="s">
        <v>821</v>
      </c>
      <c r="C106" s="587">
        <f>SUMIF('1.2 Budgeted Enrollment YR1'!$D$102:$D$732,'2.4 District Size Adj. YR1'!$B106,'1.2 Budgeted Enrollment YR1'!$G$102:$G$732)</f>
        <v>1400.1390727409535</v>
      </c>
      <c r="D106" s="587">
        <f t="shared" ref="D106:D113" si="17">IF(C106=0,0,(IF($C$9+($D$9*$C106)&lt;1,1,IF($C106&lt;=$B$7,$C$7*($C106^$D$7),IF($C106&lt;=$B$8,$C$8+($D$8*LN($C106)),$C$9+($C106*$D$9))))*C106-C106))</f>
        <v>510.13248820270724</v>
      </c>
      <c r="E106" s="29">
        <f t="shared" ref="E106:E113" si="18">$E$11</f>
        <v>8981</v>
      </c>
      <c r="F106" s="550">
        <f t="shared" ref="F106:F113" si="19">D106*E106</f>
        <v>4581499.8765485138</v>
      </c>
      <c r="G106" s="550">
        <f t="shared" ref="G106:G114" si="20">F106/C106</f>
        <v>3272.1748615868814</v>
      </c>
      <c r="I106" s="406"/>
    </row>
    <row r="107" spans="1:9" x14ac:dyDescent="0.3">
      <c r="A107" s="4"/>
      <c r="B107" s="457" t="s">
        <v>822</v>
      </c>
      <c r="C107" s="587">
        <f>SUMIF('1.2 Budgeted Enrollment YR1'!$D$102:$D$732,'2.4 District Size Adj. YR1'!$B107,'1.2 Budgeted Enrollment YR1'!$G$102:$G$732)</f>
        <v>19.195825938654362</v>
      </c>
      <c r="D107" s="587">
        <f t="shared" si="17"/>
        <v>30.132288946535578</v>
      </c>
      <c r="E107" s="29">
        <f t="shared" si="18"/>
        <v>8981</v>
      </c>
      <c r="F107" s="550">
        <f t="shared" si="19"/>
        <v>270618.08702883602</v>
      </c>
      <c r="G107" s="550">
        <f t="shared" si="20"/>
        <v>14097.7568713986</v>
      </c>
      <c r="I107" s="406"/>
    </row>
    <row r="108" spans="1:9" x14ac:dyDescent="0.3">
      <c r="A108" s="4"/>
      <c r="B108" s="457" t="s">
        <v>823</v>
      </c>
      <c r="C108" s="587">
        <f>SUMIF('1.2 Budgeted Enrollment YR1'!$D$102:$D$732,'2.4 District Size Adj. YR1'!$B108,'1.2 Budgeted Enrollment YR1'!$G$102:$G$732)</f>
        <v>693.94432059511564</v>
      </c>
      <c r="D108" s="587">
        <f t="shared" si="17"/>
        <v>389.71075075273643</v>
      </c>
      <c r="E108" s="29">
        <f t="shared" si="18"/>
        <v>8981</v>
      </c>
      <c r="F108" s="550">
        <f t="shared" si="19"/>
        <v>3499992.252510326</v>
      </c>
      <c r="G108" s="550">
        <f t="shared" si="20"/>
        <v>5043.6211503378081</v>
      </c>
      <c r="I108" s="406"/>
    </row>
    <row r="109" spans="1:9" x14ac:dyDescent="0.3">
      <c r="A109" s="4"/>
      <c r="B109" s="457" t="s">
        <v>841</v>
      </c>
      <c r="C109" s="587">
        <f>SUMIF('1.2 Budgeted Enrollment YR1'!$D$102:$D$732,'2.4 District Size Adj. YR1'!$B109,'1.2 Budgeted Enrollment YR1'!$G$102:$G$732)</f>
        <v>347.05582109450756</v>
      </c>
      <c r="D109" s="587">
        <f t="shared" si="17"/>
        <v>262.47642140449875</v>
      </c>
      <c r="E109" s="29">
        <f t="shared" si="18"/>
        <v>8981</v>
      </c>
      <c r="F109" s="550">
        <f t="shared" si="19"/>
        <v>2357300.7406338034</v>
      </c>
      <c r="G109" s="550">
        <f t="shared" si="20"/>
        <v>6792.2812336055922</v>
      </c>
      <c r="I109" s="406"/>
    </row>
    <row r="110" spans="1:9" x14ac:dyDescent="0.3">
      <c r="A110" s="4"/>
      <c r="B110" s="457" t="s">
        <v>807</v>
      </c>
      <c r="C110" s="587">
        <f>SUMIF('1.2 Budgeted Enrollment YR1'!$D$102:$D$732,'2.4 District Size Adj. YR1'!$B110,'1.2 Budgeted Enrollment YR1'!$G$102:$G$732)</f>
        <v>53228.772864049963</v>
      </c>
      <c r="D110" s="587">
        <f>IF(C110=0,0,(IF($C$9+($D$9*$C110)&lt;1,1,IF($C110&lt;=$B$7,$C$7*($C110^$D$7),IF($C110&lt;=$B$8,$C$8+($D$8*LN($C110)),$C$9+($C110*$D$9))))*C110-C110))</f>
        <v>0</v>
      </c>
      <c r="E110" s="29">
        <f t="shared" si="18"/>
        <v>8981</v>
      </c>
      <c r="F110" s="550">
        <f t="shared" si="19"/>
        <v>0</v>
      </c>
      <c r="G110" s="550">
        <f>F110/C110</f>
        <v>0</v>
      </c>
      <c r="I110" s="406"/>
    </row>
    <row r="111" spans="1:9" x14ac:dyDescent="0.3">
      <c r="A111" s="4"/>
      <c r="B111" s="457" t="s">
        <v>808</v>
      </c>
      <c r="C111" s="587">
        <f>SUMIF('1.2 Budgeted Enrollment YR1'!$D$102:$D$732,'2.4 District Size Adj. YR1'!$B111,'1.2 Budgeted Enrollment YR1'!$G$102:$G$732)</f>
        <v>4511.1720620198084</v>
      </c>
      <c r="D111" s="587">
        <f>IF(C111=0,0,(IF($C$9+($D$9*$C111)&lt;1,1,IF($C111&lt;=$B$7,$C$7*($C111^$D$7),IF($C111&lt;=$B$8,$C$8+($D$8*LN($C111)),$C$9+($C111*$D$9))))*C111-C111))</f>
        <v>356.26131668090784</v>
      </c>
      <c r="E111" s="29">
        <f t="shared" si="18"/>
        <v>8981</v>
      </c>
      <c r="F111" s="550">
        <f t="shared" si="19"/>
        <v>3199582.8851112332</v>
      </c>
      <c r="G111" s="550">
        <f>F111/C111</f>
        <v>709.25755903858578</v>
      </c>
      <c r="I111" s="406"/>
    </row>
    <row r="112" spans="1:9" x14ac:dyDescent="0.3">
      <c r="A112" s="4"/>
      <c r="B112" s="457" t="s">
        <v>824</v>
      </c>
      <c r="C112" s="587">
        <f>SUMIF('1.2 Budgeted Enrollment YR1'!$D$102:$D$732,'2.4 District Size Adj. YR1'!$B112,'1.2 Budgeted Enrollment YR1'!$G$102:$G$732)</f>
        <v>225.67596034686201</v>
      </c>
      <c r="D112" s="587">
        <f t="shared" si="17"/>
        <v>197.97036658934761</v>
      </c>
      <c r="E112" s="29">
        <f t="shared" si="18"/>
        <v>8981</v>
      </c>
      <c r="F112" s="550">
        <f t="shared" si="19"/>
        <v>1777971.8623389308</v>
      </c>
      <c r="G112" s="550">
        <f t="shared" si="20"/>
        <v>7878.4282544148846</v>
      </c>
      <c r="I112" s="406"/>
    </row>
    <row r="113" spans="1:9" x14ac:dyDescent="0.3">
      <c r="A113" s="4"/>
      <c r="B113" s="858" t="s">
        <v>825</v>
      </c>
      <c r="C113" s="906">
        <f>SUMIF('1.2 Budgeted Enrollment YR1'!$D$102:$D$732,'2.4 District Size Adj. YR1'!$B113,'1.2 Budgeted Enrollment YR1'!$G$102:$G$732)</f>
        <v>121.63448639014173</v>
      </c>
      <c r="D113" s="906">
        <f t="shared" si="17"/>
        <v>127.82729094779857</v>
      </c>
      <c r="E113" s="201">
        <f t="shared" si="18"/>
        <v>8981</v>
      </c>
      <c r="F113" s="577">
        <f t="shared" si="19"/>
        <v>1148016.900002179</v>
      </c>
      <c r="G113" s="577">
        <f t="shared" si="20"/>
        <v>9438.2517168685463</v>
      </c>
      <c r="I113" s="406"/>
    </row>
    <row r="114" spans="1:9" s="4" customFormat="1" x14ac:dyDescent="0.3">
      <c r="B114" s="4" t="s">
        <v>840</v>
      </c>
      <c r="C114" s="618">
        <f>SUM(C106:C113)</f>
        <v>60547.590413176003</v>
      </c>
      <c r="D114" s="618">
        <f>SUMPRODUCT(C106:C113,D106:D113)/C114</f>
        <v>45.315557805628316</v>
      </c>
      <c r="E114" s="5"/>
      <c r="F114" s="553">
        <f>SUM(F106:F113)</f>
        <v>16834982.60417382</v>
      </c>
      <c r="G114" s="554">
        <f t="shared" si="20"/>
        <v>278.04545960115189</v>
      </c>
      <c r="I114" s="406"/>
    </row>
    <row r="115" spans="1:9" x14ac:dyDescent="0.3">
      <c r="A115" s="4"/>
      <c r="C115" s="83"/>
      <c r="E115" s="40"/>
      <c r="I115" s="406"/>
    </row>
    <row r="116" spans="1:9" x14ac:dyDescent="0.3">
      <c r="A116" s="4" t="s">
        <v>844</v>
      </c>
      <c r="B116" s="457" t="s">
        <v>826</v>
      </c>
      <c r="C116" s="587">
        <f>SUMIF('1.2 Budgeted Enrollment YR1'!$D$102:$D$732,'2.4 District Size Adj. YR1'!$B116,'1.2 Budgeted Enrollment YR1'!$G$102:$G$732)</f>
        <v>4.0972005914339498</v>
      </c>
      <c r="D116" s="587">
        <f>IF(C116=0,0,(IF($C$9+($D$9*$C116)&lt;1,1,IF($C116&lt;=$B$7,$C$7*($C116^$D$7),IF($C116&lt;=$B$8,$C$8+($D$8*LN($C116)),$C$9+($C116*$D$9))))*C116-C116))</f>
        <v>29.476711679017345</v>
      </c>
      <c r="E116" s="29">
        <f>$E$11</f>
        <v>8981</v>
      </c>
      <c r="F116" s="550">
        <f>D116*E116</f>
        <v>264730.34758925479</v>
      </c>
      <c r="G116" s="550">
        <f>F116/C116</f>
        <v>64612.493745785512</v>
      </c>
      <c r="I116" s="406"/>
    </row>
    <row r="117" spans="1:9" x14ac:dyDescent="0.3">
      <c r="B117" s="457" t="s">
        <v>809</v>
      </c>
      <c r="C117" s="587">
        <f>SUMIF('1.2 Budgeted Enrollment YR1'!$D$102:$D$732,'2.4 District Size Adj. YR1'!$B117,'1.2 Budgeted Enrollment YR1'!$G$102:$G$732)</f>
        <v>1039.8011068568924</v>
      </c>
      <c r="D117" s="587">
        <f>IF(C117=0,0,(IF($C$9+($D$9*$C117)&lt;1,1,IF($C117&lt;=$B$7,$C$7*($C117^$D$7),IF($C117&lt;=$B$8,$C$8+($D$8*LN($C117)),$C$9+($C117*$D$9))))*C117-C117))</f>
        <v>465.78253549869805</v>
      </c>
      <c r="E117" s="29">
        <f>$E$11</f>
        <v>8981</v>
      </c>
      <c r="F117" s="550">
        <f>D117*E117</f>
        <v>4183192.9513138072</v>
      </c>
      <c r="G117" s="550">
        <f>F117/C117</f>
        <v>4023.0703003949957</v>
      </c>
      <c r="I117" s="406"/>
    </row>
    <row r="118" spans="1:9" x14ac:dyDescent="0.3">
      <c r="B118" s="457" t="s">
        <v>827</v>
      </c>
      <c r="C118" s="587">
        <f>SUMIF('1.2 Budgeted Enrollment YR1'!$D$102:$D$732,'2.4 District Size Adj. YR1'!$B118,'1.2 Budgeted Enrollment YR1'!$G$102:$G$732)</f>
        <v>107.77321716276114</v>
      </c>
      <c r="D118" s="587">
        <f>IF(C118=0,0,(IF($C$9+($D$9*$C118)&lt;1,1,IF($C118&lt;=$B$7,$C$7*($C118^$D$7),IF($C118&lt;=$B$8,$C$8+($D$8*LN($C118)),$C$9+($C118*$D$9))))*C118-C118))</f>
        <v>116.92443512115898</v>
      </c>
      <c r="E118" s="29">
        <f>$E$11</f>
        <v>8981</v>
      </c>
      <c r="F118" s="550">
        <f>D118*E118</f>
        <v>1050098.3518231288</v>
      </c>
      <c r="G118" s="550">
        <f>F118/C118</f>
        <v>9743.5928839096487</v>
      </c>
      <c r="I118" s="406"/>
    </row>
    <row r="119" spans="1:9" x14ac:dyDescent="0.3">
      <c r="B119" s="858" t="s">
        <v>810</v>
      </c>
      <c r="C119" s="906">
        <f>SUMIF('1.2 Budgeted Enrollment YR1'!$D$102:$D$732,'2.4 District Size Adj. YR1'!$B119,'1.2 Budgeted Enrollment YR1'!$G$102:$G$732)</f>
        <v>107.71872604273278</v>
      </c>
      <c r="D119" s="906">
        <f>IF(C119=0,0,(IF($C$9+($D$9*$C119)&lt;1,1,IF($C119&lt;=$B$7,$C$7*($C119^$D$7),IF($C119&lt;=$B$8,$C$8+($D$8*LN($C119)),$C$9+($C119*$D$9))))*C119-C119))</f>
        <v>116.88062519512664</v>
      </c>
      <c r="E119" s="201">
        <f>$E$11</f>
        <v>8981</v>
      </c>
      <c r="F119" s="577">
        <f>D119*E119</f>
        <v>1049704.8948774324</v>
      </c>
      <c r="G119" s="577">
        <f>F119/C119</f>
        <v>9744.8691925766652</v>
      </c>
      <c r="I119" s="406"/>
    </row>
    <row r="120" spans="1:9" s="4" customFormat="1" x14ac:dyDescent="0.3">
      <c r="B120" s="4" t="s">
        <v>842</v>
      </c>
      <c r="C120" s="618">
        <f>SUM(C116:C119)</f>
        <v>1259.3902506538202</v>
      </c>
      <c r="D120" s="618">
        <f>SUMPRODUCT(C116:C119,D116:D119)/C120</f>
        <v>404.66687929745717</v>
      </c>
      <c r="E120" s="5"/>
      <c r="F120" s="553">
        <f>SUM(F116:F119)</f>
        <v>6547726.5456036236</v>
      </c>
      <c r="G120" s="554">
        <f>F120/C120</f>
        <v>5199.1243716586905</v>
      </c>
      <c r="I120" s="1199"/>
    </row>
    <row r="121" spans="1:9" x14ac:dyDescent="0.3">
      <c r="C121" s="22"/>
      <c r="E121" s="40"/>
      <c r="I121" s="406"/>
    </row>
    <row r="122" spans="1:9" x14ac:dyDescent="0.3">
      <c r="C122" s="22"/>
      <c r="D122" s="4"/>
      <c r="E122" s="17" t="s">
        <v>911</v>
      </c>
      <c r="F122" s="553">
        <f>SUM(F120,F114,F104,F100,F96,F87,F83,F76,F70,F66,F58,F54,F49,F36,F31,F18,F16)</f>
        <v>141623423.09416276</v>
      </c>
    </row>
    <row r="123" spans="1:9" x14ac:dyDescent="0.3">
      <c r="C123" s="22"/>
      <c r="E123" s="40"/>
    </row>
    <row r="124" spans="1:9" x14ac:dyDescent="0.3">
      <c r="B124" s="13" t="s">
        <v>843</v>
      </c>
      <c r="C124" s="136">
        <f>SUM(C120,C114,C104,C100,C96,C87,C83,C76,C66,C58,C54,C49,C36,C31,C18,C16,C70)</f>
        <v>402117.42591596645</v>
      </c>
      <c r="D124" s="65">
        <f>C125-C124</f>
        <v>0</v>
      </c>
      <c r="E124" s="1235"/>
    </row>
    <row r="125" spans="1:9" x14ac:dyDescent="0.3">
      <c r="B125" s="185" t="s">
        <v>82</v>
      </c>
      <c r="C125" s="532">
        <f>SUM('1.2 Budgeted Enrollment YR1'!G28-SUM('1.2 Budgeted Enrollment YR1'!G26:G27))</f>
        <v>402117.42591596657</v>
      </c>
      <c r="D125" s="65"/>
      <c r="E125" s="40"/>
    </row>
    <row r="127" spans="1:9" ht="82.5" x14ac:dyDescent="0.3">
      <c r="A127" s="407" t="s">
        <v>1110</v>
      </c>
      <c r="B127" s="408"/>
      <c r="C127" s="408" t="str">
        <f>'2.4 District Size Adj. YR1'!B13</f>
        <v>Attendance Area</v>
      </c>
      <c r="D127" s="408" t="str">
        <f>'2.4 District Size Adj. YR1'!C13</f>
        <v>Enrollment by  Attendance Area less Distant Education Students</v>
      </c>
      <c r="E127" s="342" t="s">
        <v>1348</v>
      </c>
      <c r="F127" s="409"/>
      <c r="G127" s="1118" t="s">
        <v>1347</v>
      </c>
    </row>
    <row r="128" spans="1:9" x14ac:dyDescent="0.3">
      <c r="A128" s="132" t="str">
        <f>'1.2 Budgeted Enrollment YR1'!E32</f>
        <v>100 Academy Of Excellence</v>
      </c>
      <c r="C128" s="10" t="str">
        <f>'1.2 Budgeted Enrollment YR1'!D32</f>
        <v>Las Vegas</v>
      </c>
      <c r="D128" s="1236">
        <f>'1.2 Budgeted Enrollment YR1'!G32</f>
        <v>317.31241129082491</v>
      </c>
      <c r="E128" s="1566">
        <f t="shared" ref="E128:E133" si="21">IF(C128="Carson City",$G$16,IF(C128="Fallon",$G$18,IF(C128="Elko",$G$39,IF(C128="Ely",$G$117,IF(C128="Stead",$G$111,0)))))</f>
        <v>0</v>
      </c>
      <c r="F128" s="1567"/>
      <c r="G128" s="603">
        <f>D128*E128</f>
        <v>0</v>
      </c>
      <c r="I128" s="406"/>
    </row>
    <row r="129" spans="1:9" x14ac:dyDescent="0.3">
      <c r="A129" s="132" t="str">
        <f>'1.2 Budgeted Enrollment YR1'!E33</f>
        <v>Academy For Career Education</v>
      </c>
      <c r="C129" s="10" t="str">
        <f>'1.2 Budgeted Enrollment YR1'!D33</f>
        <v>Reno</v>
      </c>
      <c r="D129" s="1236">
        <f>'1.2 Budgeted Enrollment YR1'!G33</f>
        <v>233.16666714265924</v>
      </c>
      <c r="E129" s="1566">
        <f t="shared" si="21"/>
        <v>0</v>
      </c>
      <c r="F129" s="1567"/>
      <c r="G129" s="603">
        <f t="shared" ref="G129:G137" si="22">D129*E129</f>
        <v>0</v>
      </c>
      <c r="I129" s="406"/>
    </row>
    <row r="130" spans="1:9" x14ac:dyDescent="0.3">
      <c r="A130" s="132" t="str">
        <f>'1.2 Budgeted Enrollment YR1'!E34</f>
        <v xml:space="preserve">Alpine Academy </v>
      </c>
      <c r="C130" s="10" t="str">
        <f>'1.2 Budgeted Enrollment YR1'!D34</f>
        <v>Reno</v>
      </c>
      <c r="D130" s="1236">
        <f>'1.2 Budgeted Enrollment YR1'!G34</f>
        <v>147.81508498571816</v>
      </c>
      <c r="E130" s="1566">
        <f t="shared" si="21"/>
        <v>0</v>
      </c>
      <c r="F130" s="1567"/>
      <c r="G130" s="603">
        <f t="shared" si="22"/>
        <v>0</v>
      </c>
      <c r="I130" s="406"/>
    </row>
    <row r="131" spans="1:9" x14ac:dyDescent="0.3">
      <c r="A131" s="132" t="str">
        <f>'1.2 Budgeted Enrollment YR1'!E35</f>
        <v xml:space="preserve">Amplus (Formerly American Preparatory Academy) </v>
      </c>
      <c r="C131" s="10" t="str">
        <f>'1.2 Budgeted Enrollment YR1'!D35</f>
        <v>Las Vegas</v>
      </c>
      <c r="D131" s="1236">
        <f>'1.2 Budgeted Enrollment YR1'!G35</f>
        <v>2267.7086546556943</v>
      </c>
      <c r="E131" s="1566">
        <f t="shared" si="21"/>
        <v>0</v>
      </c>
      <c r="F131" s="1567"/>
      <c r="G131" s="603">
        <f t="shared" si="22"/>
        <v>0</v>
      </c>
      <c r="I131" s="406"/>
    </row>
    <row r="132" spans="1:9" x14ac:dyDescent="0.3">
      <c r="A132" s="132" t="str">
        <f>'1.2 Budgeted Enrollment YR1'!E36</f>
        <v>Bailey Charter School</v>
      </c>
      <c r="C132" s="10" t="str">
        <f>'1.2 Budgeted Enrollment YR1'!D36</f>
        <v>Reno</v>
      </c>
      <c r="D132" s="1236">
        <f>'1.2 Budgeted Enrollment YR1'!G36</f>
        <v>175.32944363044109</v>
      </c>
      <c r="E132" s="1566">
        <f t="shared" si="21"/>
        <v>0</v>
      </c>
      <c r="F132" s="1567"/>
      <c r="G132" s="603">
        <f t="shared" si="22"/>
        <v>0</v>
      </c>
      <c r="I132" s="406"/>
    </row>
    <row r="133" spans="1:9" x14ac:dyDescent="0.3">
      <c r="A133" s="132" t="str">
        <f>'1.2 Budgeted Enrollment YR1'!E37</f>
        <v>Battle Born Academy</v>
      </c>
      <c r="C133" s="10" t="str">
        <f>'1.2 Budgeted Enrollment YR1'!D37</f>
        <v>Las Vegas</v>
      </c>
      <c r="D133" s="1236">
        <f>'1.2 Budgeted Enrollment YR1'!G37</f>
        <v>132.17090111224999</v>
      </c>
      <c r="E133" s="1566">
        <f t="shared" si="21"/>
        <v>0</v>
      </c>
      <c r="F133" s="1567"/>
      <c r="G133" s="603">
        <f t="shared" si="22"/>
        <v>0</v>
      </c>
      <c r="I133" s="406"/>
    </row>
    <row r="134" spans="1:9" x14ac:dyDescent="0.3">
      <c r="A134" s="132" t="str">
        <f>'1.2 Budgeted Enrollment YR1'!E38</f>
        <v>Beacon Academy</v>
      </c>
      <c r="C134" s="10" t="str">
        <f>'1.2 Budgeted Enrollment YR1'!D38</f>
        <v>Las Vegas</v>
      </c>
      <c r="D134" s="1236">
        <f>'1.2 Budgeted Enrollment YR1'!G38</f>
        <v>601.2087101019498</v>
      </c>
      <c r="E134" s="1566">
        <f>IF(C134="Carson City",$G$16,IF(C134="Fallon",$G$18,IF(C134="Elko",$G$39,IF(C134="Ely",$G$117,IF(C134="Stead",$G$111,0)))))</f>
        <v>0</v>
      </c>
      <c r="F134" s="1567"/>
      <c r="G134" s="603">
        <f t="shared" si="22"/>
        <v>0</v>
      </c>
      <c r="I134" s="406"/>
    </row>
    <row r="135" spans="1:9" x14ac:dyDescent="0.3">
      <c r="A135" s="132" t="str">
        <f>'1.2 Budgeted Enrollment YR1'!E39</f>
        <v>Cactus Park</v>
      </c>
      <c r="C135" s="10" t="str">
        <f>'1.2 Budgeted Enrollment YR1'!D39</f>
        <v>Las Vegas</v>
      </c>
      <c r="D135" s="1236">
        <f>'1.2 Budgeted Enrollment YR1'!G39</f>
        <v>108.52961244150023</v>
      </c>
      <c r="E135" s="1566">
        <f t="shared" ref="E135:E141" si="23">IF(C135="Carson City",$G$16,IF(C135="Fallon",$G$18,IF(C135="Elko",$G$39,IF(C135="Ely",$G$117,IF(C135="Stead",$G$111,0)))))</f>
        <v>0</v>
      </c>
      <c r="F135" s="1567"/>
      <c r="G135" s="603">
        <f t="shared" si="22"/>
        <v>0</v>
      </c>
      <c r="I135" s="406"/>
    </row>
    <row r="136" spans="1:9" s="88" customFormat="1" x14ac:dyDescent="0.3">
      <c r="A136" s="132" t="str">
        <f>'1.2 Budgeted Enrollment YR1'!E40</f>
        <v>Carson Montessori</v>
      </c>
      <c r="B136" s="10"/>
      <c r="C136" s="10" t="str">
        <f>'1.2 Budgeted Enrollment YR1'!D40</f>
        <v>Carson City</v>
      </c>
      <c r="D136" s="1236">
        <f>'1.2 Budgeted Enrollment YR1'!G40</f>
        <v>286.27617033770758</v>
      </c>
      <c r="E136" s="1566">
        <f>IF(C136="Carson City",$G$16,IF(C136="Fallon",$G$18,IF(C136="Elko",$G$39,IF(C136="Ely",$G$117,IF(C136="Stead",$G$111,0)))))</f>
        <v>667.35549732392928</v>
      </c>
      <c r="F136" s="1567"/>
      <c r="G136" s="603">
        <f t="shared" si="22"/>
        <v>191047.97602771074</v>
      </c>
      <c r="I136" s="406"/>
    </row>
    <row r="137" spans="1:9" x14ac:dyDescent="0.3">
      <c r="A137" s="132" t="str">
        <f>'1.2 Budgeted Enrollment YR1'!E41</f>
        <v>CIVICA Nevada Career &amp; Collegiate Academy</v>
      </c>
      <c r="C137" s="10" t="str">
        <f>'1.2 Budgeted Enrollment YR1'!D41</f>
        <v>Las Vegas</v>
      </c>
      <c r="D137" s="1236">
        <f>'1.2 Budgeted Enrollment YR1'!G41</f>
        <v>766.05776499241983</v>
      </c>
      <c r="E137" s="1566">
        <f t="shared" si="23"/>
        <v>0</v>
      </c>
      <c r="F137" s="1567"/>
      <c r="G137" s="603">
        <f t="shared" si="22"/>
        <v>0</v>
      </c>
      <c r="I137" s="406"/>
    </row>
    <row r="138" spans="1:9" x14ac:dyDescent="0.3">
      <c r="A138" s="132" t="str">
        <f>'1.2 Budgeted Enrollment YR1'!E42</f>
        <v>Coral Academy of Science Las Vegas</v>
      </c>
      <c r="C138" s="10" t="str">
        <f>'1.2 Budgeted Enrollment YR1'!D42</f>
        <v>Las Vegas</v>
      </c>
      <c r="D138" s="1236">
        <f>'1.2 Budgeted Enrollment YR1'!G42</f>
        <v>5176.4761285646673</v>
      </c>
      <c r="E138" s="1566">
        <f t="shared" si="23"/>
        <v>0</v>
      </c>
      <c r="F138" s="1567"/>
      <c r="G138" s="603">
        <f t="shared" ref="G138:G187" si="24">D138*E138</f>
        <v>0</v>
      </c>
      <c r="I138" s="406"/>
    </row>
    <row r="139" spans="1:9" x14ac:dyDescent="0.3">
      <c r="A139" s="132" t="str">
        <f>'1.2 Budgeted Enrollment YR1'!E43</f>
        <v>Coral Academy Washoe</v>
      </c>
      <c r="C139" s="10" t="str">
        <f>'1.2 Budgeted Enrollment YR1'!D43</f>
        <v>Reno</v>
      </c>
      <c r="D139" s="1236">
        <f>'1.2 Budgeted Enrollment YR1'!G43</f>
        <v>1763.0640733328873</v>
      </c>
      <c r="E139" s="1566">
        <f t="shared" si="23"/>
        <v>0</v>
      </c>
      <c r="F139" s="1567"/>
      <c r="G139" s="603">
        <f t="shared" si="24"/>
        <v>0</v>
      </c>
      <c r="I139" s="406"/>
    </row>
    <row r="140" spans="1:9" x14ac:dyDescent="0.3">
      <c r="A140" s="132" t="str">
        <f>'1.2 Budgeted Enrollment YR1'!E44</f>
        <v>Delta Academy</v>
      </c>
      <c r="C140" s="10" t="str">
        <f>'1.2 Budgeted Enrollment YR1'!D44</f>
        <v>Las Vegas</v>
      </c>
      <c r="D140" s="1236">
        <f>'1.2 Budgeted Enrollment YR1'!G44</f>
        <v>1259.1651890316498</v>
      </c>
      <c r="E140" s="1566">
        <f t="shared" si="23"/>
        <v>0</v>
      </c>
      <c r="F140" s="1567"/>
      <c r="G140" s="603">
        <f t="shared" si="24"/>
        <v>0</v>
      </c>
      <c r="I140" s="406"/>
    </row>
    <row r="141" spans="1:9" x14ac:dyDescent="0.3">
      <c r="A141" s="132" t="str">
        <f>'1.2 Budgeted Enrollment YR1'!E45</f>
        <v>Democracy Prep</v>
      </c>
      <c r="C141" s="10" t="str">
        <f>'1.2 Budgeted Enrollment YR1'!D45</f>
        <v>Las Vegas</v>
      </c>
      <c r="D141" s="1236">
        <f>'1.2 Budgeted Enrollment YR1'!G45</f>
        <v>1203.3189781200335</v>
      </c>
      <c r="E141" s="1566">
        <f t="shared" si="23"/>
        <v>0</v>
      </c>
      <c r="F141" s="1567"/>
      <c r="G141" s="603">
        <f t="shared" si="24"/>
        <v>0</v>
      </c>
      <c r="I141" s="406"/>
    </row>
    <row r="142" spans="1:9" x14ac:dyDescent="0.3">
      <c r="A142" s="132" t="str">
        <f>'1.2 Budgeted Enrollment YR1'!E46</f>
        <v>Discovery Charter</v>
      </c>
      <c r="C142" s="10" t="str">
        <f>'1.2 Budgeted Enrollment YR1'!D46</f>
        <v>Las Vegas</v>
      </c>
      <c r="D142" s="1236">
        <f>'1.2 Budgeted Enrollment YR1'!G46</f>
        <v>492.2101138405701</v>
      </c>
      <c r="E142" s="1566">
        <f>IF(C142="Carson City",$G$16,IF(C142="Fallon",$G$18,IF(C142="Elko",$G$39,IF(C142="Ely",$G$117,IF(C142="Stead",$G$111,0)))))</f>
        <v>0</v>
      </c>
      <c r="F142" s="1567"/>
      <c r="G142" s="603">
        <f t="shared" si="24"/>
        <v>0</v>
      </c>
      <c r="I142" s="406"/>
    </row>
    <row r="143" spans="1:9" x14ac:dyDescent="0.3">
      <c r="A143" s="132" t="str">
        <f>'1.2 Budgeted Enrollment YR1'!E47</f>
        <v>Doral Academy</v>
      </c>
      <c r="C143" s="10" t="str">
        <f>'1.2 Budgeted Enrollment YR1'!D47</f>
        <v>Las Vegas</v>
      </c>
      <c r="D143" s="1236">
        <f>'1.2 Budgeted Enrollment YR1'!G47</f>
        <v>6280.1363579608906</v>
      </c>
      <c r="E143" s="1566">
        <f t="shared" ref="E143:E148" si="25">IF(C143="Carson City",$G$16,IF(C143="Fallon",$G$18,IF(C143="Elko",$G$39,IF(C143="Ely",$G$117,IF(C143="Stead",$G$111,0)))))</f>
        <v>0</v>
      </c>
      <c r="F143" s="1567"/>
      <c r="G143" s="603">
        <f t="shared" si="24"/>
        <v>0</v>
      </c>
      <c r="I143" s="406"/>
    </row>
    <row r="144" spans="1:9" x14ac:dyDescent="0.3">
      <c r="A144" s="132" t="str">
        <f>'1.2 Budgeted Enrollment YR1'!E48</f>
        <v>Doral Academy of Northern Nevada</v>
      </c>
      <c r="C144" s="10" t="str">
        <f>'1.2 Budgeted Enrollment YR1'!D48</f>
        <v>Reno</v>
      </c>
      <c r="D144" s="1236">
        <f>'1.2 Budgeted Enrollment YR1'!G48</f>
        <v>957.41882339550943</v>
      </c>
      <c r="E144" s="1566">
        <f t="shared" si="25"/>
        <v>0</v>
      </c>
      <c r="F144" s="1567"/>
      <c r="G144" s="603">
        <f t="shared" si="24"/>
        <v>0</v>
      </c>
      <c r="I144" s="406"/>
    </row>
    <row r="145" spans="1:9" x14ac:dyDescent="0.3">
      <c r="A145" s="132" t="str">
        <f>'1.2 Budgeted Enrollment YR1'!E49</f>
        <v>Eagle Charter School</v>
      </c>
      <c r="C145" s="10" t="str">
        <f>'1.2 Budgeted Enrollment YR1'!D49</f>
        <v>Las Vegas</v>
      </c>
      <c r="D145" s="1236">
        <f>'1.2 Budgeted Enrollment YR1'!G49</f>
        <v>540</v>
      </c>
      <c r="E145" s="1566">
        <f t="shared" si="25"/>
        <v>0</v>
      </c>
      <c r="F145" s="1567"/>
      <c r="G145" s="603">
        <f t="shared" si="24"/>
        <v>0</v>
      </c>
      <c r="I145" s="406"/>
    </row>
    <row r="146" spans="1:9" x14ac:dyDescent="0.3">
      <c r="A146" s="132" t="str">
        <f>'1.2 Budgeted Enrollment YR1'!E50</f>
        <v>Elko Institute for Academic Achievement</v>
      </c>
      <c r="C146" s="10" t="str">
        <f>'1.2 Budgeted Enrollment YR1'!D50</f>
        <v>Elko</v>
      </c>
      <c r="D146" s="1236">
        <f>'1.2 Budgeted Enrollment YR1'!G50</f>
        <v>197.24352683287754</v>
      </c>
      <c r="E146" s="1566">
        <f t="shared" si="25"/>
        <v>704.97204008608537</v>
      </c>
      <c r="F146" s="1567"/>
      <c r="G146" s="603">
        <f t="shared" si="24"/>
        <v>139051.1715051482</v>
      </c>
      <c r="I146" s="406"/>
    </row>
    <row r="147" spans="1:9" x14ac:dyDescent="0.3">
      <c r="A147" s="132" t="str">
        <f>'1.2 Budgeted Enrollment YR1'!E51</f>
        <v>enCompass Academy</v>
      </c>
      <c r="C147" s="10" t="str">
        <f>'1.2 Budgeted Enrollment YR1'!D51</f>
        <v>Reno</v>
      </c>
      <c r="D147" s="1236">
        <f>'1.2 Budgeted Enrollment YR1'!G51</f>
        <v>114.87381551473325</v>
      </c>
      <c r="E147" s="1566">
        <f t="shared" si="25"/>
        <v>0</v>
      </c>
      <c r="F147" s="1567"/>
      <c r="G147" s="603">
        <f t="shared" si="24"/>
        <v>0</v>
      </c>
      <c r="I147" s="406"/>
    </row>
    <row r="148" spans="1:9" x14ac:dyDescent="0.3">
      <c r="A148" s="132" t="str">
        <f>'1.2 Budgeted Enrollment YR1'!E52</f>
        <v>Equipo Academy</v>
      </c>
      <c r="C148" s="10" t="str">
        <f>'1.2 Budgeted Enrollment YR1'!D52</f>
        <v>Las Vegas</v>
      </c>
      <c r="D148" s="1236">
        <f>'1.2 Budgeted Enrollment YR1'!G52</f>
        <v>799.12049898931241</v>
      </c>
      <c r="E148" s="1566">
        <f t="shared" si="25"/>
        <v>0</v>
      </c>
      <c r="F148" s="1567"/>
      <c r="G148" s="603">
        <f t="shared" si="24"/>
        <v>0</v>
      </c>
      <c r="I148" s="406"/>
    </row>
    <row r="149" spans="1:9" x14ac:dyDescent="0.3">
      <c r="A149" s="132" t="str">
        <f>'1.2 Budgeted Enrollment YR1'!E53</f>
        <v>Explore Academy</v>
      </c>
      <c r="C149" s="10" t="str">
        <f>'1.2 Budgeted Enrollment YR1'!D53</f>
        <v>Las Vegas</v>
      </c>
      <c r="D149" s="1236">
        <f>'1.2 Budgeted Enrollment YR1'!G53</f>
        <v>274.7332568453723</v>
      </c>
      <c r="E149" s="1566">
        <f>IF(C149="Carson City",$G$16,IF(C149="Fallon",$G$18,IF(C149="Elko",$G$39,IF(C149="Ely",$G$117,IF(C149="Stead",$G$111,0)))))</f>
        <v>0</v>
      </c>
      <c r="F149" s="1567"/>
      <c r="G149" s="603">
        <f t="shared" si="24"/>
        <v>0</v>
      </c>
      <c r="I149" s="406"/>
    </row>
    <row r="150" spans="1:9" x14ac:dyDescent="0.3">
      <c r="A150" s="132" t="str">
        <f>'1.2 Budgeted Enrollment YR1'!E54</f>
        <v>Explore Knowledge Academy</v>
      </c>
      <c r="C150" s="10" t="str">
        <f>'1.2 Budgeted Enrollment YR1'!D54</f>
        <v>Las Vegas</v>
      </c>
      <c r="D150" s="1236">
        <f>'1.2 Budgeted Enrollment YR1'!G54</f>
        <v>671.81849159460035</v>
      </c>
      <c r="E150" s="1566">
        <f t="shared" ref="E150:E157" si="26">IF(C150="Carson City",$G$16,IF(C150="Fallon",$G$18,IF(C150="Elko",$G$39,IF(C150="Ely",$G$117,IF(C150="Stead",$G$111,0)))))</f>
        <v>0</v>
      </c>
      <c r="F150" s="1567"/>
      <c r="G150" s="603">
        <f t="shared" si="24"/>
        <v>0</v>
      </c>
      <c r="I150" s="406"/>
    </row>
    <row r="151" spans="1:9" x14ac:dyDescent="0.3">
      <c r="A151" s="132" t="str">
        <f>'1.2 Budgeted Enrollment YR1'!E55</f>
        <v>Founders Academy of Las Vegas</v>
      </c>
      <c r="C151" s="10" t="str">
        <f>'1.2 Budgeted Enrollment YR1'!D55</f>
        <v>Las Vegas</v>
      </c>
      <c r="D151" s="1236">
        <f>'1.2 Budgeted Enrollment YR1'!G55</f>
        <v>942.31500888524988</v>
      </c>
      <c r="E151" s="1566">
        <f t="shared" si="26"/>
        <v>0</v>
      </c>
      <c r="F151" s="1567"/>
      <c r="G151" s="603">
        <f t="shared" si="24"/>
        <v>0</v>
      </c>
      <c r="I151" s="406"/>
    </row>
    <row r="152" spans="1:9" x14ac:dyDescent="0.3">
      <c r="A152" s="132" t="str">
        <f>'1.2 Budgeted Enrollment YR1'!E56</f>
        <v>Freedom Classical Academy</v>
      </c>
      <c r="C152" s="10" t="str">
        <f>'1.2 Budgeted Enrollment YR1'!D56</f>
        <v>Las Vegas</v>
      </c>
      <c r="D152" s="1236">
        <f>'1.2 Budgeted Enrollment YR1'!G56</f>
        <v>1044.9532334148407</v>
      </c>
      <c r="E152" s="1566">
        <f t="shared" si="26"/>
        <v>0</v>
      </c>
      <c r="F152" s="1567"/>
      <c r="G152" s="603">
        <f t="shared" si="24"/>
        <v>0</v>
      </c>
      <c r="I152" s="406"/>
    </row>
    <row r="153" spans="1:9" x14ac:dyDescent="0.3">
      <c r="A153" s="132" t="str">
        <f>'1.2 Budgeted Enrollment YR1'!E57</f>
        <v>Futuro Academy Elementary</v>
      </c>
      <c r="C153" s="10" t="str">
        <f>'1.2 Budgeted Enrollment YR1'!D57</f>
        <v>Las Vegas</v>
      </c>
      <c r="D153" s="1236">
        <f>'1.2 Budgeted Enrollment YR1'!G57</f>
        <v>463.70725498344746</v>
      </c>
      <c r="E153" s="1566">
        <f t="shared" si="26"/>
        <v>0</v>
      </c>
      <c r="F153" s="1567"/>
      <c r="G153" s="603">
        <f t="shared" si="24"/>
        <v>0</v>
      </c>
      <c r="I153" s="406"/>
    </row>
    <row r="154" spans="1:9" x14ac:dyDescent="0.3">
      <c r="A154" s="132" t="str">
        <f>'1.2 Budgeted Enrollment YR1'!E58</f>
        <v>Girls Athletic Leadership Schools</v>
      </c>
      <c r="C154" s="10" t="str">
        <f>'1.2 Budgeted Enrollment YR1'!D58</f>
        <v>Las Vegas</v>
      </c>
      <c r="D154" s="1236">
        <f>'1.2 Budgeted Enrollment YR1'!G58</f>
        <v>0</v>
      </c>
      <c r="E154" s="1566">
        <f t="shared" si="26"/>
        <v>0</v>
      </c>
      <c r="F154" s="1567"/>
      <c r="G154" s="603">
        <f t="shared" si="24"/>
        <v>0</v>
      </c>
      <c r="I154" s="406"/>
    </row>
    <row r="155" spans="1:9" x14ac:dyDescent="0.3">
      <c r="A155" s="132" t="str">
        <f>'1.2 Budgeted Enrollment YR1'!E59</f>
        <v>High Desert Montessori</v>
      </c>
      <c r="C155" s="10" t="str">
        <f>'1.2 Budgeted Enrollment YR1'!D59</f>
        <v>Reno</v>
      </c>
      <c r="D155" s="1236">
        <f>'1.2 Budgeted Enrollment YR1'!G59</f>
        <v>392.33027145830016</v>
      </c>
      <c r="E155" s="1566">
        <f t="shared" si="26"/>
        <v>0</v>
      </c>
      <c r="F155" s="1567"/>
      <c r="G155" s="603">
        <f t="shared" si="24"/>
        <v>0</v>
      </c>
      <c r="I155" s="406"/>
    </row>
    <row r="156" spans="1:9" x14ac:dyDescent="0.3">
      <c r="A156" s="132" t="str">
        <f>'1.2 Budgeted Enrollment YR1'!E60</f>
        <v>Honors Academy of Literature</v>
      </c>
      <c r="C156" s="10" t="str">
        <f>'1.2 Budgeted Enrollment YR1'!D60</f>
        <v>Reno</v>
      </c>
      <c r="D156" s="1236">
        <f>'1.2 Budgeted Enrollment YR1'!G60</f>
        <v>216.56435878747669</v>
      </c>
      <c r="E156" s="1566">
        <f t="shared" si="26"/>
        <v>0</v>
      </c>
      <c r="F156" s="1567"/>
      <c r="G156" s="603">
        <f t="shared" si="24"/>
        <v>0</v>
      </c>
      <c r="I156" s="406"/>
    </row>
    <row r="157" spans="1:9" x14ac:dyDescent="0.3">
      <c r="A157" s="132" t="str">
        <f>'1.2 Budgeted Enrollment YR1'!E61</f>
        <v>Imagine School Mountain View</v>
      </c>
      <c r="C157" s="10" t="str">
        <f>'1.2 Budgeted Enrollment YR1'!D61</f>
        <v>Las Vegas</v>
      </c>
      <c r="D157" s="1236">
        <f>'1.2 Budgeted Enrollment YR1'!G61</f>
        <v>671.37820674925001</v>
      </c>
      <c r="E157" s="1566">
        <f t="shared" si="26"/>
        <v>0</v>
      </c>
      <c r="F157" s="1567"/>
      <c r="G157" s="603">
        <f t="shared" si="24"/>
        <v>0</v>
      </c>
      <c r="I157" s="406"/>
    </row>
    <row r="158" spans="1:9" x14ac:dyDescent="0.3">
      <c r="A158" s="132" t="str">
        <f>'1.2 Budgeted Enrollment YR1'!E62</f>
        <v>Innovations Int'l Charter</v>
      </c>
      <c r="C158" s="10" t="str">
        <f>'1.2 Budgeted Enrollment YR1'!D62</f>
        <v>Las Vegas</v>
      </c>
      <c r="D158" s="1236">
        <f>'1.2 Budgeted Enrollment YR1'!G62</f>
        <v>737.09270922985206</v>
      </c>
      <c r="E158" s="1566">
        <f>IF(C158="Carson City",$G$16,IF(C158="Fallon",$G$18,IF(C158="Elko",$G$39,IF(C158="Ely",$G$117,IF(C158="Stead",$G$111,0)))))</f>
        <v>0</v>
      </c>
      <c r="F158" s="1567"/>
      <c r="G158" s="603">
        <f t="shared" si="24"/>
        <v>0</v>
      </c>
      <c r="I158" s="406"/>
    </row>
    <row r="159" spans="1:9" x14ac:dyDescent="0.3">
      <c r="A159" s="132" t="str">
        <f>'1.2 Budgeted Enrollment YR1'!E63</f>
        <v>Leadership Academy of Nevada</v>
      </c>
      <c r="C159" s="10" t="str">
        <f>'1.2 Budgeted Enrollment YR1'!D63</f>
        <v>Las Vegas</v>
      </c>
      <c r="D159" s="1236">
        <f>'1.2 Budgeted Enrollment YR1'!G63</f>
        <v>267.63967675179731</v>
      </c>
      <c r="E159" s="1566">
        <f t="shared" ref="E159:E165" si="27">IF(C159="Carson City",$G$16,IF(C159="Fallon",$G$18,IF(C159="Elko",$G$39,IF(C159="Ely",$G$117,IF(C159="Stead",$G$111,0)))))</f>
        <v>0</v>
      </c>
      <c r="F159" s="1567"/>
      <c r="G159" s="603">
        <f t="shared" si="24"/>
        <v>0</v>
      </c>
      <c r="I159" s="406"/>
    </row>
    <row r="160" spans="1:9" x14ac:dyDescent="0.3">
      <c r="A160" s="132" t="str">
        <f>'1.2 Budgeted Enrollment YR1'!E64</f>
        <v>Learning Bridge</v>
      </c>
      <c r="C160" s="10" t="str">
        <f>'1.2 Budgeted Enrollment YR1'!D64</f>
        <v>Ely</v>
      </c>
      <c r="D160" s="1236">
        <f>'1.2 Budgeted Enrollment YR1'!G64</f>
        <v>175.19825529226023</v>
      </c>
      <c r="E160" s="1566">
        <f t="shared" si="27"/>
        <v>4023.0703003949957</v>
      </c>
      <c r="F160" s="1567"/>
      <c r="G160" s="603">
        <f t="shared" si="24"/>
        <v>704834.89754731255</v>
      </c>
      <c r="I160" s="406"/>
    </row>
    <row r="161" spans="1:9" x14ac:dyDescent="0.3">
      <c r="A161" s="132" t="str">
        <f>'1.2 Budgeted Enrollment YR1'!E65</f>
        <v>Legacy Traditional Schools</v>
      </c>
      <c r="C161" s="10" t="str">
        <f>'1.2 Budgeted Enrollment YR1'!D65</f>
        <v>Las Vegas</v>
      </c>
      <c r="D161" s="1236">
        <f>'1.2 Budgeted Enrollment YR1'!G65</f>
        <v>4014.3643229322638</v>
      </c>
      <c r="E161" s="1566">
        <f t="shared" si="27"/>
        <v>0</v>
      </c>
      <c r="F161" s="1567"/>
      <c r="G161" s="603">
        <f t="shared" si="24"/>
        <v>0</v>
      </c>
      <c r="I161" s="406"/>
    </row>
    <row r="162" spans="1:9" x14ac:dyDescent="0.3">
      <c r="A162" s="132" t="str">
        <f>'1.2 Budgeted Enrollment YR1'!E66</f>
        <v>Mariposa Dual Language Academy</v>
      </c>
      <c r="C162" s="10" t="str">
        <f>'1.2 Budgeted Enrollment YR1'!D66</f>
        <v>Reno</v>
      </c>
      <c r="D162" s="1236">
        <f>'1.2 Budgeted Enrollment YR1'!G66</f>
        <v>160.16230530300001</v>
      </c>
      <c r="E162" s="1566">
        <f t="shared" si="27"/>
        <v>0</v>
      </c>
      <c r="F162" s="1567"/>
      <c r="G162" s="603">
        <f t="shared" si="24"/>
        <v>0</v>
      </c>
      <c r="I162" s="406"/>
    </row>
    <row r="163" spans="1:9" x14ac:dyDescent="0.3">
      <c r="A163" s="132" t="str">
        <f>'1.2 Budgeted Enrollment YR1'!E67</f>
        <v>Mater Academy</v>
      </c>
      <c r="C163" s="10" t="str">
        <f>'1.2 Budgeted Enrollment YR1'!D67</f>
        <v>Las Vegas</v>
      </c>
      <c r="D163" s="1236">
        <f>'1.2 Budgeted Enrollment YR1'!G67</f>
        <v>3957.4480253588026</v>
      </c>
      <c r="E163" s="1566">
        <f t="shared" si="27"/>
        <v>0</v>
      </c>
      <c r="F163" s="1567"/>
      <c r="G163" s="603">
        <f t="shared" si="24"/>
        <v>0</v>
      </c>
      <c r="I163" s="406"/>
    </row>
    <row r="164" spans="1:9" x14ac:dyDescent="0.3">
      <c r="A164" s="132" t="str">
        <f>'1.2 Budgeted Enrollment YR1'!E68</f>
        <v>Mater Academy of Northern Nevada</v>
      </c>
      <c r="C164" s="10" t="str">
        <f>'1.2 Budgeted Enrollment YR1'!D68</f>
        <v>Reno</v>
      </c>
      <c r="D164" s="1236">
        <f>'1.2 Budgeted Enrollment YR1'!G68</f>
        <v>491.47528742099291</v>
      </c>
      <c r="E164" s="1566">
        <f t="shared" si="27"/>
        <v>0</v>
      </c>
      <c r="F164" s="1567"/>
      <c r="G164" s="603">
        <f t="shared" si="24"/>
        <v>0</v>
      </c>
      <c r="I164" s="406"/>
    </row>
    <row r="165" spans="1:9" x14ac:dyDescent="0.3">
      <c r="A165" s="132" t="str">
        <f>'1.2 Budgeted Enrollment YR1'!E69</f>
        <v>Nevada Connections Academy</v>
      </c>
      <c r="C165" s="10" t="str">
        <f>'1.2 Budgeted Enrollment YR1'!D69</f>
        <v>Reno</v>
      </c>
      <c r="D165" s="1236">
        <f>'1.2 Budgeted Enrollment YR1'!G69</f>
        <v>1065.9410335586765</v>
      </c>
      <c r="E165" s="1566">
        <f t="shared" si="27"/>
        <v>0</v>
      </c>
      <c r="F165" s="1567"/>
      <c r="G165" s="603">
        <f t="shared" si="24"/>
        <v>0</v>
      </c>
      <c r="I165" s="406"/>
    </row>
    <row r="166" spans="1:9" x14ac:dyDescent="0.3">
      <c r="A166" s="132" t="str">
        <f>'1.2 Budgeted Enrollment YR1'!E70</f>
        <v>Nevada Prep</v>
      </c>
      <c r="C166" s="10" t="str">
        <f>'1.2 Budgeted Enrollment YR1'!D70</f>
        <v>Las Vegas</v>
      </c>
      <c r="D166" s="1236">
        <f>'1.2 Budgeted Enrollment YR1'!G70</f>
        <v>281.33643740972769</v>
      </c>
      <c r="E166" s="1566">
        <f>IF(C166="Carson City",$G$16,IF(C166="Fallon",$G$18,IF(C166="Elko",$G$39,IF(C166="Ely",$G$117,IF(C166="Stead",$G$111,0)))))</f>
        <v>0</v>
      </c>
      <c r="F166" s="1567"/>
      <c r="G166" s="603">
        <f t="shared" si="24"/>
        <v>0</v>
      </c>
      <c r="I166" s="406"/>
    </row>
    <row r="167" spans="1:9" x14ac:dyDescent="0.3">
      <c r="A167" s="132" t="str">
        <f>'1.2 Budgeted Enrollment YR1'!E71</f>
        <v xml:space="preserve">Nevada Rise </v>
      </c>
      <c r="C167" s="10" t="str">
        <f>'1.2 Budgeted Enrollment YR1'!D71</f>
        <v>Las Vegas</v>
      </c>
      <c r="D167" s="1236">
        <f>'1.2 Budgeted Enrollment YR1'!G71</f>
        <v>457.90871082754296</v>
      </c>
      <c r="E167" s="1566">
        <f t="shared" ref="E167:E172" si="28">IF(C167="Carson City",$G$16,IF(C167="Fallon",$G$18,IF(C167="Elko",$G$39,IF(C167="Ely",$G$117,IF(C167="Stead",$G$111,0)))))</f>
        <v>0</v>
      </c>
      <c r="F167" s="1567"/>
      <c r="G167" s="603">
        <f t="shared" si="24"/>
        <v>0</v>
      </c>
      <c r="I167" s="406"/>
    </row>
    <row r="168" spans="1:9" x14ac:dyDescent="0.3">
      <c r="A168" s="132" t="str">
        <f>'1.2 Budgeted Enrollment YR1'!E72</f>
        <v>Nevada State High School</v>
      </c>
      <c r="C168" s="10" t="str">
        <f>'1.2 Budgeted Enrollment YR1'!D72</f>
        <v>Las Vegas</v>
      </c>
      <c r="D168" s="1236">
        <f>'1.2 Budgeted Enrollment YR1'!G72</f>
        <v>983.31703457725234</v>
      </c>
      <c r="E168" s="1566">
        <f t="shared" si="28"/>
        <v>0</v>
      </c>
      <c r="F168" s="1567"/>
      <c r="G168" s="603">
        <f t="shared" si="24"/>
        <v>0</v>
      </c>
      <c r="I168" s="406"/>
    </row>
    <row r="169" spans="1:9" x14ac:dyDescent="0.3">
      <c r="A169" s="132" t="str">
        <f>'1.2 Budgeted Enrollment YR1'!E73</f>
        <v>Nevada State High School-Meadowwood</v>
      </c>
      <c r="C169" s="10" t="str">
        <f>'1.2 Budgeted Enrollment YR1'!D73</f>
        <v>Reno</v>
      </c>
      <c r="D169" s="1236">
        <f>'1.2 Budgeted Enrollment YR1'!G73</f>
        <v>31.821411371749999</v>
      </c>
      <c r="E169" s="1566">
        <f t="shared" si="28"/>
        <v>0</v>
      </c>
      <c r="F169" s="1567"/>
      <c r="G169" s="603">
        <f t="shared" si="24"/>
        <v>0</v>
      </c>
      <c r="I169" s="406"/>
    </row>
    <row r="170" spans="1:9" x14ac:dyDescent="0.3">
      <c r="A170" s="132" t="str">
        <f>'1.2 Budgeted Enrollment YR1'!E74</f>
        <v>Nevada Virtual Academy</v>
      </c>
      <c r="C170" s="10" t="str">
        <f>'1.2 Budgeted Enrollment YR1'!D74</f>
        <v>Las Vegas</v>
      </c>
      <c r="D170" s="1236">
        <f>'1.2 Budgeted Enrollment YR1'!G74</f>
        <v>2158.3957640639396</v>
      </c>
      <c r="E170" s="1566">
        <f t="shared" si="28"/>
        <v>0</v>
      </c>
      <c r="F170" s="1567"/>
      <c r="G170" s="603">
        <f t="shared" si="24"/>
        <v>0</v>
      </c>
      <c r="I170" s="406"/>
    </row>
    <row r="171" spans="1:9" x14ac:dyDescent="0.3">
      <c r="A171" s="132" t="str">
        <f>'1.2 Budgeted Enrollment YR1'!E75</f>
        <v>Oasis Academy</v>
      </c>
      <c r="C171" s="10" t="str">
        <f>'1.2 Budgeted Enrollment YR1'!D75</f>
        <v>Fallon</v>
      </c>
      <c r="D171" s="1236">
        <f>'1.2 Budgeted Enrollment YR1'!G75</f>
        <v>734.20464267162504</v>
      </c>
      <c r="E171" s="1566">
        <f t="shared" si="28"/>
        <v>1193.1767249833015</v>
      </c>
      <c r="F171" s="1567"/>
      <c r="G171" s="603">
        <f t="shared" si="24"/>
        <v>876035.89101046463</v>
      </c>
      <c r="I171" s="406"/>
    </row>
    <row r="172" spans="1:9" x14ac:dyDescent="0.3">
      <c r="A172" s="132" t="str">
        <f>'1.2 Budgeted Enrollment YR1'!E76</f>
        <v>Odyssey Charter Schools</v>
      </c>
      <c r="C172" s="10" t="str">
        <f>'1.2 Budgeted Enrollment YR1'!D76</f>
        <v>Las Vegas</v>
      </c>
      <c r="D172" s="1236">
        <f>'1.2 Budgeted Enrollment YR1'!G76</f>
        <v>2325.2299469256354</v>
      </c>
      <c r="E172" s="1566">
        <f t="shared" si="28"/>
        <v>0</v>
      </c>
      <c r="F172" s="1567"/>
      <c r="G172" s="603">
        <f t="shared" si="24"/>
        <v>0</v>
      </c>
      <c r="I172" s="406"/>
    </row>
    <row r="173" spans="1:9" x14ac:dyDescent="0.3">
      <c r="A173" s="132" t="str">
        <f>'1.2 Budgeted Enrollment YR1'!E77</f>
        <v>Pinecrest Academy of Northern Nevada</v>
      </c>
      <c r="C173" s="10" t="str">
        <f>'1.2 Budgeted Enrollment YR1'!D77</f>
        <v>Reno</v>
      </c>
      <c r="D173" s="1236">
        <f>'1.2 Budgeted Enrollment YR1'!G77</f>
        <v>926.97453717270901</v>
      </c>
      <c r="E173" s="1566">
        <f>IF(C173="Carson City",$G$16,IF(C173="Fallon",$G$18,IF(C173="Elko",$G$39,IF(C173="Ely",$G$117,IF(C173="Stead",$G$111,0)))))</f>
        <v>0</v>
      </c>
      <c r="F173" s="1567"/>
      <c r="G173" s="603">
        <f t="shared" si="24"/>
        <v>0</v>
      </c>
      <c r="I173" s="406"/>
    </row>
    <row r="174" spans="1:9" x14ac:dyDescent="0.3">
      <c r="A174" s="132" t="str">
        <f>'1.2 Budgeted Enrollment YR1'!E78</f>
        <v>Pinecrest Academy of Nevada</v>
      </c>
      <c r="C174" s="10" t="str">
        <f>'1.2 Budgeted Enrollment YR1'!D78</f>
        <v>Las Vegas</v>
      </c>
      <c r="D174" s="1236">
        <f>'1.2 Budgeted Enrollment YR1'!G78</f>
        <v>7406.4449235623106</v>
      </c>
      <c r="E174" s="1566">
        <f t="shared" ref="E174:E181" si="29">IF(C174="Carson City",$G$16,IF(C174="Fallon",$G$18,IF(C174="Elko",$G$39,IF(C174="Ely",$G$117,IF(C174="Stead",$G$111,0)))))</f>
        <v>0</v>
      </c>
      <c r="F174" s="1567"/>
      <c r="G174" s="603">
        <f t="shared" si="24"/>
        <v>0</v>
      </c>
      <c r="I174" s="406"/>
    </row>
    <row r="175" spans="1:9" x14ac:dyDescent="0.3">
      <c r="A175" s="132" t="str">
        <f>'1.2 Budgeted Enrollment YR1'!E79</f>
        <v>Quest Academy</v>
      </c>
      <c r="C175" s="10" t="str">
        <f>'1.2 Budgeted Enrollment YR1'!D79</f>
        <v>Las Vegas</v>
      </c>
      <c r="D175" s="1236">
        <f>'1.2 Budgeted Enrollment YR1'!G79</f>
        <v>434.86954084714142</v>
      </c>
      <c r="E175" s="1566">
        <f t="shared" si="29"/>
        <v>0</v>
      </c>
      <c r="F175" s="1567"/>
      <c r="G175" s="603">
        <f t="shared" si="24"/>
        <v>0</v>
      </c>
      <c r="I175" s="406"/>
    </row>
    <row r="176" spans="1:9" x14ac:dyDescent="0.3">
      <c r="A176" s="132" t="str">
        <f>'1.2 Budgeted Enrollment YR1'!E80</f>
        <v>Rainbow Dreams Academy</v>
      </c>
      <c r="C176" s="10" t="str">
        <f>'1.2 Budgeted Enrollment YR1'!D80</f>
        <v>Las Vegas</v>
      </c>
      <c r="D176" s="1236">
        <f>'1.2 Budgeted Enrollment YR1'!G80</f>
        <v>70.235302237100015</v>
      </c>
      <c r="E176" s="1566">
        <f t="shared" si="29"/>
        <v>0</v>
      </c>
      <c r="F176" s="1567"/>
      <c r="G176" s="603">
        <f t="shared" si="24"/>
        <v>0</v>
      </c>
      <c r="I176" s="406"/>
    </row>
    <row r="177" spans="1:9" x14ac:dyDescent="0.3">
      <c r="A177" s="132" t="str">
        <f>'1.2 Budgeted Enrollment YR1'!E81</f>
        <v>Rooted Charter School</v>
      </c>
      <c r="C177" s="10" t="str">
        <f>'1.2 Budgeted Enrollment YR1'!D81</f>
        <v>Las Vegas</v>
      </c>
      <c r="D177" s="1236">
        <f>'1.2 Budgeted Enrollment YR1'!G81</f>
        <v>180</v>
      </c>
      <c r="E177" s="1566">
        <f t="shared" ref="E177" si="30">IF(C177="Carson City",$G$16,IF(C177="Fallon",$G$18,IF(C177="Elko",$G$39,IF(C177="Ely",$G$117,IF(C177="Stead",$G$111,0)))))</f>
        <v>0</v>
      </c>
      <c r="F177" s="1567"/>
      <c r="G177" s="603">
        <f t="shared" ref="G177" si="31">D177*E177</f>
        <v>0</v>
      </c>
      <c r="I177" s="406"/>
    </row>
    <row r="178" spans="1:9" x14ac:dyDescent="0.3">
      <c r="A178" s="132" t="str">
        <f>'1.2 Budgeted Enrollment YR1'!E82</f>
        <v>Sage Collegiate Academy</v>
      </c>
      <c r="C178" s="10" t="str">
        <f>'1.2 Budgeted Enrollment YR1'!D82</f>
        <v>Las Vegas</v>
      </c>
      <c r="D178" s="1236">
        <f>'1.2 Budgeted Enrollment YR1'!G82</f>
        <v>198.87805865204777</v>
      </c>
      <c r="E178" s="1566">
        <f t="shared" si="29"/>
        <v>0</v>
      </c>
      <c r="F178" s="1567"/>
      <c r="G178" s="603">
        <f t="shared" si="24"/>
        <v>0</v>
      </c>
      <c r="I178" s="406"/>
    </row>
    <row r="179" spans="1:9" x14ac:dyDescent="0.3">
      <c r="A179" s="132" t="str">
        <f>'1.2 Budgeted Enrollment YR1'!E83</f>
        <v>Sierra Nevada Academy Charter</v>
      </c>
      <c r="C179" s="10" t="str">
        <f>'1.2 Budgeted Enrollment YR1'!D83</f>
        <v>Stead</v>
      </c>
      <c r="D179" s="1236">
        <f>'1.2 Budgeted Enrollment YR1'!G83</f>
        <v>323.96493651869849</v>
      </c>
      <c r="E179" s="1566">
        <f>IF(C179="Carson City",$G$16,IF(C179="Fallon",$G$18,IF(C179="Elko",$G$39,IF(C179="Ely",$G$117,IF(C179="Stead",$G$111,0)))))</f>
        <v>709.25755903858578</v>
      </c>
      <c r="F179" s="1567"/>
      <c r="G179" s="603">
        <f t="shared" si="24"/>
        <v>229774.58008934249</v>
      </c>
      <c r="I179" s="406"/>
    </row>
    <row r="180" spans="1:9" x14ac:dyDescent="0.3">
      <c r="A180" s="132" t="str">
        <f>'1.2 Budgeted Enrollment YR1'!E84</f>
        <v>Signature Preparatory</v>
      </c>
      <c r="C180" s="10" t="str">
        <f>'1.2 Budgeted Enrollment YR1'!D84</f>
        <v>Las Vegas</v>
      </c>
      <c r="D180" s="1236">
        <f>'1.2 Budgeted Enrollment YR1'!G84</f>
        <v>973.67545181721823</v>
      </c>
      <c r="E180" s="1566">
        <f t="shared" si="29"/>
        <v>0</v>
      </c>
      <c r="F180" s="1567"/>
      <c r="G180" s="603">
        <f t="shared" si="24"/>
        <v>0</v>
      </c>
      <c r="I180" s="406"/>
    </row>
    <row r="181" spans="1:9" x14ac:dyDescent="0.3">
      <c r="A181" s="132" t="str">
        <f>'1.2 Budgeted Enrollment YR1'!E85</f>
        <v>Silver Sands Montessori</v>
      </c>
      <c r="C181" s="10" t="str">
        <f>'1.2 Budgeted Enrollment YR1'!D85</f>
        <v>Las Vegas</v>
      </c>
      <c r="D181" s="1236">
        <f>'1.2 Budgeted Enrollment YR1'!G85</f>
        <v>240.14749458700001</v>
      </c>
      <c r="E181" s="1566">
        <f t="shared" si="29"/>
        <v>0</v>
      </c>
      <c r="F181" s="1567"/>
      <c r="G181" s="603">
        <f t="shared" si="24"/>
        <v>0</v>
      </c>
      <c r="I181" s="406"/>
    </row>
    <row r="182" spans="1:9" x14ac:dyDescent="0.3">
      <c r="A182" s="132" t="str">
        <f>'1.2 Budgeted Enrollment YR1'!E86</f>
        <v>Somerset Academy</v>
      </c>
      <c r="C182" s="10" t="str">
        <f>'1.2 Budgeted Enrollment YR1'!D86</f>
        <v>Las Vegas</v>
      </c>
      <c r="D182" s="1236">
        <f>'1.2 Budgeted Enrollment YR1'!G86</f>
        <v>9466.1700510654773</v>
      </c>
      <c r="E182" s="1566">
        <f t="shared" ref="E182:E187" si="32">IF(C182="Carson City",$G$16,IF(C182="Fallon",$G$18,IF(C182="Elko",$G$39,IF(C182="Ely",$G$117,IF(C182="Stead",$G$111,0)))))</f>
        <v>0</v>
      </c>
      <c r="F182" s="1567"/>
      <c r="G182" s="603">
        <f t="shared" si="24"/>
        <v>0</v>
      </c>
      <c r="I182" s="406"/>
    </row>
    <row r="183" spans="1:9" x14ac:dyDescent="0.3">
      <c r="A183" s="132" t="str">
        <f>'1.2 Budgeted Enrollment YR1'!E87</f>
        <v>Southern Nevada Trade High School</v>
      </c>
      <c r="C183" s="10" t="str">
        <f>'1.2 Budgeted Enrollment YR1'!D87</f>
        <v>Las Vegas</v>
      </c>
      <c r="D183" s="1236">
        <f>'1.2 Budgeted Enrollment YR1'!G87</f>
        <v>200</v>
      </c>
      <c r="E183" s="1566">
        <f t="shared" si="32"/>
        <v>0</v>
      </c>
      <c r="F183" s="1567"/>
      <c r="G183" s="603">
        <f t="shared" ref="G183" si="33">D183*E183</f>
        <v>0</v>
      </c>
      <c r="I183" s="406"/>
    </row>
    <row r="184" spans="1:9" x14ac:dyDescent="0.3">
      <c r="A184" s="132" t="str">
        <f>'1.2 Budgeted Enrollment YR1'!E88</f>
        <v>Sports Leadership and Management Academy</v>
      </c>
      <c r="C184" s="10" t="str">
        <f>'1.2 Budgeted Enrollment YR1'!D88</f>
        <v>Las Vegas</v>
      </c>
      <c r="D184" s="1236">
        <f>'1.2 Budgeted Enrollment YR1'!G88</f>
        <v>1786.2260441729454</v>
      </c>
      <c r="E184" s="1566">
        <f t="shared" si="32"/>
        <v>0</v>
      </c>
      <c r="F184" s="1567"/>
      <c r="G184" s="603">
        <f t="shared" si="24"/>
        <v>0</v>
      </c>
      <c r="I184" s="406"/>
    </row>
    <row r="185" spans="1:9" x14ac:dyDescent="0.3">
      <c r="A185" s="132" t="str">
        <f>'1.2 Budgeted Enrollment YR1'!E89</f>
        <v>Strong Start Academy</v>
      </c>
      <c r="C185" s="10" t="str">
        <f>'1.2 Budgeted Enrollment YR1'!D89</f>
        <v>Las Vegas</v>
      </c>
      <c r="D185" s="1236">
        <f>'1.2 Budgeted Enrollment YR1'!G89</f>
        <v>80.630345170274907</v>
      </c>
      <c r="E185" s="1566">
        <f t="shared" si="32"/>
        <v>0</v>
      </c>
      <c r="F185" s="1567"/>
      <c r="G185" s="603">
        <f t="shared" si="24"/>
        <v>0</v>
      </c>
      <c r="I185" s="406"/>
    </row>
    <row r="186" spans="1:9" x14ac:dyDescent="0.3">
      <c r="A186" s="132" t="str">
        <f>'1.2 Budgeted Enrollment YR1'!E90</f>
        <v>TEACH Las Vegas</v>
      </c>
      <c r="C186" s="10" t="str">
        <f>'1.2 Budgeted Enrollment YR1'!D90</f>
        <v>Las Vegas</v>
      </c>
      <c r="D186" s="1236">
        <f>'1.2 Budgeted Enrollment YR1'!G90</f>
        <v>320.98389146971647</v>
      </c>
      <c r="E186" s="1566">
        <f t="shared" si="32"/>
        <v>0</v>
      </c>
      <c r="F186" s="1567"/>
      <c r="G186" s="603">
        <f t="shared" si="24"/>
        <v>0</v>
      </c>
      <c r="I186" s="406"/>
    </row>
    <row r="187" spans="1:9" x14ac:dyDescent="0.3">
      <c r="A187" s="195" t="str">
        <f>'1.2 Budgeted Enrollment YR1'!E91</f>
        <v>Young Women's Leadership Academy</v>
      </c>
      <c r="B187" s="183"/>
      <c r="C187" s="183" t="str">
        <f>'1.2 Budgeted Enrollment YR1'!D91</f>
        <v>Las Vegas</v>
      </c>
      <c r="D187" s="792">
        <f>'1.2 Budgeted Enrollment YR1'!G91</f>
        <v>56.356771471000002</v>
      </c>
      <c r="E187" s="1568">
        <f t="shared" si="32"/>
        <v>0</v>
      </c>
      <c r="F187" s="1569"/>
      <c r="G187" s="1570">
        <f t="shared" si="24"/>
        <v>0</v>
      </c>
      <c r="I187" s="406"/>
    </row>
    <row r="188" spans="1:9" x14ac:dyDescent="0.3">
      <c r="A188" s="4" t="s">
        <v>1139</v>
      </c>
      <c r="B188" s="4"/>
      <c r="C188" s="4"/>
      <c r="D188" s="589">
        <f>SUM(D128:D187)</f>
        <v>69003.49592143159</v>
      </c>
      <c r="E188" s="1571"/>
      <c r="F188" s="1571"/>
      <c r="G188" s="1572">
        <f>SUM(G128:G187)</f>
        <v>2140744.5161799784</v>
      </c>
    </row>
    <row r="189" spans="1:9" x14ac:dyDescent="0.3">
      <c r="D189" s="65">
        <f>D188-'1.2 Budgeted Enrollment YR1'!G26</f>
        <v>0</v>
      </c>
      <c r="E189" s="1567"/>
      <c r="F189" s="1567"/>
      <c r="G189" s="1567">
        <f>G188-'2.6 Adj. Base Summary YR1'!E97</f>
        <v>0</v>
      </c>
    </row>
    <row r="190" spans="1:9" x14ac:dyDescent="0.3">
      <c r="D190" s="65"/>
      <c r="E190" s="1567"/>
      <c r="F190" s="1567"/>
      <c r="G190" s="1567"/>
    </row>
    <row r="191" spans="1:9" s="94" customFormat="1" ht="86.25" customHeight="1" x14ac:dyDescent="0.3">
      <c r="A191" s="407" t="s">
        <v>1256</v>
      </c>
      <c r="B191" s="727"/>
      <c r="C191" s="727" t="s">
        <v>756</v>
      </c>
      <c r="D191" s="728" t="s">
        <v>853</v>
      </c>
      <c r="E191" s="1573" t="str">
        <f>E127</f>
        <v>Adjustment amount per pupil based on Attendance Area</v>
      </c>
      <c r="F191" s="1573"/>
      <c r="G191" s="1573" t="str">
        <f>G127</f>
        <v>Size Adjustment consistent with other public schools in the Attendance Area Where the charter operates</v>
      </c>
    </row>
    <row r="192" spans="1:9" x14ac:dyDescent="0.3">
      <c r="A192" s="132" t="str">
        <f>'1.2 Budgeted Enrollment YR1'!E96</f>
        <v>Davidson Academy</v>
      </c>
      <c r="C192" s="10" t="str">
        <f>'1.2 Budgeted Enrollment YR1'!D96</f>
        <v>Reno</v>
      </c>
      <c r="D192" s="136">
        <f>'1.2 Budgeted Enrollment YR1'!G96</f>
        <v>162.04408445225002</v>
      </c>
      <c r="E192" s="1567">
        <f>IF(C192="Carson City",$G$16,IF(C192="Fallon",$G$18,IF(C192="Elko",$G$39,IF(C192="Ely",$G$117,0))))</f>
        <v>0</v>
      </c>
      <c r="F192" s="1567"/>
      <c r="G192" s="603">
        <f>D192*E192</f>
        <v>0</v>
      </c>
    </row>
    <row r="193" spans="1:7" x14ac:dyDescent="0.3">
      <c r="A193" s="195">
        <f>'1.2 Budgeted Enrollment YR1'!E97</f>
        <v>0</v>
      </c>
      <c r="B193" s="183"/>
      <c r="C193" s="183">
        <f>'1.2 Budgeted Enrollment YR1'!D97</f>
        <v>0</v>
      </c>
      <c r="D193" s="764">
        <f>'1.2 Budgeted Enrollment YR1'!G97</f>
        <v>0</v>
      </c>
      <c r="E193" s="1569"/>
      <c r="F193" s="1569"/>
      <c r="G193" s="1570">
        <f>D193*E193</f>
        <v>0</v>
      </c>
    </row>
    <row r="194" spans="1:7" x14ac:dyDescent="0.3">
      <c r="D194" s="136">
        <f>SUM(D192:D193)-'1.2 Budgeted Enrollment YR1'!G98</f>
        <v>0</v>
      </c>
      <c r="E194" s="1567"/>
      <c r="F194" s="1567"/>
      <c r="G194" s="1575">
        <f>SUM(G192:G193)</f>
        <v>0</v>
      </c>
    </row>
    <row r="195" spans="1:7" x14ac:dyDescent="0.3">
      <c r="E195" s="1567"/>
      <c r="F195" s="1567"/>
      <c r="G195" s="1567"/>
    </row>
    <row r="196" spans="1:7" x14ac:dyDescent="0.3">
      <c r="E196" s="1567"/>
      <c r="F196" s="1567"/>
      <c r="G196" s="1567"/>
    </row>
    <row r="197" spans="1:7" x14ac:dyDescent="0.3">
      <c r="E197" s="1567"/>
      <c r="F197" s="1567"/>
      <c r="G197" s="1567"/>
    </row>
    <row r="198" spans="1:7" x14ac:dyDescent="0.3">
      <c r="E198" s="1567"/>
      <c r="F198" s="1567"/>
      <c r="G198" s="1567"/>
    </row>
  </sheetData>
  <sheetProtection algorithmName="SHA-512" hashValue="9XdS63qwqQ56AiEYF/rv/M348qpQkUYyYxgdo7VZ0Gv6RFHvoJ8/TCIAgz4NCc9p265Lu4PkwcELlWv1UkczYQ==" saltValue="cXVP06O2x6DoAY1GX5DUOg==" spinCount="100000" sheet="1" objects="1" scenarios="1"/>
  <autoFilter ref="A127:G188" xr:uid="{2FD2AC63-58E9-4A3B-9532-66E53125971D}"/>
  <pageMargins left="0.7" right="0.7" top="0.75" bottom="0.75" header="0.3" footer="0.3"/>
  <pageSetup scale="97" fitToHeight="4" orientation="landscape" horizontalDpi="1200" verticalDpi="1200" r:id="rId1"/>
  <rowBreaks count="3" manualBreakCount="3">
    <brk id="49" max="6" man="1"/>
    <brk id="87" max="6" man="1"/>
    <brk id="120" max="6"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3A65E-D28D-4715-911A-56ABEE416BFA}">
  <sheetPr>
    <tabColor theme="6" tint="0.59999389629810485"/>
    <pageSetUpPr autoPageBreaks="0" fitToPage="1"/>
  </sheetPr>
  <dimension ref="A1:M97"/>
  <sheetViews>
    <sheetView zoomScale="85" zoomScaleNormal="85" workbookViewId="0"/>
  </sheetViews>
  <sheetFormatPr defaultColWidth="8.85546875" defaultRowHeight="16.5" x14ac:dyDescent="0.3"/>
  <cols>
    <col min="1" max="1" width="17.7109375" style="4" bestFit="1" customWidth="1"/>
    <col min="2" max="2" width="43.42578125" style="10" customWidth="1"/>
    <col min="3" max="3" width="9.42578125" style="10" bestFit="1" customWidth="1"/>
    <col min="4" max="4" width="13.5703125" style="10" bestFit="1" customWidth="1"/>
    <col min="5" max="5" width="10.5703125" style="10" bestFit="1" customWidth="1"/>
    <col min="6" max="6" width="15" style="10" bestFit="1" customWidth="1"/>
    <col min="7" max="7" width="15.5703125" style="10" bestFit="1" customWidth="1"/>
    <col min="8" max="8" width="15.85546875" style="10" bestFit="1" customWidth="1"/>
    <col min="9" max="9" width="19" style="10" customWidth="1"/>
    <col min="10" max="10" width="21.140625" style="10" bestFit="1" customWidth="1"/>
    <col min="11" max="11" width="11.140625" style="93" customWidth="1"/>
    <col min="12" max="12" width="8.28515625" style="10" customWidth="1"/>
    <col min="13" max="13" width="12.85546875" style="10" bestFit="1" customWidth="1"/>
    <col min="14" max="16384" width="8.85546875" style="10"/>
  </cols>
  <sheetData>
    <row r="1" spans="1:13" s="4" customFormat="1" x14ac:dyDescent="0.3">
      <c r="B1" s="4" t="s">
        <v>602</v>
      </c>
      <c r="K1" s="16"/>
    </row>
    <row r="2" spans="1:13" x14ac:dyDescent="0.3">
      <c r="B2" s="10" t="str">
        <f>CONCATENATE("Pupil Center Funding Plan | FY",'1.1 Assumption Control YR1'!D5)</f>
        <v>Pupil Center Funding Plan | FY2024</v>
      </c>
      <c r="K2" s="218"/>
    </row>
    <row r="3" spans="1:13" x14ac:dyDescent="0.3">
      <c r="B3" s="10" t="s">
        <v>1267</v>
      </c>
      <c r="K3" s="218"/>
    </row>
    <row r="4" spans="1:13" x14ac:dyDescent="0.3">
      <c r="I4" s="94"/>
      <c r="J4" s="88"/>
    </row>
    <row r="5" spans="1:13" ht="66" x14ac:dyDescent="0.3">
      <c r="A5" s="4" t="str">
        <f>'2.3 Statewide Base Funding YR1'!A13</f>
        <v>School District</v>
      </c>
      <c r="B5" s="4"/>
      <c r="C5" s="4"/>
      <c r="D5" s="95" t="s">
        <v>1395</v>
      </c>
      <c r="E5" s="1203" t="s">
        <v>1392</v>
      </c>
      <c r="F5" s="1204" t="s">
        <v>1394</v>
      </c>
      <c r="G5" s="1203" t="s">
        <v>1393</v>
      </c>
      <c r="H5" s="1204" t="s">
        <v>1396</v>
      </c>
      <c r="I5" s="1212" t="s">
        <v>1397</v>
      </c>
      <c r="J5" s="1204" t="s">
        <v>1009</v>
      </c>
    </row>
    <row r="6" spans="1:13" s="1233" customFormat="1" ht="33" x14ac:dyDescent="0.25">
      <c r="A6" s="961"/>
      <c r="B6" s="1226" t="s">
        <v>879</v>
      </c>
      <c r="C6" s="498" t="s">
        <v>856</v>
      </c>
      <c r="D6" s="498" t="s">
        <v>868</v>
      </c>
      <c r="E6" s="1227" t="s">
        <v>944</v>
      </c>
      <c r="F6" s="1228" t="s">
        <v>1398</v>
      </c>
      <c r="G6" s="1229" t="s">
        <v>1399</v>
      </c>
      <c r="H6" s="1230" t="s">
        <v>857</v>
      </c>
      <c r="I6" s="1231" t="s">
        <v>897</v>
      </c>
      <c r="J6" s="1232" t="s">
        <v>1059</v>
      </c>
      <c r="K6" s="1350" t="s">
        <v>1460</v>
      </c>
    </row>
    <row r="7" spans="1:13" x14ac:dyDescent="0.3">
      <c r="B7" s="10" t="str">
        <f>'1.2 Budgeted Enrollment YR1'!E9</f>
        <v>Carson City</v>
      </c>
      <c r="C7" s="40">
        <f>'1.2 Budgeted Enrollment YR1'!B9</f>
        <v>13</v>
      </c>
      <c r="D7" s="1197">
        <f>'2.3 Statewide Base Funding YR1'!C14</f>
        <v>8981</v>
      </c>
      <c r="E7" s="1205">
        <v>0</v>
      </c>
      <c r="F7" s="242">
        <f>D7*E7</f>
        <v>0</v>
      </c>
      <c r="G7" s="1206">
        <f>'1.2 Budgeted Enrollment YR1'!G9-E7</f>
        <v>7200.2984639728293</v>
      </c>
      <c r="H7" s="1207">
        <f>D7*G7</f>
        <v>64665880.504939981</v>
      </c>
      <c r="I7" s="1213">
        <f>'1.1 Assumption Control YR1'!M35</f>
        <v>1</v>
      </c>
      <c r="J7" s="1214">
        <f>SUM(H7)*(I7-1)</f>
        <v>0</v>
      </c>
      <c r="K7" s="1202">
        <f>(F7+H7)-'2.3 Statewide Base Funding YR1'!E14</f>
        <v>0</v>
      </c>
    </row>
    <row r="8" spans="1:13" x14ac:dyDescent="0.3">
      <c r="B8" s="10" t="str">
        <f>'1.2 Budgeted Enrollment YR1'!E10</f>
        <v>Churchill</v>
      </c>
      <c r="C8" s="40">
        <f>'1.2 Budgeted Enrollment YR1'!B10</f>
        <v>1</v>
      </c>
      <c r="D8" s="1197">
        <f>'2.3 Statewide Base Funding YR1'!C15</f>
        <v>8981</v>
      </c>
      <c r="E8" s="1205">
        <v>0</v>
      </c>
      <c r="F8" s="242">
        <f t="shared" ref="F8:F23" si="0">D8*E8</f>
        <v>0</v>
      </c>
      <c r="G8" s="1206">
        <f>'1.2 Budgeted Enrollment YR1'!G10-E8</f>
        <v>3191.1266236748447</v>
      </c>
      <c r="H8" s="1207">
        <f t="shared" ref="H8:H23" si="1">D8*G8</f>
        <v>28659508.20722378</v>
      </c>
      <c r="I8" s="1213">
        <f>'1.1 Assumption Control YR1'!M36</f>
        <v>1</v>
      </c>
      <c r="J8" s="1214">
        <f t="shared" ref="J8:J23" si="2">SUM(H8)*(I8-1)</f>
        <v>0</v>
      </c>
      <c r="K8" s="1202">
        <f>(F8+H8)-'2.3 Statewide Base Funding YR1'!E15</f>
        <v>0</v>
      </c>
      <c r="M8" s="206"/>
    </row>
    <row r="9" spans="1:13" x14ac:dyDescent="0.3">
      <c r="B9" s="10" t="str">
        <f>'1.2 Budgeted Enrollment YR1'!E11</f>
        <v>Clark</v>
      </c>
      <c r="C9" s="40">
        <f>'1.2 Budgeted Enrollment YR1'!B11</f>
        <v>2</v>
      </c>
      <c r="D9" s="1197">
        <f>'2.3 Statewide Base Funding YR1'!C16</f>
        <v>8981</v>
      </c>
      <c r="E9" s="1205">
        <v>0</v>
      </c>
      <c r="F9" s="242">
        <f t="shared" si="0"/>
        <v>0</v>
      </c>
      <c r="G9" s="1206">
        <f>'1.2 Budgeted Enrollment YR1'!G11-E9</f>
        <v>293209.81057058816</v>
      </c>
      <c r="H9" s="1207">
        <f>D9*G9</f>
        <v>2633317308.7344522</v>
      </c>
      <c r="I9" s="1213">
        <f>'1.1 Assumption Control YR1'!M37</f>
        <v>1</v>
      </c>
      <c r="J9" s="1214">
        <f t="shared" si="2"/>
        <v>0</v>
      </c>
      <c r="K9" s="1202">
        <f>(F9+H9)-'2.3 Statewide Base Funding YR1'!E16</f>
        <v>0</v>
      </c>
      <c r="M9" s="206"/>
    </row>
    <row r="10" spans="1:13" x14ac:dyDescent="0.3">
      <c r="B10" s="10" t="str">
        <f>'1.2 Budgeted Enrollment YR1'!E12</f>
        <v>Douglas</v>
      </c>
      <c r="C10" s="40">
        <f>'1.2 Budgeted Enrollment YR1'!B12</f>
        <v>3</v>
      </c>
      <c r="D10" s="1197">
        <f>'2.3 Statewide Base Funding YR1'!C17</f>
        <v>8981</v>
      </c>
      <c r="E10" s="1205">
        <v>0</v>
      </c>
      <c r="F10" s="242">
        <f>D10*E10</f>
        <v>0</v>
      </c>
      <c r="G10" s="1206">
        <f>'1.2 Budgeted Enrollment YR1'!G12-E10</f>
        <v>5165.4763710930883</v>
      </c>
      <c r="H10" s="1207">
        <f>D10*G10</f>
        <v>46391143.28878703</v>
      </c>
      <c r="I10" s="1213">
        <f>'1.1 Assumption Control YR1'!M38</f>
        <v>1</v>
      </c>
      <c r="J10" s="1214">
        <f>SUM(H10)*(I10-1)</f>
        <v>0</v>
      </c>
      <c r="K10" s="1202">
        <f>(F10+H10)-'2.3 Statewide Base Funding YR1'!E17</f>
        <v>0</v>
      </c>
      <c r="M10" s="206"/>
    </row>
    <row r="11" spans="1:13" x14ac:dyDescent="0.3">
      <c r="B11" s="10" t="str">
        <f>'1.2 Budgeted Enrollment YR1'!E13</f>
        <v>Elko</v>
      </c>
      <c r="C11" s="40">
        <f>'1.2 Budgeted Enrollment YR1'!B13</f>
        <v>4</v>
      </c>
      <c r="D11" s="1197">
        <f>'2.3 Statewide Base Funding YR1'!C18</f>
        <v>8981</v>
      </c>
      <c r="E11" s="1205">
        <v>0</v>
      </c>
      <c r="F11" s="242">
        <f t="shared" si="0"/>
        <v>0</v>
      </c>
      <c r="G11" s="1206">
        <f>'1.2 Budgeted Enrollment YR1'!G13-E11</f>
        <v>9808.5957553950393</v>
      </c>
      <c r="H11" s="1207">
        <f t="shared" si="1"/>
        <v>88090998.479202852</v>
      </c>
      <c r="I11" s="1213">
        <f>'1.1 Assumption Control YR1'!M39</f>
        <v>1</v>
      </c>
      <c r="J11" s="1214">
        <f t="shared" si="2"/>
        <v>0</v>
      </c>
      <c r="K11" s="1202">
        <f>(F11+H11)-'2.3 Statewide Base Funding YR1'!E18</f>
        <v>0</v>
      </c>
      <c r="M11" s="206"/>
    </row>
    <row r="12" spans="1:13" x14ac:dyDescent="0.3">
      <c r="B12" s="10" t="str">
        <f>'1.2 Budgeted Enrollment YR1'!E14</f>
        <v>Esmeralda</v>
      </c>
      <c r="C12" s="40">
        <f>'1.2 Budgeted Enrollment YR1'!B14</f>
        <v>5</v>
      </c>
      <c r="D12" s="1197">
        <f>'2.3 Statewide Base Funding YR1'!C19</f>
        <v>8981</v>
      </c>
      <c r="E12" s="1205">
        <v>0</v>
      </c>
      <c r="F12" s="242">
        <f t="shared" si="0"/>
        <v>0</v>
      </c>
      <c r="G12" s="1206">
        <f>'1.2 Budgeted Enrollment YR1'!G14-E12</f>
        <v>77.315222103844732</v>
      </c>
      <c r="H12" s="1207">
        <f t="shared" si="1"/>
        <v>694368.0097146295</v>
      </c>
      <c r="I12" s="1213">
        <f>'1.1 Assumption Control YR1'!M40</f>
        <v>1</v>
      </c>
      <c r="J12" s="1214">
        <f t="shared" si="2"/>
        <v>0</v>
      </c>
      <c r="K12" s="1202">
        <f>(F12+H12)-'2.3 Statewide Base Funding YR1'!E19</f>
        <v>0</v>
      </c>
      <c r="M12" s="206"/>
    </row>
    <row r="13" spans="1:13" x14ac:dyDescent="0.3">
      <c r="B13" s="10" t="str">
        <f>'1.2 Budgeted Enrollment YR1'!E15</f>
        <v>Eureka</v>
      </c>
      <c r="C13" s="40">
        <f>'1.2 Budgeted Enrollment YR1'!B15</f>
        <v>6</v>
      </c>
      <c r="D13" s="1197">
        <f>'2.3 Statewide Base Funding YR1'!C20</f>
        <v>8981</v>
      </c>
      <c r="E13" s="1205">
        <v>0</v>
      </c>
      <c r="F13" s="242">
        <f t="shared" si="0"/>
        <v>0</v>
      </c>
      <c r="G13" s="1206">
        <f>'1.2 Budgeted Enrollment YR1'!G15-E13</f>
        <v>323.70253352744805</v>
      </c>
      <c r="H13" s="1207">
        <f t="shared" si="1"/>
        <v>2907172.4536100109</v>
      </c>
      <c r="I13" s="1213">
        <f>'1.1 Assumption Control YR1'!M41</f>
        <v>1</v>
      </c>
      <c r="J13" s="1214">
        <f t="shared" si="2"/>
        <v>0</v>
      </c>
      <c r="K13" s="1202">
        <f>(F13+H13)-'2.3 Statewide Base Funding YR1'!E20</f>
        <v>0</v>
      </c>
      <c r="M13" s="206"/>
    </row>
    <row r="14" spans="1:13" x14ac:dyDescent="0.3">
      <c r="B14" s="10" t="str">
        <f>'1.2 Budgeted Enrollment YR1'!E16</f>
        <v>Humboldt</v>
      </c>
      <c r="C14" s="40">
        <f>'1.2 Budgeted Enrollment YR1'!B16</f>
        <v>7</v>
      </c>
      <c r="D14" s="1197">
        <f>'2.3 Statewide Base Funding YR1'!C21</f>
        <v>8981</v>
      </c>
      <c r="E14" s="1205">
        <v>0</v>
      </c>
      <c r="F14" s="242">
        <f t="shared" si="0"/>
        <v>0</v>
      </c>
      <c r="G14" s="1206">
        <f>'1.2 Budgeted Enrollment YR1'!G16-E14</f>
        <v>3182.6225722447102</v>
      </c>
      <c r="H14" s="1207">
        <f t="shared" si="1"/>
        <v>28583133.321329743</v>
      </c>
      <c r="I14" s="1213">
        <f>'1.1 Assumption Control YR1'!M42</f>
        <v>1</v>
      </c>
      <c r="J14" s="1214">
        <f t="shared" si="2"/>
        <v>0</v>
      </c>
      <c r="K14" s="1202">
        <f>(F14+H14)-'2.3 Statewide Base Funding YR1'!E21</f>
        <v>0</v>
      </c>
      <c r="M14" s="206"/>
    </row>
    <row r="15" spans="1:13" x14ac:dyDescent="0.3">
      <c r="B15" s="10" t="str">
        <f>'1.2 Budgeted Enrollment YR1'!E17</f>
        <v>Lander</v>
      </c>
      <c r="C15" s="40">
        <f>'1.2 Budgeted Enrollment YR1'!B17</f>
        <v>8</v>
      </c>
      <c r="D15" s="1197">
        <f>'2.3 Statewide Base Funding YR1'!C22</f>
        <v>8981</v>
      </c>
      <c r="E15" s="1205">
        <v>0</v>
      </c>
      <c r="F15" s="242">
        <f t="shared" si="0"/>
        <v>0</v>
      </c>
      <c r="G15" s="1206">
        <f>'1.2 Budgeted Enrollment YR1'!G17-E15</f>
        <v>1002.8726085550823</v>
      </c>
      <c r="H15" s="1207">
        <f t="shared" si="1"/>
        <v>9006798.8974331934</v>
      </c>
      <c r="I15" s="1213">
        <f>'1.1 Assumption Control YR1'!M43</f>
        <v>1</v>
      </c>
      <c r="J15" s="1214">
        <f t="shared" si="2"/>
        <v>0</v>
      </c>
      <c r="K15" s="1202">
        <f>(F15+H15)-'2.3 Statewide Base Funding YR1'!E22</f>
        <v>0</v>
      </c>
      <c r="M15" s="206"/>
    </row>
    <row r="16" spans="1:13" x14ac:dyDescent="0.3">
      <c r="B16" s="10" t="str">
        <f>'1.2 Budgeted Enrollment YR1'!E18</f>
        <v>Lincoln</v>
      </c>
      <c r="C16" s="40">
        <f>'1.2 Budgeted Enrollment YR1'!B18</f>
        <v>9</v>
      </c>
      <c r="D16" s="1197">
        <f>'2.3 Statewide Base Funding YR1'!C23</f>
        <v>8981</v>
      </c>
      <c r="E16" s="1205">
        <v>0</v>
      </c>
      <c r="F16" s="242">
        <f t="shared" si="0"/>
        <v>0</v>
      </c>
      <c r="G16" s="1206">
        <f>'1.2 Budgeted Enrollment YR1'!G18-E16</f>
        <v>883.01945001270019</v>
      </c>
      <c r="H16" s="1207">
        <f t="shared" si="1"/>
        <v>7930397.6805640608</v>
      </c>
      <c r="I16" s="1213">
        <f>'1.1 Assumption Control YR1'!M44</f>
        <v>1</v>
      </c>
      <c r="J16" s="1214">
        <f t="shared" si="2"/>
        <v>0</v>
      </c>
      <c r="K16" s="1202">
        <f>(F16+H16)-'2.3 Statewide Base Funding YR1'!E23</f>
        <v>0</v>
      </c>
      <c r="M16" s="206"/>
    </row>
    <row r="17" spans="1:13" x14ac:dyDescent="0.3">
      <c r="B17" s="10" t="str">
        <f>'1.2 Budgeted Enrollment YR1'!E19</f>
        <v>Lyon</v>
      </c>
      <c r="C17" s="40">
        <f>'1.2 Budgeted Enrollment YR1'!B19</f>
        <v>10</v>
      </c>
      <c r="D17" s="1197">
        <f>'2.3 Statewide Base Funding YR1'!C24</f>
        <v>8981</v>
      </c>
      <c r="E17" s="1205">
        <v>0</v>
      </c>
      <c r="F17" s="242">
        <f t="shared" si="0"/>
        <v>0</v>
      </c>
      <c r="G17" s="1206">
        <f>'1.2 Budgeted Enrollment YR1'!G19-E17</f>
        <v>9036.0334518079708</v>
      </c>
      <c r="H17" s="1207">
        <f t="shared" si="1"/>
        <v>81152616.430687383</v>
      </c>
      <c r="I17" s="1213">
        <f>'1.1 Assumption Control YR1'!M45</f>
        <v>1</v>
      </c>
      <c r="J17" s="1214">
        <f t="shared" si="2"/>
        <v>0</v>
      </c>
      <c r="K17" s="1202">
        <f>(F17+H17)-'2.3 Statewide Base Funding YR1'!E24</f>
        <v>0</v>
      </c>
      <c r="M17" s="206"/>
    </row>
    <row r="18" spans="1:13" x14ac:dyDescent="0.3">
      <c r="B18" s="10" t="str">
        <f>'1.2 Budgeted Enrollment YR1'!E20</f>
        <v>Mineral</v>
      </c>
      <c r="C18" s="40">
        <f>'1.2 Budgeted Enrollment YR1'!B20</f>
        <v>11</v>
      </c>
      <c r="D18" s="1197">
        <f>'2.3 Statewide Base Funding YR1'!C25</f>
        <v>8981</v>
      </c>
      <c r="E18" s="1205">
        <v>0</v>
      </c>
      <c r="F18" s="242">
        <f t="shared" si="0"/>
        <v>0</v>
      </c>
      <c r="G18" s="1206">
        <f>'1.2 Budgeted Enrollment YR1'!G20-E18</f>
        <v>567.43327210269706</v>
      </c>
      <c r="H18" s="1207">
        <f t="shared" si="1"/>
        <v>5096118.2167543219</v>
      </c>
      <c r="I18" s="1213">
        <f>'1.1 Assumption Control YR1'!M46</f>
        <v>1</v>
      </c>
      <c r="J18" s="1214">
        <f t="shared" si="2"/>
        <v>0</v>
      </c>
      <c r="K18" s="1202">
        <f>(F18+H18)-'2.3 Statewide Base Funding YR1'!E25</f>
        <v>0</v>
      </c>
      <c r="M18" s="206"/>
    </row>
    <row r="19" spans="1:13" x14ac:dyDescent="0.3">
      <c r="B19" s="10" t="str">
        <f>'1.2 Budgeted Enrollment YR1'!E21</f>
        <v>Nye</v>
      </c>
      <c r="C19" s="40">
        <f>'1.2 Budgeted Enrollment YR1'!B21</f>
        <v>12</v>
      </c>
      <c r="D19" s="1197">
        <f>'2.3 Statewide Base Funding YR1'!C26</f>
        <v>8981</v>
      </c>
      <c r="E19" s="1205">
        <v>0</v>
      </c>
      <c r="F19" s="242">
        <f t="shared" si="0"/>
        <v>0</v>
      </c>
      <c r="G19" s="1206">
        <f>'1.2 Budgeted Enrollment YR1'!G21-E19</f>
        <v>5588.923509690796</v>
      </c>
      <c r="H19" s="1207">
        <f t="shared" si="1"/>
        <v>50194122.040533036</v>
      </c>
      <c r="I19" s="1213">
        <f>'1.1 Assumption Control YR1'!M47</f>
        <v>1</v>
      </c>
      <c r="J19" s="1214">
        <f t="shared" si="2"/>
        <v>0</v>
      </c>
      <c r="K19" s="1202">
        <f>(F19+H19)-'2.3 Statewide Base Funding YR1'!E26</f>
        <v>0</v>
      </c>
      <c r="M19" s="206"/>
    </row>
    <row r="20" spans="1:13" x14ac:dyDescent="0.3">
      <c r="B20" s="10" t="str">
        <f>'1.2 Budgeted Enrollment YR1'!E22</f>
        <v>Pershing</v>
      </c>
      <c r="C20" s="40">
        <f>'1.2 Budgeted Enrollment YR1'!B22</f>
        <v>14</v>
      </c>
      <c r="D20" s="1197">
        <f>'2.3 Statewide Base Funding YR1'!C27</f>
        <v>8981</v>
      </c>
      <c r="E20" s="1205">
        <v>0</v>
      </c>
      <c r="F20" s="242">
        <f t="shared" si="0"/>
        <v>0</v>
      </c>
      <c r="G20" s="1206">
        <f>'1.2 Budgeted Enrollment YR1'!G22-E20</f>
        <v>660.16040063426465</v>
      </c>
      <c r="H20" s="1207">
        <f t="shared" si="1"/>
        <v>5928900.5580963306</v>
      </c>
      <c r="I20" s="1213">
        <f>'1.1 Assumption Control YR1'!M48</f>
        <v>1</v>
      </c>
      <c r="J20" s="1214">
        <f t="shared" si="2"/>
        <v>0</v>
      </c>
      <c r="K20" s="1202">
        <f>(F20+H20)-'2.3 Statewide Base Funding YR1'!E27</f>
        <v>0</v>
      </c>
    </row>
    <row r="21" spans="1:13" x14ac:dyDescent="0.3">
      <c r="B21" s="10" t="str">
        <f>'1.2 Budgeted Enrollment YR1'!E23</f>
        <v>Storey</v>
      </c>
      <c r="C21" s="40">
        <f>'1.2 Budgeted Enrollment YR1'!B23</f>
        <v>15</v>
      </c>
      <c r="D21" s="1197">
        <f>'2.3 Statewide Base Funding YR1'!C28</f>
        <v>8981</v>
      </c>
      <c r="E21" s="1205">
        <v>0</v>
      </c>
      <c r="F21" s="242">
        <f t="shared" si="0"/>
        <v>0</v>
      </c>
      <c r="G21" s="1206">
        <f>'1.2 Budgeted Enrollment YR1'!G23-E21</f>
        <v>413.05444673325331</v>
      </c>
      <c r="H21" s="1207">
        <f t="shared" si="1"/>
        <v>3709641.986111348</v>
      </c>
      <c r="I21" s="1213">
        <f>'1.1 Assumption Control YR1'!M49</f>
        <v>1</v>
      </c>
      <c r="J21" s="1214">
        <f t="shared" si="2"/>
        <v>0</v>
      </c>
      <c r="K21" s="1202">
        <f>(F21+H21)-'2.3 Statewide Base Funding YR1'!E28</f>
        <v>0</v>
      </c>
    </row>
    <row r="22" spans="1:13" x14ac:dyDescent="0.3">
      <c r="B22" s="10" t="str">
        <f>'1.2 Budgeted Enrollment YR1'!E24</f>
        <v>Washoe</v>
      </c>
      <c r="C22" s="40">
        <f>'1.2 Budgeted Enrollment YR1'!B24</f>
        <v>16</v>
      </c>
      <c r="D22" s="1197">
        <f>'2.3 Statewide Base Funding YR1'!C29</f>
        <v>8981</v>
      </c>
      <c r="E22" s="1205">
        <v>0</v>
      </c>
      <c r="F22" s="242">
        <f t="shared" si="0"/>
        <v>0</v>
      </c>
      <c r="G22" s="1206">
        <f>'1.2 Budgeted Enrollment YR1'!G24-E22</f>
        <v>60547.590413175996</v>
      </c>
      <c r="H22" s="1207">
        <f t="shared" si="1"/>
        <v>543777909.50073361</v>
      </c>
      <c r="I22" s="1213">
        <f>'1.1 Assumption Control YR1'!M50</f>
        <v>1</v>
      </c>
      <c r="J22" s="1214">
        <f t="shared" si="2"/>
        <v>0</v>
      </c>
      <c r="K22" s="1202">
        <f>(F22+H22)-'2.3 Statewide Base Funding YR1'!E29</f>
        <v>0</v>
      </c>
    </row>
    <row r="23" spans="1:13" x14ac:dyDescent="0.3">
      <c r="B23" s="10" t="str">
        <f>'1.2 Budgeted Enrollment YR1'!E25</f>
        <v>White Pine</v>
      </c>
      <c r="C23" s="40">
        <f>'1.2 Budgeted Enrollment YR1'!B25</f>
        <v>17</v>
      </c>
      <c r="D23" s="1197">
        <f>'2.3 Statewide Base Funding YR1'!C30</f>
        <v>8981</v>
      </c>
      <c r="E23" s="1205">
        <v>0</v>
      </c>
      <c r="F23" s="242">
        <f t="shared" si="0"/>
        <v>0</v>
      </c>
      <c r="G23" s="1206">
        <f>'1.2 Budgeted Enrollment YR1'!G25-E23</f>
        <v>1259.3902506538202</v>
      </c>
      <c r="H23" s="1207">
        <f t="shared" si="1"/>
        <v>11310583.841121959</v>
      </c>
      <c r="I23" s="1213">
        <f>'1.1 Assumption Control YR1'!M51</f>
        <v>1</v>
      </c>
      <c r="J23" s="1214">
        <f t="shared" si="2"/>
        <v>0</v>
      </c>
      <c r="K23" s="1202">
        <f>(F23+H23)-'2.3 Statewide Base Funding YR1'!E30</f>
        <v>0</v>
      </c>
    </row>
    <row r="24" spans="1:13" x14ac:dyDescent="0.3">
      <c r="B24" s="10" t="str">
        <f>'1.2 Budgeted Enrollment YR1'!E26</f>
        <v>Charter Schools (Combined)</v>
      </c>
      <c r="C24" s="40">
        <f>'1.2 Budgeted Enrollment YR1'!B26</f>
        <v>18</v>
      </c>
      <c r="D24" s="1197">
        <f>'2.3 Statewide Base Funding YR1'!C31</f>
        <v>8981</v>
      </c>
      <c r="E24" s="1205">
        <v>0</v>
      </c>
      <c r="F24" s="1220">
        <f>F90</f>
        <v>31361440.716356605</v>
      </c>
      <c r="G24" s="1206">
        <f>G90</f>
        <v>65511.519447057181</v>
      </c>
      <c r="H24" s="1207">
        <f>H90</f>
        <v>588358956.15402067</v>
      </c>
      <c r="I24" s="1215"/>
      <c r="J24" s="1216">
        <f>J90</f>
        <v>0</v>
      </c>
      <c r="K24" s="1202">
        <f>(F24+H24)-'2.3 Statewide Base Funding YR1'!E31</f>
        <v>0</v>
      </c>
    </row>
    <row r="25" spans="1:13" x14ac:dyDescent="0.3">
      <c r="A25" s="181"/>
      <c r="B25" s="183" t="str">
        <f>'1.2 Budgeted Enrollment YR1'!E27</f>
        <v>University Schools</v>
      </c>
      <c r="C25" s="449">
        <f>'1.2 Budgeted Enrollment YR1'!B27</f>
        <v>19</v>
      </c>
      <c r="D25" s="251">
        <f>'2.3 Statewide Base Funding YR1'!C32</f>
        <v>8981</v>
      </c>
      <c r="E25" s="1488">
        <v>0</v>
      </c>
      <c r="F25" s="1221">
        <f>F95</f>
        <v>0</v>
      </c>
      <c r="G25" s="1208">
        <f>G95</f>
        <v>162.04408445225002</v>
      </c>
      <c r="H25" s="1209">
        <f>H95</f>
        <v>1455317.9224656573</v>
      </c>
      <c r="I25" s="1217"/>
      <c r="J25" s="1218">
        <f>J95</f>
        <v>0</v>
      </c>
      <c r="K25" s="1202">
        <f>(F25+H25)-'2.3 Statewide Base Funding YR1'!E32</f>
        <v>0</v>
      </c>
    </row>
    <row r="26" spans="1:13" s="4" customFormat="1" x14ac:dyDescent="0.3">
      <c r="B26" s="4" t="s">
        <v>90</v>
      </c>
      <c r="E26" s="1211">
        <f>SUM(E7:E25)</f>
        <v>0</v>
      </c>
      <c r="F26" s="1222">
        <f>SUM(F7:F25)</f>
        <v>31361440.716356605</v>
      </c>
      <c r="G26" s="1219">
        <f>SUM(G7:G25)</f>
        <v>467790.98944747599</v>
      </c>
      <c r="H26" s="1210">
        <f>SUM(H7:H25)</f>
        <v>4201230876.2277818</v>
      </c>
      <c r="I26" s="571"/>
      <c r="J26" s="1210">
        <f>SUM(J7:J25)</f>
        <v>0</v>
      </c>
    </row>
    <row r="27" spans="1:13" x14ac:dyDescent="0.3">
      <c r="G27" s="1200"/>
      <c r="H27" s="15"/>
      <c r="I27" s="97"/>
      <c r="J27" s="15"/>
    </row>
    <row r="28" spans="1:13" s="98" customFormat="1" ht="64.5" customHeight="1" x14ac:dyDescent="0.3">
      <c r="A28" s="731" t="str">
        <f>'2.3 Statewide Base Funding YR1'!A35</f>
        <v>Charter Schools</v>
      </c>
      <c r="B28" s="732"/>
      <c r="C28" s="733"/>
      <c r="D28" s="733" t="str">
        <f>D5</f>
        <v>Statewide Base Per pupil Funding</v>
      </c>
      <c r="E28" s="407" t="str">
        <f t="shared" ref="E28:J28" si="3">E5</f>
        <v>Distant Education Enrollment</v>
      </c>
      <c r="F28" s="991" t="str">
        <f t="shared" si="3"/>
        <v>Statewide Base Total for Distant Education</v>
      </c>
      <c r="G28" s="407" t="str">
        <f t="shared" si="3"/>
        <v>Total Enrollment less Distant Education</v>
      </c>
      <c r="H28" s="991" t="str">
        <f t="shared" si="3"/>
        <v xml:space="preserve">Total Statewide base less Distant Education </v>
      </c>
      <c r="I28" s="407" t="str">
        <f t="shared" si="3"/>
        <v>NCEI, Using CWI All Workers for Wages, and RPP “Goods” for Non-wages</v>
      </c>
      <c r="J28" s="991" t="str">
        <f t="shared" si="3"/>
        <v xml:space="preserve">Nevada Cost of Education Index (NCEI) Adjustment </v>
      </c>
      <c r="K28" s="234"/>
    </row>
    <row r="29" spans="1:13" s="730" customFormat="1" x14ac:dyDescent="0.25">
      <c r="B29" s="1223" t="s">
        <v>879</v>
      </c>
      <c r="C29" s="1224" t="str">
        <f>C6</f>
        <v>Tab 1.2</v>
      </c>
      <c r="D29" s="1224" t="str">
        <f t="shared" ref="D29:J29" si="4">D6</f>
        <v>Tab 2.3</v>
      </c>
      <c r="E29" s="1276" t="str">
        <f t="shared" si="4"/>
        <v>N/A</v>
      </c>
      <c r="F29" s="1277" t="str">
        <f t="shared" si="4"/>
        <v>=(D * E)</v>
      </c>
      <c r="G29" s="1276" t="str">
        <f t="shared" si="4"/>
        <v>=Tab 1.2 - E</v>
      </c>
      <c r="H29" s="1277" t="str">
        <f t="shared" si="4"/>
        <v>Tab 2.2</v>
      </c>
      <c r="I29" s="1276" t="str">
        <f t="shared" si="4"/>
        <v>Tab 1.1</v>
      </c>
      <c r="J29" s="1277" t="str">
        <f t="shared" si="4"/>
        <v>=(E * (G - 1))</v>
      </c>
      <c r="K29" s="1225"/>
    </row>
    <row r="30" spans="1:13" x14ac:dyDescent="0.3">
      <c r="B30" s="10" t="str">
        <f>'1.2 Budgeted Enrollment YR1'!E32</f>
        <v>100 Academy Of Excellence</v>
      </c>
      <c r="C30" s="590" t="str">
        <f>'1.2 Budgeted Enrollment YR1'!A32</f>
        <v>Clark</v>
      </c>
      <c r="D30" s="610">
        <f>'2.3 Statewide Base Funding YR1'!C36</f>
        <v>8981</v>
      </c>
      <c r="E30" s="1278">
        <f>'1.2 Budgeted Enrollment YR1'!K32</f>
        <v>0</v>
      </c>
      <c r="F30" s="1214">
        <f>D30*E30</f>
        <v>0</v>
      </c>
      <c r="G30" s="1286">
        <f>'1.2 Budgeted Enrollment YR1'!G32-E30</f>
        <v>317.31241129082491</v>
      </c>
      <c r="H30" s="1207">
        <f>D30*G30</f>
        <v>2849782.7658028984</v>
      </c>
      <c r="I30" s="1542">
        <f>VLOOKUP($C30,'2.5 NCEI Adj. YR1'!$B$7:$I$23,8)</f>
        <v>1</v>
      </c>
      <c r="J30" s="1214">
        <f>SUM(H30)*(I30-1)</f>
        <v>0</v>
      </c>
    </row>
    <row r="31" spans="1:13" x14ac:dyDescent="0.3">
      <c r="B31" s="10" t="str">
        <f>'1.2 Budgeted Enrollment YR1'!E33</f>
        <v>Academy For Career Education</v>
      </c>
      <c r="C31" s="590" t="str">
        <f>'1.2 Budgeted Enrollment YR1'!A33</f>
        <v>Washoe</v>
      </c>
      <c r="D31" s="610">
        <f>'2.3 Statewide Base Funding YR1'!C37</f>
        <v>8981</v>
      </c>
      <c r="E31" s="1278">
        <f>'1.2 Budgeted Enrollment YR1'!K33</f>
        <v>0</v>
      </c>
      <c r="F31" s="1214">
        <f t="shared" ref="F31:F89" si="5">D31*E31</f>
        <v>0</v>
      </c>
      <c r="G31" s="1286">
        <f>'1.2 Budgeted Enrollment YR1'!G33-E31</f>
        <v>233.16666714265924</v>
      </c>
      <c r="H31" s="1207">
        <f t="shared" ref="H31:H89" si="6">D31*G31</f>
        <v>2094069.8376082226</v>
      </c>
      <c r="I31" s="1542">
        <f>VLOOKUP($C31,'2.5 NCEI Adj. YR1'!$B$7:$I$23,8)</f>
        <v>1</v>
      </c>
      <c r="J31" s="1214">
        <f t="shared" ref="J31:J89" si="7">SUM(H31)*(I31-1)</f>
        <v>0</v>
      </c>
    </row>
    <row r="32" spans="1:13" x14ac:dyDescent="0.3">
      <c r="B32" s="10" t="str">
        <f>'1.2 Budgeted Enrollment YR1'!E34</f>
        <v xml:space="preserve">Alpine Academy </v>
      </c>
      <c r="C32" s="590" t="str">
        <f>'1.2 Budgeted Enrollment YR1'!A34</f>
        <v>Washoe</v>
      </c>
      <c r="D32" s="610">
        <f>'2.3 Statewide Base Funding YR1'!C38</f>
        <v>8981</v>
      </c>
      <c r="E32" s="1278">
        <f>'1.2 Budgeted Enrollment YR1'!K34</f>
        <v>0</v>
      </c>
      <c r="F32" s="1214">
        <f t="shared" si="5"/>
        <v>0</v>
      </c>
      <c r="G32" s="1286">
        <f>'1.2 Budgeted Enrollment YR1'!G34-E32</f>
        <v>147.81508498571816</v>
      </c>
      <c r="H32" s="1207">
        <f t="shared" si="6"/>
        <v>1327527.2782567348</v>
      </c>
      <c r="I32" s="1542">
        <f>VLOOKUP($C32,'2.5 NCEI Adj. YR1'!$B$7:$I$23,8)</f>
        <v>1</v>
      </c>
      <c r="J32" s="1214">
        <f t="shared" si="7"/>
        <v>0</v>
      </c>
    </row>
    <row r="33" spans="2:10" x14ac:dyDescent="0.3">
      <c r="B33" s="10" t="str">
        <f>'1.2 Budgeted Enrollment YR1'!E35</f>
        <v xml:space="preserve">Amplus (Formerly American Preparatory Academy) </v>
      </c>
      <c r="C33" s="590" t="str">
        <f>'1.2 Budgeted Enrollment YR1'!A35</f>
        <v>Clark</v>
      </c>
      <c r="D33" s="610">
        <f>'2.3 Statewide Base Funding YR1'!C39</f>
        <v>8981</v>
      </c>
      <c r="E33" s="1278">
        <f>'1.2 Budgeted Enrollment YR1'!K35</f>
        <v>0</v>
      </c>
      <c r="F33" s="1214">
        <f t="shared" si="5"/>
        <v>0</v>
      </c>
      <c r="G33" s="1286">
        <f>'1.2 Budgeted Enrollment YR1'!G35-E33</f>
        <v>2267.7086546556943</v>
      </c>
      <c r="H33" s="1207">
        <f t="shared" si="6"/>
        <v>20366291.42746279</v>
      </c>
      <c r="I33" s="1542">
        <f>VLOOKUP($C33,'2.5 NCEI Adj. YR1'!$B$7:$I$23,8)</f>
        <v>1</v>
      </c>
      <c r="J33" s="1214">
        <f t="shared" si="7"/>
        <v>0</v>
      </c>
    </row>
    <row r="34" spans="2:10" x14ac:dyDescent="0.3">
      <c r="B34" s="10" t="str">
        <f>'1.2 Budgeted Enrollment YR1'!E36</f>
        <v>Bailey Charter School</v>
      </c>
      <c r="C34" s="590" t="str">
        <f>'1.2 Budgeted Enrollment YR1'!A36</f>
        <v>Washoe</v>
      </c>
      <c r="D34" s="610">
        <f>'2.3 Statewide Base Funding YR1'!C40</f>
        <v>8981</v>
      </c>
      <c r="E34" s="1278">
        <f>'1.2 Budgeted Enrollment YR1'!K36</f>
        <v>0</v>
      </c>
      <c r="F34" s="1214">
        <f t="shared" si="5"/>
        <v>0</v>
      </c>
      <c r="G34" s="1286">
        <f>'1.2 Budgeted Enrollment YR1'!G36-E34</f>
        <v>175.32944363044109</v>
      </c>
      <c r="H34" s="1207">
        <f t="shared" si="6"/>
        <v>1574633.7332449914</v>
      </c>
      <c r="I34" s="1542">
        <f>VLOOKUP($C34,'2.5 NCEI Adj. YR1'!$B$7:$I$23,8)</f>
        <v>1</v>
      </c>
      <c r="J34" s="1214">
        <f t="shared" si="7"/>
        <v>0</v>
      </c>
    </row>
    <row r="35" spans="2:10" x14ac:dyDescent="0.3">
      <c r="B35" s="10" t="str">
        <f>'1.2 Budgeted Enrollment YR1'!E37</f>
        <v>Battle Born Academy</v>
      </c>
      <c r="C35" s="590" t="str">
        <f>'1.2 Budgeted Enrollment YR1'!A37</f>
        <v>Clark</v>
      </c>
      <c r="D35" s="610">
        <f>'2.3 Statewide Base Funding YR1'!C41</f>
        <v>8981</v>
      </c>
      <c r="E35" s="1278">
        <f>'1.2 Budgeted Enrollment YR1'!K37</f>
        <v>0</v>
      </c>
      <c r="F35" s="1214">
        <f t="shared" si="5"/>
        <v>0</v>
      </c>
      <c r="G35" s="1286">
        <f>'1.2 Budgeted Enrollment YR1'!G37-E35</f>
        <v>132.17090111224999</v>
      </c>
      <c r="H35" s="1207">
        <f t="shared" si="6"/>
        <v>1187026.8628891171</v>
      </c>
      <c r="I35" s="1542">
        <f>VLOOKUP($C35,'2.5 NCEI Adj. YR1'!$B$7:$I$23,8)</f>
        <v>1</v>
      </c>
      <c r="J35" s="1214">
        <f t="shared" si="7"/>
        <v>0</v>
      </c>
    </row>
    <row r="36" spans="2:10" x14ac:dyDescent="0.3">
      <c r="B36" s="10" t="str">
        <f>'1.2 Budgeted Enrollment YR1'!E38</f>
        <v>Beacon Academy</v>
      </c>
      <c r="C36" s="590" t="str">
        <f>'1.2 Budgeted Enrollment YR1'!A38</f>
        <v>Clark</v>
      </c>
      <c r="D36" s="610">
        <f>'2.3 Statewide Base Funding YR1'!C42</f>
        <v>8981</v>
      </c>
      <c r="E36" s="1278">
        <f>'1.2 Budgeted Enrollment YR1'!K38</f>
        <v>0</v>
      </c>
      <c r="F36" s="1214">
        <f t="shared" si="5"/>
        <v>0</v>
      </c>
      <c r="G36" s="1286">
        <f>'1.2 Budgeted Enrollment YR1'!G38-E36</f>
        <v>601.2087101019498</v>
      </c>
      <c r="H36" s="1207">
        <f t="shared" si="6"/>
        <v>5399455.4254256114</v>
      </c>
      <c r="I36" s="1542">
        <f>VLOOKUP($C36,'2.5 NCEI Adj. YR1'!$B$7:$I$23,8)</f>
        <v>1</v>
      </c>
      <c r="J36" s="1214">
        <f t="shared" si="7"/>
        <v>0</v>
      </c>
    </row>
    <row r="37" spans="2:10" x14ac:dyDescent="0.3">
      <c r="B37" s="10" t="str">
        <f>'1.2 Budgeted Enrollment YR1'!E39</f>
        <v>Cactus Park</v>
      </c>
      <c r="C37" s="590" t="str">
        <f>'1.2 Budgeted Enrollment YR1'!A39</f>
        <v>Clark</v>
      </c>
      <c r="D37" s="610">
        <f>'2.3 Statewide Base Funding YR1'!C43</f>
        <v>8981</v>
      </c>
      <c r="E37" s="1278">
        <f>'1.2 Budgeted Enrollment YR1'!K39</f>
        <v>0</v>
      </c>
      <c r="F37" s="1214">
        <f t="shared" si="5"/>
        <v>0</v>
      </c>
      <c r="G37" s="1286">
        <f>'1.2 Budgeted Enrollment YR1'!G39-E37</f>
        <v>108.52961244150023</v>
      </c>
      <c r="H37" s="1207">
        <f t="shared" si="6"/>
        <v>974704.44933711365</v>
      </c>
      <c r="I37" s="1542">
        <f>VLOOKUP($C37,'2.5 NCEI Adj. YR1'!$B$7:$I$23,8)</f>
        <v>1</v>
      </c>
      <c r="J37" s="1214">
        <f t="shared" si="7"/>
        <v>0</v>
      </c>
    </row>
    <row r="38" spans="2:10" x14ac:dyDescent="0.3">
      <c r="B38" s="10" t="str">
        <f>'1.2 Budgeted Enrollment YR1'!E40</f>
        <v>Carson Montessori</v>
      </c>
      <c r="C38" s="590" t="str">
        <f>'1.2 Budgeted Enrollment YR1'!A40</f>
        <v>Carson City</v>
      </c>
      <c r="D38" s="610">
        <f>'2.3 Statewide Base Funding YR1'!C44</f>
        <v>8981</v>
      </c>
      <c r="E38" s="1278">
        <f>'1.2 Budgeted Enrollment YR1'!K40</f>
        <v>0</v>
      </c>
      <c r="F38" s="1214">
        <f t="shared" si="5"/>
        <v>0</v>
      </c>
      <c r="G38" s="1286">
        <f>'1.2 Budgeted Enrollment YR1'!G40-E38</f>
        <v>286.27617033770758</v>
      </c>
      <c r="H38" s="1207">
        <f t="shared" si="6"/>
        <v>2571046.285802952</v>
      </c>
      <c r="I38" s="1542">
        <f>VLOOKUP($C38,'2.5 NCEI Adj. YR1'!$B$7:$I$23,8)</f>
        <v>1</v>
      </c>
      <c r="J38" s="1214">
        <f t="shared" si="7"/>
        <v>0</v>
      </c>
    </row>
    <row r="39" spans="2:10" x14ac:dyDescent="0.3">
      <c r="B39" s="10" t="str">
        <f>'1.2 Budgeted Enrollment YR1'!E41</f>
        <v>CIVICA Nevada Career &amp; Collegiate Academy</v>
      </c>
      <c r="C39" s="590" t="str">
        <f>'1.2 Budgeted Enrollment YR1'!A41</f>
        <v>Clark</v>
      </c>
      <c r="D39" s="610">
        <f>'2.3 Statewide Base Funding YR1'!C45</f>
        <v>8981</v>
      </c>
      <c r="E39" s="1278">
        <f>'1.2 Budgeted Enrollment YR1'!K41</f>
        <v>0</v>
      </c>
      <c r="F39" s="1214">
        <f t="shared" si="5"/>
        <v>0</v>
      </c>
      <c r="G39" s="1286">
        <f>'1.2 Budgeted Enrollment YR1'!G41-E39</f>
        <v>766.05776499241983</v>
      </c>
      <c r="H39" s="1207">
        <f t="shared" si="6"/>
        <v>6879964.7873969227</v>
      </c>
      <c r="I39" s="1542">
        <f>VLOOKUP($C39,'2.5 NCEI Adj. YR1'!$B$7:$I$23,8)</f>
        <v>1</v>
      </c>
      <c r="J39" s="1214">
        <f t="shared" si="7"/>
        <v>0</v>
      </c>
    </row>
    <row r="40" spans="2:10" x14ac:dyDescent="0.3">
      <c r="B40" s="10" t="str">
        <f>'1.2 Budgeted Enrollment YR1'!E42</f>
        <v>Coral Academy of Science Las Vegas</v>
      </c>
      <c r="C40" s="590" t="str">
        <f>'1.2 Budgeted Enrollment YR1'!A42</f>
        <v>Clark</v>
      </c>
      <c r="D40" s="610">
        <f>'2.3 Statewide Base Funding YR1'!C46</f>
        <v>8981</v>
      </c>
      <c r="E40" s="1278">
        <f>'1.2 Budgeted Enrollment YR1'!K42</f>
        <v>0</v>
      </c>
      <c r="F40" s="1214">
        <f t="shared" si="5"/>
        <v>0</v>
      </c>
      <c r="G40" s="1286">
        <f>'1.2 Budgeted Enrollment YR1'!G42-E40</f>
        <v>5176.4761285646673</v>
      </c>
      <c r="H40" s="1207">
        <f t="shared" si="6"/>
        <v>46489932.110639274</v>
      </c>
      <c r="I40" s="1542">
        <f>VLOOKUP($C40,'2.5 NCEI Adj. YR1'!$B$7:$I$23,8)</f>
        <v>1</v>
      </c>
      <c r="J40" s="1214">
        <f t="shared" si="7"/>
        <v>0</v>
      </c>
    </row>
    <row r="41" spans="2:10" x14ac:dyDescent="0.3">
      <c r="B41" s="10" t="str">
        <f>'1.2 Budgeted Enrollment YR1'!E43</f>
        <v>Coral Academy Washoe</v>
      </c>
      <c r="C41" s="590" t="str">
        <f>'1.2 Budgeted Enrollment YR1'!A43</f>
        <v>Washoe</v>
      </c>
      <c r="D41" s="610">
        <f>'2.3 Statewide Base Funding YR1'!C47</f>
        <v>8981</v>
      </c>
      <c r="E41" s="1278">
        <f>'1.2 Budgeted Enrollment YR1'!K43</f>
        <v>0</v>
      </c>
      <c r="F41" s="1214">
        <f t="shared" si="5"/>
        <v>0</v>
      </c>
      <c r="G41" s="1286">
        <f>'1.2 Budgeted Enrollment YR1'!G43-E41</f>
        <v>1763.0640733328873</v>
      </c>
      <c r="H41" s="1207">
        <f t="shared" si="6"/>
        <v>15834078.442602661</v>
      </c>
      <c r="I41" s="1542">
        <f>VLOOKUP($C41,'2.5 NCEI Adj. YR1'!$B$7:$I$23,8)</f>
        <v>1</v>
      </c>
      <c r="J41" s="1214">
        <f t="shared" si="7"/>
        <v>0</v>
      </c>
    </row>
    <row r="42" spans="2:10" x14ac:dyDescent="0.3">
      <c r="B42" s="10" t="str">
        <f>'1.2 Budgeted Enrollment YR1'!E44</f>
        <v>Delta Academy</v>
      </c>
      <c r="C42" s="590" t="str">
        <f>'1.2 Budgeted Enrollment YR1'!A44</f>
        <v>Clark</v>
      </c>
      <c r="D42" s="610">
        <f>'2.3 Statewide Base Funding YR1'!C48</f>
        <v>8981</v>
      </c>
      <c r="E42" s="1278">
        <f>'1.2 Budgeted Enrollment YR1'!K44</f>
        <v>0</v>
      </c>
      <c r="F42" s="1214">
        <f t="shared" si="5"/>
        <v>0</v>
      </c>
      <c r="G42" s="1286">
        <f>'1.2 Budgeted Enrollment YR1'!G44-E42</f>
        <v>1259.1651890316498</v>
      </c>
      <c r="H42" s="1207">
        <f t="shared" si="6"/>
        <v>11308562.562693248</v>
      </c>
      <c r="I42" s="1542">
        <f>VLOOKUP($C42,'2.5 NCEI Adj. YR1'!$B$7:$I$23,8)</f>
        <v>1</v>
      </c>
      <c r="J42" s="1214">
        <f t="shared" si="7"/>
        <v>0</v>
      </c>
    </row>
    <row r="43" spans="2:10" x14ac:dyDescent="0.3">
      <c r="B43" s="10" t="str">
        <f>'1.2 Budgeted Enrollment YR1'!E45</f>
        <v>Democracy Prep</v>
      </c>
      <c r="C43" s="590" t="str">
        <f>'1.2 Budgeted Enrollment YR1'!A45</f>
        <v>Clark</v>
      </c>
      <c r="D43" s="610">
        <f>'2.3 Statewide Base Funding YR1'!C49</f>
        <v>8981</v>
      </c>
      <c r="E43" s="1278">
        <f>'1.2 Budgeted Enrollment YR1'!K45</f>
        <v>0</v>
      </c>
      <c r="F43" s="1214">
        <f t="shared" si="5"/>
        <v>0</v>
      </c>
      <c r="G43" s="1286">
        <f>'1.2 Budgeted Enrollment YR1'!G45-E43</f>
        <v>1203.3189781200335</v>
      </c>
      <c r="H43" s="1207">
        <f t="shared" si="6"/>
        <v>10807007.742496021</v>
      </c>
      <c r="I43" s="1542">
        <f>VLOOKUP($C43,'2.5 NCEI Adj. YR1'!$B$7:$I$23,8)</f>
        <v>1</v>
      </c>
      <c r="J43" s="1214">
        <f t="shared" si="7"/>
        <v>0</v>
      </c>
    </row>
    <row r="44" spans="2:10" x14ac:dyDescent="0.3">
      <c r="B44" s="10" t="str">
        <f>'1.2 Budgeted Enrollment YR1'!E46</f>
        <v>Discovery Charter</v>
      </c>
      <c r="C44" s="590" t="str">
        <f>'1.2 Budgeted Enrollment YR1'!A46</f>
        <v>Clark</v>
      </c>
      <c r="D44" s="610">
        <f>'2.3 Statewide Base Funding YR1'!C50</f>
        <v>8981</v>
      </c>
      <c r="E44" s="1278">
        <f>'1.2 Budgeted Enrollment YR1'!K46</f>
        <v>0</v>
      </c>
      <c r="F44" s="1214">
        <f t="shared" si="5"/>
        <v>0</v>
      </c>
      <c r="G44" s="1286">
        <f>'1.2 Budgeted Enrollment YR1'!G46-E44</f>
        <v>492.2101138405701</v>
      </c>
      <c r="H44" s="1207">
        <f t="shared" si="6"/>
        <v>4420539.0324021596</v>
      </c>
      <c r="I44" s="1542">
        <f>VLOOKUP($C44,'2.5 NCEI Adj. YR1'!$B$7:$I$23,8)</f>
        <v>1</v>
      </c>
      <c r="J44" s="1214">
        <f t="shared" si="7"/>
        <v>0</v>
      </c>
    </row>
    <row r="45" spans="2:10" x14ac:dyDescent="0.3">
      <c r="B45" s="10" t="str">
        <f>'1.2 Budgeted Enrollment YR1'!E47</f>
        <v>Doral Academy</v>
      </c>
      <c r="C45" s="590" t="str">
        <f>'1.2 Budgeted Enrollment YR1'!A47</f>
        <v>Clark</v>
      </c>
      <c r="D45" s="610">
        <f>'2.3 Statewide Base Funding YR1'!C51</f>
        <v>8981</v>
      </c>
      <c r="E45" s="1278">
        <f>'1.2 Budgeted Enrollment YR1'!K47</f>
        <v>0</v>
      </c>
      <c r="F45" s="1214">
        <f t="shared" si="5"/>
        <v>0</v>
      </c>
      <c r="G45" s="1286">
        <f>'1.2 Budgeted Enrollment YR1'!G47-E45</f>
        <v>6280.1363579608906</v>
      </c>
      <c r="H45" s="1207">
        <f t="shared" si="6"/>
        <v>56401904.630846761</v>
      </c>
      <c r="I45" s="1542">
        <f>VLOOKUP($C45,'2.5 NCEI Adj. YR1'!$B$7:$I$23,8)</f>
        <v>1</v>
      </c>
      <c r="J45" s="1214">
        <f t="shared" si="7"/>
        <v>0</v>
      </c>
    </row>
    <row r="46" spans="2:10" x14ac:dyDescent="0.3">
      <c r="B46" s="10" t="str">
        <f>'1.2 Budgeted Enrollment YR1'!E48</f>
        <v>Doral Academy of Northern Nevada</v>
      </c>
      <c r="C46" s="590" t="str">
        <f>'1.2 Budgeted Enrollment YR1'!A48</f>
        <v>Washoe</v>
      </c>
      <c r="D46" s="610">
        <f>'2.3 Statewide Base Funding YR1'!C52</f>
        <v>8981</v>
      </c>
      <c r="E46" s="1278">
        <f>'1.2 Budgeted Enrollment YR1'!K48</f>
        <v>0</v>
      </c>
      <c r="F46" s="1214">
        <f t="shared" si="5"/>
        <v>0</v>
      </c>
      <c r="G46" s="1286">
        <f>'1.2 Budgeted Enrollment YR1'!G48-E46</f>
        <v>957.41882339550943</v>
      </c>
      <c r="H46" s="1207">
        <f t="shared" si="6"/>
        <v>8598578.4529150706</v>
      </c>
      <c r="I46" s="1542">
        <f>VLOOKUP($C46,'2.5 NCEI Adj. YR1'!$B$7:$I$23,8)</f>
        <v>1</v>
      </c>
      <c r="J46" s="1214">
        <f t="shared" si="7"/>
        <v>0</v>
      </c>
    </row>
    <row r="47" spans="2:10" x14ac:dyDescent="0.3">
      <c r="B47" s="10" t="str">
        <f>'1.2 Budgeted Enrollment YR1'!E49</f>
        <v>Eagle Charter School</v>
      </c>
      <c r="C47" s="590" t="str">
        <f>'1.2 Budgeted Enrollment YR1'!A49</f>
        <v>Clark</v>
      </c>
      <c r="D47" s="610">
        <f>'2.3 Statewide Base Funding YR1'!C53</f>
        <v>8981</v>
      </c>
      <c r="E47" s="1278">
        <f>'1.2 Budgeted Enrollment YR1'!K49</f>
        <v>0</v>
      </c>
      <c r="F47" s="1214">
        <f t="shared" si="5"/>
        <v>0</v>
      </c>
      <c r="G47" s="1286">
        <f>'1.2 Budgeted Enrollment YR1'!G49-E47</f>
        <v>540</v>
      </c>
      <c r="H47" s="1207">
        <f t="shared" si="6"/>
        <v>4849740</v>
      </c>
      <c r="I47" s="1542">
        <f>VLOOKUP($C47,'2.5 NCEI Adj. YR1'!$B$7:$I$23,8)</f>
        <v>1</v>
      </c>
      <c r="J47" s="1214">
        <f t="shared" si="7"/>
        <v>0</v>
      </c>
    </row>
    <row r="48" spans="2:10" x14ac:dyDescent="0.3">
      <c r="B48" s="10" t="str">
        <f>'1.2 Budgeted Enrollment YR1'!E50</f>
        <v>Elko Institute for Academic Achievement</v>
      </c>
      <c r="C48" s="590" t="str">
        <f>'1.2 Budgeted Enrollment YR1'!A50</f>
        <v>Elko</v>
      </c>
      <c r="D48" s="610">
        <f>'2.3 Statewide Base Funding YR1'!C54</f>
        <v>8981</v>
      </c>
      <c r="E48" s="1278">
        <f>'1.2 Budgeted Enrollment YR1'!K50</f>
        <v>0</v>
      </c>
      <c r="F48" s="1214">
        <f t="shared" si="5"/>
        <v>0</v>
      </c>
      <c r="G48" s="1286">
        <f>'1.2 Budgeted Enrollment YR1'!G50-E48</f>
        <v>197.24352683287754</v>
      </c>
      <c r="H48" s="1207">
        <f t="shared" si="6"/>
        <v>1771444.1144860731</v>
      </c>
      <c r="I48" s="1542">
        <f>VLOOKUP($C48,'2.5 NCEI Adj. YR1'!$B$7:$I$23,8)</f>
        <v>1</v>
      </c>
      <c r="J48" s="1214">
        <f t="shared" si="7"/>
        <v>0</v>
      </c>
    </row>
    <row r="49" spans="2:10" x14ac:dyDescent="0.3">
      <c r="B49" s="10" t="str">
        <f>'1.2 Budgeted Enrollment YR1'!E51</f>
        <v>enCompass Academy</v>
      </c>
      <c r="C49" s="590" t="str">
        <f>'1.2 Budgeted Enrollment YR1'!A51</f>
        <v>Washoe</v>
      </c>
      <c r="D49" s="610">
        <f>'2.3 Statewide Base Funding YR1'!C55</f>
        <v>8981</v>
      </c>
      <c r="E49" s="1278">
        <f>'1.2 Budgeted Enrollment YR1'!K51</f>
        <v>0</v>
      </c>
      <c r="F49" s="1214">
        <f t="shared" si="5"/>
        <v>0</v>
      </c>
      <c r="G49" s="1286">
        <f>'1.2 Budgeted Enrollment YR1'!G51-E49</f>
        <v>114.87381551473325</v>
      </c>
      <c r="H49" s="1207">
        <f t="shared" si="6"/>
        <v>1031681.7371378193</v>
      </c>
      <c r="I49" s="1542">
        <f>VLOOKUP($C49,'2.5 NCEI Adj. YR1'!$B$7:$I$23,8)</f>
        <v>1</v>
      </c>
      <c r="J49" s="1214">
        <f t="shared" si="7"/>
        <v>0</v>
      </c>
    </row>
    <row r="50" spans="2:10" x14ac:dyDescent="0.3">
      <c r="B50" s="10" t="str">
        <f>'1.2 Budgeted Enrollment YR1'!E52</f>
        <v>Equipo Academy</v>
      </c>
      <c r="C50" s="590" t="str">
        <f>'1.2 Budgeted Enrollment YR1'!A52</f>
        <v>Clark</v>
      </c>
      <c r="D50" s="610">
        <f>'2.3 Statewide Base Funding YR1'!C56</f>
        <v>8981</v>
      </c>
      <c r="E50" s="1278">
        <f>'1.2 Budgeted Enrollment YR1'!K52</f>
        <v>0</v>
      </c>
      <c r="F50" s="1214">
        <f t="shared" si="5"/>
        <v>0</v>
      </c>
      <c r="G50" s="1286">
        <f>'1.2 Budgeted Enrollment YR1'!G52-E50</f>
        <v>799.12049898931241</v>
      </c>
      <c r="H50" s="1207">
        <f t="shared" si="6"/>
        <v>7176901.2014230145</v>
      </c>
      <c r="I50" s="1542">
        <f>VLOOKUP($C50,'2.5 NCEI Adj. YR1'!$B$7:$I$23,8)</f>
        <v>1</v>
      </c>
      <c r="J50" s="1214">
        <f t="shared" si="7"/>
        <v>0</v>
      </c>
    </row>
    <row r="51" spans="2:10" x14ac:dyDescent="0.3">
      <c r="B51" s="10" t="str">
        <f>'1.2 Budgeted Enrollment YR1'!E53</f>
        <v>Explore Academy</v>
      </c>
      <c r="C51" s="590" t="str">
        <f>'1.2 Budgeted Enrollment YR1'!A53</f>
        <v>Clark</v>
      </c>
      <c r="D51" s="610">
        <f>'2.3 Statewide Base Funding YR1'!C57</f>
        <v>8981</v>
      </c>
      <c r="E51" s="1278">
        <f>'1.2 Budgeted Enrollment YR1'!K53</f>
        <v>0</v>
      </c>
      <c r="F51" s="1214">
        <f t="shared" si="5"/>
        <v>0</v>
      </c>
      <c r="G51" s="1286">
        <f>'1.2 Budgeted Enrollment YR1'!G53-E51</f>
        <v>274.7332568453723</v>
      </c>
      <c r="H51" s="1207">
        <f t="shared" si="6"/>
        <v>2467379.3797282884</v>
      </c>
      <c r="I51" s="1542">
        <f>VLOOKUP($C51,'2.5 NCEI Adj. YR1'!$B$7:$I$23,8)</f>
        <v>1</v>
      </c>
      <c r="J51" s="1214">
        <f t="shared" si="7"/>
        <v>0</v>
      </c>
    </row>
    <row r="52" spans="2:10" x14ac:dyDescent="0.3">
      <c r="B52" s="10" t="str">
        <f>'1.2 Budgeted Enrollment YR1'!E54</f>
        <v>Explore Knowledge Academy</v>
      </c>
      <c r="C52" s="590" t="str">
        <f>'1.2 Budgeted Enrollment YR1'!A54</f>
        <v>Clark</v>
      </c>
      <c r="D52" s="610">
        <f>'2.3 Statewide Base Funding YR1'!C58</f>
        <v>8981</v>
      </c>
      <c r="E52" s="1278">
        <f>'1.2 Budgeted Enrollment YR1'!K54</f>
        <v>0</v>
      </c>
      <c r="F52" s="1214">
        <f t="shared" si="5"/>
        <v>0</v>
      </c>
      <c r="G52" s="1286">
        <f>'1.2 Budgeted Enrollment YR1'!G54-E52</f>
        <v>671.81849159460035</v>
      </c>
      <c r="H52" s="1207">
        <f t="shared" si="6"/>
        <v>6033601.8730111057</v>
      </c>
      <c r="I52" s="1542">
        <f>VLOOKUP($C52,'2.5 NCEI Adj. YR1'!$B$7:$I$23,8)</f>
        <v>1</v>
      </c>
      <c r="J52" s="1214">
        <f t="shared" si="7"/>
        <v>0</v>
      </c>
    </row>
    <row r="53" spans="2:10" x14ac:dyDescent="0.3">
      <c r="B53" s="10" t="str">
        <f>'1.2 Budgeted Enrollment YR1'!E55</f>
        <v>Founders Academy of Las Vegas</v>
      </c>
      <c r="C53" s="590" t="str">
        <f>'1.2 Budgeted Enrollment YR1'!A55</f>
        <v>Clark</v>
      </c>
      <c r="D53" s="610">
        <f>'2.3 Statewide Base Funding YR1'!C59</f>
        <v>8981</v>
      </c>
      <c r="E53" s="1278">
        <f>'1.2 Budgeted Enrollment YR1'!K55</f>
        <v>0</v>
      </c>
      <c r="F53" s="1214">
        <f t="shared" si="5"/>
        <v>0</v>
      </c>
      <c r="G53" s="1286">
        <f>'1.2 Budgeted Enrollment YR1'!G55-E53</f>
        <v>942.31500888524988</v>
      </c>
      <c r="H53" s="1207">
        <f t="shared" si="6"/>
        <v>8462931.0947984289</v>
      </c>
      <c r="I53" s="1542">
        <f>VLOOKUP($C53,'2.5 NCEI Adj. YR1'!$B$7:$I$23,8)</f>
        <v>1</v>
      </c>
      <c r="J53" s="1214">
        <f t="shared" si="7"/>
        <v>0</v>
      </c>
    </row>
    <row r="54" spans="2:10" x14ac:dyDescent="0.3">
      <c r="B54" s="10" t="str">
        <f>'1.2 Budgeted Enrollment YR1'!E56</f>
        <v>Freedom Classical Academy</v>
      </c>
      <c r="C54" s="590" t="str">
        <f>'1.2 Budgeted Enrollment YR1'!A56</f>
        <v>Clark</v>
      </c>
      <c r="D54" s="610">
        <f>'2.3 Statewide Base Funding YR1'!C60</f>
        <v>8981</v>
      </c>
      <c r="E54" s="1278">
        <f>'1.2 Budgeted Enrollment YR1'!K56</f>
        <v>0</v>
      </c>
      <c r="F54" s="1214">
        <f t="shared" si="5"/>
        <v>0</v>
      </c>
      <c r="G54" s="1286">
        <f>'1.2 Budgeted Enrollment YR1'!G56-E54</f>
        <v>1044.9532334148407</v>
      </c>
      <c r="H54" s="1207">
        <f t="shared" si="6"/>
        <v>9384724.9892986845</v>
      </c>
      <c r="I54" s="1542">
        <f>VLOOKUP($C54,'2.5 NCEI Adj. YR1'!$B$7:$I$23,8)</f>
        <v>1</v>
      </c>
      <c r="J54" s="1214">
        <f t="shared" si="7"/>
        <v>0</v>
      </c>
    </row>
    <row r="55" spans="2:10" x14ac:dyDescent="0.3">
      <c r="B55" s="10" t="str">
        <f>'1.2 Budgeted Enrollment YR1'!E57</f>
        <v>Futuro Academy Elementary</v>
      </c>
      <c r="C55" s="590" t="str">
        <f>'1.2 Budgeted Enrollment YR1'!A57</f>
        <v>Clark</v>
      </c>
      <c r="D55" s="610">
        <f>'2.3 Statewide Base Funding YR1'!C61</f>
        <v>8981</v>
      </c>
      <c r="E55" s="1278">
        <f>'1.2 Budgeted Enrollment YR1'!K57</f>
        <v>0</v>
      </c>
      <c r="F55" s="1214">
        <f t="shared" si="5"/>
        <v>0</v>
      </c>
      <c r="G55" s="1286">
        <f>'1.2 Budgeted Enrollment YR1'!G57-E55</f>
        <v>463.70725498344746</v>
      </c>
      <c r="H55" s="1207">
        <f t="shared" si="6"/>
        <v>4164554.8570063417</v>
      </c>
      <c r="I55" s="1542">
        <f>VLOOKUP($C55,'2.5 NCEI Adj. YR1'!$B$7:$I$23,8)</f>
        <v>1</v>
      </c>
      <c r="J55" s="1214">
        <f t="shared" si="7"/>
        <v>0</v>
      </c>
    </row>
    <row r="56" spans="2:10" x14ac:dyDescent="0.3">
      <c r="B56" s="10" t="str">
        <f>'1.2 Budgeted Enrollment YR1'!E58</f>
        <v>Girls Athletic Leadership Schools</v>
      </c>
      <c r="C56" s="590" t="str">
        <f>'1.2 Budgeted Enrollment YR1'!A58</f>
        <v>Clark</v>
      </c>
      <c r="D56" s="610">
        <f>'2.3 Statewide Base Funding YR1'!C62</f>
        <v>8981</v>
      </c>
      <c r="E56" s="1278">
        <f>'1.2 Budgeted Enrollment YR1'!K58</f>
        <v>0</v>
      </c>
      <c r="F56" s="1214">
        <f t="shared" si="5"/>
        <v>0</v>
      </c>
      <c r="G56" s="1286">
        <f>'1.2 Budgeted Enrollment YR1'!G58-E56</f>
        <v>0</v>
      </c>
      <c r="H56" s="1207">
        <f t="shared" si="6"/>
        <v>0</v>
      </c>
      <c r="I56" s="1542">
        <f>VLOOKUP($C56,'2.5 NCEI Adj. YR1'!$B$7:$I$23,8)</f>
        <v>1</v>
      </c>
      <c r="J56" s="1214">
        <f t="shared" si="7"/>
        <v>0</v>
      </c>
    </row>
    <row r="57" spans="2:10" x14ac:dyDescent="0.3">
      <c r="B57" s="10" t="str">
        <f>'1.2 Budgeted Enrollment YR1'!E59</f>
        <v>High Desert Montessori</v>
      </c>
      <c r="C57" s="590" t="str">
        <f>'1.2 Budgeted Enrollment YR1'!A59</f>
        <v>Washoe</v>
      </c>
      <c r="D57" s="610">
        <f>'2.3 Statewide Base Funding YR1'!C63</f>
        <v>8981</v>
      </c>
      <c r="E57" s="1278">
        <f>'1.2 Budgeted Enrollment YR1'!K59</f>
        <v>0</v>
      </c>
      <c r="F57" s="1214">
        <f t="shared" si="5"/>
        <v>0</v>
      </c>
      <c r="G57" s="1286">
        <f>'1.2 Budgeted Enrollment YR1'!G59-E57</f>
        <v>392.33027145830016</v>
      </c>
      <c r="H57" s="1207">
        <f t="shared" si="6"/>
        <v>3523518.1679669935</v>
      </c>
      <c r="I57" s="1542">
        <f>VLOOKUP($C57,'2.5 NCEI Adj. YR1'!$B$7:$I$23,8)</f>
        <v>1</v>
      </c>
      <c r="J57" s="1214">
        <f t="shared" si="7"/>
        <v>0</v>
      </c>
    </row>
    <row r="58" spans="2:10" x14ac:dyDescent="0.3">
      <c r="B58" s="10" t="str">
        <f>'1.2 Budgeted Enrollment YR1'!E60</f>
        <v>Honors Academy of Literature</v>
      </c>
      <c r="C58" s="590" t="str">
        <f>'1.2 Budgeted Enrollment YR1'!A60</f>
        <v>Washoe</v>
      </c>
      <c r="D58" s="610">
        <f>'2.3 Statewide Base Funding YR1'!C64</f>
        <v>8981</v>
      </c>
      <c r="E58" s="1278">
        <f>'1.2 Budgeted Enrollment YR1'!K60</f>
        <v>0</v>
      </c>
      <c r="F58" s="1214">
        <f t="shared" si="5"/>
        <v>0</v>
      </c>
      <c r="G58" s="1286">
        <f>'1.2 Budgeted Enrollment YR1'!G60-E58</f>
        <v>216.56435878747669</v>
      </c>
      <c r="H58" s="1207">
        <f t="shared" si="6"/>
        <v>1944964.5062703281</v>
      </c>
      <c r="I58" s="1542">
        <f>VLOOKUP($C58,'2.5 NCEI Adj. YR1'!$B$7:$I$23,8)</f>
        <v>1</v>
      </c>
      <c r="J58" s="1214">
        <f t="shared" si="7"/>
        <v>0</v>
      </c>
    </row>
    <row r="59" spans="2:10" x14ac:dyDescent="0.3">
      <c r="B59" s="10" t="str">
        <f>'1.2 Budgeted Enrollment YR1'!E61</f>
        <v>Imagine School Mountain View</v>
      </c>
      <c r="C59" s="590" t="str">
        <f>'1.2 Budgeted Enrollment YR1'!A61</f>
        <v>Clark</v>
      </c>
      <c r="D59" s="610">
        <f>'2.3 Statewide Base Funding YR1'!C65</f>
        <v>8981</v>
      </c>
      <c r="E59" s="1278">
        <f>'1.2 Budgeted Enrollment YR1'!K61</f>
        <v>0</v>
      </c>
      <c r="F59" s="1214">
        <f t="shared" si="5"/>
        <v>0</v>
      </c>
      <c r="G59" s="1286">
        <f>'1.2 Budgeted Enrollment YR1'!G61-E59</f>
        <v>671.37820674925001</v>
      </c>
      <c r="H59" s="1207">
        <f t="shared" si="6"/>
        <v>6029647.674815014</v>
      </c>
      <c r="I59" s="1542">
        <f>VLOOKUP($C59,'2.5 NCEI Adj. YR1'!$B$7:$I$23,8)</f>
        <v>1</v>
      </c>
      <c r="J59" s="1214">
        <f t="shared" si="7"/>
        <v>0</v>
      </c>
    </row>
    <row r="60" spans="2:10" x14ac:dyDescent="0.3">
      <c r="B60" s="10" t="str">
        <f>'1.2 Budgeted Enrollment YR1'!E62</f>
        <v>Innovations Int'l Charter</v>
      </c>
      <c r="C60" s="590" t="str">
        <f>'1.2 Budgeted Enrollment YR1'!A62</f>
        <v>Clark</v>
      </c>
      <c r="D60" s="610">
        <f>'2.3 Statewide Base Funding YR1'!C66</f>
        <v>8981</v>
      </c>
      <c r="E60" s="1278">
        <f>'1.2 Budgeted Enrollment YR1'!K62</f>
        <v>0</v>
      </c>
      <c r="F60" s="1214">
        <f t="shared" si="5"/>
        <v>0</v>
      </c>
      <c r="G60" s="1286">
        <f>'1.2 Budgeted Enrollment YR1'!G62-E60</f>
        <v>737.09270922985206</v>
      </c>
      <c r="H60" s="1207">
        <f t="shared" si="6"/>
        <v>6619829.6215933012</v>
      </c>
      <c r="I60" s="1542">
        <f>VLOOKUP($C60,'2.5 NCEI Adj. YR1'!$B$7:$I$23,8)</f>
        <v>1</v>
      </c>
      <c r="J60" s="1214">
        <f t="shared" si="7"/>
        <v>0</v>
      </c>
    </row>
    <row r="61" spans="2:10" x14ac:dyDescent="0.3">
      <c r="B61" s="10" t="str">
        <f>'1.2 Budgeted Enrollment YR1'!E63</f>
        <v>Leadership Academy of Nevada</v>
      </c>
      <c r="C61" s="590" t="str">
        <f>'1.2 Budgeted Enrollment YR1'!A63</f>
        <v>Clark</v>
      </c>
      <c r="D61" s="610">
        <f>'2.3 Statewide Base Funding YR1'!C67</f>
        <v>8981</v>
      </c>
      <c r="E61" s="1278">
        <f>'1.2 Budgeted Enrollment YR1'!K63</f>
        <v>267.63967675179731</v>
      </c>
      <c r="F61" s="1214">
        <f t="shared" si="5"/>
        <v>2403671.9369078916</v>
      </c>
      <c r="G61" s="1286">
        <f>'1.2 Budgeted Enrollment YR1'!G63-E61</f>
        <v>0</v>
      </c>
      <c r="H61" s="1207">
        <f t="shared" si="6"/>
        <v>0</v>
      </c>
      <c r="I61" s="1542">
        <f>VLOOKUP($C61,'2.5 NCEI Adj. YR1'!$B$7:$I$23,8)</f>
        <v>1</v>
      </c>
      <c r="J61" s="1214">
        <f t="shared" si="7"/>
        <v>0</v>
      </c>
    </row>
    <row r="62" spans="2:10" x14ac:dyDescent="0.3">
      <c r="B62" s="10" t="str">
        <f>'1.2 Budgeted Enrollment YR1'!E64</f>
        <v>Learning Bridge</v>
      </c>
      <c r="C62" s="590" t="str">
        <f>'1.2 Budgeted Enrollment YR1'!A64</f>
        <v>White Pine</v>
      </c>
      <c r="D62" s="610">
        <f>'2.3 Statewide Base Funding YR1'!C68</f>
        <v>8981</v>
      </c>
      <c r="E62" s="1278">
        <f>'1.2 Budgeted Enrollment YR1'!K64</f>
        <v>0</v>
      </c>
      <c r="F62" s="1214">
        <f t="shared" si="5"/>
        <v>0</v>
      </c>
      <c r="G62" s="1286">
        <f>'1.2 Budgeted Enrollment YR1'!G64-E62</f>
        <v>175.19825529226023</v>
      </c>
      <c r="H62" s="1207">
        <f t="shared" si="6"/>
        <v>1573455.5307797892</v>
      </c>
      <c r="I62" s="1542">
        <f>VLOOKUP($C62,'2.5 NCEI Adj. YR1'!$B$7:$I$23,8)</f>
        <v>1</v>
      </c>
      <c r="J62" s="1214">
        <f t="shared" si="7"/>
        <v>0</v>
      </c>
    </row>
    <row r="63" spans="2:10" x14ac:dyDescent="0.3">
      <c r="B63" s="10" t="str">
        <f>'1.2 Budgeted Enrollment YR1'!E65</f>
        <v>Legacy Traditional Schools</v>
      </c>
      <c r="C63" s="590" t="str">
        <f>'1.2 Budgeted Enrollment YR1'!A65</f>
        <v>Clark</v>
      </c>
      <c r="D63" s="610">
        <f>'2.3 Statewide Base Funding YR1'!C69</f>
        <v>8981</v>
      </c>
      <c r="E63" s="1278">
        <f>'1.2 Budgeted Enrollment YR1'!K65</f>
        <v>0</v>
      </c>
      <c r="F63" s="1214">
        <f t="shared" si="5"/>
        <v>0</v>
      </c>
      <c r="G63" s="1286">
        <f>'1.2 Budgeted Enrollment YR1'!G65-E63</f>
        <v>4014.3643229322638</v>
      </c>
      <c r="H63" s="1207">
        <f t="shared" si="6"/>
        <v>36053005.984254658</v>
      </c>
      <c r="I63" s="1542">
        <f>VLOOKUP($C63,'2.5 NCEI Adj. YR1'!$B$7:$I$23,8)</f>
        <v>1</v>
      </c>
      <c r="J63" s="1214">
        <f t="shared" si="7"/>
        <v>0</v>
      </c>
    </row>
    <row r="64" spans="2:10" x14ac:dyDescent="0.3">
      <c r="B64" s="10" t="str">
        <f>'1.2 Budgeted Enrollment YR1'!E66</f>
        <v>Mariposa Dual Language Academy</v>
      </c>
      <c r="C64" s="590" t="str">
        <f>'1.2 Budgeted Enrollment YR1'!A66</f>
        <v>Washoe</v>
      </c>
      <c r="D64" s="610">
        <f>'2.3 Statewide Base Funding YR1'!C70</f>
        <v>8981</v>
      </c>
      <c r="E64" s="1278">
        <f>'1.2 Budgeted Enrollment YR1'!K66</f>
        <v>0</v>
      </c>
      <c r="F64" s="1214">
        <f t="shared" si="5"/>
        <v>0</v>
      </c>
      <c r="G64" s="1286">
        <f>'1.2 Budgeted Enrollment YR1'!G66-E64</f>
        <v>160.16230530300001</v>
      </c>
      <c r="H64" s="1207">
        <f t="shared" si="6"/>
        <v>1438417.6639262431</v>
      </c>
      <c r="I64" s="1542">
        <f>VLOOKUP($C64,'2.5 NCEI Adj. YR1'!$B$7:$I$23,8)</f>
        <v>1</v>
      </c>
      <c r="J64" s="1214">
        <f t="shared" si="7"/>
        <v>0</v>
      </c>
    </row>
    <row r="65" spans="2:12" x14ac:dyDescent="0.3">
      <c r="B65" s="10" t="str">
        <f>'1.2 Budgeted Enrollment YR1'!E67</f>
        <v>Mater Academy</v>
      </c>
      <c r="C65" s="590" t="str">
        <f>'1.2 Budgeted Enrollment YR1'!A67</f>
        <v>Clark</v>
      </c>
      <c r="D65" s="610">
        <f>'2.3 Statewide Base Funding YR1'!C71</f>
        <v>8981</v>
      </c>
      <c r="E65" s="1278">
        <f>'1.2 Budgeted Enrollment YR1'!K67</f>
        <v>0</v>
      </c>
      <c r="F65" s="1214">
        <f t="shared" si="5"/>
        <v>0</v>
      </c>
      <c r="G65" s="1286">
        <f>'1.2 Budgeted Enrollment YR1'!G67-E65</f>
        <v>3957.4480253588026</v>
      </c>
      <c r="H65" s="1207">
        <f t="shared" si="6"/>
        <v>35541840.715747409</v>
      </c>
      <c r="I65" s="1542">
        <f>VLOOKUP($C65,'2.5 NCEI Adj. YR1'!$B$7:$I$23,8)</f>
        <v>1</v>
      </c>
      <c r="J65" s="1214">
        <f t="shared" si="7"/>
        <v>0</v>
      </c>
    </row>
    <row r="66" spans="2:12" x14ac:dyDescent="0.3">
      <c r="B66" s="10" t="str">
        <f>'1.2 Budgeted Enrollment YR1'!E68</f>
        <v>Mater Academy of Northern Nevada</v>
      </c>
      <c r="C66" s="590" t="str">
        <f>'1.2 Budgeted Enrollment YR1'!A68</f>
        <v>Washoe</v>
      </c>
      <c r="D66" s="610">
        <f>'2.3 Statewide Base Funding YR1'!C72</f>
        <v>8981</v>
      </c>
      <c r="E66" s="1278">
        <f>'1.2 Budgeted Enrollment YR1'!K68</f>
        <v>0</v>
      </c>
      <c r="F66" s="1214">
        <f t="shared" si="5"/>
        <v>0</v>
      </c>
      <c r="G66" s="1286">
        <f>'1.2 Budgeted Enrollment YR1'!G68-E66</f>
        <v>491.47528742099291</v>
      </c>
      <c r="H66" s="1207">
        <f t="shared" si="6"/>
        <v>4413939.5563279372</v>
      </c>
      <c r="I66" s="1542">
        <f>VLOOKUP($C66,'2.5 NCEI Adj. YR1'!$B$7:$I$23,8)</f>
        <v>1</v>
      </c>
      <c r="J66" s="1214">
        <f t="shared" si="7"/>
        <v>0</v>
      </c>
    </row>
    <row r="67" spans="2:12" x14ac:dyDescent="0.3">
      <c r="B67" s="10" t="str">
        <f>'1.2 Budgeted Enrollment YR1'!E69</f>
        <v>Nevada Connections Academy</v>
      </c>
      <c r="C67" s="590" t="str">
        <f>'1.2 Budgeted Enrollment YR1'!A69</f>
        <v>Washoe</v>
      </c>
      <c r="D67" s="610">
        <f>'2.3 Statewide Base Funding YR1'!C73</f>
        <v>8981</v>
      </c>
      <c r="E67" s="1278">
        <f>'1.2 Budgeted Enrollment YR1'!K69</f>
        <v>1065.9410335586765</v>
      </c>
      <c r="F67" s="1214">
        <f t="shared" si="5"/>
        <v>9573216.422390474</v>
      </c>
      <c r="G67" s="1286">
        <f>'1.2 Budgeted Enrollment YR1'!G69-E67</f>
        <v>0</v>
      </c>
      <c r="H67" s="1207">
        <f t="shared" si="6"/>
        <v>0</v>
      </c>
      <c r="I67" s="1542">
        <f>VLOOKUP($C67,'2.5 NCEI Adj. YR1'!$B$7:$I$23,8)</f>
        <v>1</v>
      </c>
      <c r="J67" s="1214">
        <f t="shared" si="7"/>
        <v>0</v>
      </c>
    </row>
    <row r="68" spans="2:12" x14ac:dyDescent="0.3">
      <c r="B68" s="10" t="str">
        <f>'1.2 Budgeted Enrollment YR1'!E70</f>
        <v>Nevada Prep</v>
      </c>
      <c r="C68" s="590" t="str">
        <f>'1.2 Budgeted Enrollment YR1'!A70</f>
        <v>Clark</v>
      </c>
      <c r="D68" s="610">
        <f>'2.3 Statewide Base Funding YR1'!C74</f>
        <v>8981</v>
      </c>
      <c r="E68" s="1278">
        <f>'1.2 Budgeted Enrollment YR1'!K70</f>
        <v>0</v>
      </c>
      <c r="F68" s="1214">
        <f t="shared" si="5"/>
        <v>0</v>
      </c>
      <c r="G68" s="1286">
        <f>'1.2 Budgeted Enrollment YR1'!G70-E68</f>
        <v>281.33643740972769</v>
      </c>
      <c r="H68" s="1207">
        <f t="shared" si="6"/>
        <v>2526682.5443767644</v>
      </c>
      <c r="I68" s="1542">
        <f>VLOOKUP($C68,'2.5 NCEI Adj. YR1'!$B$7:$I$23,8)</f>
        <v>1</v>
      </c>
      <c r="J68" s="1214">
        <f t="shared" si="7"/>
        <v>0</v>
      </c>
    </row>
    <row r="69" spans="2:12" x14ac:dyDescent="0.3">
      <c r="B69" s="10" t="str">
        <f>'1.2 Budgeted Enrollment YR1'!E71</f>
        <v xml:space="preserve">Nevada Rise </v>
      </c>
      <c r="C69" s="590" t="str">
        <f>'1.2 Budgeted Enrollment YR1'!A71</f>
        <v>Clark</v>
      </c>
      <c r="D69" s="610">
        <f>'2.3 Statewide Base Funding YR1'!C75</f>
        <v>8981</v>
      </c>
      <c r="E69" s="1278">
        <f>'1.2 Budgeted Enrollment YR1'!K71</f>
        <v>0</v>
      </c>
      <c r="F69" s="1214">
        <f t="shared" si="5"/>
        <v>0</v>
      </c>
      <c r="G69" s="1286">
        <f>'1.2 Budgeted Enrollment YR1'!G71-E69</f>
        <v>457.90871082754296</v>
      </c>
      <c r="H69" s="1207">
        <f t="shared" si="6"/>
        <v>4112478.1319421632</v>
      </c>
      <c r="I69" s="1542">
        <f>VLOOKUP($C69,'2.5 NCEI Adj. YR1'!$B$7:$I$23,8)</f>
        <v>1</v>
      </c>
      <c r="J69" s="1214">
        <f t="shared" si="7"/>
        <v>0</v>
      </c>
    </row>
    <row r="70" spans="2:12" x14ac:dyDescent="0.3">
      <c r="B70" s="10" t="str">
        <f>'1.2 Budgeted Enrollment YR1'!E72</f>
        <v>Nevada State High School</v>
      </c>
      <c r="C70" s="590" t="str">
        <f>'1.2 Budgeted Enrollment YR1'!A72</f>
        <v>Clark</v>
      </c>
      <c r="D70" s="610">
        <f>'2.3 Statewide Base Funding YR1'!C76</f>
        <v>8981</v>
      </c>
      <c r="E70" s="1278">
        <f>'1.2 Budgeted Enrollment YR1'!K72</f>
        <v>0</v>
      </c>
      <c r="F70" s="1214">
        <f t="shared" si="5"/>
        <v>0</v>
      </c>
      <c r="G70" s="1286">
        <f>'1.2 Budgeted Enrollment YR1'!G72-E70</f>
        <v>983.31703457725234</v>
      </c>
      <c r="H70" s="1207">
        <f t="shared" si="6"/>
        <v>8831170.2875383031</v>
      </c>
      <c r="I70" s="1542">
        <f>VLOOKUP($C70,'2.5 NCEI Adj. YR1'!$B$7:$I$23,8)</f>
        <v>1</v>
      </c>
      <c r="J70" s="1214">
        <f t="shared" si="7"/>
        <v>0</v>
      </c>
    </row>
    <row r="71" spans="2:12" x14ac:dyDescent="0.3">
      <c r="B71" s="10" t="str">
        <f>'1.2 Budgeted Enrollment YR1'!E73</f>
        <v>Nevada State High School-Meadowwood</v>
      </c>
      <c r="C71" s="590" t="str">
        <f>'1.2 Budgeted Enrollment YR1'!A73</f>
        <v>Washoe</v>
      </c>
      <c r="D71" s="610">
        <f>'2.3 Statewide Base Funding YR1'!C77</f>
        <v>8981</v>
      </c>
      <c r="E71" s="1278">
        <f>'1.2 Budgeted Enrollment YR1'!K73</f>
        <v>0</v>
      </c>
      <c r="F71" s="1214">
        <f t="shared" si="5"/>
        <v>0</v>
      </c>
      <c r="G71" s="1286">
        <f>'1.2 Budgeted Enrollment YR1'!G73-E71</f>
        <v>31.821411371749999</v>
      </c>
      <c r="H71" s="1207">
        <f t="shared" si="6"/>
        <v>285788.09552968672</v>
      </c>
      <c r="I71" s="1542">
        <f>VLOOKUP($C71,'2.5 NCEI Adj. YR1'!$B$7:$I$23,8)</f>
        <v>1</v>
      </c>
      <c r="J71" s="1214">
        <f t="shared" si="7"/>
        <v>0</v>
      </c>
      <c r="L71" s="93"/>
    </row>
    <row r="72" spans="2:12" x14ac:dyDescent="0.3">
      <c r="B72" s="10" t="str">
        <f>'1.2 Budgeted Enrollment YR1'!E74</f>
        <v>Nevada Virtual Academy</v>
      </c>
      <c r="C72" s="590" t="str">
        <f>'1.2 Budgeted Enrollment YR1'!A74</f>
        <v>Clark</v>
      </c>
      <c r="D72" s="610">
        <f>'2.3 Statewide Base Funding YR1'!C78</f>
        <v>8981</v>
      </c>
      <c r="E72" s="1278">
        <f>'1.2 Budgeted Enrollment YR1'!K74</f>
        <v>2158.3957640639396</v>
      </c>
      <c r="F72" s="1214">
        <f t="shared" si="5"/>
        <v>19384552.357058242</v>
      </c>
      <c r="G72" s="1286">
        <f>'1.2 Budgeted Enrollment YR1'!G74-E72</f>
        <v>0</v>
      </c>
      <c r="H72" s="1207">
        <f t="shared" si="6"/>
        <v>0</v>
      </c>
      <c r="I72" s="1542">
        <f>VLOOKUP($C72,'2.5 NCEI Adj. YR1'!$B$7:$I$23,8)</f>
        <v>1</v>
      </c>
      <c r="J72" s="1214">
        <f t="shared" si="7"/>
        <v>0</v>
      </c>
    </row>
    <row r="73" spans="2:12" x14ac:dyDescent="0.3">
      <c r="B73" s="10" t="str">
        <f>'1.2 Budgeted Enrollment YR1'!E75</f>
        <v>Oasis Academy</v>
      </c>
      <c r="C73" s="590" t="str">
        <f>'1.2 Budgeted Enrollment YR1'!A75</f>
        <v>Churchill</v>
      </c>
      <c r="D73" s="610">
        <f>'2.3 Statewide Base Funding YR1'!C79</f>
        <v>8981</v>
      </c>
      <c r="E73" s="1278">
        <f>'1.2 Budgeted Enrollment YR1'!K75</f>
        <v>0</v>
      </c>
      <c r="F73" s="1214">
        <f t="shared" si="5"/>
        <v>0</v>
      </c>
      <c r="G73" s="1286">
        <f>'1.2 Budgeted Enrollment YR1'!G75-E73</f>
        <v>734.20464267162504</v>
      </c>
      <c r="H73" s="1207">
        <f>D73*G73</f>
        <v>6593891.8958338648</v>
      </c>
      <c r="I73" s="1542">
        <f>VLOOKUP($C73,'2.5 NCEI Adj. YR1'!$B$7:$I$23,8)</f>
        <v>1</v>
      </c>
      <c r="J73" s="1214">
        <f t="shared" si="7"/>
        <v>0</v>
      </c>
    </row>
    <row r="74" spans="2:12" x14ac:dyDescent="0.3">
      <c r="B74" s="10" t="str">
        <f>'1.2 Budgeted Enrollment YR1'!E76</f>
        <v>Odyssey Charter Schools</v>
      </c>
      <c r="C74" s="590" t="str">
        <f>'1.2 Budgeted Enrollment YR1'!A76</f>
        <v>Clark</v>
      </c>
      <c r="D74" s="610">
        <f>'2.3 Statewide Base Funding YR1'!C80</f>
        <v>8981</v>
      </c>
      <c r="E74" s="1278">
        <f>'1.2 Budgeted Enrollment YR1'!K76</f>
        <v>0</v>
      </c>
      <c r="F74" s="1214">
        <f t="shared" si="5"/>
        <v>0</v>
      </c>
      <c r="G74" s="1286">
        <f>'1.2 Budgeted Enrollment YR1'!G76-E74</f>
        <v>2325.2299469256354</v>
      </c>
      <c r="H74" s="1207">
        <f t="shared" si="6"/>
        <v>20882890.153339133</v>
      </c>
      <c r="I74" s="1542">
        <f>VLOOKUP($C74,'2.5 NCEI Adj. YR1'!$B$7:$I$23,8)</f>
        <v>1</v>
      </c>
      <c r="J74" s="1214">
        <f t="shared" si="7"/>
        <v>0</v>
      </c>
    </row>
    <row r="75" spans="2:12" x14ac:dyDescent="0.3">
      <c r="B75" s="10" t="str">
        <f>'1.2 Budgeted Enrollment YR1'!E77</f>
        <v>Pinecrest Academy of Northern Nevada</v>
      </c>
      <c r="C75" s="590" t="str">
        <f>'1.2 Budgeted Enrollment YR1'!A77</f>
        <v>Washoe</v>
      </c>
      <c r="D75" s="610">
        <f>'2.3 Statewide Base Funding YR1'!C81</f>
        <v>8981</v>
      </c>
      <c r="E75" s="1278">
        <f>'1.2 Budgeted Enrollment YR1'!K77</f>
        <v>0</v>
      </c>
      <c r="F75" s="1214">
        <f t="shared" si="5"/>
        <v>0</v>
      </c>
      <c r="G75" s="1286">
        <f>'1.2 Budgeted Enrollment YR1'!G77-E75</f>
        <v>926.97453717270901</v>
      </c>
      <c r="H75" s="1207">
        <f t="shared" si="6"/>
        <v>8325158.3183480995</v>
      </c>
      <c r="I75" s="1542">
        <f>VLOOKUP($C75,'2.5 NCEI Adj. YR1'!$B$7:$I$23,8)</f>
        <v>1</v>
      </c>
      <c r="J75" s="1214">
        <f t="shared" si="7"/>
        <v>0</v>
      </c>
    </row>
    <row r="76" spans="2:12" x14ac:dyDescent="0.3">
      <c r="B76" s="10" t="str">
        <f>'1.2 Budgeted Enrollment YR1'!E78</f>
        <v>Pinecrest Academy of Nevada</v>
      </c>
      <c r="C76" s="590" t="str">
        <f>'1.2 Budgeted Enrollment YR1'!A78</f>
        <v>Clark</v>
      </c>
      <c r="D76" s="610">
        <f>'2.3 Statewide Base Funding YR1'!C82</f>
        <v>8981</v>
      </c>
      <c r="E76" s="1278">
        <f>'1.2 Budgeted Enrollment YR1'!K78</f>
        <v>0</v>
      </c>
      <c r="F76" s="1214">
        <f t="shared" si="5"/>
        <v>0</v>
      </c>
      <c r="G76" s="1286">
        <f>'1.2 Budgeted Enrollment YR1'!G78-E76</f>
        <v>7406.4449235623106</v>
      </c>
      <c r="H76" s="1207">
        <f t="shared" si="6"/>
        <v>66517281.858513109</v>
      </c>
      <c r="I76" s="1542">
        <f>VLOOKUP($C76,'2.5 NCEI Adj. YR1'!$B$7:$I$23,8)</f>
        <v>1</v>
      </c>
      <c r="J76" s="1214">
        <f t="shared" si="7"/>
        <v>0</v>
      </c>
    </row>
    <row r="77" spans="2:12" x14ac:dyDescent="0.3">
      <c r="B77" s="10" t="str">
        <f>'1.2 Budgeted Enrollment YR1'!E79</f>
        <v>Quest Academy</v>
      </c>
      <c r="C77" s="590" t="str">
        <f>'1.2 Budgeted Enrollment YR1'!A79</f>
        <v>Clark</v>
      </c>
      <c r="D77" s="610">
        <f>'2.3 Statewide Base Funding YR1'!C83</f>
        <v>8981</v>
      </c>
      <c r="E77" s="1278">
        <f>'1.2 Budgeted Enrollment YR1'!K79</f>
        <v>0</v>
      </c>
      <c r="F77" s="1214">
        <f t="shared" si="5"/>
        <v>0</v>
      </c>
      <c r="G77" s="1286">
        <f>'1.2 Budgeted Enrollment YR1'!G79-E77</f>
        <v>434.86954084714142</v>
      </c>
      <c r="H77" s="1207">
        <f t="shared" si="6"/>
        <v>3905563.3463481772</v>
      </c>
      <c r="I77" s="1542">
        <f>VLOOKUP($C77,'2.5 NCEI Adj. YR1'!$B$7:$I$23,8)</f>
        <v>1</v>
      </c>
      <c r="J77" s="1214">
        <f t="shared" si="7"/>
        <v>0</v>
      </c>
    </row>
    <row r="78" spans="2:12" x14ac:dyDescent="0.3">
      <c r="B78" s="10" t="str">
        <f>'1.2 Budgeted Enrollment YR1'!E80</f>
        <v>Rainbow Dreams Academy</v>
      </c>
      <c r="C78" s="590" t="str">
        <f>'1.2 Budgeted Enrollment YR1'!A80</f>
        <v>Clark</v>
      </c>
      <c r="D78" s="610">
        <f>'2.3 Statewide Base Funding YR1'!C84</f>
        <v>8981</v>
      </c>
      <c r="E78" s="1278">
        <f>'1.2 Budgeted Enrollment YR1'!K80</f>
        <v>0</v>
      </c>
      <c r="F78" s="1214">
        <f t="shared" si="5"/>
        <v>0</v>
      </c>
      <c r="G78" s="1286">
        <f>'1.2 Budgeted Enrollment YR1'!G80-E78</f>
        <v>70.235302237100015</v>
      </c>
      <c r="H78" s="1207">
        <f t="shared" si="6"/>
        <v>630783.24939139525</v>
      </c>
      <c r="I78" s="1542">
        <f>VLOOKUP($C78,'2.5 NCEI Adj. YR1'!$B$7:$I$23,8)</f>
        <v>1</v>
      </c>
      <c r="J78" s="1214">
        <f t="shared" si="7"/>
        <v>0</v>
      </c>
    </row>
    <row r="79" spans="2:12" x14ac:dyDescent="0.3">
      <c r="B79" s="10" t="str">
        <f>'1.2 Budgeted Enrollment YR1'!E81</f>
        <v>Rooted Charter School</v>
      </c>
      <c r="C79" s="590" t="str">
        <f>'1.2 Budgeted Enrollment YR1'!A81</f>
        <v>Clark</v>
      </c>
      <c r="D79" s="610">
        <f>'2.3 Statewide Base Funding YR1'!C85</f>
        <v>8981</v>
      </c>
      <c r="E79" s="1278">
        <f>'1.2 Budgeted Enrollment YR1'!K81</f>
        <v>0</v>
      </c>
      <c r="F79" s="1214">
        <f t="shared" ref="F79" si="8">D79*E79</f>
        <v>0</v>
      </c>
      <c r="G79" s="1286">
        <f>'1.2 Budgeted Enrollment YR1'!G81-E79</f>
        <v>180</v>
      </c>
      <c r="H79" s="1207">
        <f t="shared" ref="H79" si="9">D79*G79</f>
        <v>1616580</v>
      </c>
      <c r="I79" s="1542">
        <f>VLOOKUP($C79,'2.5 NCEI Adj. YR1'!$B$7:$I$23,8)</f>
        <v>1</v>
      </c>
      <c r="J79" s="1214">
        <f t="shared" ref="J79" si="10">SUM(H79)*(I79-1)</f>
        <v>0</v>
      </c>
    </row>
    <row r="80" spans="2:12" x14ac:dyDescent="0.3">
      <c r="B80" s="10" t="str">
        <f>'1.2 Budgeted Enrollment YR1'!E82</f>
        <v>Sage Collegiate Academy</v>
      </c>
      <c r="C80" s="590" t="str">
        <f>'1.2 Budgeted Enrollment YR1'!A82</f>
        <v>Clark</v>
      </c>
      <c r="D80" s="610">
        <f>'2.3 Statewide Base Funding YR1'!C86</f>
        <v>8981</v>
      </c>
      <c r="E80" s="1278">
        <f>'1.2 Budgeted Enrollment YR1'!K82</f>
        <v>0</v>
      </c>
      <c r="F80" s="1214">
        <f t="shared" si="5"/>
        <v>0</v>
      </c>
      <c r="G80" s="1286">
        <f>'1.2 Budgeted Enrollment YR1'!G82-E80</f>
        <v>198.87805865204777</v>
      </c>
      <c r="H80" s="1207">
        <f t="shared" si="6"/>
        <v>1786123.8447540409</v>
      </c>
      <c r="I80" s="1542">
        <f>VLOOKUP($C80,'2.5 NCEI Adj. YR1'!$B$7:$I$23,8)</f>
        <v>1</v>
      </c>
      <c r="J80" s="1214">
        <f t="shared" si="7"/>
        <v>0</v>
      </c>
    </row>
    <row r="81" spans="1:11" x14ac:dyDescent="0.3">
      <c r="B81" s="10" t="str">
        <f>'1.2 Budgeted Enrollment YR1'!E83</f>
        <v>Sierra Nevada Academy Charter</v>
      </c>
      <c r="C81" s="590" t="str">
        <f>'1.2 Budgeted Enrollment YR1'!A83</f>
        <v>Washoe</v>
      </c>
      <c r="D81" s="610">
        <f>'2.3 Statewide Base Funding YR1'!C87</f>
        <v>8981</v>
      </c>
      <c r="E81" s="1278">
        <f>'1.2 Budgeted Enrollment YR1'!K83</f>
        <v>0</v>
      </c>
      <c r="F81" s="1214">
        <f t="shared" si="5"/>
        <v>0</v>
      </c>
      <c r="G81" s="1286">
        <f>'1.2 Budgeted Enrollment YR1'!G83-E81</f>
        <v>323.96493651869849</v>
      </c>
      <c r="H81" s="1207">
        <f t="shared" si="6"/>
        <v>2909529.0948744314</v>
      </c>
      <c r="I81" s="1542">
        <f>VLOOKUP($C81,'2.5 NCEI Adj. YR1'!$B$7:$I$23,8)</f>
        <v>1</v>
      </c>
      <c r="J81" s="1214">
        <f t="shared" si="7"/>
        <v>0</v>
      </c>
    </row>
    <row r="82" spans="1:11" x14ac:dyDescent="0.3">
      <c r="B82" s="10" t="str">
        <f>'1.2 Budgeted Enrollment YR1'!E84</f>
        <v>Signature Preparatory</v>
      </c>
      <c r="C82" s="590" t="str">
        <f>'1.2 Budgeted Enrollment YR1'!A84</f>
        <v>Clark</v>
      </c>
      <c r="D82" s="610">
        <f>'2.3 Statewide Base Funding YR1'!C88</f>
        <v>8981</v>
      </c>
      <c r="E82" s="1278">
        <f>'1.2 Budgeted Enrollment YR1'!K84</f>
        <v>0</v>
      </c>
      <c r="F82" s="1214">
        <f t="shared" si="5"/>
        <v>0</v>
      </c>
      <c r="G82" s="1286">
        <f>'1.2 Budgeted Enrollment YR1'!G84-E82</f>
        <v>973.67545181721823</v>
      </c>
      <c r="H82" s="1207">
        <f t="shared" si="6"/>
        <v>8744579.2327704374</v>
      </c>
      <c r="I82" s="1542">
        <f>VLOOKUP($C82,'2.5 NCEI Adj. YR1'!$B$7:$I$23,8)</f>
        <v>1</v>
      </c>
      <c r="J82" s="1214">
        <f t="shared" si="7"/>
        <v>0</v>
      </c>
    </row>
    <row r="83" spans="1:11" x14ac:dyDescent="0.3">
      <c r="B83" s="10" t="str">
        <f>'1.2 Budgeted Enrollment YR1'!E85</f>
        <v>Silver Sands Montessori</v>
      </c>
      <c r="C83" s="590" t="str">
        <f>'1.2 Budgeted Enrollment YR1'!A85</f>
        <v>Clark</v>
      </c>
      <c r="D83" s="610">
        <f>'2.3 Statewide Base Funding YR1'!C89</f>
        <v>8981</v>
      </c>
      <c r="E83" s="1278">
        <f>'1.2 Budgeted Enrollment YR1'!K85</f>
        <v>0</v>
      </c>
      <c r="F83" s="1214">
        <f t="shared" si="5"/>
        <v>0</v>
      </c>
      <c r="G83" s="1286">
        <f>'1.2 Budgeted Enrollment YR1'!G85-E83</f>
        <v>240.14749458700001</v>
      </c>
      <c r="H83" s="1207">
        <f t="shared" si="6"/>
        <v>2156764.6488858471</v>
      </c>
      <c r="I83" s="1542">
        <f>VLOOKUP($C83,'2.5 NCEI Adj. YR1'!$B$7:$I$23,8)</f>
        <v>1</v>
      </c>
      <c r="J83" s="1214">
        <f t="shared" si="7"/>
        <v>0</v>
      </c>
    </row>
    <row r="84" spans="1:11" x14ac:dyDescent="0.3">
      <c r="B84" s="10" t="str">
        <f>'1.2 Budgeted Enrollment YR1'!E86</f>
        <v>Somerset Academy</v>
      </c>
      <c r="C84" s="590" t="str">
        <f>'1.2 Budgeted Enrollment YR1'!A86</f>
        <v>Clark</v>
      </c>
      <c r="D84" s="610">
        <f>'2.3 Statewide Base Funding YR1'!C90</f>
        <v>8981</v>
      </c>
      <c r="E84" s="1278">
        <f>'1.2 Budgeted Enrollment YR1'!K86</f>
        <v>0</v>
      </c>
      <c r="F84" s="1214">
        <f t="shared" si="5"/>
        <v>0</v>
      </c>
      <c r="G84" s="1286">
        <f>'1.2 Budgeted Enrollment YR1'!G86-E84</f>
        <v>9466.1700510654773</v>
      </c>
      <c r="H84" s="1207">
        <f t="shared" si="6"/>
        <v>85015673.228619054</v>
      </c>
      <c r="I84" s="1542">
        <f>VLOOKUP($C84,'2.5 NCEI Adj. YR1'!$B$7:$I$23,8)</f>
        <v>1</v>
      </c>
      <c r="J84" s="1214">
        <f t="shared" si="7"/>
        <v>0</v>
      </c>
    </row>
    <row r="85" spans="1:11" x14ac:dyDescent="0.3">
      <c r="B85" s="10" t="str">
        <f>'1.2 Budgeted Enrollment YR1'!E87</f>
        <v>Southern Nevada Trade High School</v>
      </c>
      <c r="C85" s="590" t="str">
        <f>'1.2 Budgeted Enrollment YR1'!A87</f>
        <v>Clark</v>
      </c>
      <c r="D85" s="610">
        <f>'2.3 Statewide Base Funding YR1'!C91</f>
        <v>8981</v>
      </c>
      <c r="E85" s="1278">
        <f>'1.2 Budgeted Enrollment YR1'!K87</f>
        <v>0</v>
      </c>
      <c r="F85" s="1214">
        <f t="shared" ref="F85" si="11">D85*E85</f>
        <v>0</v>
      </c>
      <c r="G85" s="1286">
        <f>'1.2 Budgeted Enrollment YR1'!G87-E85</f>
        <v>200</v>
      </c>
      <c r="H85" s="1207">
        <f t="shared" ref="H85" si="12">D85*G85</f>
        <v>1796200</v>
      </c>
      <c r="I85" s="1542">
        <f>VLOOKUP($C85,'2.5 NCEI Adj. YR1'!$B$7:$I$23,8)</f>
        <v>1</v>
      </c>
      <c r="J85" s="1214">
        <f t="shared" ref="J85" si="13">SUM(H85)*(I85-1)</f>
        <v>0</v>
      </c>
    </row>
    <row r="86" spans="1:11" x14ac:dyDescent="0.3">
      <c r="B86" s="10" t="str">
        <f>'1.2 Budgeted Enrollment YR1'!E88</f>
        <v>Sports Leadership and Management Academy</v>
      </c>
      <c r="C86" s="590" t="str">
        <f>'1.2 Budgeted Enrollment YR1'!A88</f>
        <v>Clark</v>
      </c>
      <c r="D86" s="610">
        <f>'2.3 Statewide Base Funding YR1'!C92</f>
        <v>8981</v>
      </c>
      <c r="E86" s="1278">
        <f>'1.2 Budgeted Enrollment YR1'!K88</f>
        <v>0</v>
      </c>
      <c r="F86" s="1214">
        <f t="shared" si="5"/>
        <v>0</v>
      </c>
      <c r="G86" s="1286">
        <f>'1.2 Budgeted Enrollment YR1'!G88-E86</f>
        <v>1786.2260441729454</v>
      </c>
      <c r="H86" s="1207">
        <f t="shared" si="6"/>
        <v>16042096.102717223</v>
      </c>
      <c r="I86" s="1542">
        <f>VLOOKUP($C86,'2.5 NCEI Adj. YR1'!$B$7:$I$23,8)</f>
        <v>1</v>
      </c>
      <c r="J86" s="1214">
        <f t="shared" si="7"/>
        <v>0</v>
      </c>
    </row>
    <row r="87" spans="1:11" x14ac:dyDescent="0.3">
      <c r="B87" s="10" t="str">
        <f>'1.2 Budgeted Enrollment YR1'!E89</f>
        <v>Strong Start Academy</v>
      </c>
      <c r="C87" s="590" t="str">
        <f>'1.2 Budgeted Enrollment YR1'!A89</f>
        <v>Clark</v>
      </c>
      <c r="D87" s="610">
        <f>'2.3 Statewide Base Funding YR1'!C93</f>
        <v>8981</v>
      </c>
      <c r="E87" s="1278">
        <f>'1.2 Budgeted Enrollment YR1'!K89</f>
        <v>0</v>
      </c>
      <c r="F87" s="1214">
        <f t="shared" si="5"/>
        <v>0</v>
      </c>
      <c r="G87" s="1286">
        <f>'1.2 Budgeted Enrollment YR1'!G89-E87</f>
        <v>80.630345170274907</v>
      </c>
      <c r="H87" s="1207">
        <f t="shared" si="6"/>
        <v>724141.12997423892</v>
      </c>
      <c r="I87" s="1542">
        <f>VLOOKUP($C87,'2.5 NCEI Adj. YR1'!$B$7:$I$23,8)</f>
        <v>1</v>
      </c>
      <c r="J87" s="1214">
        <f t="shared" si="7"/>
        <v>0</v>
      </c>
    </row>
    <row r="88" spans="1:11" x14ac:dyDescent="0.3">
      <c r="B88" s="10" t="str">
        <f>'1.2 Budgeted Enrollment YR1'!E90</f>
        <v>TEACH Las Vegas</v>
      </c>
      <c r="C88" s="590" t="str">
        <f>'1.2 Budgeted Enrollment YR1'!A90</f>
        <v>Clark</v>
      </c>
      <c r="D88" s="610">
        <f>'2.3 Statewide Base Funding YR1'!C94</f>
        <v>8981</v>
      </c>
      <c r="E88" s="1278">
        <f>'1.2 Budgeted Enrollment YR1'!K90</f>
        <v>0</v>
      </c>
      <c r="F88" s="1214">
        <f t="shared" si="5"/>
        <v>0</v>
      </c>
      <c r="G88" s="1286">
        <f>'1.2 Budgeted Enrollment YR1'!G90-E88</f>
        <v>320.98389146971647</v>
      </c>
      <c r="H88" s="1207">
        <f t="shared" si="6"/>
        <v>2882756.3292895234</v>
      </c>
      <c r="I88" s="1542">
        <f>VLOOKUP($C88,'2.5 NCEI Adj. YR1'!$B$7:$I$23,8)</f>
        <v>1</v>
      </c>
      <c r="J88" s="1214">
        <f t="shared" si="7"/>
        <v>0</v>
      </c>
    </row>
    <row r="89" spans="1:11" x14ac:dyDescent="0.3">
      <c r="A89" s="181"/>
      <c r="B89" s="183" t="str">
        <f>'1.2 Budgeted Enrollment YR1'!E91</f>
        <v>Young Women's Leadership Academy</v>
      </c>
      <c r="C89" s="611" t="str">
        <f>'1.2 Budgeted Enrollment YR1'!A91</f>
        <v>Clark</v>
      </c>
      <c r="D89" s="612">
        <f>'2.3 Statewide Base Funding YR1'!C95</f>
        <v>8981</v>
      </c>
      <c r="E89" s="1279">
        <f>'1.2 Budgeted Enrollment YR1'!K91</f>
        <v>0</v>
      </c>
      <c r="F89" s="1280">
        <f t="shared" si="5"/>
        <v>0</v>
      </c>
      <c r="G89" s="1287">
        <f>'1.2 Budgeted Enrollment YR1'!G91-E89</f>
        <v>56.356771471000002</v>
      </c>
      <c r="H89" s="1209">
        <f t="shared" si="6"/>
        <v>506140.16458105104</v>
      </c>
      <c r="I89" s="1543">
        <f>VLOOKUP($C89,'2.5 NCEI Adj. YR1'!$B$7:$I$23,8)</f>
        <v>1</v>
      </c>
      <c r="J89" s="1280">
        <f t="shared" si="7"/>
        <v>0</v>
      </c>
    </row>
    <row r="90" spans="1:11" s="4" customFormat="1" x14ac:dyDescent="0.3">
      <c r="B90" s="4" t="str">
        <f>'2.3 Statewide Base Funding YR1'!B96</f>
        <v>Charter Total</v>
      </c>
      <c r="D90" s="613"/>
      <c r="E90" s="1281">
        <f>SUM(E30:E89)</f>
        <v>3491.9764743744136</v>
      </c>
      <c r="F90" s="1282">
        <f>SUM(F30:F89)</f>
        <v>31361440.716356605</v>
      </c>
      <c r="G90" s="1288">
        <f>SUM(G30:G89)</f>
        <v>65511.519447057181</v>
      </c>
      <c r="H90" s="1289">
        <f>SUM(H30:H89)</f>
        <v>588358956.15402067</v>
      </c>
      <c r="I90" s="1544"/>
      <c r="J90" s="1545">
        <f>SUM(J30:J89)</f>
        <v>0</v>
      </c>
      <c r="K90" s="102"/>
    </row>
    <row r="91" spans="1:11" x14ac:dyDescent="0.3">
      <c r="D91" s="136"/>
      <c r="E91" s="1283">
        <f>E90-'1.2 Budgeted Enrollment YR1'!K92</f>
        <v>0</v>
      </c>
      <c r="F91" s="793"/>
      <c r="G91" s="1206"/>
      <c r="H91" s="147"/>
      <c r="I91" s="132"/>
      <c r="J91" s="143"/>
    </row>
    <row r="92" spans="1:11" x14ac:dyDescent="0.3">
      <c r="A92" s="4" t="s">
        <v>1256</v>
      </c>
      <c r="C92" s="5" t="str">
        <f>C6</f>
        <v>Tab 1.2</v>
      </c>
      <c r="D92" s="5" t="str">
        <f t="shared" ref="D92:J92" si="14">D6</f>
        <v>Tab 2.3</v>
      </c>
      <c r="E92" s="420" t="str">
        <f t="shared" si="14"/>
        <v>N/A</v>
      </c>
      <c r="F92" s="421" t="str">
        <f t="shared" si="14"/>
        <v>=(D * E)</v>
      </c>
      <c r="G92" s="420" t="str">
        <f t="shared" si="14"/>
        <v>=Tab 1.2 - E</v>
      </c>
      <c r="H92" s="1290" t="str">
        <f t="shared" si="14"/>
        <v>Tab 2.2</v>
      </c>
      <c r="I92" s="420" t="str">
        <f t="shared" si="14"/>
        <v>Tab 1.1</v>
      </c>
      <c r="J92" s="421" t="str">
        <f t="shared" si="14"/>
        <v>=(E * (G - 1))</v>
      </c>
    </row>
    <row r="93" spans="1:11" x14ac:dyDescent="0.3">
      <c r="A93" s="443"/>
      <c r="B93" s="307" t="str">
        <f>'1.2 Budgeted Enrollment YR1'!E96</f>
        <v>Davidson Academy</v>
      </c>
      <c r="C93" s="307" t="str">
        <f>'1.2 Budgeted Enrollment YR1'!A96</f>
        <v>Washoe</v>
      </c>
      <c r="D93" s="307">
        <f>'2.3 Statewide Base Funding YR1'!C99</f>
        <v>8981</v>
      </c>
      <c r="E93" s="1284">
        <f>VLOOKUP(B93,'1.2 Budgeted Enrollment YR1'!$E$96:$K$96,7,FALSE)</f>
        <v>0</v>
      </c>
      <c r="F93" s="974">
        <f>D93*E93</f>
        <v>0</v>
      </c>
      <c r="G93" s="1291">
        <f>'1.2 Budgeted Enrollment YR1'!G96-E93</f>
        <v>162.04408445225002</v>
      </c>
      <c r="H93" s="1292">
        <f>'2.3 Statewide Base Funding YR1'!E99</f>
        <v>1455317.9224656573</v>
      </c>
      <c r="I93" s="1546">
        <f>IF($E93&gt;0,1,VLOOKUP($C93,'2.5 NCEI Adj. YR1'!$B$7:$I$25,8,FALSE))</f>
        <v>1</v>
      </c>
      <c r="J93" s="1201">
        <f>SUM(H93)*(I93-1)</f>
        <v>0</v>
      </c>
    </row>
    <row r="94" spans="1:11" x14ac:dyDescent="0.3">
      <c r="A94" s="304"/>
      <c r="B94" s="183"/>
      <c r="C94" s="183"/>
      <c r="D94" s="183"/>
      <c r="E94" s="195"/>
      <c r="F94" s="542"/>
      <c r="G94" s="1208"/>
      <c r="H94" s="542"/>
      <c r="I94" s="1547"/>
      <c r="J94" s="569"/>
    </row>
    <row r="95" spans="1:11" s="4" customFormat="1" x14ac:dyDescent="0.3">
      <c r="D95" s="1198">
        <f>SUM(D93:D94)</f>
        <v>8981</v>
      </c>
      <c r="E95" s="1211">
        <f>SUM(E93:E94)</f>
        <v>0</v>
      </c>
      <c r="F95" s="1285">
        <f>SUM(F93:F94)</f>
        <v>0</v>
      </c>
      <c r="G95" s="1211">
        <f>SUM(G93:G94)</f>
        <v>162.04408445225002</v>
      </c>
      <c r="H95" s="1285">
        <f>SUM(H93:H94)</f>
        <v>1455317.9224656573</v>
      </c>
      <c r="I95" s="1198"/>
      <c r="J95" s="1198">
        <f>SUM(J93:J94)</f>
        <v>0</v>
      </c>
      <c r="K95" s="102"/>
    </row>
    <row r="96" spans="1:11" x14ac:dyDescent="0.3">
      <c r="H96" s="12"/>
    </row>
    <row r="97" spans="8:8" x14ac:dyDescent="0.3">
      <c r="H97" s="12"/>
    </row>
  </sheetData>
  <sheetProtection algorithmName="SHA-512" hashValue="lMkvxfZQuCTJ9E3ZWfPnkv/C9GfK3PQi3hG1qu2sWjfow3zpOcx3XpYSP3ZsX2ZGpxprEsSn5ETjUXEboHROtA==" saltValue="/RCVyS5UkLVv5wAQG/rhHw==" spinCount="100000" sheet="1" objects="1" scenarios="1"/>
  <customSheetViews>
    <customSheetView guid="{92EB2B16-3546-4CC6-AF3A-0019867B62A7}" scale="70" fitToPage="1" hiddenColumns="1">
      <selection activeCell="O32" sqref="O32"/>
      <rowBreaks count="1" manualBreakCount="1">
        <brk id="29" max="16383" man="1"/>
      </rowBreaks>
      <pageMargins left="0.7" right="0.7" top="0.75" bottom="0.75" header="0.3" footer="0.3"/>
      <pageSetup paperSize="3" scale="82" fitToHeight="0"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70" showPageBreaks="1" fitToPage="1" printArea="1" hiddenColumns="1">
      <selection activeCell="A26" sqref="A26"/>
      <rowBreaks count="1" manualBreakCount="1">
        <brk id="29" max="16383" man="1"/>
      </rowBreaks>
      <pageMargins left="0.7" right="0.7" top="0.75" bottom="0.75" header="0.3" footer="0.3"/>
      <pageSetup paperSize="3" scale="82" fitToHeight="0"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70" showPageBreaks="1" fitToPage="1" printArea="1" hiddenColumns="1">
      <selection activeCell="A26" sqref="A26"/>
      <rowBreaks count="1" manualBreakCount="1">
        <brk id="29" max="16383" man="1"/>
      </rowBreaks>
      <pageMargins left="0.7" right="0.7" top="0.75" bottom="0.75" header="0.3" footer="0.3"/>
      <pageSetup paperSize="3" scale="82" fitToHeight="0" orientation="landscape" r:id="rId3"/>
      <headerFooter>
        <oddHeader>&amp;R&amp;"Arial Narrow,Regular"&amp;10&amp;A
&amp;P</oddHeader>
        <oddFooter>&amp;L&amp;"Arial Narrow,Regular"&amp;10This is a draft document. It is intended for discussion purposes only.&amp;R&amp;G</oddFooter>
      </headerFooter>
    </customSheetView>
  </customSheetViews>
  <phoneticPr fontId="79" type="noConversion"/>
  <pageMargins left="0.7" right="0.7" top="0.75" bottom="0.75" header="0.3" footer="0.3"/>
  <pageSetup paperSize="3" scale="72" fitToHeight="0" orientation="landscape" r:id="rId4"/>
  <headerFooter>
    <oddHeader>&amp;R&amp;"Arial Narrow,Regular"&amp;10&amp;A
&amp;P</oddHeader>
  </headerFooter>
  <rowBreaks count="1" manualBreakCount="1">
    <brk id="2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DB7F9-9EBF-42E0-9139-AD3B12F86AA6}">
  <sheetPr codeName="Sheet300">
    <tabColor theme="6"/>
    <pageSetUpPr autoPageBreaks="0" fitToPage="1"/>
  </sheetPr>
  <dimension ref="A1:K102"/>
  <sheetViews>
    <sheetView zoomScale="85" zoomScaleNormal="85" workbookViewId="0"/>
  </sheetViews>
  <sheetFormatPr defaultColWidth="8.85546875" defaultRowHeight="16.5" x14ac:dyDescent="0.3"/>
  <cols>
    <col min="1" max="1" width="7" style="10" customWidth="1"/>
    <col min="2" max="2" width="38.42578125" style="10" bestFit="1" customWidth="1"/>
    <col min="3" max="5" width="14.5703125" style="10" bestFit="1" customWidth="1"/>
    <col min="6" max="6" width="13.140625" style="10" customWidth="1"/>
    <col min="7" max="7" width="14.5703125" style="10" bestFit="1" customWidth="1"/>
    <col min="8" max="8" width="16.28515625" style="10" bestFit="1" customWidth="1"/>
    <col min="9" max="9" width="3.7109375" style="10" customWidth="1"/>
    <col min="10" max="16384" width="8.85546875" style="10"/>
  </cols>
  <sheetData>
    <row r="1" spans="1:10" s="4" customFormat="1" x14ac:dyDescent="0.3">
      <c r="A1" s="4" t="s">
        <v>602</v>
      </c>
    </row>
    <row r="2" spans="1:10" x14ac:dyDescent="0.3">
      <c r="A2" s="10" t="str">
        <f>CONCATENATE("Pupil Center Funding Plan | FY",'1.1 Assumption Control YR1'!D5)</f>
        <v>Pupil Center Funding Plan | FY2024</v>
      </c>
    </row>
    <row r="3" spans="1:10" x14ac:dyDescent="0.3">
      <c r="A3" s="10" t="s">
        <v>1154</v>
      </c>
    </row>
    <row r="5" spans="1:10" ht="17.25" thickBot="1" x14ac:dyDescent="0.35">
      <c r="B5" s="17" t="s">
        <v>597</v>
      </c>
      <c r="C5" s="17" t="s">
        <v>92</v>
      </c>
      <c r="D5" s="17" t="s">
        <v>93</v>
      </c>
      <c r="E5" s="18" t="s">
        <v>94</v>
      </c>
    </row>
    <row r="6" spans="1:10" ht="18" thickTop="1" thickBot="1" x14ac:dyDescent="0.35">
      <c r="C6" s="50">
        <f>'2.3 Statewide Base Funding YR1'!E6</f>
        <v>563727313.16669989</v>
      </c>
      <c r="D6" s="51">
        <f>E34+F34</f>
        <v>143764167.61034274</v>
      </c>
      <c r="E6" s="52">
        <f>C6-D6</f>
        <v>419963145.55635715</v>
      </c>
    </row>
    <row r="7" spans="1:10" ht="17.25" thickTop="1" x14ac:dyDescent="0.3">
      <c r="B7" s="17"/>
      <c r="C7" s="92"/>
    </row>
    <row r="8" spans="1:10" ht="15.6" customHeight="1" x14ac:dyDescent="0.3">
      <c r="B8" s="17"/>
      <c r="C8" s="170"/>
      <c r="D8" s="1587" t="s">
        <v>599</v>
      </c>
      <c r="E8" s="1588"/>
      <c r="F8" s="1588"/>
      <c r="G8" s="1588"/>
      <c r="H8" s="1589"/>
      <c r="J8" s="4"/>
    </row>
    <row r="9" spans="1:10" x14ac:dyDescent="0.3">
      <c r="B9" s="17"/>
      <c r="C9" s="170"/>
      <c r="D9" s="1590" t="s">
        <v>1052</v>
      </c>
      <c r="E9" s="1591"/>
      <c r="F9" s="1591"/>
      <c r="G9" s="1591"/>
      <c r="H9" s="1592"/>
      <c r="J9" s="4"/>
    </row>
    <row r="10" spans="1:10" x14ac:dyDescent="0.3">
      <c r="C10" s="18" t="s">
        <v>744</v>
      </c>
      <c r="D10" s="123" t="s">
        <v>741</v>
      </c>
      <c r="E10" s="150" t="s">
        <v>851</v>
      </c>
      <c r="F10" s="124" t="s">
        <v>850</v>
      </c>
      <c r="G10" s="17" t="s">
        <v>981</v>
      </c>
      <c r="H10" s="124" t="s">
        <v>982</v>
      </c>
    </row>
    <row r="11" spans="1:10" x14ac:dyDescent="0.3">
      <c r="C11" s="24" t="s">
        <v>21</v>
      </c>
      <c r="D11" s="123" t="s">
        <v>929</v>
      </c>
      <c r="E11" s="150" t="s">
        <v>928</v>
      </c>
      <c r="F11" s="124" t="s">
        <v>1010</v>
      </c>
      <c r="G11" s="17" t="s">
        <v>955</v>
      </c>
      <c r="H11" s="124" t="s">
        <v>710</v>
      </c>
    </row>
    <row r="12" spans="1:10" x14ac:dyDescent="0.3">
      <c r="A12" s="4"/>
      <c r="B12" s="13"/>
      <c r="C12" s="481"/>
      <c r="D12" s="482" t="s">
        <v>88</v>
      </c>
      <c r="E12" s="483" t="s">
        <v>88</v>
      </c>
      <c r="F12" s="484" t="s">
        <v>88</v>
      </c>
      <c r="G12" s="17" t="s">
        <v>88</v>
      </c>
      <c r="H12" s="124" t="s">
        <v>954</v>
      </c>
    </row>
    <row r="13" spans="1:10" s="40" customFormat="1" x14ac:dyDescent="0.3">
      <c r="A13" s="485"/>
      <c r="B13" s="486" t="s">
        <v>879</v>
      </c>
      <c r="C13" s="487" t="s">
        <v>856</v>
      </c>
      <c r="D13" s="488" t="s">
        <v>857</v>
      </c>
      <c r="E13" s="489" t="s">
        <v>868</v>
      </c>
      <c r="F13" s="490" t="s">
        <v>852</v>
      </c>
      <c r="G13" s="491" t="s">
        <v>916</v>
      </c>
      <c r="H13" s="492" t="s">
        <v>880</v>
      </c>
    </row>
    <row r="14" spans="1:10" x14ac:dyDescent="0.3">
      <c r="A14" s="427" t="s">
        <v>87</v>
      </c>
      <c r="B14" s="341"/>
      <c r="C14" s="493"/>
      <c r="D14" s="494"/>
      <c r="E14" s="495"/>
      <c r="F14" s="496"/>
      <c r="G14" s="341"/>
      <c r="H14" s="497"/>
    </row>
    <row r="15" spans="1:10" x14ac:dyDescent="0.3">
      <c r="B15" s="10" t="str">
        <f>'1.2 Budgeted Enrollment YR1'!E9</f>
        <v>Carson City</v>
      </c>
      <c r="C15" s="536">
        <f>'1.2 Budgeted Enrollment YR1'!G9</f>
        <v>7200.2984639728293</v>
      </c>
      <c r="D15" s="667">
        <f>'2.3 Statewide Base Funding YR1'!E14</f>
        <v>64665880.504939981</v>
      </c>
      <c r="E15" s="667">
        <f>'2.4 District Size Adj. YR1'!$F$16</f>
        <v>4805158.7623053119</v>
      </c>
      <c r="F15" s="12">
        <f>'2.5 NCEI Adj. YR1'!J7</f>
        <v>0</v>
      </c>
      <c r="G15" s="738">
        <f>D15+E15+F15</f>
        <v>69471039.267245293</v>
      </c>
      <c r="H15" s="603">
        <f>IF(C15=0,0,G15/C15)</f>
        <v>9648.3554973239297</v>
      </c>
    </row>
    <row r="16" spans="1:10" x14ac:dyDescent="0.3">
      <c r="B16" s="10" t="str">
        <f>'1.2 Budgeted Enrollment YR1'!E10</f>
        <v>Churchill</v>
      </c>
      <c r="C16" s="536">
        <f>'1.2 Budgeted Enrollment YR1'!G10</f>
        <v>3191.1266236748447</v>
      </c>
      <c r="D16" s="148">
        <f>'2.3 Statewide Base Funding YR1'!E15</f>
        <v>28659508.20722378</v>
      </c>
      <c r="E16" s="148">
        <f>'2.4 District Size Adj. YR1'!$F$18</f>
        <v>3807578.013843372</v>
      </c>
      <c r="F16" s="12">
        <f>'2.5 NCEI Adj. YR1'!J8</f>
        <v>0</v>
      </c>
      <c r="G16" s="581">
        <f>D16+E16+F16</f>
        <v>32467086.221067153</v>
      </c>
      <c r="H16" s="595">
        <f>IF(C16=0,0,G16/C16)</f>
        <v>10174.176724983301</v>
      </c>
    </row>
    <row r="17" spans="2:8" x14ac:dyDescent="0.3">
      <c r="B17" s="10" t="str">
        <f>'1.2 Budgeted Enrollment YR1'!E11</f>
        <v>Clark</v>
      </c>
      <c r="C17" s="536">
        <f>'1.2 Budgeted Enrollment YR1'!G11</f>
        <v>293209.81057058816</v>
      </c>
      <c r="D17" s="148">
        <f>'2.3 Statewide Base Funding YR1'!E16</f>
        <v>2633317308.7344522</v>
      </c>
      <c r="E17" s="148">
        <f>'2.4 District Size Adj. YR1'!$F$31</f>
        <v>23289162.715113264</v>
      </c>
      <c r="F17" s="12">
        <f>'2.5 NCEI Adj. YR1'!J9</f>
        <v>0</v>
      </c>
      <c r="G17" s="581">
        <f t="shared" ref="G17:G33" si="0">D17+E17+F17</f>
        <v>2656606471.4495654</v>
      </c>
      <c r="H17" s="595">
        <f t="shared" ref="H17:H33" si="1">IF(C17=0,0,G17/C17)</f>
        <v>9060.4283201840772</v>
      </c>
    </row>
    <row r="18" spans="2:8" x14ac:dyDescent="0.3">
      <c r="B18" s="10" t="str">
        <f>'1.2 Budgeted Enrollment YR1'!E12</f>
        <v>Douglas</v>
      </c>
      <c r="C18" s="536">
        <f>'1.2 Budgeted Enrollment YR1'!G12</f>
        <v>5165.4763710930883</v>
      </c>
      <c r="D18" s="148">
        <f>'2.3 Statewide Base Funding YR1'!E17</f>
        <v>46391143.28878703</v>
      </c>
      <c r="E18" s="148">
        <f>'2.4 District Size Adj. YR1'!$F$36</f>
        <v>5837020.9535426283</v>
      </c>
      <c r="F18" s="12">
        <f>'2.5 NCEI Adj. YR1'!J10</f>
        <v>0</v>
      </c>
      <c r="G18" s="581">
        <f t="shared" si="0"/>
        <v>52228164.242329657</v>
      </c>
      <c r="H18" s="595">
        <f t="shared" si="1"/>
        <v>10111.006321625557</v>
      </c>
    </row>
    <row r="19" spans="2:8" x14ac:dyDescent="0.3">
      <c r="B19" s="10" t="str">
        <f>'1.2 Budgeted Enrollment YR1'!E13</f>
        <v>Elko</v>
      </c>
      <c r="C19" s="536">
        <f>'1.2 Budgeted Enrollment YR1'!G13</f>
        <v>9808.5957553950393</v>
      </c>
      <c r="D19" s="148">
        <f>'2.3 Statewide Base Funding YR1'!E18</f>
        <v>88090998.479202852</v>
      </c>
      <c r="E19" s="148">
        <f>'2.4 District Size Adj. YR1'!$F$49</f>
        <v>20156955.699581809</v>
      </c>
      <c r="F19" s="12">
        <f>'2.5 NCEI Adj. YR1'!J11</f>
        <v>0</v>
      </c>
      <c r="G19" s="581">
        <f t="shared" si="0"/>
        <v>108247954.17878467</v>
      </c>
      <c r="H19" s="595">
        <f t="shared" si="1"/>
        <v>11036.029710903811</v>
      </c>
    </row>
    <row r="20" spans="2:8" x14ac:dyDescent="0.3">
      <c r="B20" s="10" t="str">
        <f>'1.2 Budgeted Enrollment YR1'!E14</f>
        <v>Esmeralda</v>
      </c>
      <c r="C20" s="536">
        <f>'1.2 Budgeted Enrollment YR1'!G14</f>
        <v>77.315222103844732</v>
      </c>
      <c r="D20" s="148">
        <f>'2.3 Statewide Base Funding YR1'!E19</f>
        <v>694368.0097146295</v>
      </c>
      <c r="E20" s="148">
        <f>'2.4 District Size Adj. YR1'!$F$54</f>
        <v>1152781.5396788134</v>
      </c>
      <c r="F20" s="12">
        <f>'2.5 NCEI Adj. YR1'!J12</f>
        <v>0</v>
      </c>
      <c r="G20" s="581">
        <f t="shared" si="0"/>
        <v>1847149.5493934429</v>
      </c>
      <c r="H20" s="595">
        <f t="shared" si="1"/>
        <v>23891.149752017434</v>
      </c>
    </row>
    <row r="21" spans="2:8" x14ac:dyDescent="0.3">
      <c r="B21" s="10" t="str">
        <f>'1.2 Budgeted Enrollment YR1'!E15</f>
        <v>Eureka</v>
      </c>
      <c r="C21" s="536">
        <f>'1.2 Budgeted Enrollment YR1'!G15</f>
        <v>323.70253352744805</v>
      </c>
      <c r="D21" s="148">
        <f>'2.3 Statewide Base Funding YR1'!E20</f>
        <v>2907172.4536100109</v>
      </c>
      <c r="E21" s="148">
        <f>'2.4 District Size Adj. YR1'!$F$58</f>
        <v>2536742.5099565885</v>
      </c>
      <c r="F21" s="12">
        <f>'2.5 NCEI Adj. YR1'!J13</f>
        <v>0</v>
      </c>
      <c r="G21" s="581">
        <f t="shared" si="0"/>
        <v>5443914.9635665994</v>
      </c>
      <c r="H21" s="595">
        <f t="shared" si="1"/>
        <v>16817.647067025468</v>
      </c>
    </row>
    <row r="22" spans="2:8" x14ac:dyDescent="0.3">
      <c r="B22" s="10" t="str">
        <f>'1.2 Budgeted Enrollment YR1'!E16</f>
        <v>Humboldt</v>
      </c>
      <c r="C22" s="536">
        <f>'1.2 Budgeted Enrollment YR1'!G16</f>
        <v>3182.6225722447102</v>
      </c>
      <c r="D22" s="148">
        <f>'2.3 Statewide Base Funding YR1'!E21</f>
        <v>28583133.321329743</v>
      </c>
      <c r="E22" s="148">
        <f>'2.4 District Size Adj. YR1'!$F$66</f>
        <v>6417602.3858199269</v>
      </c>
      <c r="F22" s="12">
        <f>'2.5 NCEI Adj. YR1'!J14</f>
        <v>0</v>
      </c>
      <c r="G22" s="581">
        <f t="shared" si="0"/>
        <v>35000735.70714967</v>
      </c>
      <c r="H22" s="595">
        <f t="shared" si="1"/>
        <v>10997.450974044836</v>
      </c>
    </row>
    <row r="23" spans="2:8" x14ac:dyDescent="0.3">
      <c r="B23" s="10" t="str">
        <f>'1.2 Budgeted Enrollment YR1'!E17</f>
        <v>Lander</v>
      </c>
      <c r="C23" s="536">
        <f>'1.2 Budgeted Enrollment YR1'!G17</f>
        <v>1002.8726085550823</v>
      </c>
      <c r="D23" s="148">
        <f>'2.3 Statewide Base Funding YR1'!E22</f>
        <v>9006798.8974331934</v>
      </c>
      <c r="E23" s="148">
        <f>'2.4 District Size Adj. YR1'!$F$70</f>
        <v>4385442.5603672508</v>
      </c>
      <c r="F23" s="12">
        <f>'2.5 NCEI Adj. YR1'!J15</f>
        <v>0</v>
      </c>
      <c r="G23" s="581">
        <f t="shared" si="0"/>
        <v>13392241.457800444</v>
      </c>
      <c r="H23" s="595">
        <f t="shared" si="1"/>
        <v>13353.88098503927</v>
      </c>
    </row>
    <row r="24" spans="2:8" x14ac:dyDescent="0.3">
      <c r="B24" s="10" t="str">
        <f>'1.2 Budgeted Enrollment YR1'!E18</f>
        <v>Lincoln</v>
      </c>
      <c r="C24" s="536">
        <f>'1.2 Budgeted Enrollment YR1'!G18</f>
        <v>883.01945001270019</v>
      </c>
      <c r="D24" s="148">
        <f>'2.3 Statewide Base Funding YR1'!E23</f>
        <v>7930397.6805640608</v>
      </c>
      <c r="E24" s="148">
        <f>'2.4 District Size Adj. YR1'!$F$76</f>
        <v>6503586.868392786</v>
      </c>
      <c r="F24" s="12">
        <f>'2.5 NCEI Adj. YR1'!J16</f>
        <v>0</v>
      </c>
      <c r="G24" s="581">
        <f t="shared" si="0"/>
        <v>14433984.548956847</v>
      </c>
      <c r="H24" s="595">
        <f t="shared" si="1"/>
        <v>16346.168307786706</v>
      </c>
    </row>
    <row r="25" spans="2:8" x14ac:dyDescent="0.3">
      <c r="B25" s="10" t="str">
        <f>'1.2 Budgeted Enrollment YR1'!E19</f>
        <v>Lyon</v>
      </c>
      <c r="C25" s="536">
        <f>'1.2 Budgeted Enrollment YR1'!G19</f>
        <v>9036.0334518079708</v>
      </c>
      <c r="D25" s="148">
        <f>'2.3 Statewide Base Funding YR1'!E24</f>
        <v>81152616.430687383</v>
      </c>
      <c r="E25" s="148">
        <f>'2.4 District Size Adj. YR1'!$F$83</f>
        <v>17892426.745901801</v>
      </c>
      <c r="F25" s="12">
        <f>'2.5 NCEI Adj. YR1'!J17</f>
        <v>0</v>
      </c>
      <c r="G25" s="581">
        <f t="shared" si="0"/>
        <v>99045043.176589191</v>
      </c>
      <c r="H25" s="595">
        <f t="shared" si="1"/>
        <v>10961.119578056874</v>
      </c>
    </row>
    <row r="26" spans="2:8" x14ac:dyDescent="0.3">
      <c r="B26" s="10" t="str">
        <f>'1.2 Budgeted Enrollment YR1'!E20</f>
        <v>Mineral</v>
      </c>
      <c r="C26" s="536">
        <f>'1.2 Budgeted Enrollment YR1'!G20</f>
        <v>567.43327210269706</v>
      </c>
      <c r="D26" s="148">
        <f>'2.3 Statewide Base Funding YR1'!E25</f>
        <v>5096118.2167543219</v>
      </c>
      <c r="E26" s="148">
        <f>'2.4 District Size Adj. YR1'!$F$87</f>
        <v>3681345.2730501806</v>
      </c>
      <c r="F26" s="12">
        <f>'2.5 NCEI Adj. YR1'!J18</f>
        <v>0</v>
      </c>
      <c r="G26" s="581">
        <f t="shared" si="0"/>
        <v>8777463.4898045026</v>
      </c>
      <c r="H26" s="595">
        <f t="shared" si="1"/>
        <v>15468.714862768764</v>
      </c>
    </row>
    <row r="27" spans="2:8" x14ac:dyDescent="0.3">
      <c r="B27" s="10" t="str">
        <f>'1.2 Budgeted Enrollment YR1'!E21</f>
        <v>Nye</v>
      </c>
      <c r="C27" s="536">
        <f>'1.2 Budgeted Enrollment YR1'!G21</f>
        <v>5588.923509690796</v>
      </c>
      <c r="D27" s="148">
        <f>'2.3 Statewide Base Funding YR1'!E26</f>
        <v>50194122.040533036</v>
      </c>
      <c r="E27" s="148">
        <f>'2.4 District Size Adj. YR1'!$F$96</f>
        <v>11149502.518705823</v>
      </c>
      <c r="F27" s="12">
        <f>'2.5 NCEI Adj. YR1'!J19</f>
        <v>0</v>
      </c>
      <c r="G27" s="581">
        <f t="shared" si="0"/>
        <v>61343624.559238859</v>
      </c>
      <c r="H27" s="595">
        <f t="shared" si="1"/>
        <v>10975.928450778289</v>
      </c>
    </row>
    <row r="28" spans="2:8" x14ac:dyDescent="0.3">
      <c r="B28" s="10" t="str">
        <f>'1.2 Budgeted Enrollment YR1'!E22</f>
        <v>Pershing</v>
      </c>
      <c r="C28" s="536">
        <f>'1.2 Budgeted Enrollment YR1'!G22</f>
        <v>660.16040063426465</v>
      </c>
      <c r="D28" s="148">
        <f>'2.3 Statewide Base Funding YR1'!E27</f>
        <v>5928900.5580963306</v>
      </c>
      <c r="E28" s="148">
        <f>'2.4 District Size Adj. YR1'!$F$100</f>
        <v>3622266.0625765603</v>
      </c>
      <c r="F28" s="12">
        <f>'2.5 NCEI Adj. YR1'!J20</f>
        <v>0</v>
      </c>
      <c r="G28" s="581">
        <f t="shared" si="0"/>
        <v>9551166.6206728909</v>
      </c>
      <c r="H28" s="595">
        <f t="shared" si="1"/>
        <v>14467.948412986272</v>
      </c>
    </row>
    <row r="29" spans="2:8" x14ac:dyDescent="0.3">
      <c r="B29" s="10" t="str">
        <f>'1.2 Budgeted Enrollment YR1'!E23</f>
        <v>Storey</v>
      </c>
      <c r="C29" s="536">
        <f>'1.2 Budgeted Enrollment YR1'!G23</f>
        <v>413.05444673325331</v>
      </c>
      <c r="D29" s="148">
        <f>'2.3 Statewide Base Funding YR1'!E28</f>
        <v>3709641.986111348</v>
      </c>
      <c r="E29" s="148">
        <f>'2.4 District Size Adj. YR1'!$F$104</f>
        <v>3003141.3355492065</v>
      </c>
      <c r="F29" s="12">
        <f>'2.5 NCEI Adj. YR1'!J21</f>
        <v>0</v>
      </c>
      <c r="G29" s="581">
        <f t="shared" si="0"/>
        <v>6712783.321660554</v>
      </c>
      <c r="H29" s="595">
        <f t="shared" si="1"/>
        <v>16251.570161634421</v>
      </c>
    </row>
    <row r="30" spans="2:8" x14ac:dyDescent="0.3">
      <c r="B30" s="10" t="str">
        <f>'1.2 Budgeted Enrollment YR1'!E24</f>
        <v>Washoe</v>
      </c>
      <c r="C30" s="536">
        <f>'1.2 Budgeted Enrollment YR1'!G24</f>
        <v>60547.590413175996</v>
      </c>
      <c r="D30" s="148">
        <f>'2.3 Statewide Base Funding YR1'!E29</f>
        <v>543777909.50073361</v>
      </c>
      <c r="E30" s="148">
        <f>'2.4 District Size Adj. YR1'!$F$114</f>
        <v>16834982.60417382</v>
      </c>
      <c r="F30" s="12">
        <f>'2.5 NCEI Adj. YR1'!J22</f>
        <v>0</v>
      </c>
      <c r="G30" s="581">
        <f t="shared" si="0"/>
        <v>560612892.10490739</v>
      </c>
      <c r="H30" s="595">
        <f t="shared" si="1"/>
        <v>9259.0454596011514</v>
      </c>
    </row>
    <row r="31" spans="2:8" x14ac:dyDescent="0.3">
      <c r="B31" s="10" t="str">
        <f>'1.2 Budgeted Enrollment YR1'!E25</f>
        <v>White Pine</v>
      </c>
      <c r="C31" s="73">
        <f>'1.2 Budgeted Enrollment YR1'!G25</f>
        <v>1259.3902506538202</v>
      </c>
      <c r="D31" s="148">
        <f>'2.3 Statewide Base Funding YR1'!E30</f>
        <v>11310583.841121959</v>
      </c>
      <c r="E31" s="148">
        <f>'2.4 District Size Adj. YR1'!$F$120</f>
        <v>6547726.5456036236</v>
      </c>
      <c r="F31" s="12">
        <f>'2.5 NCEI Adj. YR1'!J23</f>
        <v>0</v>
      </c>
      <c r="G31" s="581">
        <f t="shared" si="0"/>
        <v>17858310.386725582</v>
      </c>
      <c r="H31" s="595">
        <f t="shared" si="1"/>
        <v>14180.124371658691</v>
      </c>
    </row>
    <row r="32" spans="2:8" x14ac:dyDescent="0.3">
      <c r="B32" s="10" t="str">
        <f>'1.2 Budgeted Enrollment YR1'!E26</f>
        <v>Charter Schools (Combined)</v>
      </c>
      <c r="C32" s="73">
        <f>C97</f>
        <v>69003.49592143159</v>
      </c>
      <c r="D32" s="529">
        <f>D97</f>
        <v>619720396.87037718</v>
      </c>
      <c r="E32" s="530">
        <f>E97</f>
        <v>2140744.5161799784</v>
      </c>
      <c r="F32" s="208">
        <f>F97</f>
        <v>0</v>
      </c>
      <c r="G32" s="581">
        <f>D32+E32+F32</f>
        <v>621861141.3865571</v>
      </c>
      <c r="H32" s="595">
        <f t="shared" si="1"/>
        <v>9012.0237110104899</v>
      </c>
    </row>
    <row r="33" spans="1:11" x14ac:dyDescent="0.3">
      <c r="A33" s="183"/>
      <c r="B33" s="183" t="str">
        <f>'1.2 Budgeted Enrollment YR1'!E27</f>
        <v>University Schools</v>
      </c>
      <c r="C33" s="538">
        <f>C102</f>
        <v>162.04408445225002</v>
      </c>
      <c r="D33" s="531">
        <f>D102</f>
        <v>1455317.9224656573</v>
      </c>
      <c r="E33" s="547">
        <f>E102</f>
        <v>0</v>
      </c>
      <c r="F33" s="201">
        <f>F102</f>
        <v>0</v>
      </c>
      <c r="G33" s="578">
        <f t="shared" si="0"/>
        <v>1455317.9224656573</v>
      </c>
      <c r="H33" s="596">
        <f t="shared" si="1"/>
        <v>8981</v>
      </c>
    </row>
    <row r="34" spans="1:11" s="4" customFormat="1" x14ac:dyDescent="0.3">
      <c r="A34" s="181"/>
      <c r="B34" s="181" t="s">
        <v>89</v>
      </c>
      <c r="C34" s="601">
        <f>SUM(C15:C33)</f>
        <v>471282.96592185041</v>
      </c>
      <c r="D34" s="563">
        <f>SUM(D15:D33)</f>
        <v>4232592316.9441381</v>
      </c>
      <c r="E34" s="171">
        <f>SUM(E15:E33)</f>
        <v>143764167.61034274</v>
      </c>
      <c r="F34" s="737">
        <f>SUM(F15:F33)</f>
        <v>0</v>
      </c>
      <c r="G34" s="563">
        <f>SUM(G15:G33)</f>
        <v>4376356484.5544806</v>
      </c>
      <c r="H34" s="594">
        <f>G34/C34</f>
        <v>9286.0485122650953</v>
      </c>
      <c r="K34" s="9"/>
    </row>
    <row r="35" spans="1:11" x14ac:dyDescent="0.3">
      <c r="D35" s="132"/>
      <c r="E35" s="128"/>
      <c r="F35" s="143"/>
      <c r="H35" s="143"/>
    </row>
    <row r="36" spans="1:11" x14ac:dyDescent="0.3">
      <c r="A36" s="181" t="s">
        <v>84</v>
      </c>
      <c r="B36" s="183"/>
      <c r="C36" s="183"/>
      <c r="D36" s="195"/>
      <c r="E36" s="196"/>
      <c r="F36" s="168"/>
      <c r="G36" s="183"/>
      <c r="H36" s="168"/>
    </row>
    <row r="37" spans="1:11" x14ac:dyDescent="0.3">
      <c r="B37" s="10" t="str">
        <f>'1.2 Budgeted Enrollment YR1'!E32</f>
        <v>100 Academy Of Excellence</v>
      </c>
      <c r="C37" s="536">
        <f>'1.2 Budgeted Enrollment YR1'!G32</f>
        <v>317.31241129082491</v>
      </c>
      <c r="D37" s="540">
        <f>'2.3 Statewide Base Funding YR1'!E36</f>
        <v>2849782.7658028984</v>
      </c>
      <c r="E37" s="148">
        <f>'2.4 District Size Adj. YR1'!G128</f>
        <v>0</v>
      </c>
      <c r="F37" s="147">
        <f>'2.5 NCEI Adj. YR1'!J30</f>
        <v>0</v>
      </c>
      <c r="G37" s="552">
        <f>D37+E37+F37</f>
        <v>2849782.7658028984</v>
      </c>
      <c r="H37" s="595">
        <f>IF(C37=0,0,G37/C37)</f>
        <v>8981</v>
      </c>
    </row>
    <row r="38" spans="1:11" x14ac:dyDescent="0.3">
      <c r="B38" s="10" t="str">
        <f>'1.2 Budgeted Enrollment YR1'!E33</f>
        <v>Academy For Career Education</v>
      </c>
      <c r="C38" s="536">
        <f>'1.2 Budgeted Enrollment YR1'!G33</f>
        <v>233.16666714265924</v>
      </c>
      <c r="D38" s="540">
        <f>'2.3 Statewide Base Funding YR1'!E37</f>
        <v>2094069.8376082226</v>
      </c>
      <c r="E38" s="148">
        <f>'2.4 District Size Adj. YR1'!G129</f>
        <v>0</v>
      </c>
      <c r="F38" s="147">
        <f>'2.5 NCEI Adj. YR1'!J31</f>
        <v>0</v>
      </c>
      <c r="G38" s="552">
        <f>D38+E38+F38</f>
        <v>2094069.8376082226</v>
      </c>
      <c r="H38" s="595">
        <f>IF(C38=0,0,G38/C38)</f>
        <v>8981</v>
      </c>
    </row>
    <row r="39" spans="1:11" x14ac:dyDescent="0.3">
      <c r="B39" s="10" t="str">
        <f>'1.2 Budgeted Enrollment YR1'!E34</f>
        <v xml:space="preserve">Alpine Academy </v>
      </c>
      <c r="C39" s="536">
        <f>'1.2 Budgeted Enrollment YR1'!G34</f>
        <v>147.81508498571816</v>
      </c>
      <c r="D39" s="540">
        <f>'2.3 Statewide Base Funding YR1'!E38</f>
        <v>1327527.2782567348</v>
      </c>
      <c r="E39" s="148">
        <f>'2.4 District Size Adj. YR1'!G130</f>
        <v>0</v>
      </c>
      <c r="F39" s="147">
        <f>'2.5 NCEI Adj. YR1'!J32</f>
        <v>0</v>
      </c>
      <c r="G39" s="552">
        <f t="shared" ref="G39:G46" si="2">D39+E39+F39</f>
        <v>1327527.2782567348</v>
      </c>
      <c r="H39" s="595">
        <f t="shared" ref="H39:H46" si="3">IF(C39=0,0,G39/C39)</f>
        <v>8981</v>
      </c>
    </row>
    <row r="40" spans="1:11" x14ac:dyDescent="0.3">
      <c r="B40" s="10" t="str">
        <f>'1.2 Budgeted Enrollment YR1'!E35</f>
        <v xml:space="preserve">Amplus (Formerly American Preparatory Academy) </v>
      </c>
      <c r="C40" s="536">
        <f>'1.2 Budgeted Enrollment YR1'!G35</f>
        <v>2267.7086546556943</v>
      </c>
      <c r="D40" s="540">
        <f>'2.3 Statewide Base Funding YR1'!E39</f>
        <v>20366291.42746279</v>
      </c>
      <c r="E40" s="148">
        <f>'2.4 District Size Adj. YR1'!G131</f>
        <v>0</v>
      </c>
      <c r="F40" s="147">
        <f>'2.5 NCEI Adj. YR1'!J33</f>
        <v>0</v>
      </c>
      <c r="G40" s="552">
        <f t="shared" si="2"/>
        <v>20366291.42746279</v>
      </c>
      <c r="H40" s="595">
        <f t="shared" si="3"/>
        <v>8981</v>
      </c>
    </row>
    <row r="41" spans="1:11" x14ac:dyDescent="0.3">
      <c r="B41" s="10" t="str">
        <f>'1.2 Budgeted Enrollment YR1'!E36</f>
        <v>Bailey Charter School</v>
      </c>
      <c r="C41" s="536">
        <f>'1.2 Budgeted Enrollment YR1'!G36</f>
        <v>175.32944363044109</v>
      </c>
      <c r="D41" s="540">
        <f>'2.3 Statewide Base Funding YR1'!E40</f>
        <v>1574633.7332449914</v>
      </c>
      <c r="E41" s="148">
        <f>'2.4 District Size Adj. YR1'!G132</f>
        <v>0</v>
      </c>
      <c r="F41" s="147">
        <f>'2.5 NCEI Adj. YR1'!J34</f>
        <v>0</v>
      </c>
      <c r="G41" s="552">
        <f t="shared" si="2"/>
        <v>1574633.7332449914</v>
      </c>
      <c r="H41" s="595">
        <f t="shared" si="3"/>
        <v>8981</v>
      </c>
    </row>
    <row r="42" spans="1:11" x14ac:dyDescent="0.3">
      <c r="B42" s="10" t="str">
        <f>'1.2 Budgeted Enrollment YR1'!E37</f>
        <v>Battle Born Academy</v>
      </c>
      <c r="C42" s="536">
        <f>'1.2 Budgeted Enrollment YR1'!G37</f>
        <v>132.17090111224999</v>
      </c>
      <c r="D42" s="540">
        <f>'2.3 Statewide Base Funding YR1'!E41</f>
        <v>1187026.8628891171</v>
      </c>
      <c r="E42" s="148">
        <f>'2.4 District Size Adj. YR1'!G133</f>
        <v>0</v>
      </c>
      <c r="F42" s="147">
        <f>'2.5 NCEI Adj. YR1'!J35</f>
        <v>0</v>
      </c>
      <c r="G42" s="552">
        <f t="shared" si="2"/>
        <v>1187026.8628891171</v>
      </c>
      <c r="H42" s="595">
        <f t="shared" si="3"/>
        <v>8981</v>
      </c>
    </row>
    <row r="43" spans="1:11" x14ac:dyDescent="0.3">
      <c r="B43" s="10" t="str">
        <f>'1.2 Budgeted Enrollment YR1'!E38</f>
        <v>Beacon Academy</v>
      </c>
      <c r="C43" s="536">
        <f>'1.2 Budgeted Enrollment YR1'!G38</f>
        <v>601.2087101019498</v>
      </c>
      <c r="D43" s="540">
        <f>'2.3 Statewide Base Funding YR1'!E42</f>
        <v>5399455.4254256114</v>
      </c>
      <c r="E43" s="148">
        <f>'2.4 District Size Adj. YR1'!G134</f>
        <v>0</v>
      </c>
      <c r="F43" s="147">
        <f>'2.5 NCEI Adj. YR1'!J36</f>
        <v>0</v>
      </c>
      <c r="G43" s="552">
        <f t="shared" si="2"/>
        <v>5399455.4254256114</v>
      </c>
      <c r="H43" s="595">
        <f t="shared" si="3"/>
        <v>8981</v>
      </c>
    </row>
    <row r="44" spans="1:11" x14ac:dyDescent="0.3">
      <c r="B44" s="10" t="str">
        <f>'1.2 Budgeted Enrollment YR1'!E39</f>
        <v>Cactus Park</v>
      </c>
      <c r="C44" s="536">
        <f>'1.2 Budgeted Enrollment YR1'!G39</f>
        <v>108.52961244150023</v>
      </c>
      <c r="D44" s="540">
        <f>'2.3 Statewide Base Funding YR1'!E43</f>
        <v>974704.44933711365</v>
      </c>
      <c r="E44" s="148">
        <f>'2.4 District Size Adj. YR1'!G135</f>
        <v>0</v>
      </c>
      <c r="F44" s="147">
        <f>'2.5 NCEI Adj. YR1'!J37</f>
        <v>0</v>
      </c>
      <c r="G44" s="552">
        <f t="shared" si="2"/>
        <v>974704.44933711365</v>
      </c>
      <c r="H44" s="595">
        <f t="shared" si="3"/>
        <v>8981</v>
      </c>
    </row>
    <row r="45" spans="1:11" x14ac:dyDescent="0.3">
      <c r="B45" s="10" t="str">
        <f>'1.2 Budgeted Enrollment YR1'!E40</f>
        <v>Carson Montessori</v>
      </c>
      <c r="C45" s="536">
        <f>'1.2 Budgeted Enrollment YR1'!G40</f>
        <v>286.27617033770758</v>
      </c>
      <c r="D45" s="540">
        <f>'2.3 Statewide Base Funding YR1'!E44</f>
        <v>2571046.285802952</v>
      </c>
      <c r="E45" s="148">
        <f>'2.4 District Size Adj. YR1'!G136</f>
        <v>191047.97602771074</v>
      </c>
      <c r="F45" s="147">
        <f>'2.5 NCEI Adj. YR1'!J38</f>
        <v>0</v>
      </c>
      <c r="G45" s="552">
        <f t="shared" si="2"/>
        <v>2762094.2618306628</v>
      </c>
      <c r="H45" s="595">
        <f t="shared" si="3"/>
        <v>9648.3554973239297</v>
      </c>
    </row>
    <row r="46" spans="1:11" x14ac:dyDescent="0.3">
      <c r="B46" s="10" t="str">
        <f>'1.2 Budgeted Enrollment YR1'!E41</f>
        <v>CIVICA Nevada Career &amp; Collegiate Academy</v>
      </c>
      <c r="C46" s="536">
        <f>'1.2 Budgeted Enrollment YR1'!G41</f>
        <v>766.05776499241983</v>
      </c>
      <c r="D46" s="540">
        <f>'2.3 Statewide Base Funding YR1'!E45</f>
        <v>6879964.7873969227</v>
      </c>
      <c r="E46" s="148">
        <f>'2.4 District Size Adj. YR1'!G137</f>
        <v>0</v>
      </c>
      <c r="F46" s="147">
        <f>'2.5 NCEI Adj. YR1'!J39</f>
        <v>0</v>
      </c>
      <c r="G46" s="552">
        <f t="shared" si="2"/>
        <v>6879964.7873969227</v>
      </c>
      <c r="H46" s="595">
        <f t="shared" si="3"/>
        <v>8981</v>
      </c>
    </row>
    <row r="47" spans="1:11" x14ac:dyDescent="0.3">
      <c r="B47" s="10" t="str">
        <f>'1.2 Budgeted Enrollment YR1'!E42</f>
        <v>Coral Academy of Science Las Vegas</v>
      </c>
      <c r="C47" s="536">
        <f>'1.2 Budgeted Enrollment YR1'!G42</f>
        <v>5176.4761285646673</v>
      </c>
      <c r="D47" s="540">
        <f>'2.3 Statewide Base Funding YR1'!E46</f>
        <v>46489932.110639274</v>
      </c>
      <c r="E47" s="148">
        <f>'2.4 District Size Adj. YR1'!G138</f>
        <v>0</v>
      </c>
      <c r="F47" s="147">
        <f>'2.5 NCEI Adj. YR1'!J40</f>
        <v>0</v>
      </c>
      <c r="G47" s="552">
        <f t="shared" ref="G47:G95" si="4">D47+E47+F47</f>
        <v>46489932.110639274</v>
      </c>
      <c r="H47" s="595">
        <f t="shared" ref="H47:H95" si="5">IF(C47=0,0,G47/C47)</f>
        <v>8981</v>
      </c>
    </row>
    <row r="48" spans="1:11" x14ac:dyDescent="0.3">
      <c r="B48" s="10" t="str">
        <f>'1.2 Budgeted Enrollment YR1'!E43</f>
        <v>Coral Academy Washoe</v>
      </c>
      <c r="C48" s="536">
        <f>'1.2 Budgeted Enrollment YR1'!G43</f>
        <v>1763.0640733328873</v>
      </c>
      <c r="D48" s="540">
        <f>'2.3 Statewide Base Funding YR1'!E47</f>
        <v>15834078.442602661</v>
      </c>
      <c r="E48" s="148">
        <f>'2.4 District Size Adj. YR1'!G139</f>
        <v>0</v>
      </c>
      <c r="F48" s="147">
        <f>'2.5 NCEI Adj. YR1'!J41</f>
        <v>0</v>
      </c>
      <c r="G48" s="552">
        <f t="shared" si="4"/>
        <v>15834078.442602661</v>
      </c>
      <c r="H48" s="595">
        <f t="shared" si="5"/>
        <v>8981</v>
      </c>
    </row>
    <row r="49" spans="1:8" x14ac:dyDescent="0.3">
      <c r="B49" s="10" t="str">
        <f>'1.2 Budgeted Enrollment YR1'!E44</f>
        <v>Delta Academy</v>
      </c>
      <c r="C49" s="536">
        <f>'1.2 Budgeted Enrollment YR1'!G44</f>
        <v>1259.1651890316498</v>
      </c>
      <c r="D49" s="540">
        <f>'2.3 Statewide Base Funding YR1'!E48</f>
        <v>11308562.562693248</v>
      </c>
      <c r="E49" s="148">
        <f>'2.4 District Size Adj. YR1'!G140</f>
        <v>0</v>
      </c>
      <c r="F49" s="147">
        <f>'2.5 NCEI Adj. YR1'!J42</f>
        <v>0</v>
      </c>
      <c r="G49" s="552">
        <f t="shared" si="4"/>
        <v>11308562.562693248</v>
      </c>
      <c r="H49" s="595">
        <f t="shared" si="5"/>
        <v>8981</v>
      </c>
    </row>
    <row r="50" spans="1:8" x14ac:dyDescent="0.3">
      <c r="B50" s="10" t="str">
        <f>'1.2 Budgeted Enrollment YR1'!E45</f>
        <v>Democracy Prep</v>
      </c>
      <c r="C50" s="536">
        <f>'1.2 Budgeted Enrollment YR1'!G45</f>
        <v>1203.3189781200335</v>
      </c>
      <c r="D50" s="540">
        <f>'2.3 Statewide Base Funding YR1'!E49</f>
        <v>10807007.742496021</v>
      </c>
      <c r="E50" s="148">
        <f>'2.4 District Size Adj. YR1'!G141</f>
        <v>0</v>
      </c>
      <c r="F50" s="147">
        <f>'2.5 NCEI Adj. YR1'!J43</f>
        <v>0</v>
      </c>
      <c r="G50" s="552">
        <f t="shared" si="4"/>
        <v>10807007.742496021</v>
      </c>
      <c r="H50" s="595">
        <f t="shared" si="5"/>
        <v>8981</v>
      </c>
    </row>
    <row r="51" spans="1:8" x14ac:dyDescent="0.3">
      <c r="B51" s="10" t="str">
        <f>'1.2 Budgeted Enrollment YR1'!E46</f>
        <v>Discovery Charter</v>
      </c>
      <c r="C51" s="536">
        <f>'1.2 Budgeted Enrollment YR1'!G46</f>
        <v>492.2101138405701</v>
      </c>
      <c r="D51" s="540">
        <f>'2.3 Statewide Base Funding YR1'!E50</f>
        <v>4420539.0324021596</v>
      </c>
      <c r="E51" s="148">
        <f>'2.4 District Size Adj. YR1'!G142</f>
        <v>0</v>
      </c>
      <c r="F51" s="147">
        <f>'2.5 NCEI Adj. YR1'!J44</f>
        <v>0</v>
      </c>
      <c r="G51" s="552">
        <f t="shared" si="4"/>
        <v>4420539.0324021596</v>
      </c>
      <c r="H51" s="595">
        <f t="shared" si="5"/>
        <v>8981</v>
      </c>
    </row>
    <row r="52" spans="1:8" x14ac:dyDescent="0.3">
      <c r="B52" s="10" t="str">
        <f>'1.2 Budgeted Enrollment YR1'!E47</f>
        <v>Doral Academy</v>
      </c>
      <c r="C52" s="536">
        <f>'1.2 Budgeted Enrollment YR1'!G47</f>
        <v>6280.1363579608906</v>
      </c>
      <c r="D52" s="540">
        <f>'2.3 Statewide Base Funding YR1'!E51</f>
        <v>56401904.630846761</v>
      </c>
      <c r="E52" s="148">
        <f>'2.4 District Size Adj. YR1'!G143</f>
        <v>0</v>
      </c>
      <c r="F52" s="147">
        <f>'2.5 NCEI Adj. YR1'!J45</f>
        <v>0</v>
      </c>
      <c r="G52" s="552">
        <f t="shared" si="4"/>
        <v>56401904.630846761</v>
      </c>
      <c r="H52" s="595">
        <f t="shared" si="5"/>
        <v>8981</v>
      </c>
    </row>
    <row r="53" spans="1:8" x14ac:dyDescent="0.3">
      <c r="B53" s="10" t="str">
        <f>'1.2 Budgeted Enrollment YR1'!E48</f>
        <v>Doral Academy of Northern Nevada</v>
      </c>
      <c r="C53" s="536">
        <f>'1.2 Budgeted Enrollment YR1'!G48</f>
        <v>957.41882339550943</v>
      </c>
      <c r="D53" s="540">
        <f>'2.3 Statewide Base Funding YR1'!E52</f>
        <v>8598578.4529150706</v>
      </c>
      <c r="E53" s="148">
        <f>'2.4 District Size Adj. YR1'!G144</f>
        <v>0</v>
      </c>
      <c r="F53" s="147">
        <f>'2.5 NCEI Adj. YR1'!J46</f>
        <v>0</v>
      </c>
      <c r="G53" s="552">
        <f t="shared" si="4"/>
        <v>8598578.4529150706</v>
      </c>
      <c r="H53" s="595">
        <f t="shared" si="5"/>
        <v>8981</v>
      </c>
    </row>
    <row r="54" spans="1:8" x14ac:dyDescent="0.3">
      <c r="B54" s="10" t="str">
        <f>'1.2 Budgeted Enrollment YR1'!E49</f>
        <v>Eagle Charter School</v>
      </c>
      <c r="C54" s="536">
        <f>'1.2 Budgeted Enrollment YR1'!G49</f>
        <v>540</v>
      </c>
      <c r="D54" s="540">
        <f>'2.3 Statewide Base Funding YR1'!E53</f>
        <v>4849740</v>
      </c>
      <c r="E54" s="148">
        <f>'2.4 District Size Adj. YR1'!G145</f>
        <v>0</v>
      </c>
      <c r="F54" s="147">
        <f>'2.5 NCEI Adj. YR1'!J47</f>
        <v>0</v>
      </c>
      <c r="G54" s="552">
        <f t="shared" si="4"/>
        <v>4849740</v>
      </c>
      <c r="H54" s="595">
        <f t="shared" si="5"/>
        <v>8981</v>
      </c>
    </row>
    <row r="55" spans="1:8" x14ac:dyDescent="0.3">
      <c r="B55" s="10" t="str">
        <f>'1.2 Budgeted Enrollment YR1'!E50</f>
        <v>Elko Institute for Academic Achievement</v>
      </c>
      <c r="C55" s="536">
        <f>'1.2 Budgeted Enrollment YR1'!G50</f>
        <v>197.24352683287754</v>
      </c>
      <c r="D55" s="540">
        <f>'2.3 Statewide Base Funding YR1'!E54</f>
        <v>1771444.1144860731</v>
      </c>
      <c r="E55" s="148">
        <f>'2.4 District Size Adj. YR1'!G146</f>
        <v>139051.1715051482</v>
      </c>
      <c r="F55" s="147">
        <f>'2.5 NCEI Adj. YR1'!J48</f>
        <v>0</v>
      </c>
      <c r="G55" s="552">
        <f t="shared" si="4"/>
        <v>1910495.2859912214</v>
      </c>
      <c r="H55" s="595">
        <f t="shared" si="5"/>
        <v>9685.9720400860861</v>
      </c>
    </row>
    <row r="56" spans="1:8" x14ac:dyDescent="0.3">
      <c r="B56" s="10" t="str">
        <f>'1.2 Budgeted Enrollment YR1'!E51</f>
        <v>enCompass Academy</v>
      </c>
      <c r="C56" s="536">
        <f>'1.2 Budgeted Enrollment YR1'!G51</f>
        <v>114.87381551473325</v>
      </c>
      <c r="D56" s="540">
        <f>'2.3 Statewide Base Funding YR1'!E55</f>
        <v>1031681.7371378193</v>
      </c>
      <c r="E56" s="148">
        <f>'2.4 District Size Adj. YR1'!G147</f>
        <v>0</v>
      </c>
      <c r="F56" s="147">
        <f>'2.5 NCEI Adj. YR1'!J49</f>
        <v>0</v>
      </c>
      <c r="G56" s="552">
        <f t="shared" si="4"/>
        <v>1031681.7371378193</v>
      </c>
      <c r="H56" s="595">
        <f t="shared" si="5"/>
        <v>8981</v>
      </c>
    </row>
    <row r="57" spans="1:8" x14ac:dyDescent="0.3">
      <c r="B57" s="10" t="str">
        <f>'1.2 Budgeted Enrollment YR1'!E52</f>
        <v>Equipo Academy</v>
      </c>
      <c r="C57" s="536">
        <f>'1.2 Budgeted Enrollment YR1'!G52</f>
        <v>799.12049898931241</v>
      </c>
      <c r="D57" s="540">
        <f>'2.3 Statewide Base Funding YR1'!E56</f>
        <v>7176901.2014230145</v>
      </c>
      <c r="E57" s="148">
        <f>'2.4 District Size Adj. YR1'!G148</f>
        <v>0</v>
      </c>
      <c r="F57" s="147">
        <f>'2.5 NCEI Adj. YR1'!J50</f>
        <v>0</v>
      </c>
      <c r="G57" s="552">
        <f t="shared" si="4"/>
        <v>7176901.2014230145</v>
      </c>
      <c r="H57" s="595">
        <f t="shared" si="5"/>
        <v>8981</v>
      </c>
    </row>
    <row r="58" spans="1:8" x14ac:dyDescent="0.3">
      <c r="B58" s="10" t="str">
        <f>'1.2 Budgeted Enrollment YR1'!E53</f>
        <v>Explore Academy</v>
      </c>
      <c r="C58" s="536">
        <f>'1.2 Budgeted Enrollment YR1'!G53</f>
        <v>274.7332568453723</v>
      </c>
      <c r="D58" s="540">
        <f>'2.3 Statewide Base Funding YR1'!E57</f>
        <v>2467379.3797282884</v>
      </c>
      <c r="E58" s="148">
        <f>'2.4 District Size Adj. YR1'!G149</f>
        <v>0</v>
      </c>
      <c r="F58" s="147">
        <f>'2.5 NCEI Adj. YR1'!J51</f>
        <v>0</v>
      </c>
      <c r="G58" s="552">
        <f t="shared" si="4"/>
        <v>2467379.3797282884</v>
      </c>
      <c r="H58" s="595">
        <f t="shared" si="5"/>
        <v>8981</v>
      </c>
    </row>
    <row r="59" spans="1:8" x14ac:dyDescent="0.3">
      <c r="B59" s="10" t="str">
        <f>'1.2 Budgeted Enrollment YR1'!E54</f>
        <v>Explore Knowledge Academy</v>
      </c>
      <c r="C59" s="536">
        <f>'1.2 Budgeted Enrollment YR1'!G54</f>
        <v>671.81849159460035</v>
      </c>
      <c r="D59" s="540">
        <f>'2.3 Statewide Base Funding YR1'!E58</f>
        <v>6033601.8730111057</v>
      </c>
      <c r="E59" s="148">
        <f>'2.4 District Size Adj. YR1'!G150</f>
        <v>0</v>
      </c>
      <c r="F59" s="147">
        <f>'2.5 NCEI Adj. YR1'!J52</f>
        <v>0</v>
      </c>
      <c r="G59" s="552">
        <f t="shared" si="4"/>
        <v>6033601.8730111057</v>
      </c>
      <c r="H59" s="595">
        <f t="shared" si="5"/>
        <v>8981</v>
      </c>
    </row>
    <row r="60" spans="1:8" s="19" customFormat="1" x14ac:dyDescent="0.3">
      <c r="A60" s="10"/>
      <c r="B60" s="10" t="str">
        <f>'1.2 Budgeted Enrollment YR1'!E55</f>
        <v>Founders Academy of Las Vegas</v>
      </c>
      <c r="C60" s="536">
        <f>'1.2 Budgeted Enrollment YR1'!G55</f>
        <v>942.31500888524988</v>
      </c>
      <c r="D60" s="540">
        <f>'2.3 Statewide Base Funding YR1'!E59</f>
        <v>8462931.0947984289</v>
      </c>
      <c r="E60" s="148">
        <f>'2.4 District Size Adj. YR1'!G151</f>
        <v>0</v>
      </c>
      <c r="F60" s="147">
        <f>'2.5 NCEI Adj. YR1'!J53</f>
        <v>0</v>
      </c>
      <c r="G60" s="552">
        <f t="shared" si="4"/>
        <v>8462931.0947984289</v>
      </c>
      <c r="H60" s="595">
        <f t="shared" si="5"/>
        <v>8981</v>
      </c>
    </row>
    <row r="61" spans="1:8" x14ac:dyDescent="0.3">
      <c r="B61" s="10" t="str">
        <f>'1.2 Budgeted Enrollment YR1'!E56</f>
        <v>Freedom Classical Academy</v>
      </c>
      <c r="C61" s="536">
        <f>'1.2 Budgeted Enrollment YR1'!G56</f>
        <v>1044.9532334148407</v>
      </c>
      <c r="D61" s="540">
        <f>'2.3 Statewide Base Funding YR1'!E60</f>
        <v>9384724.9892986845</v>
      </c>
      <c r="E61" s="148">
        <f>'2.4 District Size Adj. YR1'!G152</f>
        <v>0</v>
      </c>
      <c r="F61" s="147">
        <f>'2.5 NCEI Adj. YR1'!J54</f>
        <v>0</v>
      </c>
      <c r="G61" s="552">
        <f t="shared" si="4"/>
        <v>9384724.9892986845</v>
      </c>
      <c r="H61" s="595">
        <f t="shared" si="5"/>
        <v>8981</v>
      </c>
    </row>
    <row r="62" spans="1:8" x14ac:dyDescent="0.3">
      <c r="B62" s="10" t="str">
        <f>'1.2 Budgeted Enrollment YR1'!E57</f>
        <v>Futuro Academy Elementary</v>
      </c>
      <c r="C62" s="536">
        <f>'1.2 Budgeted Enrollment YR1'!G57</f>
        <v>463.70725498344746</v>
      </c>
      <c r="D62" s="540">
        <f>'2.3 Statewide Base Funding YR1'!E61</f>
        <v>4164554.8570063417</v>
      </c>
      <c r="E62" s="148">
        <f>'2.4 District Size Adj. YR1'!G153</f>
        <v>0</v>
      </c>
      <c r="F62" s="147">
        <f>'2.5 NCEI Adj. YR1'!J55</f>
        <v>0</v>
      </c>
      <c r="G62" s="552">
        <f t="shared" si="4"/>
        <v>4164554.8570063417</v>
      </c>
      <c r="H62" s="595">
        <f t="shared" si="5"/>
        <v>8981</v>
      </c>
    </row>
    <row r="63" spans="1:8" x14ac:dyDescent="0.3">
      <c r="B63" s="10" t="str">
        <f>'1.2 Budgeted Enrollment YR1'!E58</f>
        <v>Girls Athletic Leadership Schools</v>
      </c>
      <c r="C63" s="536">
        <f>'1.2 Budgeted Enrollment YR1'!G58</f>
        <v>0</v>
      </c>
      <c r="D63" s="540">
        <f>'2.3 Statewide Base Funding YR1'!E62</f>
        <v>0</v>
      </c>
      <c r="E63" s="148">
        <f>'2.4 District Size Adj. YR1'!G154</f>
        <v>0</v>
      </c>
      <c r="F63" s="147">
        <f>'2.5 NCEI Adj. YR1'!J56</f>
        <v>0</v>
      </c>
      <c r="G63" s="552">
        <f t="shared" si="4"/>
        <v>0</v>
      </c>
      <c r="H63" s="595">
        <f t="shared" si="5"/>
        <v>0</v>
      </c>
    </row>
    <row r="64" spans="1:8" x14ac:dyDescent="0.3">
      <c r="B64" s="10" t="str">
        <f>'1.2 Budgeted Enrollment YR1'!E59</f>
        <v>High Desert Montessori</v>
      </c>
      <c r="C64" s="536">
        <f>'1.2 Budgeted Enrollment YR1'!G59</f>
        <v>392.33027145830016</v>
      </c>
      <c r="D64" s="540">
        <f>'2.3 Statewide Base Funding YR1'!E63</f>
        <v>3523518.1679669935</v>
      </c>
      <c r="E64" s="148">
        <f>'2.4 District Size Adj. YR1'!G155</f>
        <v>0</v>
      </c>
      <c r="F64" s="147">
        <f>'2.5 NCEI Adj. YR1'!J57</f>
        <v>0</v>
      </c>
      <c r="G64" s="552">
        <f t="shared" si="4"/>
        <v>3523518.1679669935</v>
      </c>
      <c r="H64" s="595">
        <f t="shared" si="5"/>
        <v>8981</v>
      </c>
    </row>
    <row r="65" spans="2:8" x14ac:dyDescent="0.3">
      <c r="B65" s="10" t="str">
        <f>'1.2 Budgeted Enrollment YR1'!E60</f>
        <v>Honors Academy of Literature</v>
      </c>
      <c r="C65" s="536">
        <f>'1.2 Budgeted Enrollment YR1'!G60</f>
        <v>216.56435878747669</v>
      </c>
      <c r="D65" s="540">
        <f>'2.3 Statewide Base Funding YR1'!E64</f>
        <v>1944964.5062703281</v>
      </c>
      <c r="E65" s="148">
        <f>'2.4 District Size Adj. YR1'!G156</f>
        <v>0</v>
      </c>
      <c r="F65" s="147">
        <f>'2.5 NCEI Adj. YR1'!J58</f>
        <v>0</v>
      </c>
      <c r="G65" s="552">
        <f t="shared" si="4"/>
        <v>1944964.5062703281</v>
      </c>
      <c r="H65" s="595">
        <f t="shared" si="5"/>
        <v>8981</v>
      </c>
    </row>
    <row r="66" spans="2:8" x14ac:dyDescent="0.3">
      <c r="B66" s="10" t="str">
        <f>'1.2 Budgeted Enrollment YR1'!E61</f>
        <v>Imagine School Mountain View</v>
      </c>
      <c r="C66" s="536">
        <f>'1.2 Budgeted Enrollment YR1'!G61</f>
        <v>671.37820674925001</v>
      </c>
      <c r="D66" s="540">
        <f>'2.3 Statewide Base Funding YR1'!E65</f>
        <v>6029647.674815014</v>
      </c>
      <c r="E66" s="148">
        <f>'2.4 District Size Adj. YR1'!G157</f>
        <v>0</v>
      </c>
      <c r="F66" s="147">
        <f>'2.5 NCEI Adj. YR1'!J59</f>
        <v>0</v>
      </c>
      <c r="G66" s="552">
        <f t="shared" si="4"/>
        <v>6029647.674815014</v>
      </c>
      <c r="H66" s="595">
        <f t="shared" si="5"/>
        <v>8981</v>
      </c>
    </row>
    <row r="67" spans="2:8" x14ac:dyDescent="0.3">
      <c r="B67" s="10" t="str">
        <f>'1.2 Budgeted Enrollment YR1'!E62</f>
        <v>Innovations Int'l Charter</v>
      </c>
      <c r="C67" s="536">
        <f>'1.2 Budgeted Enrollment YR1'!G62</f>
        <v>737.09270922985206</v>
      </c>
      <c r="D67" s="540">
        <f>'2.3 Statewide Base Funding YR1'!E66</f>
        <v>6619829.6215933012</v>
      </c>
      <c r="E67" s="148">
        <f>'2.4 District Size Adj. YR1'!G158</f>
        <v>0</v>
      </c>
      <c r="F67" s="147">
        <f>'2.5 NCEI Adj. YR1'!J60</f>
        <v>0</v>
      </c>
      <c r="G67" s="552">
        <f t="shared" si="4"/>
        <v>6619829.6215933012</v>
      </c>
      <c r="H67" s="595">
        <f t="shared" si="5"/>
        <v>8981</v>
      </c>
    </row>
    <row r="68" spans="2:8" x14ac:dyDescent="0.3">
      <c r="B68" s="10" t="str">
        <f>'1.2 Budgeted Enrollment YR1'!E63</f>
        <v>Leadership Academy of Nevada</v>
      </c>
      <c r="C68" s="536">
        <f>'1.2 Budgeted Enrollment YR1'!G63</f>
        <v>267.63967675179731</v>
      </c>
      <c r="D68" s="540">
        <f>'2.3 Statewide Base Funding YR1'!E67</f>
        <v>2403671.9369078916</v>
      </c>
      <c r="E68" s="148">
        <f>'2.4 District Size Adj. YR1'!G159</f>
        <v>0</v>
      </c>
      <c r="F68" s="147">
        <f>'2.5 NCEI Adj. YR1'!J61</f>
        <v>0</v>
      </c>
      <c r="G68" s="552">
        <f t="shared" si="4"/>
        <v>2403671.9369078916</v>
      </c>
      <c r="H68" s="595">
        <f t="shared" si="5"/>
        <v>8981</v>
      </c>
    </row>
    <row r="69" spans="2:8" x14ac:dyDescent="0.3">
      <c r="B69" s="10" t="str">
        <f>'1.2 Budgeted Enrollment YR1'!E64</f>
        <v>Learning Bridge</v>
      </c>
      <c r="C69" s="536">
        <f>'1.2 Budgeted Enrollment YR1'!G64</f>
        <v>175.19825529226023</v>
      </c>
      <c r="D69" s="540">
        <f>'2.3 Statewide Base Funding YR1'!E68</f>
        <v>1573455.5307797892</v>
      </c>
      <c r="E69" s="148">
        <f>'2.4 District Size Adj. YR1'!G160</f>
        <v>704834.89754731255</v>
      </c>
      <c r="F69" s="147">
        <f>'2.5 NCEI Adj. YR1'!J62</f>
        <v>0</v>
      </c>
      <c r="G69" s="552">
        <f t="shared" si="4"/>
        <v>2278290.4283271017</v>
      </c>
      <c r="H69" s="595">
        <f t="shared" si="5"/>
        <v>13004.070300394997</v>
      </c>
    </row>
    <row r="70" spans="2:8" x14ac:dyDescent="0.3">
      <c r="B70" s="10" t="str">
        <f>'1.2 Budgeted Enrollment YR1'!E65</f>
        <v>Legacy Traditional Schools</v>
      </c>
      <c r="C70" s="536">
        <f>'1.2 Budgeted Enrollment YR1'!G65</f>
        <v>4014.3643229322638</v>
      </c>
      <c r="D70" s="540">
        <f>'2.3 Statewide Base Funding YR1'!E69</f>
        <v>36053005.984254658</v>
      </c>
      <c r="E70" s="148">
        <f>'2.4 District Size Adj. YR1'!G161</f>
        <v>0</v>
      </c>
      <c r="F70" s="147">
        <f>'2.5 NCEI Adj. YR1'!J63</f>
        <v>0</v>
      </c>
      <c r="G70" s="552">
        <f t="shared" si="4"/>
        <v>36053005.984254658</v>
      </c>
      <c r="H70" s="595">
        <f t="shared" si="5"/>
        <v>8981</v>
      </c>
    </row>
    <row r="71" spans="2:8" x14ac:dyDescent="0.3">
      <c r="B71" s="10" t="str">
        <f>'1.2 Budgeted Enrollment YR1'!E66</f>
        <v>Mariposa Dual Language Academy</v>
      </c>
      <c r="C71" s="536">
        <f>'1.2 Budgeted Enrollment YR1'!G66</f>
        <v>160.16230530300001</v>
      </c>
      <c r="D71" s="540">
        <f>'2.3 Statewide Base Funding YR1'!E70</f>
        <v>1438417.6639262431</v>
      </c>
      <c r="E71" s="148">
        <f>'2.4 District Size Adj. YR1'!G162</f>
        <v>0</v>
      </c>
      <c r="F71" s="147">
        <f>'2.5 NCEI Adj. YR1'!J64</f>
        <v>0</v>
      </c>
      <c r="G71" s="552">
        <f t="shared" si="4"/>
        <v>1438417.6639262431</v>
      </c>
      <c r="H71" s="595">
        <f t="shared" si="5"/>
        <v>8981</v>
      </c>
    </row>
    <row r="72" spans="2:8" x14ac:dyDescent="0.3">
      <c r="B72" s="10" t="str">
        <f>'1.2 Budgeted Enrollment YR1'!E67</f>
        <v>Mater Academy</v>
      </c>
      <c r="C72" s="536">
        <f>'1.2 Budgeted Enrollment YR1'!G67</f>
        <v>3957.4480253588026</v>
      </c>
      <c r="D72" s="540">
        <f>'2.3 Statewide Base Funding YR1'!E71</f>
        <v>35541840.715747409</v>
      </c>
      <c r="E72" s="148">
        <f>'2.4 District Size Adj. YR1'!G163</f>
        <v>0</v>
      </c>
      <c r="F72" s="147">
        <f>'2.5 NCEI Adj. YR1'!J65</f>
        <v>0</v>
      </c>
      <c r="G72" s="552">
        <f t="shared" si="4"/>
        <v>35541840.715747409</v>
      </c>
      <c r="H72" s="595">
        <f t="shared" si="5"/>
        <v>8981</v>
      </c>
    </row>
    <row r="73" spans="2:8" x14ac:dyDescent="0.3">
      <c r="B73" s="10" t="str">
        <f>'1.2 Budgeted Enrollment YR1'!E68</f>
        <v>Mater Academy of Northern Nevada</v>
      </c>
      <c r="C73" s="536">
        <f>'1.2 Budgeted Enrollment YR1'!G68</f>
        <v>491.47528742099291</v>
      </c>
      <c r="D73" s="540">
        <f>'2.3 Statewide Base Funding YR1'!E72</f>
        <v>4413939.5563279372</v>
      </c>
      <c r="E73" s="148">
        <f>'2.4 District Size Adj. YR1'!G164</f>
        <v>0</v>
      </c>
      <c r="F73" s="147">
        <f>'2.5 NCEI Adj. YR1'!J66</f>
        <v>0</v>
      </c>
      <c r="G73" s="552">
        <f t="shared" si="4"/>
        <v>4413939.5563279372</v>
      </c>
      <c r="H73" s="595">
        <f t="shared" si="5"/>
        <v>8981</v>
      </c>
    </row>
    <row r="74" spans="2:8" x14ac:dyDescent="0.3">
      <c r="B74" s="10" t="str">
        <f>'1.2 Budgeted Enrollment YR1'!E69</f>
        <v>Nevada Connections Academy</v>
      </c>
      <c r="C74" s="536">
        <f>'1.2 Budgeted Enrollment YR1'!G69</f>
        <v>1065.9410335586765</v>
      </c>
      <c r="D74" s="540">
        <f>'2.3 Statewide Base Funding YR1'!E73</f>
        <v>9573216.422390474</v>
      </c>
      <c r="E74" s="148">
        <f>'2.4 District Size Adj. YR1'!G165</f>
        <v>0</v>
      </c>
      <c r="F74" s="147">
        <f>'2.5 NCEI Adj. YR1'!J67</f>
        <v>0</v>
      </c>
      <c r="G74" s="552">
        <f t="shared" si="4"/>
        <v>9573216.422390474</v>
      </c>
      <c r="H74" s="595">
        <f t="shared" si="5"/>
        <v>8981</v>
      </c>
    </row>
    <row r="75" spans="2:8" x14ac:dyDescent="0.3">
      <c r="B75" s="10" t="str">
        <f>'1.2 Budgeted Enrollment YR1'!E70</f>
        <v>Nevada Prep</v>
      </c>
      <c r="C75" s="536">
        <f>'1.2 Budgeted Enrollment YR1'!G70</f>
        <v>281.33643740972769</v>
      </c>
      <c r="D75" s="540">
        <f>'2.3 Statewide Base Funding YR1'!E74</f>
        <v>2526682.5443767644</v>
      </c>
      <c r="E75" s="148">
        <f>'2.4 District Size Adj. YR1'!G166</f>
        <v>0</v>
      </c>
      <c r="F75" s="147">
        <f>'2.5 NCEI Adj. YR1'!J68</f>
        <v>0</v>
      </c>
      <c r="G75" s="552">
        <f t="shared" si="4"/>
        <v>2526682.5443767644</v>
      </c>
      <c r="H75" s="595">
        <f t="shared" si="5"/>
        <v>8981</v>
      </c>
    </row>
    <row r="76" spans="2:8" x14ac:dyDescent="0.3">
      <c r="B76" s="10" t="str">
        <f>'1.2 Budgeted Enrollment YR1'!E71</f>
        <v xml:space="preserve">Nevada Rise </v>
      </c>
      <c r="C76" s="536">
        <f>'1.2 Budgeted Enrollment YR1'!G71</f>
        <v>457.90871082754296</v>
      </c>
      <c r="D76" s="540">
        <f>'2.3 Statewide Base Funding YR1'!E75</f>
        <v>4112478.1319421632</v>
      </c>
      <c r="E76" s="148">
        <f>'2.4 District Size Adj. YR1'!G167</f>
        <v>0</v>
      </c>
      <c r="F76" s="147">
        <f>'2.5 NCEI Adj. YR1'!J69</f>
        <v>0</v>
      </c>
      <c r="G76" s="552">
        <f t="shared" si="4"/>
        <v>4112478.1319421632</v>
      </c>
      <c r="H76" s="595">
        <f t="shared" si="5"/>
        <v>8981</v>
      </c>
    </row>
    <row r="77" spans="2:8" x14ac:dyDescent="0.3">
      <c r="B77" s="10" t="str">
        <f>'1.2 Budgeted Enrollment YR1'!E72</f>
        <v>Nevada State High School</v>
      </c>
      <c r="C77" s="536">
        <f>'1.2 Budgeted Enrollment YR1'!G72</f>
        <v>983.31703457725234</v>
      </c>
      <c r="D77" s="540">
        <f>'2.3 Statewide Base Funding YR1'!E76</f>
        <v>8831170.2875383031</v>
      </c>
      <c r="E77" s="148">
        <f>'2.4 District Size Adj. YR1'!G168</f>
        <v>0</v>
      </c>
      <c r="F77" s="147">
        <f>'2.5 NCEI Adj. YR1'!J70</f>
        <v>0</v>
      </c>
      <c r="G77" s="552">
        <f t="shared" si="4"/>
        <v>8831170.2875383031</v>
      </c>
      <c r="H77" s="595">
        <f t="shared" si="5"/>
        <v>8981</v>
      </c>
    </row>
    <row r="78" spans="2:8" x14ac:dyDescent="0.3">
      <c r="B78" s="10" t="str">
        <f>'1.2 Budgeted Enrollment YR1'!E73</f>
        <v>Nevada State High School-Meadowwood</v>
      </c>
      <c r="C78" s="536">
        <f>'1.2 Budgeted Enrollment YR1'!G73</f>
        <v>31.821411371749999</v>
      </c>
      <c r="D78" s="540">
        <f>'2.3 Statewide Base Funding YR1'!E77</f>
        <v>285788.09552968672</v>
      </c>
      <c r="E78" s="148">
        <f>'2.4 District Size Adj. YR1'!G169</f>
        <v>0</v>
      </c>
      <c r="F78" s="147">
        <f>'2.5 NCEI Adj. YR1'!J71</f>
        <v>0</v>
      </c>
      <c r="G78" s="552">
        <f t="shared" si="4"/>
        <v>285788.09552968672</v>
      </c>
      <c r="H78" s="595">
        <f t="shared" si="5"/>
        <v>8981</v>
      </c>
    </row>
    <row r="79" spans="2:8" x14ac:dyDescent="0.3">
      <c r="B79" s="10" t="str">
        <f>'1.2 Budgeted Enrollment YR1'!E74</f>
        <v>Nevada Virtual Academy</v>
      </c>
      <c r="C79" s="536">
        <f>'1.2 Budgeted Enrollment YR1'!G74</f>
        <v>2158.3957640639396</v>
      </c>
      <c r="D79" s="540">
        <f>'2.3 Statewide Base Funding YR1'!E78</f>
        <v>19384552.357058242</v>
      </c>
      <c r="E79" s="148">
        <f>'2.4 District Size Adj. YR1'!G170</f>
        <v>0</v>
      </c>
      <c r="F79" s="147">
        <f>'2.5 NCEI Adj. YR1'!J72</f>
        <v>0</v>
      </c>
      <c r="G79" s="552">
        <f t="shared" si="4"/>
        <v>19384552.357058242</v>
      </c>
      <c r="H79" s="595">
        <f t="shared" si="5"/>
        <v>8981</v>
      </c>
    </row>
    <row r="80" spans="2:8" x14ac:dyDescent="0.3">
      <c r="B80" s="10" t="str">
        <f>'1.2 Budgeted Enrollment YR1'!E75</f>
        <v>Oasis Academy</v>
      </c>
      <c r="C80" s="536">
        <f>'1.2 Budgeted Enrollment YR1'!G75</f>
        <v>734.20464267162504</v>
      </c>
      <c r="D80" s="540">
        <f>'2.3 Statewide Base Funding YR1'!E79</f>
        <v>6593891.8958338648</v>
      </c>
      <c r="E80" s="148">
        <f>'2.4 District Size Adj. YR1'!G171</f>
        <v>876035.89101046463</v>
      </c>
      <c r="F80" s="147">
        <f>'2.5 NCEI Adj. YR1'!J73</f>
        <v>0</v>
      </c>
      <c r="G80" s="552">
        <f t="shared" si="4"/>
        <v>7469927.7868443299</v>
      </c>
      <c r="H80" s="595">
        <f t="shared" si="5"/>
        <v>10174.176724983303</v>
      </c>
    </row>
    <row r="81" spans="2:8" x14ac:dyDescent="0.3">
      <c r="B81" s="10" t="str">
        <f>'1.2 Budgeted Enrollment YR1'!E76</f>
        <v>Odyssey Charter Schools</v>
      </c>
      <c r="C81" s="536">
        <f>'1.2 Budgeted Enrollment YR1'!G76</f>
        <v>2325.2299469256354</v>
      </c>
      <c r="D81" s="540">
        <f>'2.3 Statewide Base Funding YR1'!E80</f>
        <v>20882890.153339133</v>
      </c>
      <c r="E81" s="148">
        <f>'2.4 District Size Adj. YR1'!G172</f>
        <v>0</v>
      </c>
      <c r="F81" s="147">
        <f>'2.5 NCEI Adj. YR1'!J74</f>
        <v>0</v>
      </c>
      <c r="G81" s="552">
        <f t="shared" si="4"/>
        <v>20882890.153339133</v>
      </c>
      <c r="H81" s="595">
        <f t="shared" si="5"/>
        <v>8981</v>
      </c>
    </row>
    <row r="82" spans="2:8" x14ac:dyDescent="0.3">
      <c r="B82" s="10" t="str">
        <f>'1.2 Budgeted Enrollment YR1'!E77</f>
        <v>Pinecrest Academy of Northern Nevada</v>
      </c>
      <c r="C82" s="536">
        <f>'1.2 Budgeted Enrollment YR1'!G77</f>
        <v>926.97453717270901</v>
      </c>
      <c r="D82" s="540">
        <f>'2.3 Statewide Base Funding YR1'!E81</f>
        <v>8325158.3183480995</v>
      </c>
      <c r="E82" s="148">
        <f>'2.4 District Size Adj. YR1'!G173</f>
        <v>0</v>
      </c>
      <c r="F82" s="147">
        <f>'2.5 NCEI Adj. YR1'!J75</f>
        <v>0</v>
      </c>
      <c r="G82" s="552">
        <f t="shared" si="4"/>
        <v>8325158.3183480995</v>
      </c>
      <c r="H82" s="595">
        <f t="shared" si="5"/>
        <v>8981</v>
      </c>
    </row>
    <row r="83" spans="2:8" x14ac:dyDescent="0.3">
      <c r="B83" s="10" t="str">
        <f>'1.2 Budgeted Enrollment YR1'!E78</f>
        <v>Pinecrest Academy of Nevada</v>
      </c>
      <c r="C83" s="536">
        <f>'1.2 Budgeted Enrollment YR1'!G78</f>
        <v>7406.4449235623106</v>
      </c>
      <c r="D83" s="540">
        <f>'2.3 Statewide Base Funding YR1'!E82</f>
        <v>66517281.858513109</v>
      </c>
      <c r="E83" s="148">
        <f>'2.4 District Size Adj. YR1'!G174</f>
        <v>0</v>
      </c>
      <c r="F83" s="147">
        <f>'2.5 NCEI Adj. YR1'!J76</f>
        <v>0</v>
      </c>
      <c r="G83" s="552">
        <f t="shared" si="4"/>
        <v>66517281.858513109</v>
      </c>
      <c r="H83" s="595">
        <f t="shared" si="5"/>
        <v>8981</v>
      </c>
    </row>
    <row r="84" spans="2:8" x14ac:dyDescent="0.3">
      <c r="B84" s="10" t="str">
        <f>'1.2 Budgeted Enrollment YR1'!E79</f>
        <v>Quest Academy</v>
      </c>
      <c r="C84" s="536">
        <f>'1.2 Budgeted Enrollment YR1'!G79</f>
        <v>434.86954084714142</v>
      </c>
      <c r="D84" s="540">
        <f>'2.3 Statewide Base Funding YR1'!E83</f>
        <v>3905563.3463481772</v>
      </c>
      <c r="E84" s="148">
        <f>'2.4 District Size Adj. YR1'!G175</f>
        <v>0</v>
      </c>
      <c r="F84" s="147">
        <f>'2.5 NCEI Adj. YR1'!J77</f>
        <v>0</v>
      </c>
      <c r="G84" s="552">
        <f t="shared" si="4"/>
        <v>3905563.3463481772</v>
      </c>
      <c r="H84" s="595">
        <f t="shared" si="5"/>
        <v>8981</v>
      </c>
    </row>
    <row r="85" spans="2:8" x14ac:dyDescent="0.3">
      <c r="B85" s="10" t="str">
        <f>'1.2 Budgeted Enrollment YR1'!E80</f>
        <v>Rainbow Dreams Academy</v>
      </c>
      <c r="C85" s="536">
        <f>'1.2 Budgeted Enrollment YR1'!G80</f>
        <v>70.235302237100015</v>
      </c>
      <c r="D85" s="540">
        <f>'2.3 Statewide Base Funding YR1'!E84</f>
        <v>630783.24939139525</v>
      </c>
      <c r="E85" s="148">
        <f>'2.4 District Size Adj. YR1'!G176</f>
        <v>0</v>
      </c>
      <c r="F85" s="147">
        <f>'2.5 NCEI Adj. YR1'!J78</f>
        <v>0</v>
      </c>
      <c r="G85" s="552">
        <f t="shared" si="4"/>
        <v>630783.24939139525</v>
      </c>
      <c r="H85" s="595">
        <f t="shared" si="5"/>
        <v>8981</v>
      </c>
    </row>
    <row r="86" spans="2:8" x14ac:dyDescent="0.3">
      <c r="B86" s="10" t="str">
        <f>'1.2 Budgeted Enrollment YR1'!E81</f>
        <v>Rooted Charter School</v>
      </c>
      <c r="C86" s="536">
        <f>'1.2 Budgeted Enrollment YR1'!G81</f>
        <v>180</v>
      </c>
      <c r="D86" s="540">
        <f>'2.3 Statewide Base Funding YR1'!E85</f>
        <v>1616580</v>
      </c>
      <c r="E86" s="148">
        <f>'2.4 District Size Adj. YR1'!G177</f>
        <v>0</v>
      </c>
      <c r="F86" s="147">
        <f>'2.5 NCEI Adj. YR1'!J79</f>
        <v>0</v>
      </c>
      <c r="G86" s="552">
        <f>D86+E86+F86</f>
        <v>1616580</v>
      </c>
      <c r="H86" s="595">
        <f t="shared" ref="H86" si="6">IF(C86=0,0,G86/C86)</f>
        <v>8981</v>
      </c>
    </row>
    <row r="87" spans="2:8" x14ac:dyDescent="0.3">
      <c r="B87" s="10" t="str">
        <f>'1.2 Budgeted Enrollment YR1'!E82</f>
        <v>Sage Collegiate Academy</v>
      </c>
      <c r="C87" s="536">
        <f>'1.2 Budgeted Enrollment YR1'!G82</f>
        <v>198.87805865204777</v>
      </c>
      <c r="D87" s="540">
        <f>'2.3 Statewide Base Funding YR1'!E86</f>
        <v>1786123.8447540409</v>
      </c>
      <c r="E87" s="148">
        <f>'2.4 District Size Adj. YR1'!G178</f>
        <v>0</v>
      </c>
      <c r="F87" s="147">
        <f>'2.5 NCEI Adj. YR1'!J80</f>
        <v>0</v>
      </c>
      <c r="G87" s="552">
        <f t="shared" si="4"/>
        <v>1786123.8447540409</v>
      </c>
      <c r="H87" s="595">
        <f t="shared" si="5"/>
        <v>8981</v>
      </c>
    </row>
    <row r="88" spans="2:8" x14ac:dyDescent="0.3">
      <c r="B88" s="10" t="str">
        <f>'1.2 Budgeted Enrollment YR1'!E83</f>
        <v>Sierra Nevada Academy Charter</v>
      </c>
      <c r="C88" s="536">
        <f>'1.2 Budgeted Enrollment YR1'!G83</f>
        <v>323.96493651869849</v>
      </c>
      <c r="D88" s="540">
        <f>'2.3 Statewide Base Funding YR1'!E87</f>
        <v>2909529.0948744314</v>
      </c>
      <c r="E88" s="148">
        <f>'2.4 District Size Adj. YR1'!G179</f>
        <v>229774.58008934249</v>
      </c>
      <c r="F88" s="147">
        <f>'2.5 NCEI Adj. YR1'!J81</f>
        <v>0</v>
      </c>
      <c r="G88" s="552">
        <f t="shared" si="4"/>
        <v>3139303.6749637737</v>
      </c>
      <c r="H88" s="595">
        <f t="shared" si="5"/>
        <v>9690.2575590385859</v>
      </c>
    </row>
    <row r="89" spans="2:8" x14ac:dyDescent="0.3">
      <c r="B89" s="10" t="str">
        <f>'1.2 Budgeted Enrollment YR1'!E84</f>
        <v>Signature Preparatory</v>
      </c>
      <c r="C89" s="536">
        <f>'1.2 Budgeted Enrollment YR1'!G84</f>
        <v>973.67545181721823</v>
      </c>
      <c r="D89" s="540">
        <f>'2.3 Statewide Base Funding YR1'!E88</f>
        <v>8744579.2327704374</v>
      </c>
      <c r="E89" s="148">
        <f>'2.4 District Size Adj. YR1'!G180</f>
        <v>0</v>
      </c>
      <c r="F89" s="147">
        <f>'2.5 NCEI Adj. YR1'!J82</f>
        <v>0</v>
      </c>
      <c r="G89" s="552">
        <f t="shared" si="4"/>
        <v>8744579.2327704374</v>
      </c>
      <c r="H89" s="595">
        <f t="shared" si="5"/>
        <v>8981</v>
      </c>
    </row>
    <row r="90" spans="2:8" x14ac:dyDescent="0.3">
      <c r="B90" s="10" t="str">
        <f>'1.2 Budgeted Enrollment YR1'!E85</f>
        <v>Silver Sands Montessori</v>
      </c>
      <c r="C90" s="536">
        <f>'1.2 Budgeted Enrollment YR1'!G85</f>
        <v>240.14749458700001</v>
      </c>
      <c r="D90" s="540">
        <f>'2.3 Statewide Base Funding YR1'!E89</f>
        <v>2156764.6488858471</v>
      </c>
      <c r="E90" s="148">
        <f>'2.4 District Size Adj. YR1'!G181</f>
        <v>0</v>
      </c>
      <c r="F90" s="147">
        <f>'2.5 NCEI Adj. YR1'!J83</f>
        <v>0</v>
      </c>
      <c r="G90" s="552">
        <f t="shared" si="4"/>
        <v>2156764.6488858471</v>
      </c>
      <c r="H90" s="595">
        <f t="shared" si="5"/>
        <v>8981</v>
      </c>
    </row>
    <row r="91" spans="2:8" x14ac:dyDescent="0.3">
      <c r="B91" s="10" t="str">
        <f>'1.2 Budgeted Enrollment YR1'!E86</f>
        <v>Somerset Academy</v>
      </c>
      <c r="C91" s="536">
        <f>'1.2 Budgeted Enrollment YR1'!G86</f>
        <v>9466.1700510654773</v>
      </c>
      <c r="D91" s="540">
        <f>'2.3 Statewide Base Funding YR1'!E90</f>
        <v>85015673.228619054</v>
      </c>
      <c r="E91" s="148">
        <f>'2.4 District Size Adj. YR1'!G182</f>
        <v>0</v>
      </c>
      <c r="F91" s="147">
        <f>'2.5 NCEI Adj. YR1'!J84</f>
        <v>0</v>
      </c>
      <c r="G91" s="552">
        <f t="shared" si="4"/>
        <v>85015673.228619054</v>
      </c>
      <c r="H91" s="595">
        <f t="shared" si="5"/>
        <v>8981</v>
      </c>
    </row>
    <row r="92" spans="2:8" x14ac:dyDescent="0.3">
      <c r="B92" s="10" t="str">
        <f>'1.2 Budgeted Enrollment YR1'!E87</f>
        <v>Southern Nevada Trade High School</v>
      </c>
      <c r="C92" s="536">
        <f>'1.2 Budgeted Enrollment YR1'!G87</f>
        <v>200</v>
      </c>
      <c r="D92" s="540">
        <f>'2.3 Statewide Base Funding YR1'!E91</f>
        <v>1796200</v>
      </c>
      <c r="E92" s="148">
        <f>'2.4 District Size Adj. YR1'!G183</f>
        <v>0</v>
      </c>
      <c r="F92" s="147">
        <f>'2.5 NCEI Adj. YR1'!J85</f>
        <v>0</v>
      </c>
      <c r="G92" s="552">
        <f t="shared" ref="G92" si="7">D92+E92+F92</f>
        <v>1796200</v>
      </c>
      <c r="H92" s="595">
        <f t="shared" ref="H92" si="8">IF(C92=0,0,G92/C92)</f>
        <v>8981</v>
      </c>
    </row>
    <row r="93" spans="2:8" x14ac:dyDescent="0.3">
      <c r="B93" s="10" t="str">
        <f>'1.2 Budgeted Enrollment YR1'!E88</f>
        <v>Sports Leadership and Management Academy</v>
      </c>
      <c r="C93" s="536">
        <f>'1.2 Budgeted Enrollment YR1'!G88</f>
        <v>1786.2260441729454</v>
      </c>
      <c r="D93" s="540">
        <f>'2.3 Statewide Base Funding YR1'!E92</f>
        <v>16042096.102717223</v>
      </c>
      <c r="E93" s="148">
        <f>'2.4 District Size Adj. YR1'!G184</f>
        <v>0</v>
      </c>
      <c r="F93" s="147">
        <f>'2.5 NCEI Adj. YR1'!J86</f>
        <v>0</v>
      </c>
      <c r="G93" s="552">
        <f t="shared" si="4"/>
        <v>16042096.102717223</v>
      </c>
      <c r="H93" s="595">
        <f t="shared" si="5"/>
        <v>8981</v>
      </c>
    </row>
    <row r="94" spans="2:8" x14ac:dyDescent="0.3">
      <c r="B94" s="10" t="str">
        <f>'1.2 Budgeted Enrollment YR1'!E89</f>
        <v>Strong Start Academy</v>
      </c>
      <c r="C94" s="536">
        <f>'1.2 Budgeted Enrollment YR1'!G89</f>
        <v>80.630345170274907</v>
      </c>
      <c r="D94" s="540">
        <f>'2.3 Statewide Base Funding YR1'!E93</f>
        <v>724141.12997423892</v>
      </c>
      <c r="E94" s="148">
        <f>'2.4 District Size Adj. YR1'!G185</f>
        <v>0</v>
      </c>
      <c r="F94" s="147">
        <f>'2.5 NCEI Adj. YR1'!J87</f>
        <v>0</v>
      </c>
      <c r="G94" s="552">
        <f t="shared" si="4"/>
        <v>724141.12997423892</v>
      </c>
      <c r="H94" s="595">
        <f t="shared" si="5"/>
        <v>8981</v>
      </c>
    </row>
    <row r="95" spans="2:8" x14ac:dyDescent="0.3">
      <c r="B95" s="10" t="str">
        <f>'1.2 Budgeted Enrollment YR1'!E90</f>
        <v>TEACH Las Vegas</v>
      </c>
      <c r="C95" s="536">
        <f>'1.2 Budgeted Enrollment YR1'!G90</f>
        <v>320.98389146971647</v>
      </c>
      <c r="D95" s="540">
        <f>'2.3 Statewide Base Funding YR1'!E94</f>
        <v>2882756.3292895234</v>
      </c>
      <c r="E95" s="148">
        <f>'2.4 District Size Adj. YR1'!G186</f>
        <v>0</v>
      </c>
      <c r="F95" s="147">
        <f>'2.5 NCEI Adj. YR1'!J88</f>
        <v>0</v>
      </c>
      <c r="G95" s="552">
        <f t="shared" si="4"/>
        <v>2882756.3292895234</v>
      </c>
      <c r="H95" s="595">
        <f t="shared" si="5"/>
        <v>8981</v>
      </c>
    </row>
    <row r="96" spans="2:8" x14ac:dyDescent="0.3">
      <c r="B96" s="10" t="str">
        <f>'1.2 Budgeted Enrollment YR1'!E91</f>
        <v>Young Women's Leadership Academy</v>
      </c>
      <c r="C96" s="536">
        <f>'1.2 Budgeted Enrollment YR1'!G91</f>
        <v>56.356771471000002</v>
      </c>
      <c r="D96" s="540">
        <f>'2.3 Statewide Base Funding YR1'!E95</f>
        <v>506140.16458105104</v>
      </c>
      <c r="E96" s="148">
        <f>'2.4 District Size Adj. YR1'!G187</f>
        <v>0</v>
      </c>
      <c r="F96" s="147">
        <f>'2.5 NCEI Adj. YR1'!J89</f>
        <v>0</v>
      </c>
      <c r="G96" s="552">
        <f>D96+E96+F96</f>
        <v>506140.16458105104</v>
      </c>
      <c r="H96" s="595">
        <f>IF(C96=0,0,G96/C96)</f>
        <v>8981</v>
      </c>
    </row>
    <row r="97" spans="1:8" s="4" customFormat="1" x14ac:dyDescent="0.3">
      <c r="A97" s="427"/>
      <c r="B97" s="427" t="s">
        <v>63</v>
      </c>
      <c r="C97" s="606">
        <f>SUM(C37:C96)</f>
        <v>69003.49592143159</v>
      </c>
      <c r="D97" s="607">
        <f>SUM(D37:D96)</f>
        <v>619720396.87037718</v>
      </c>
      <c r="E97" s="562">
        <f>SUM(E37:E96)</f>
        <v>2140744.5161799784</v>
      </c>
      <c r="F97" s="608">
        <f>SUM(F37:F96)</f>
        <v>0</v>
      </c>
      <c r="G97" s="605">
        <f>SUM(G37:G96)</f>
        <v>621861141.38655722</v>
      </c>
      <c r="H97" s="608">
        <f>G97/C97</f>
        <v>9012.0237110104918</v>
      </c>
    </row>
    <row r="98" spans="1:8" x14ac:dyDescent="0.3">
      <c r="G98" s="12"/>
      <c r="H98" s="12"/>
    </row>
    <row r="99" spans="1:8" x14ac:dyDescent="0.3">
      <c r="A99" s="181" t="s">
        <v>1256</v>
      </c>
      <c r="B99" s="183"/>
      <c r="C99" s="183"/>
      <c r="D99" s="183"/>
      <c r="E99" s="183"/>
      <c r="F99" s="183"/>
      <c r="G99" s="183"/>
      <c r="H99" s="183"/>
    </row>
    <row r="100" spans="1:8" x14ac:dyDescent="0.3">
      <c r="A100" s="683"/>
      <c r="B100" s="307" t="str">
        <f>'1.2 Budgeted Enrollment YR1'!E96</f>
        <v>Davidson Academy</v>
      </c>
      <c r="C100" s="729">
        <f>'1.2 Budgeted Enrollment YR1'!G96</f>
        <v>162.04408445225002</v>
      </c>
      <c r="D100" s="1069">
        <f>'2.3 Statewide Base Funding YR1'!E99</f>
        <v>1455317.9224656573</v>
      </c>
      <c r="E100" s="729">
        <f>'2.4 District Size Adj. YR1'!G192</f>
        <v>0</v>
      </c>
      <c r="F100" s="1069">
        <f>'2.5 NCEI Adj. YR1'!J93</f>
        <v>0</v>
      </c>
      <c r="G100" s="1070">
        <f>D100+E100+F100</f>
        <v>1455317.9224656573</v>
      </c>
      <c r="H100" s="1071">
        <f>IF(C100=0,0,G100/C100)</f>
        <v>8981</v>
      </c>
    </row>
    <row r="101" spans="1:8" x14ac:dyDescent="0.3">
      <c r="A101" s="195"/>
      <c r="B101" s="183"/>
      <c r="C101" s="726"/>
      <c r="D101" s="726"/>
      <c r="E101" s="726"/>
      <c r="F101" s="726"/>
      <c r="G101" s="1072"/>
      <c r="H101" s="1073"/>
    </row>
    <row r="102" spans="1:8" s="4" customFormat="1" x14ac:dyDescent="0.3">
      <c r="A102" s="425"/>
      <c r="B102" s="427"/>
      <c r="C102" s="1074">
        <f>SUM(C100:C101)</f>
        <v>162.04408445225002</v>
      </c>
      <c r="D102" s="1074">
        <f t="shared" ref="D102:H102" si="9">SUM(D100:D101)</f>
        <v>1455317.9224656573</v>
      </c>
      <c r="E102" s="1074">
        <f t="shared" si="9"/>
        <v>0</v>
      </c>
      <c r="F102" s="1074">
        <f t="shared" si="9"/>
        <v>0</v>
      </c>
      <c r="G102" s="1074">
        <f t="shared" si="9"/>
        <v>1455317.9224656573</v>
      </c>
      <c r="H102" s="740">
        <f t="shared" si="9"/>
        <v>8981</v>
      </c>
    </row>
  </sheetData>
  <sheetProtection algorithmName="SHA-512" hashValue="SduXHo+kAXS9lpaV1K4BmC7yVW8Y47aqXTcunf44gA8Ut85hdPzNwu4LqGdj72hVm7CT0fEzmI2RKbNTUpakGA==" saltValue="BlwPmi+nr/pqG9/bGSWwuA==" spinCount="100000" sheet="1" objects="1" scenarios="1"/>
  <customSheetViews>
    <customSheetView guid="{92EB2B16-3546-4CC6-AF3A-0019867B62A7}" scale="70" fitToPage="1">
      <pane xSplit="2" ySplit="12" topLeftCell="C13" activePane="bottomRight" state="frozen"/>
      <selection pane="bottomRight" activeCell="L43" sqref="L43"/>
      <rowBreaks count="1" manualBreakCount="1">
        <brk id="32" max="16383" man="1"/>
      </rowBreaks>
      <pageMargins left="0.7" right="0.7" top="0.75" bottom="0.75" header="0.3" footer="0.3"/>
      <pageSetup paperSize="3" scale="67" fitToHeight="0"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70" showPageBreaks="1" fitToPage="1">
      <pane xSplit="2" ySplit="12" topLeftCell="G13" activePane="bottomRight" state="frozen"/>
      <selection pane="bottomRight" activeCell="A4" sqref="A4"/>
      <rowBreaks count="1" manualBreakCount="1">
        <brk id="32" max="16383" man="1"/>
      </rowBreaks>
      <pageMargins left="0.7" right="0.7" top="0.75" bottom="0.75" header="0.3" footer="0.3"/>
      <pageSetup paperSize="3" scale="67" fitToHeight="0"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70" showPageBreaks="1" fitToPage="1">
      <pane xSplit="2" ySplit="12" topLeftCell="G13" activePane="bottomRight" state="frozen"/>
      <selection pane="bottomRight" activeCell="A4" sqref="A4"/>
      <rowBreaks count="1" manualBreakCount="1">
        <brk id="32" max="16383" man="1"/>
      </rowBreaks>
      <pageMargins left="0.7" right="0.7" top="0.75" bottom="0.75" header="0.3" footer="0.3"/>
      <pageSetup paperSize="3" scale="67" fitToHeight="0" orientation="landscape" r:id="rId3"/>
      <headerFooter>
        <oddHeader>&amp;R&amp;"Arial Narrow,Regular"&amp;10&amp;A
&amp;P</oddHeader>
        <oddFooter>&amp;L&amp;"Arial Narrow,Regular"&amp;10This is a draft document. It is intended for discussion purposes only.&amp;R&amp;G</oddFooter>
      </headerFooter>
    </customSheetView>
  </customSheetViews>
  <mergeCells count="2">
    <mergeCell ref="D8:H8"/>
    <mergeCell ref="D9:H9"/>
  </mergeCells>
  <pageMargins left="0.7" right="0.7" top="0.75" bottom="0.75" header="0.3" footer="0.3"/>
  <pageSetup paperSize="3" scale="71" fitToHeight="0" orientation="landscape" r:id="rId4"/>
  <headerFooter>
    <oddHeader>&amp;R&amp;"Arial Narrow,Regular"&amp;10&amp;A
&amp;P</oddHeader>
  </headerFooter>
  <rowBreaks count="2" manualBreakCount="2">
    <brk id="35" max="16383" man="1"/>
    <brk id="78"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3322B-6BC3-41E0-8357-C122B65C86B6}">
  <sheetPr codeName="Sheet302">
    <tabColor theme="6"/>
    <pageSetUpPr autoPageBreaks="0"/>
  </sheetPr>
  <dimension ref="A1:AJ105"/>
  <sheetViews>
    <sheetView zoomScale="85" zoomScaleNormal="85" workbookViewId="0">
      <selection activeCell="Q11" sqref="Q11"/>
    </sheetView>
  </sheetViews>
  <sheetFormatPr defaultColWidth="9" defaultRowHeight="16.5" x14ac:dyDescent="0.3"/>
  <cols>
    <col min="1" max="1" width="7" style="10" customWidth="1"/>
    <col min="2" max="2" width="38.42578125" style="10" bestFit="1" customWidth="1"/>
    <col min="3" max="3" width="32.7109375" style="22" customWidth="1"/>
    <col min="4" max="5" width="17" style="10" bestFit="1" customWidth="1"/>
    <col min="6" max="6" width="3.140625" style="10" bestFit="1" customWidth="1"/>
    <col min="7" max="7" width="32.7109375" style="22" bestFit="1" customWidth="1"/>
    <col min="8" max="9" width="16.85546875" style="10" bestFit="1" customWidth="1"/>
    <col min="10" max="10" width="2.85546875" style="10" customWidth="1"/>
    <col min="11" max="11" width="36.7109375" style="27" customWidth="1"/>
    <col min="12" max="12" width="16.85546875" style="11" bestFit="1" customWidth="1"/>
    <col min="13" max="13" width="16.85546875" style="10" bestFit="1" customWidth="1"/>
    <col min="14" max="14" width="2.7109375" style="10" customWidth="1"/>
    <col min="15" max="36" width="9" style="10" customWidth="1"/>
    <col min="37" max="16384" width="9" style="10"/>
  </cols>
  <sheetData>
    <row r="1" spans="1:36" s="4" customFormat="1" x14ac:dyDescent="0.3">
      <c r="A1" s="4" t="s">
        <v>602</v>
      </c>
      <c r="C1" s="17"/>
    </row>
    <row r="2" spans="1:36" x14ac:dyDescent="0.3">
      <c r="A2" s="10" t="str">
        <f>CONCATENATE("Pupil Center Funding Plan | FY",'1.1 Assumption Control YR1'!D5)</f>
        <v>Pupil Center Funding Plan | FY2024</v>
      </c>
      <c r="C2" s="17"/>
      <c r="D2" s="4"/>
      <c r="E2" s="4"/>
      <c r="F2" s="4" t="s">
        <v>733</v>
      </c>
      <c r="G2" s="443" t="s">
        <v>1343</v>
      </c>
      <c r="H2" s="434"/>
      <c r="I2" s="445"/>
      <c r="J2" s="4"/>
      <c r="K2" s="4" t="s">
        <v>1353</v>
      </c>
      <c r="L2" s="4"/>
      <c r="M2" s="4"/>
    </row>
    <row r="3" spans="1:36" x14ac:dyDescent="0.3">
      <c r="A3" s="10" t="s">
        <v>1268</v>
      </c>
      <c r="C3" s="17"/>
      <c r="D3" s="4"/>
      <c r="E3" s="4"/>
      <c r="F3" s="4"/>
      <c r="G3" s="670"/>
      <c r="H3" s="4" t="s">
        <v>1342</v>
      </c>
      <c r="I3" s="421" t="s">
        <v>1088</v>
      </c>
      <c r="J3" s="4"/>
      <c r="K3" s="4"/>
      <c r="L3" s="4"/>
      <c r="M3" s="4"/>
    </row>
    <row r="4" spans="1:36" x14ac:dyDescent="0.3">
      <c r="C4" s="17"/>
      <c r="D4" s="4"/>
      <c r="E4" s="4"/>
      <c r="F4" s="4"/>
      <c r="G4" s="662" t="s">
        <v>1184</v>
      </c>
      <c r="H4" s="669">
        <v>0.5</v>
      </c>
      <c r="I4" s="661">
        <f>D11-H4</f>
        <v>-4.9999999999999989E-2</v>
      </c>
      <c r="J4" s="4"/>
      <c r="K4" s="4"/>
      <c r="L4" s="4"/>
      <c r="M4" s="4"/>
    </row>
    <row r="5" spans="1:36" s="4" customFormat="1" ht="17.25" thickBot="1" x14ac:dyDescent="0.35">
      <c r="B5" s="87"/>
      <c r="C5" s="17" t="s">
        <v>92</v>
      </c>
      <c r="D5" s="17" t="s">
        <v>93</v>
      </c>
      <c r="E5" s="18" t="s">
        <v>94</v>
      </c>
      <c r="F5" s="10"/>
      <c r="G5" s="662" t="s">
        <v>1185</v>
      </c>
      <c r="H5" s="669">
        <v>0.3</v>
      </c>
      <c r="I5" s="661">
        <f>H11-H5</f>
        <v>4.9999999999999989E-2</v>
      </c>
      <c r="J5" s="10"/>
      <c r="K5" s="10"/>
      <c r="L5" s="10"/>
      <c r="M5" s="10"/>
      <c r="N5" s="17"/>
      <c r="O5" s="17"/>
      <c r="P5" s="17"/>
      <c r="Q5" s="17"/>
      <c r="R5" s="17"/>
      <c r="S5" s="17"/>
      <c r="T5" s="17"/>
      <c r="U5" s="17"/>
      <c r="V5" s="17"/>
      <c r="W5" s="17"/>
      <c r="X5" s="17"/>
      <c r="Y5" s="17"/>
      <c r="Z5" s="17"/>
      <c r="AA5" s="17"/>
      <c r="AB5" s="17"/>
      <c r="AC5" s="17"/>
      <c r="AD5" s="17"/>
      <c r="AE5" s="17"/>
      <c r="AF5" s="17"/>
      <c r="AG5" s="17"/>
      <c r="AH5" s="17"/>
      <c r="AI5" s="17"/>
      <c r="AJ5" s="17"/>
    </row>
    <row r="6" spans="1:36" ht="18" thickTop="1" thickBot="1" x14ac:dyDescent="0.35">
      <c r="B6" s="17" t="s">
        <v>930</v>
      </c>
      <c r="C6" s="50">
        <f>'2.6 Adj. Base Summary YR1'!E6</f>
        <v>419963145.55635715</v>
      </c>
      <c r="D6" s="51">
        <f>E37+I37+M37</f>
        <v>419959911.85000002</v>
      </c>
      <c r="E6" s="113">
        <f>C6-D6</f>
        <v>3233.7063571214676</v>
      </c>
      <c r="F6" s="10" t="s">
        <v>734</v>
      </c>
      <c r="G6" s="662" t="s">
        <v>1186</v>
      </c>
      <c r="H6" s="1196">
        <v>0.14000000000000001</v>
      </c>
      <c r="I6" s="661">
        <v>0</v>
      </c>
      <c r="K6" s="4" t="s">
        <v>1807</v>
      </c>
      <c r="L6" s="10"/>
    </row>
    <row r="7" spans="1:36" ht="17.25" thickTop="1" x14ac:dyDescent="0.3">
      <c r="C7" s="23"/>
      <c r="D7" s="17"/>
      <c r="E7" s="17"/>
      <c r="F7" s="17"/>
      <c r="G7" s="23"/>
      <c r="H7" s="17"/>
      <c r="I7" s="17"/>
      <c r="J7" s="17"/>
      <c r="K7" s="26"/>
      <c r="L7" s="18"/>
      <c r="M7" s="17"/>
    </row>
    <row r="8" spans="1:36" x14ac:dyDescent="0.3">
      <c r="C8" s="453" t="s">
        <v>931</v>
      </c>
      <c r="D8" s="454"/>
      <c r="E8" s="455"/>
      <c r="G8" s="169" t="s">
        <v>932</v>
      </c>
      <c r="H8" s="172"/>
      <c r="I8" s="173"/>
      <c r="K8" s="169" t="s">
        <v>933</v>
      </c>
      <c r="L8" s="172"/>
      <c r="M8" s="173"/>
    </row>
    <row r="9" spans="1:36" x14ac:dyDescent="0.3">
      <c r="C9" s="145" t="s">
        <v>864</v>
      </c>
      <c r="D9" s="65">
        <f>'1.2 Budgeted Enrollment YR1'!H28</f>
        <v>52678</v>
      </c>
      <c r="E9" s="142" t="s">
        <v>856</v>
      </c>
      <c r="G9" s="145" t="s">
        <v>865</v>
      </c>
      <c r="H9" s="65">
        <f>'1.2 Budgeted Enrollment YR1'!I28</f>
        <v>63325</v>
      </c>
      <c r="I9" s="142" t="s">
        <v>856</v>
      </c>
      <c r="K9" s="141" t="s">
        <v>890</v>
      </c>
      <c r="L9" s="544">
        <f>'1.2 Budgeted Enrollment YR1'!J28</f>
        <v>7434</v>
      </c>
      <c r="M9" s="142" t="s">
        <v>856</v>
      </c>
    </row>
    <row r="10" spans="1:36" x14ac:dyDescent="0.3">
      <c r="B10" s="17"/>
      <c r="C10" s="191" t="s">
        <v>891</v>
      </c>
      <c r="D10" s="208">
        <f>'1.1 Assumption Control YR1'!E41</f>
        <v>4041.4500000000003</v>
      </c>
      <c r="E10" s="142" t="s">
        <v>897</v>
      </c>
      <c r="G10" s="191" t="s">
        <v>892</v>
      </c>
      <c r="H10" s="208">
        <f>'1.1 Assumption Control YR1'!E42</f>
        <v>3143.35</v>
      </c>
      <c r="I10" s="142" t="s">
        <v>897</v>
      </c>
      <c r="K10" s="191" t="s">
        <v>893</v>
      </c>
      <c r="L10" s="208">
        <f>'1.1 Assumption Control YR1'!E43</f>
        <v>1077.72</v>
      </c>
      <c r="M10" s="142" t="s">
        <v>897</v>
      </c>
    </row>
    <row r="11" spans="1:36" x14ac:dyDescent="0.3">
      <c r="B11" s="17"/>
      <c r="C11" s="166" t="s">
        <v>1131</v>
      </c>
      <c r="D11" s="543">
        <f>'1.1 Assumption Control YR1'!D41</f>
        <v>0.45</v>
      </c>
      <c r="E11" s="447" t="s">
        <v>897</v>
      </c>
      <c r="G11" s="166" t="s">
        <v>1131</v>
      </c>
      <c r="H11" s="543">
        <f>'1.1 Assumption Control YR1'!D42</f>
        <v>0.35</v>
      </c>
      <c r="I11" s="447" t="s">
        <v>897</v>
      </c>
      <c r="K11" s="166" t="s">
        <v>1131</v>
      </c>
      <c r="L11" s="543">
        <f>'1.1 Assumption Control YR1'!D43</f>
        <v>0.12</v>
      </c>
      <c r="M11" s="447" t="s">
        <v>897</v>
      </c>
    </row>
    <row r="12" spans="1:36" x14ac:dyDescent="0.3">
      <c r="B12" s="17"/>
      <c r="C12" s="191"/>
      <c r="D12" s="180"/>
      <c r="E12" s="143"/>
      <c r="G12" s="191"/>
      <c r="H12" s="180"/>
      <c r="I12" s="143"/>
      <c r="K12" s="123" t="s">
        <v>984</v>
      </c>
      <c r="L12" s="180"/>
      <c r="M12" s="143"/>
    </row>
    <row r="13" spans="1:36" x14ac:dyDescent="0.3">
      <c r="C13" s="131" t="s">
        <v>986</v>
      </c>
      <c r="D13" s="117" t="s">
        <v>95</v>
      </c>
      <c r="E13" s="124"/>
      <c r="G13" s="131" t="s">
        <v>983</v>
      </c>
      <c r="H13" s="117" t="s">
        <v>97</v>
      </c>
      <c r="I13" s="124"/>
      <c r="K13" s="131" t="s">
        <v>866</v>
      </c>
      <c r="L13" s="117" t="s">
        <v>99</v>
      </c>
      <c r="M13" s="124"/>
    </row>
    <row r="14" spans="1:36" s="134" customFormat="1" x14ac:dyDescent="0.3">
      <c r="A14" s="10"/>
      <c r="B14" s="10"/>
      <c r="C14" s="131" t="s">
        <v>866</v>
      </c>
      <c r="D14" s="119" t="s">
        <v>96</v>
      </c>
      <c r="E14" s="120" t="s">
        <v>95</v>
      </c>
      <c r="F14" s="10"/>
      <c r="G14" s="131" t="s">
        <v>866</v>
      </c>
      <c r="H14" s="119" t="s">
        <v>98</v>
      </c>
      <c r="I14" s="120" t="s">
        <v>97</v>
      </c>
      <c r="J14" s="10"/>
      <c r="K14" s="131" t="s">
        <v>985</v>
      </c>
      <c r="L14" s="119" t="s">
        <v>98</v>
      </c>
      <c r="M14" s="120" t="s">
        <v>99</v>
      </c>
    </row>
    <row r="15" spans="1:36" x14ac:dyDescent="0.3">
      <c r="A15" s="4"/>
      <c r="C15" s="144"/>
      <c r="D15" s="119" t="s">
        <v>934</v>
      </c>
      <c r="E15" s="120" t="s">
        <v>96</v>
      </c>
      <c r="G15" s="131" t="s">
        <v>985</v>
      </c>
      <c r="H15" s="119" t="s">
        <v>934</v>
      </c>
      <c r="I15" s="120" t="s">
        <v>98</v>
      </c>
      <c r="K15" s="131" t="s">
        <v>1858</v>
      </c>
      <c r="L15" s="119" t="s">
        <v>19</v>
      </c>
      <c r="M15" s="120" t="s">
        <v>98</v>
      </c>
    </row>
    <row r="16" spans="1:36" x14ac:dyDescent="0.3">
      <c r="A16" s="498"/>
      <c r="B16" s="499" t="s">
        <v>879</v>
      </c>
      <c r="C16" s="500" t="s">
        <v>856</v>
      </c>
      <c r="D16" s="501" t="s">
        <v>935</v>
      </c>
      <c r="E16" s="502" t="s">
        <v>898</v>
      </c>
      <c r="F16" s="134"/>
      <c r="G16" s="500" t="s">
        <v>856</v>
      </c>
      <c r="H16" s="501" t="s">
        <v>936</v>
      </c>
      <c r="I16" s="502" t="s">
        <v>917</v>
      </c>
      <c r="J16" s="134"/>
      <c r="K16" s="500" t="s">
        <v>856</v>
      </c>
      <c r="L16" s="501" t="s">
        <v>937</v>
      </c>
      <c r="M16" s="502" t="s">
        <v>918</v>
      </c>
    </row>
    <row r="17" spans="1:13" x14ac:dyDescent="0.3">
      <c r="A17" s="427" t="s">
        <v>87</v>
      </c>
      <c r="B17" s="341"/>
      <c r="C17" s="503"/>
      <c r="D17" s="428"/>
      <c r="E17" s="497"/>
      <c r="G17" s="503"/>
      <c r="H17" s="428"/>
      <c r="I17" s="497"/>
      <c r="K17" s="503"/>
      <c r="L17" s="428"/>
      <c r="M17" s="497"/>
    </row>
    <row r="18" spans="1:13" x14ac:dyDescent="0.3">
      <c r="B18" s="143" t="str">
        <f>'1.2 Budgeted Enrollment YR1'!E9</f>
        <v>Carson City</v>
      </c>
      <c r="C18" s="545">
        <f>'1.2 Budgeted Enrollment YR1'!H9</f>
        <v>719</v>
      </c>
      <c r="D18" s="208">
        <f>$D$10</f>
        <v>4041.4500000000003</v>
      </c>
      <c r="E18" s="595">
        <f>C18*D18</f>
        <v>2905802.5500000003</v>
      </c>
      <c r="G18" s="545">
        <f>'1.2 Budgeted Enrollment YR1'!I9</f>
        <v>289</v>
      </c>
      <c r="H18" s="208">
        <f t="shared" ref="H18:H35" si="0">$H$10</f>
        <v>3143.35</v>
      </c>
      <c r="I18" s="595">
        <f>G18*H18</f>
        <v>908428.15</v>
      </c>
      <c r="K18" s="545">
        <f>'1.2 Budgeted Enrollment YR1'!J9</f>
        <v>385</v>
      </c>
      <c r="L18" s="208">
        <f t="shared" ref="L18:L36" si="1">$L$10</f>
        <v>1077.72</v>
      </c>
      <c r="M18" s="595">
        <f>L18*K18</f>
        <v>414922.2</v>
      </c>
    </row>
    <row r="19" spans="1:13" x14ac:dyDescent="0.3">
      <c r="B19" s="143" t="str">
        <f>'1.2 Budgeted Enrollment YR1'!E10</f>
        <v>Churchill</v>
      </c>
      <c r="C19" s="545">
        <f>'1.2 Budgeted Enrollment YR1'!H10</f>
        <v>111</v>
      </c>
      <c r="D19" s="208">
        <f>$D$10</f>
        <v>4041.4500000000003</v>
      </c>
      <c r="E19" s="595">
        <f>C19*D19</f>
        <v>448600.95</v>
      </c>
      <c r="G19" s="545">
        <f>'1.2 Budgeted Enrollment YR1'!I10</f>
        <v>177</v>
      </c>
      <c r="H19" s="208">
        <f>$H$10</f>
        <v>3143.35</v>
      </c>
      <c r="I19" s="595">
        <f>G19*H19</f>
        <v>556372.94999999995</v>
      </c>
      <c r="K19" s="545">
        <f>'1.2 Budgeted Enrollment YR1'!J10</f>
        <v>0</v>
      </c>
      <c r="L19" s="208">
        <f>$L$10</f>
        <v>1077.72</v>
      </c>
      <c r="M19" s="595">
        <f t="shared" ref="M19:M36" si="2">L19*K19</f>
        <v>0</v>
      </c>
    </row>
    <row r="20" spans="1:13" x14ac:dyDescent="0.3">
      <c r="B20" s="143" t="str">
        <f>'1.2 Budgeted Enrollment YR1'!E11</f>
        <v>Clark</v>
      </c>
      <c r="C20" s="545">
        <f>'1.2 Budgeted Enrollment YR1'!H11</f>
        <v>37632</v>
      </c>
      <c r="D20" s="208">
        <f t="shared" ref="D20:D36" si="3">$D$10</f>
        <v>4041.4500000000003</v>
      </c>
      <c r="E20" s="595">
        <f>C20*D20</f>
        <v>152087846.40000001</v>
      </c>
      <c r="G20" s="545">
        <f>'1.2 Budgeted Enrollment YR1'!I11</f>
        <v>52674</v>
      </c>
      <c r="H20" s="208">
        <f t="shared" si="0"/>
        <v>3143.35</v>
      </c>
      <c r="I20" s="595">
        <f t="shared" ref="I20:I34" si="4">G20*H20</f>
        <v>165572817.90000001</v>
      </c>
      <c r="K20" s="545">
        <f>'1.2 Budgeted Enrollment YR1'!J11</f>
        <v>4545</v>
      </c>
      <c r="L20" s="208">
        <f t="shared" si="1"/>
        <v>1077.72</v>
      </c>
      <c r="M20" s="595">
        <f t="shared" si="2"/>
        <v>4898237.4000000004</v>
      </c>
    </row>
    <row r="21" spans="1:13" x14ac:dyDescent="0.3">
      <c r="B21" s="143" t="str">
        <f>'1.2 Budgeted Enrollment YR1'!E12</f>
        <v>Douglas</v>
      </c>
      <c r="C21" s="545">
        <f>'1.2 Budgeted Enrollment YR1'!H12</f>
        <v>169</v>
      </c>
      <c r="D21" s="208">
        <f t="shared" si="3"/>
        <v>4041.4500000000003</v>
      </c>
      <c r="E21" s="595">
        <f t="shared" ref="E21:E34" si="5">C21*D21</f>
        <v>683005.05</v>
      </c>
      <c r="G21" s="545">
        <f>'1.2 Budgeted Enrollment YR1'!I12</f>
        <v>171</v>
      </c>
      <c r="H21" s="208">
        <f t="shared" si="0"/>
        <v>3143.35</v>
      </c>
      <c r="I21" s="595">
        <f t="shared" si="4"/>
        <v>537512.85</v>
      </c>
      <c r="K21" s="545">
        <f>'1.2 Budgeted Enrollment YR1'!J12</f>
        <v>46</v>
      </c>
      <c r="L21" s="208">
        <f t="shared" si="1"/>
        <v>1077.72</v>
      </c>
      <c r="M21" s="595">
        <f t="shared" si="2"/>
        <v>49575.12</v>
      </c>
    </row>
    <row r="22" spans="1:13" x14ac:dyDescent="0.3">
      <c r="B22" s="143" t="str">
        <f>'1.2 Budgeted Enrollment YR1'!E13</f>
        <v>Elko</v>
      </c>
      <c r="C22" s="545">
        <f>'1.2 Budgeted Enrollment YR1'!H13</f>
        <v>677</v>
      </c>
      <c r="D22" s="208">
        <f t="shared" si="3"/>
        <v>4041.4500000000003</v>
      </c>
      <c r="E22" s="595">
        <f t="shared" si="5"/>
        <v>2736061.6500000004</v>
      </c>
      <c r="G22" s="545">
        <f>'1.2 Budgeted Enrollment YR1'!I13</f>
        <v>631</v>
      </c>
      <c r="H22" s="208">
        <f t="shared" si="0"/>
        <v>3143.35</v>
      </c>
      <c r="I22" s="595">
        <f t="shared" si="4"/>
        <v>1983453.8499999999</v>
      </c>
      <c r="K22" s="545">
        <f>'1.2 Budgeted Enrollment YR1'!J13</f>
        <v>97</v>
      </c>
      <c r="L22" s="208">
        <f t="shared" si="1"/>
        <v>1077.72</v>
      </c>
      <c r="M22" s="595">
        <f t="shared" si="2"/>
        <v>104538.84</v>
      </c>
    </row>
    <row r="23" spans="1:13" x14ac:dyDescent="0.3">
      <c r="B23" s="143" t="str">
        <f>'1.2 Budgeted Enrollment YR1'!E14</f>
        <v>Esmeralda</v>
      </c>
      <c r="C23" s="545">
        <f>'1.2 Budgeted Enrollment YR1'!H14</f>
        <v>7</v>
      </c>
      <c r="D23" s="208">
        <f t="shared" si="3"/>
        <v>4041.4500000000003</v>
      </c>
      <c r="E23" s="595">
        <f t="shared" si="5"/>
        <v>28290.15</v>
      </c>
      <c r="G23" s="545">
        <f>'1.2 Budgeted Enrollment YR1'!I14</f>
        <v>8</v>
      </c>
      <c r="H23" s="208">
        <f t="shared" si="0"/>
        <v>3143.35</v>
      </c>
      <c r="I23" s="595">
        <f t="shared" si="4"/>
        <v>25146.799999999999</v>
      </c>
      <c r="K23" s="545">
        <f>'1.2 Budgeted Enrollment YR1'!J14</f>
        <v>0</v>
      </c>
      <c r="L23" s="208">
        <f t="shared" si="1"/>
        <v>1077.72</v>
      </c>
      <c r="M23" s="595">
        <f t="shared" si="2"/>
        <v>0</v>
      </c>
    </row>
    <row r="24" spans="1:13" x14ac:dyDescent="0.3">
      <c r="B24" s="143" t="str">
        <f>'1.2 Budgeted Enrollment YR1'!E15</f>
        <v>Eureka</v>
      </c>
      <c r="C24" s="545">
        <f>'1.2 Budgeted Enrollment YR1'!H15</f>
        <v>3</v>
      </c>
      <c r="D24" s="208">
        <f t="shared" si="3"/>
        <v>4041.4500000000003</v>
      </c>
      <c r="E24" s="595">
        <f t="shared" si="5"/>
        <v>12124.35</v>
      </c>
      <c r="G24" s="545">
        <f>'1.2 Budgeted Enrollment YR1'!I15</f>
        <v>4</v>
      </c>
      <c r="H24" s="208">
        <f t="shared" si="0"/>
        <v>3143.35</v>
      </c>
      <c r="I24" s="595">
        <f t="shared" si="4"/>
        <v>12573.4</v>
      </c>
      <c r="K24" s="545">
        <f>'1.2 Budgeted Enrollment YR1'!J15</f>
        <v>0</v>
      </c>
      <c r="L24" s="208">
        <f t="shared" si="1"/>
        <v>1077.72</v>
      </c>
      <c r="M24" s="595">
        <f t="shared" si="2"/>
        <v>0</v>
      </c>
    </row>
    <row r="25" spans="1:13" x14ac:dyDescent="0.3">
      <c r="B25" s="143" t="str">
        <f>'1.2 Budgeted Enrollment YR1'!E16</f>
        <v>Humboldt</v>
      </c>
      <c r="C25" s="545">
        <f>'1.2 Budgeted Enrollment YR1'!H16</f>
        <v>203</v>
      </c>
      <c r="D25" s="208">
        <f t="shared" si="3"/>
        <v>4041.4500000000003</v>
      </c>
      <c r="E25" s="595">
        <f t="shared" si="5"/>
        <v>820414.35000000009</v>
      </c>
      <c r="G25" s="545">
        <f>'1.2 Budgeted Enrollment YR1'!I16</f>
        <v>81</v>
      </c>
      <c r="H25" s="208">
        <f t="shared" si="0"/>
        <v>3143.35</v>
      </c>
      <c r="I25" s="595">
        <f t="shared" si="4"/>
        <v>254611.35</v>
      </c>
      <c r="K25" s="545">
        <f>'1.2 Budgeted Enrollment YR1'!J16</f>
        <v>0</v>
      </c>
      <c r="L25" s="208">
        <f t="shared" si="1"/>
        <v>1077.72</v>
      </c>
      <c r="M25" s="595">
        <f t="shared" si="2"/>
        <v>0</v>
      </c>
    </row>
    <row r="26" spans="1:13" x14ac:dyDescent="0.3">
      <c r="B26" s="143" t="str">
        <f>'1.2 Budgeted Enrollment YR1'!E17</f>
        <v>Lander</v>
      </c>
      <c r="C26" s="545">
        <f>'1.2 Budgeted Enrollment YR1'!H17</f>
        <v>33</v>
      </c>
      <c r="D26" s="208">
        <f t="shared" si="3"/>
        <v>4041.4500000000003</v>
      </c>
      <c r="E26" s="595">
        <f t="shared" si="5"/>
        <v>133367.85</v>
      </c>
      <c r="G26" s="545">
        <f>'1.2 Budgeted Enrollment YR1'!I17</f>
        <v>98</v>
      </c>
      <c r="H26" s="208">
        <f t="shared" si="0"/>
        <v>3143.35</v>
      </c>
      <c r="I26" s="595">
        <f t="shared" si="4"/>
        <v>308048.3</v>
      </c>
      <c r="K26" s="545">
        <f>'1.2 Budgeted Enrollment YR1'!J17</f>
        <v>0</v>
      </c>
      <c r="L26" s="208">
        <f t="shared" si="1"/>
        <v>1077.72</v>
      </c>
      <c r="M26" s="595">
        <f t="shared" si="2"/>
        <v>0</v>
      </c>
    </row>
    <row r="27" spans="1:13" x14ac:dyDescent="0.3">
      <c r="B27" s="143" t="str">
        <f>'1.2 Budgeted Enrollment YR1'!E18</f>
        <v>Lincoln</v>
      </c>
      <c r="C27" s="545">
        <f>'1.2 Budgeted Enrollment YR1'!H18</f>
        <v>6</v>
      </c>
      <c r="D27" s="208">
        <f t="shared" si="3"/>
        <v>4041.4500000000003</v>
      </c>
      <c r="E27" s="595">
        <f t="shared" si="5"/>
        <v>24248.7</v>
      </c>
      <c r="G27" s="545">
        <f>'1.2 Budgeted Enrollment YR1'!I18</f>
        <v>43</v>
      </c>
      <c r="H27" s="208">
        <f t="shared" si="0"/>
        <v>3143.35</v>
      </c>
      <c r="I27" s="595">
        <f t="shared" si="4"/>
        <v>135164.04999999999</v>
      </c>
      <c r="K27" s="545">
        <f>'1.2 Budgeted Enrollment YR1'!J18</f>
        <v>0</v>
      </c>
      <c r="L27" s="208">
        <f t="shared" si="1"/>
        <v>1077.72</v>
      </c>
      <c r="M27" s="595">
        <f t="shared" si="2"/>
        <v>0</v>
      </c>
    </row>
    <row r="28" spans="1:13" x14ac:dyDescent="0.3">
      <c r="B28" s="143" t="str">
        <f>'1.2 Budgeted Enrollment YR1'!E19</f>
        <v>Lyon</v>
      </c>
      <c r="C28" s="545">
        <f>'1.2 Budgeted Enrollment YR1'!H19</f>
        <v>485</v>
      </c>
      <c r="D28" s="208">
        <f t="shared" si="3"/>
        <v>4041.4500000000003</v>
      </c>
      <c r="E28" s="595">
        <f>C28*D28</f>
        <v>1960103.2500000002</v>
      </c>
      <c r="G28" s="545">
        <f>'1.2 Budgeted Enrollment YR1'!I19</f>
        <v>526</v>
      </c>
      <c r="H28" s="208">
        <f t="shared" si="0"/>
        <v>3143.35</v>
      </c>
      <c r="I28" s="595">
        <f t="shared" si="4"/>
        <v>1653402.0999999999</v>
      </c>
      <c r="K28" s="545">
        <f>'1.2 Budgeted Enrollment YR1'!J19</f>
        <v>0</v>
      </c>
      <c r="L28" s="208">
        <f t="shared" si="1"/>
        <v>1077.72</v>
      </c>
      <c r="M28" s="595">
        <f t="shared" si="2"/>
        <v>0</v>
      </c>
    </row>
    <row r="29" spans="1:13" x14ac:dyDescent="0.3">
      <c r="B29" s="143" t="str">
        <f>'1.2 Budgeted Enrollment YR1'!E20</f>
        <v>Mineral</v>
      </c>
      <c r="C29" s="545">
        <f>'1.2 Budgeted Enrollment YR1'!H20</f>
        <v>34</v>
      </c>
      <c r="D29" s="208">
        <f t="shared" si="3"/>
        <v>4041.4500000000003</v>
      </c>
      <c r="E29" s="595">
        <f t="shared" si="5"/>
        <v>137409.30000000002</v>
      </c>
      <c r="G29" s="545">
        <f>'1.2 Budgeted Enrollment YR1'!I20</f>
        <v>52</v>
      </c>
      <c r="H29" s="208">
        <f t="shared" si="0"/>
        <v>3143.35</v>
      </c>
      <c r="I29" s="595">
        <f t="shared" si="4"/>
        <v>163454.19999999998</v>
      </c>
      <c r="K29" s="545">
        <f>'1.2 Budgeted Enrollment YR1'!J20</f>
        <v>0</v>
      </c>
      <c r="L29" s="208">
        <f t="shared" si="1"/>
        <v>1077.72</v>
      </c>
      <c r="M29" s="595">
        <f t="shared" si="2"/>
        <v>0</v>
      </c>
    </row>
    <row r="30" spans="1:13" x14ac:dyDescent="0.3">
      <c r="B30" s="143" t="str">
        <f>'1.2 Budgeted Enrollment YR1'!E21</f>
        <v>Nye</v>
      </c>
      <c r="C30" s="545">
        <f>'1.2 Budgeted Enrollment YR1'!H21</f>
        <v>324</v>
      </c>
      <c r="D30" s="208">
        <f t="shared" si="3"/>
        <v>4041.4500000000003</v>
      </c>
      <c r="E30" s="595">
        <f t="shared" si="5"/>
        <v>1309429.8</v>
      </c>
      <c r="G30" s="545">
        <f>'1.2 Budgeted Enrollment YR1'!I21</f>
        <v>449</v>
      </c>
      <c r="H30" s="208">
        <f t="shared" si="0"/>
        <v>3143.35</v>
      </c>
      <c r="I30" s="595">
        <f t="shared" si="4"/>
        <v>1411364.15</v>
      </c>
      <c r="K30" s="545">
        <f>'1.2 Budgeted Enrollment YR1'!J21</f>
        <v>0</v>
      </c>
      <c r="L30" s="208">
        <f t="shared" si="1"/>
        <v>1077.72</v>
      </c>
      <c r="M30" s="595">
        <f t="shared" si="2"/>
        <v>0</v>
      </c>
    </row>
    <row r="31" spans="1:13" x14ac:dyDescent="0.3">
      <c r="B31" s="143" t="str">
        <f>'1.2 Budgeted Enrollment YR1'!E22</f>
        <v>Pershing</v>
      </c>
      <c r="C31" s="545">
        <f>'1.2 Budgeted Enrollment YR1'!H22</f>
        <v>23</v>
      </c>
      <c r="D31" s="208">
        <f t="shared" si="3"/>
        <v>4041.4500000000003</v>
      </c>
      <c r="E31" s="595">
        <f t="shared" si="5"/>
        <v>92953.35</v>
      </c>
      <c r="G31" s="545">
        <f>'1.2 Budgeted Enrollment YR1'!I22</f>
        <v>39</v>
      </c>
      <c r="H31" s="208">
        <f t="shared" si="0"/>
        <v>3143.35</v>
      </c>
      <c r="I31" s="595">
        <f t="shared" si="4"/>
        <v>122590.65</v>
      </c>
      <c r="K31" s="545">
        <f>'1.2 Budgeted Enrollment YR1'!J22</f>
        <v>0</v>
      </c>
      <c r="L31" s="208">
        <f t="shared" si="1"/>
        <v>1077.72</v>
      </c>
      <c r="M31" s="595">
        <f t="shared" si="2"/>
        <v>0</v>
      </c>
    </row>
    <row r="32" spans="1:13" x14ac:dyDescent="0.3">
      <c r="B32" s="143" t="str">
        <f>'1.2 Budgeted Enrollment YR1'!E23</f>
        <v>Storey</v>
      </c>
      <c r="C32" s="545">
        <f>'1.2 Budgeted Enrollment YR1'!H23</f>
        <v>1</v>
      </c>
      <c r="D32" s="208">
        <f t="shared" si="3"/>
        <v>4041.4500000000003</v>
      </c>
      <c r="E32" s="595">
        <f t="shared" si="5"/>
        <v>4041.4500000000003</v>
      </c>
      <c r="G32" s="545">
        <f>'1.2 Budgeted Enrollment YR1'!I23</f>
        <v>12</v>
      </c>
      <c r="H32" s="208">
        <f t="shared" si="0"/>
        <v>3143.35</v>
      </c>
      <c r="I32" s="595">
        <f t="shared" si="4"/>
        <v>37720.199999999997</v>
      </c>
      <c r="K32" s="545">
        <f>'1.2 Budgeted Enrollment YR1'!J23</f>
        <v>5</v>
      </c>
      <c r="L32" s="208">
        <f t="shared" si="1"/>
        <v>1077.72</v>
      </c>
      <c r="M32" s="595">
        <f t="shared" si="2"/>
        <v>5388.6</v>
      </c>
    </row>
    <row r="33" spans="1:13" x14ac:dyDescent="0.3">
      <c r="B33" s="143" t="str">
        <f>'1.2 Budgeted Enrollment YR1'!E24</f>
        <v>Washoe</v>
      </c>
      <c r="C33" s="545">
        <f>'1.2 Budgeted Enrollment YR1'!H24</f>
        <v>6726</v>
      </c>
      <c r="D33" s="208">
        <f t="shared" si="3"/>
        <v>4041.4500000000003</v>
      </c>
      <c r="E33" s="595">
        <f t="shared" si="5"/>
        <v>27182792.700000003</v>
      </c>
      <c r="G33" s="545">
        <f>'1.2 Budgeted Enrollment YR1'!I24</f>
        <v>4912</v>
      </c>
      <c r="H33" s="208">
        <f t="shared" si="0"/>
        <v>3143.35</v>
      </c>
      <c r="I33" s="595">
        <f t="shared" si="4"/>
        <v>15440135.199999999</v>
      </c>
      <c r="K33" s="545">
        <f>'1.2 Budgeted Enrollment YR1'!J24</f>
        <v>1259</v>
      </c>
      <c r="L33" s="208">
        <f t="shared" si="1"/>
        <v>1077.72</v>
      </c>
      <c r="M33" s="595">
        <f t="shared" si="2"/>
        <v>1356849.48</v>
      </c>
    </row>
    <row r="34" spans="1:13" s="4" customFormat="1" x14ac:dyDescent="0.3">
      <c r="A34" s="10"/>
      <c r="B34" s="143" t="str">
        <f>'1.2 Budgeted Enrollment YR1'!E25</f>
        <v>White Pine</v>
      </c>
      <c r="C34" s="545">
        <f>'1.2 Budgeted Enrollment YR1'!H25</f>
        <v>15</v>
      </c>
      <c r="D34" s="208">
        <f t="shared" si="3"/>
        <v>4041.4500000000003</v>
      </c>
      <c r="E34" s="595">
        <f t="shared" si="5"/>
        <v>60621.750000000007</v>
      </c>
      <c r="F34" s="10"/>
      <c r="G34" s="545">
        <f>'1.2 Budgeted Enrollment YR1'!I25</f>
        <v>109</v>
      </c>
      <c r="H34" s="208">
        <f t="shared" si="0"/>
        <v>3143.35</v>
      </c>
      <c r="I34" s="595">
        <f t="shared" si="4"/>
        <v>342625.14999999997</v>
      </c>
      <c r="J34" s="10"/>
      <c r="K34" s="545">
        <f>'1.2 Budgeted Enrollment YR1'!J25</f>
        <v>0</v>
      </c>
      <c r="L34" s="208">
        <f t="shared" si="1"/>
        <v>1077.72</v>
      </c>
      <c r="M34" s="595">
        <f t="shared" si="2"/>
        <v>0</v>
      </c>
    </row>
    <row r="35" spans="1:13" x14ac:dyDescent="0.3">
      <c r="B35" s="143" t="str">
        <f>'1.2 Budgeted Enrollment YR1'!E26</f>
        <v>Charter Schools (Combined)</v>
      </c>
      <c r="C35" s="545">
        <f>'1.2 Budgeted Enrollment YR1'!H26</f>
        <v>5510</v>
      </c>
      <c r="D35" s="208">
        <f t="shared" si="3"/>
        <v>4041.4500000000003</v>
      </c>
      <c r="E35" s="595">
        <f>C35*D35</f>
        <v>22268389.5</v>
      </c>
      <c r="G35" s="545">
        <f>'1.2 Budgeted Enrollment YR1'!I26</f>
        <v>3050</v>
      </c>
      <c r="H35" s="208">
        <f t="shared" si="0"/>
        <v>3143.35</v>
      </c>
      <c r="I35" s="595">
        <f>G35*H35</f>
        <v>9587217.5</v>
      </c>
      <c r="K35" s="545">
        <f>'1.2 Budgeted Enrollment YR1'!J26</f>
        <v>1097</v>
      </c>
      <c r="L35" s="208">
        <f t="shared" si="1"/>
        <v>1077.72</v>
      </c>
      <c r="M35" s="595">
        <f t="shared" si="2"/>
        <v>1182258.8400000001</v>
      </c>
    </row>
    <row r="36" spans="1:13" x14ac:dyDescent="0.3">
      <c r="B36" s="143" t="str">
        <f>'1.2 Budgeted Enrollment YR1'!E27</f>
        <v>University Schools</v>
      </c>
      <c r="C36" s="545">
        <f>C105</f>
        <v>0</v>
      </c>
      <c r="D36" s="208">
        <f t="shared" si="3"/>
        <v>4041.4500000000003</v>
      </c>
      <c r="E36" s="595">
        <f>E105</f>
        <v>0</v>
      </c>
      <c r="G36" s="545">
        <f>G105</f>
        <v>0</v>
      </c>
      <c r="H36" s="208">
        <f>$H$10</f>
        <v>3143.35</v>
      </c>
      <c r="I36" s="595">
        <f>I105</f>
        <v>0</v>
      </c>
      <c r="K36" s="545">
        <f>K105</f>
        <v>0</v>
      </c>
      <c r="L36" s="208">
        <f t="shared" si="1"/>
        <v>1077.72</v>
      </c>
      <c r="M36" s="595">
        <f t="shared" si="2"/>
        <v>0</v>
      </c>
    </row>
    <row r="37" spans="1:13" x14ac:dyDescent="0.3">
      <c r="A37" s="4"/>
      <c r="B37" s="427" t="s">
        <v>89</v>
      </c>
      <c r="C37" s="599">
        <f>SUM(C18:C36)</f>
        <v>52678</v>
      </c>
      <c r="D37" s="428"/>
      <c r="E37" s="504">
        <f>SUM(E18:E36)</f>
        <v>212895503.10000002</v>
      </c>
      <c r="F37" s="4"/>
      <c r="G37" s="599">
        <f>SUM(G18:G36)</f>
        <v>63325</v>
      </c>
      <c r="H37" s="428"/>
      <c r="I37" s="504">
        <f>SUM(I18:I36)</f>
        <v>199052638.75</v>
      </c>
      <c r="J37" s="4"/>
      <c r="K37" s="599">
        <f>SUM(K18:K36)</f>
        <v>7434</v>
      </c>
      <c r="L37" s="428"/>
      <c r="M37" s="504">
        <f>ROUND(SUM(M18:M36),0)</f>
        <v>8011770</v>
      </c>
    </row>
    <row r="38" spans="1:13" x14ac:dyDescent="0.3">
      <c r="C38" s="1283">
        <f>C37-'1.2 Budgeted Enrollment YR1'!H28</f>
        <v>0</v>
      </c>
      <c r="D38" s="136"/>
      <c r="E38" s="126"/>
      <c r="G38" s="1283">
        <f>G37-'1.2 Budgeted Enrollment YR1'!I28</f>
        <v>0</v>
      </c>
      <c r="H38" s="136"/>
      <c r="I38" s="126"/>
      <c r="K38" s="1283">
        <f>K37-'1.2 Budgeted Enrollment YR1'!J28</f>
        <v>0</v>
      </c>
      <c r="L38" s="136"/>
      <c r="M38" s="126"/>
    </row>
    <row r="39" spans="1:13" x14ac:dyDescent="0.3">
      <c r="A39" s="181" t="s">
        <v>84</v>
      </c>
      <c r="B39" s="183"/>
      <c r="C39" s="195"/>
      <c r="D39" s="183"/>
      <c r="E39" s="213"/>
      <c r="G39" s="195"/>
      <c r="H39" s="183"/>
      <c r="I39" s="213"/>
      <c r="K39" s="195"/>
      <c r="L39" s="183"/>
      <c r="M39" s="213"/>
    </row>
    <row r="40" spans="1:13" x14ac:dyDescent="0.3">
      <c r="B40" s="10" t="str">
        <f>'1.2 Budgeted Enrollment YR1'!E32</f>
        <v>100 Academy Of Excellence</v>
      </c>
      <c r="C40" s="742">
        <f>'1.2 Budgeted Enrollment YR1'!H32</f>
        <v>30</v>
      </c>
      <c r="D40" s="208">
        <f t="shared" ref="D40:D99" si="6">$D$10</f>
        <v>4041.4500000000003</v>
      </c>
      <c r="E40" s="595">
        <f>C40*D40</f>
        <v>121243.50000000001</v>
      </c>
      <c r="G40" s="742">
        <f>'1.2 Budgeted Enrollment YR1'!I32</f>
        <v>161</v>
      </c>
      <c r="H40" s="208">
        <f t="shared" ref="H40:H99" si="7">$H$10</f>
        <v>3143.35</v>
      </c>
      <c r="I40" s="595">
        <f>G40*H40</f>
        <v>506079.35</v>
      </c>
      <c r="K40" s="742">
        <f>'1.2 Budgeted Enrollment YR1'!J32</f>
        <v>0</v>
      </c>
      <c r="L40" s="208">
        <f t="shared" ref="L40:L99" si="8">$L$10</f>
        <v>1077.72</v>
      </c>
      <c r="M40" s="595">
        <f>K40*L40</f>
        <v>0</v>
      </c>
    </row>
    <row r="41" spans="1:13" x14ac:dyDescent="0.3">
      <c r="B41" s="10" t="str">
        <f>'1.2 Budgeted Enrollment YR1'!E33</f>
        <v>Academy For Career Education</v>
      </c>
      <c r="C41" s="545">
        <f>'1.2 Budgeted Enrollment YR1'!H33</f>
        <v>22</v>
      </c>
      <c r="D41" s="208">
        <f t="shared" si="6"/>
        <v>4041.4500000000003</v>
      </c>
      <c r="E41" s="595">
        <f>C41*D41</f>
        <v>88911.900000000009</v>
      </c>
      <c r="G41" s="545">
        <f>'1.2 Budgeted Enrollment YR1'!I33</f>
        <v>2</v>
      </c>
      <c r="H41" s="208">
        <f t="shared" si="7"/>
        <v>3143.35</v>
      </c>
      <c r="I41" s="595">
        <f>G41*H41</f>
        <v>6286.7</v>
      </c>
      <c r="K41" s="545">
        <f>'1.2 Budgeted Enrollment YR1'!J33</f>
        <v>0</v>
      </c>
      <c r="L41" s="208">
        <f t="shared" si="8"/>
        <v>1077.72</v>
      </c>
      <c r="M41" s="595">
        <f>K41*L41</f>
        <v>0</v>
      </c>
    </row>
    <row r="42" spans="1:13" x14ac:dyDescent="0.3">
      <c r="B42" s="10" t="str">
        <f>'1.2 Budgeted Enrollment YR1'!E34</f>
        <v xml:space="preserve">Alpine Academy </v>
      </c>
      <c r="C42" s="545">
        <f>'1.2 Budgeted Enrollment YR1'!H34</f>
        <v>0</v>
      </c>
      <c r="D42" s="208">
        <f t="shared" si="6"/>
        <v>4041.4500000000003</v>
      </c>
      <c r="E42" s="595">
        <f t="shared" ref="E42:E98" si="9">C42*D42</f>
        <v>0</v>
      </c>
      <c r="G42" s="545">
        <f>'1.2 Budgeted Enrollment YR1'!I34</f>
        <v>5</v>
      </c>
      <c r="H42" s="208">
        <f t="shared" si="7"/>
        <v>3143.35</v>
      </c>
      <c r="I42" s="595">
        <f t="shared" ref="I42:I98" si="10">G42*H42</f>
        <v>15716.75</v>
      </c>
      <c r="K42" s="545">
        <f>'1.2 Budgeted Enrollment YR1'!J34</f>
        <v>0</v>
      </c>
      <c r="L42" s="208">
        <f t="shared" si="8"/>
        <v>1077.72</v>
      </c>
      <c r="M42" s="595">
        <f t="shared" ref="M42:M98" si="11">K42*L42</f>
        <v>0</v>
      </c>
    </row>
    <row r="43" spans="1:13" x14ac:dyDescent="0.3">
      <c r="B43" s="10" t="str">
        <f>'1.2 Budgeted Enrollment YR1'!E35</f>
        <v xml:space="preserve">Amplus (Formerly American Preparatory Academy) </v>
      </c>
      <c r="C43" s="545">
        <f>'1.2 Budgeted Enrollment YR1'!H35</f>
        <v>174</v>
      </c>
      <c r="D43" s="208">
        <f t="shared" si="6"/>
        <v>4041.4500000000003</v>
      </c>
      <c r="E43" s="595">
        <f t="shared" si="9"/>
        <v>703212.3</v>
      </c>
      <c r="G43" s="545">
        <f>'1.2 Budgeted Enrollment YR1'!I35</f>
        <v>39</v>
      </c>
      <c r="H43" s="208">
        <f t="shared" si="7"/>
        <v>3143.35</v>
      </c>
      <c r="I43" s="595">
        <f t="shared" si="10"/>
        <v>122590.65</v>
      </c>
      <c r="K43" s="545">
        <f>'1.2 Budgeted Enrollment YR1'!J35</f>
        <v>40</v>
      </c>
      <c r="L43" s="208">
        <f t="shared" si="8"/>
        <v>1077.72</v>
      </c>
      <c r="M43" s="595">
        <f t="shared" si="11"/>
        <v>43108.800000000003</v>
      </c>
    </row>
    <row r="44" spans="1:13" x14ac:dyDescent="0.3">
      <c r="B44" s="10" t="str">
        <f>'1.2 Budgeted Enrollment YR1'!E36</f>
        <v>Bailey Charter School</v>
      </c>
      <c r="C44" s="545">
        <f>'1.2 Budgeted Enrollment YR1'!H36</f>
        <v>75</v>
      </c>
      <c r="D44" s="208">
        <f t="shared" si="6"/>
        <v>4041.4500000000003</v>
      </c>
      <c r="E44" s="595">
        <f t="shared" si="9"/>
        <v>303108.75</v>
      </c>
      <c r="G44" s="545">
        <f>'1.2 Budgeted Enrollment YR1'!I36</f>
        <v>37</v>
      </c>
      <c r="H44" s="208">
        <f t="shared" si="7"/>
        <v>3143.35</v>
      </c>
      <c r="I44" s="595">
        <f t="shared" si="10"/>
        <v>116303.95</v>
      </c>
      <c r="K44" s="545">
        <f>'1.2 Budgeted Enrollment YR1'!J36</f>
        <v>0</v>
      </c>
      <c r="L44" s="208">
        <f t="shared" si="8"/>
        <v>1077.72</v>
      </c>
      <c r="M44" s="595">
        <f t="shared" si="11"/>
        <v>0</v>
      </c>
    </row>
    <row r="45" spans="1:13" x14ac:dyDescent="0.3">
      <c r="B45" s="10" t="str">
        <f>'1.2 Budgeted Enrollment YR1'!E37</f>
        <v>Battle Born Academy</v>
      </c>
      <c r="C45" s="545">
        <f>'1.2 Budgeted Enrollment YR1'!H37</f>
        <v>56</v>
      </c>
      <c r="D45" s="208">
        <f t="shared" si="6"/>
        <v>4041.4500000000003</v>
      </c>
      <c r="E45" s="595">
        <f t="shared" si="9"/>
        <v>226321.2</v>
      </c>
      <c r="G45" s="545">
        <f>'1.2 Budgeted Enrollment YR1'!I37</f>
        <v>0</v>
      </c>
      <c r="H45" s="208">
        <f t="shared" si="7"/>
        <v>3143.35</v>
      </c>
      <c r="I45" s="595">
        <f t="shared" si="10"/>
        <v>0</v>
      </c>
      <c r="K45" s="545">
        <f>'1.2 Budgeted Enrollment YR1'!J37</f>
        <v>0</v>
      </c>
      <c r="L45" s="208">
        <f t="shared" si="8"/>
        <v>1077.72</v>
      </c>
      <c r="M45" s="595">
        <f t="shared" si="11"/>
        <v>0</v>
      </c>
    </row>
    <row r="46" spans="1:13" x14ac:dyDescent="0.3">
      <c r="B46" s="10" t="str">
        <f>'1.2 Budgeted Enrollment YR1'!E38</f>
        <v>Beacon Academy</v>
      </c>
      <c r="C46" s="545">
        <f>'1.2 Budgeted Enrollment YR1'!H38</f>
        <v>56</v>
      </c>
      <c r="D46" s="208">
        <f t="shared" si="6"/>
        <v>4041.4500000000003</v>
      </c>
      <c r="E46" s="595">
        <f t="shared" si="9"/>
        <v>226321.2</v>
      </c>
      <c r="G46" s="545">
        <f>'1.2 Budgeted Enrollment YR1'!I38</f>
        <v>168</v>
      </c>
      <c r="H46" s="208">
        <f t="shared" si="7"/>
        <v>3143.35</v>
      </c>
      <c r="I46" s="595">
        <f t="shared" si="10"/>
        <v>528082.79999999993</v>
      </c>
      <c r="K46" s="545">
        <f>'1.2 Budgeted Enrollment YR1'!J38</f>
        <v>0</v>
      </c>
      <c r="L46" s="208">
        <f t="shared" si="8"/>
        <v>1077.72</v>
      </c>
      <c r="M46" s="595">
        <f t="shared" si="11"/>
        <v>0</v>
      </c>
    </row>
    <row r="47" spans="1:13" x14ac:dyDescent="0.3">
      <c r="B47" s="10" t="str">
        <f>'1.2 Budgeted Enrollment YR1'!E39</f>
        <v>Cactus Park</v>
      </c>
      <c r="C47" s="545">
        <f>'1.2 Budgeted Enrollment YR1'!H39</f>
        <v>22</v>
      </c>
      <c r="D47" s="208">
        <f t="shared" si="6"/>
        <v>4041.4500000000003</v>
      </c>
      <c r="E47" s="595">
        <f t="shared" si="9"/>
        <v>88911.900000000009</v>
      </c>
      <c r="G47" s="545">
        <f>'1.2 Budgeted Enrollment YR1'!I39</f>
        <v>0</v>
      </c>
      <c r="H47" s="208">
        <f t="shared" si="7"/>
        <v>3143.35</v>
      </c>
      <c r="I47" s="595">
        <f t="shared" si="10"/>
        <v>0</v>
      </c>
      <c r="K47" s="545">
        <f>'1.2 Budgeted Enrollment YR1'!J39</f>
        <v>0</v>
      </c>
      <c r="L47" s="208">
        <f t="shared" si="8"/>
        <v>1077.72</v>
      </c>
      <c r="M47" s="595">
        <f t="shared" si="11"/>
        <v>0</v>
      </c>
    </row>
    <row r="48" spans="1:13" x14ac:dyDescent="0.3">
      <c r="B48" s="10" t="str">
        <f>'1.2 Budgeted Enrollment YR1'!E40</f>
        <v>Carson Montessori</v>
      </c>
      <c r="C48" s="545">
        <f>'1.2 Budgeted Enrollment YR1'!H40</f>
        <v>9</v>
      </c>
      <c r="D48" s="208">
        <f t="shared" si="6"/>
        <v>4041.4500000000003</v>
      </c>
      <c r="E48" s="595">
        <f t="shared" si="9"/>
        <v>36373.050000000003</v>
      </c>
      <c r="G48" s="545">
        <f>'1.2 Budgeted Enrollment YR1'!I40</f>
        <v>3</v>
      </c>
      <c r="H48" s="208">
        <f t="shared" si="7"/>
        <v>3143.35</v>
      </c>
      <c r="I48" s="595">
        <f t="shared" si="10"/>
        <v>9430.0499999999993</v>
      </c>
      <c r="K48" s="545">
        <f>'1.2 Budgeted Enrollment YR1'!J40</f>
        <v>0</v>
      </c>
      <c r="L48" s="208">
        <f t="shared" si="8"/>
        <v>1077.72</v>
      </c>
      <c r="M48" s="595">
        <f t="shared" si="11"/>
        <v>0</v>
      </c>
    </row>
    <row r="49" spans="1:13" x14ac:dyDescent="0.3">
      <c r="B49" s="10" t="str">
        <f>'1.2 Budgeted Enrollment YR1'!E41</f>
        <v>CIVICA Nevada Career &amp; Collegiate Academy</v>
      </c>
      <c r="C49" s="545">
        <f>'1.2 Budgeted Enrollment YR1'!H41</f>
        <v>241</v>
      </c>
      <c r="D49" s="208">
        <f t="shared" si="6"/>
        <v>4041.4500000000003</v>
      </c>
      <c r="E49" s="595">
        <f t="shared" si="9"/>
        <v>973989.45000000007</v>
      </c>
      <c r="G49" s="545">
        <f>'1.2 Budgeted Enrollment YR1'!I41</f>
        <v>49</v>
      </c>
      <c r="H49" s="208">
        <f t="shared" si="7"/>
        <v>3143.35</v>
      </c>
      <c r="I49" s="595">
        <f t="shared" si="10"/>
        <v>154024.15</v>
      </c>
      <c r="K49" s="545">
        <f>'1.2 Budgeted Enrollment YR1'!J41</f>
        <v>0</v>
      </c>
      <c r="L49" s="208">
        <f t="shared" si="8"/>
        <v>1077.72</v>
      </c>
      <c r="M49" s="595">
        <f t="shared" si="11"/>
        <v>0</v>
      </c>
    </row>
    <row r="50" spans="1:13" x14ac:dyDescent="0.3">
      <c r="B50" s="10" t="str">
        <f>'1.2 Budgeted Enrollment YR1'!E42</f>
        <v>Coral Academy of Science Las Vegas</v>
      </c>
      <c r="C50" s="545">
        <f>'1.2 Budgeted Enrollment YR1'!H42</f>
        <v>217</v>
      </c>
      <c r="D50" s="208">
        <f t="shared" si="6"/>
        <v>4041.4500000000003</v>
      </c>
      <c r="E50" s="595">
        <f t="shared" si="9"/>
        <v>876994.65</v>
      </c>
      <c r="G50" s="545">
        <f>'1.2 Budgeted Enrollment YR1'!I42</f>
        <v>29</v>
      </c>
      <c r="H50" s="208">
        <f t="shared" si="7"/>
        <v>3143.35</v>
      </c>
      <c r="I50" s="595">
        <f t="shared" si="10"/>
        <v>91157.15</v>
      </c>
      <c r="K50" s="545">
        <f>'1.2 Budgeted Enrollment YR1'!J42</f>
        <v>23</v>
      </c>
      <c r="L50" s="208">
        <f t="shared" si="8"/>
        <v>1077.72</v>
      </c>
      <c r="M50" s="595">
        <f t="shared" si="11"/>
        <v>24787.56</v>
      </c>
    </row>
    <row r="51" spans="1:13" x14ac:dyDescent="0.3">
      <c r="B51" s="10" t="str">
        <f>'1.2 Budgeted Enrollment YR1'!E43</f>
        <v>Coral Academy Washoe</v>
      </c>
      <c r="C51" s="545">
        <f>'1.2 Budgeted Enrollment YR1'!H43</f>
        <v>128</v>
      </c>
      <c r="D51" s="208">
        <f t="shared" si="6"/>
        <v>4041.4500000000003</v>
      </c>
      <c r="E51" s="595">
        <f t="shared" si="9"/>
        <v>517305.60000000003</v>
      </c>
      <c r="G51" s="545">
        <f>'1.2 Budgeted Enrollment YR1'!I43</f>
        <v>42</v>
      </c>
      <c r="H51" s="208">
        <f t="shared" si="7"/>
        <v>3143.35</v>
      </c>
      <c r="I51" s="595">
        <f t="shared" si="10"/>
        <v>132020.69999999998</v>
      </c>
      <c r="K51" s="545">
        <f>'1.2 Budgeted Enrollment YR1'!J43</f>
        <v>4</v>
      </c>
      <c r="L51" s="208">
        <f t="shared" si="8"/>
        <v>1077.72</v>
      </c>
      <c r="M51" s="595">
        <f t="shared" si="11"/>
        <v>4310.88</v>
      </c>
    </row>
    <row r="52" spans="1:13" x14ac:dyDescent="0.3">
      <c r="B52" s="10" t="str">
        <f>'1.2 Budgeted Enrollment YR1'!E44</f>
        <v>Delta Academy</v>
      </c>
      <c r="C52" s="545">
        <f>'1.2 Budgeted Enrollment YR1'!H44</f>
        <v>101</v>
      </c>
      <c r="D52" s="208">
        <f t="shared" si="6"/>
        <v>4041.4500000000003</v>
      </c>
      <c r="E52" s="595">
        <f t="shared" si="9"/>
        <v>408186.45</v>
      </c>
      <c r="G52" s="545">
        <f>'1.2 Budgeted Enrollment YR1'!I44</f>
        <v>332</v>
      </c>
      <c r="H52" s="208">
        <f t="shared" si="7"/>
        <v>3143.35</v>
      </c>
      <c r="I52" s="595">
        <f t="shared" si="10"/>
        <v>1043592.2</v>
      </c>
      <c r="K52" s="545">
        <f>'1.2 Budgeted Enrollment YR1'!J44</f>
        <v>0</v>
      </c>
      <c r="L52" s="208">
        <f t="shared" si="8"/>
        <v>1077.72</v>
      </c>
      <c r="M52" s="595">
        <f t="shared" si="11"/>
        <v>0</v>
      </c>
    </row>
    <row r="53" spans="1:13" s="19" customFormat="1" x14ac:dyDescent="0.3">
      <c r="A53" s="10"/>
      <c r="B53" s="10" t="str">
        <f>'1.2 Budgeted Enrollment YR1'!E45</f>
        <v>Democracy Prep</v>
      </c>
      <c r="C53" s="545">
        <f>'1.2 Budgeted Enrollment YR1'!H45</f>
        <v>108</v>
      </c>
      <c r="D53" s="208">
        <f t="shared" si="6"/>
        <v>4041.4500000000003</v>
      </c>
      <c r="E53" s="595">
        <f t="shared" si="9"/>
        <v>436476.60000000003</v>
      </c>
      <c r="F53" s="10"/>
      <c r="G53" s="545">
        <f>'1.2 Budgeted Enrollment YR1'!I45</f>
        <v>194</v>
      </c>
      <c r="H53" s="208">
        <f t="shared" si="7"/>
        <v>3143.35</v>
      </c>
      <c r="I53" s="595">
        <f t="shared" si="10"/>
        <v>609809.9</v>
      </c>
      <c r="J53" s="10"/>
      <c r="K53" s="545">
        <f>'1.2 Budgeted Enrollment YR1'!J45</f>
        <v>0</v>
      </c>
      <c r="L53" s="208">
        <f t="shared" si="8"/>
        <v>1077.72</v>
      </c>
      <c r="M53" s="595">
        <f t="shared" si="11"/>
        <v>0</v>
      </c>
    </row>
    <row r="54" spans="1:13" x14ac:dyDescent="0.3">
      <c r="B54" s="10" t="str">
        <f>'1.2 Budgeted Enrollment YR1'!E46</f>
        <v>Discovery Charter</v>
      </c>
      <c r="C54" s="545">
        <f>'1.2 Budgeted Enrollment YR1'!H46</f>
        <v>23</v>
      </c>
      <c r="D54" s="208">
        <f t="shared" si="6"/>
        <v>4041.4500000000003</v>
      </c>
      <c r="E54" s="595">
        <f t="shared" si="9"/>
        <v>92953.35</v>
      </c>
      <c r="G54" s="545">
        <f>'1.2 Budgeted Enrollment YR1'!I46</f>
        <v>9</v>
      </c>
      <c r="H54" s="208">
        <f t="shared" si="7"/>
        <v>3143.35</v>
      </c>
      <c r="I54" s="595">
        <f t="shared" si="10"/>
        <v>28290.149999999998</v>
      </c>
      <c r="K54" s="545">
        <f>'1.2 Budgeted Enrollment YR1'!J46</f>
        <v>43</v>
      </c>
      <c r="L54" s="208">
        <f t="shared" si="8"/>
        <v>1077.72</v>
      </c>
      <c r="M54" s="595">
        <f t="shared" si="11"/>
        <v>46341.96</v>
      </c>
    </row>
    <row r="55" spans="1:13" x14ac:dyDescent="0.3">
      <c r="A55" s="19"/>
      <c r="B55" s="10" t="str">
        <f>'1.2 Budgeted Enrollment YR1'!E47</f>
        <v>Doral Academy</v>
      </c>
      <c r="C55" s="545">
        <f>'1.2 Budgeted Enrollment YR1'!H47</f>
        <v>223</v>
      </c>
      <c r="D55" s="208">
        <f t="shared" si="6"/>
        <v>4041.4500000000003</v>
      </c>
      <c r="E55" s="595">
        <f t="shared" si="9"/>
        <v>901243.35000000009</v>
      </c>
      <c r="G55" s="545">
        <f>'1.2 Budgeted Enrollment YR1'!I47</f>
        <v>37</v>
      </c>
      <c r="H55" s="208">
        <f t="shared" si="7"/>
        <v>3143.35</v>
      </c>
      <c r="I55" s="595">
        <f t="shared" si="10"/>
        <v>116303.95</v>
      </c>
      <c r="K55" s="545">
        <f>'1.2 Budgeted Enrollment YR1'!J47</f>
        <v>337</v>
      </c>
      <c r="L55" s="208">
        <f t="shared" si="8"/>
        <v>1077.72</v>
      </c>
      <c r="M55" s="595">
        <f t="shared" si="11"/>
        <v>363191.64</v>
      </c>
    </row>
    <row r="56" spans="1:13" x14ac:dyDescent="0.3">
      <c r="B56" s="10" t="str">
        <f>'1.2 Budgeted Enrollment YR1'!E48</f>
        <v>Doral Academy of Northern Nevada</v>
      </c>
      <c r="C56" s="545">
        <f>'1.2 Budgeted Enrollment YR1'!H48</f>
        <v>2</v>
      </c>
      <c r="D56" s="208">
        <f t="shared" si="6"/>
        <v>4041.4500000000003</v>
      </c>
      <c r="E56" s="595">
        <f t="shared" si="9"/>
        <v>8082.9000000000005</v>
      </c>
      <c r="G56" s="545">
        <f>'1.2 Budgeted Enrollment YR1'!I48</f>
        <v>0</v>
      </c>
      <c r="H56" s="208">
        <f t="shared" si="7"/>
        <v>3143.35</v>
      </c>
      <c r="I56" s="595">
        <f t="shared" si="10"/>
        <v>0</v>
      </c>
      <c r="K56" s="545">
        <f>'1.2 Budgeted Enrollment YR1'!J48</f>
        <v>65</v>
      </c>
      <c r="L56" s="208">
        <f t="shared" si="8"/>
        <v>1077.72</v>
      </c>
      <c r="M56" s="595">
        <f t="shared" si="11"/>
        <v>70051.8</v>
      </c>
    </row>
    <row r="57" spans="1:13" x14ac:dyDescent="0.3">
      <c r="B57" s="10" t="str">
        <f>'1.2 Budgeted Enrollment YR1'!E49</f>
        <v>Eagle Charter School</v>
      </c>
      <c r="C57" s="545">
        <f>'1.2 Budgeted Enrollment YR1'!H49</f>
        <v>0</v>
      </c>
      <c r="D57" s="208">
        <f t="shared" si="6"/>
        <v>4041.4500000000003</v>
      </c>
      <c r="E57" s="595">
        <f t="shared" si="9"/>
        <v>0</v>
      </c>
      <c r="G57" s="545">
        <f>'1.2 Budgeted Enrollment YR1'!I49</f>
        <v>0</v>
      </c>
      <c r="H57" s="208">
        <f t="shared" si="7"/>
        <v>3143.35</v>
      </c>
      <c r="I57" s="595">
        <f t="shared" si="10"/>
        <v>0</v>
      </c>
      <c r="K57" s="545">
        <f>'1.2 Budgeted Enrollment YR1'!J49</f>
        <v>0</v>
      </c>
      <c r="L57" s="208">
        <f t="shared" si="8"/>
        <v>1077.72</v>
      </c>
      <c r="M57" s="595">
        <f t="shared" si="11"/>
        <v>0</v>
      </c>
    </row>
    <row r="58" spans="1:13" x14ac:dyDescent="0.3">
      <c r="B58" s="10" t="str">
        <f>'1.2 Budgeted Enrollment YR1'!E50</f>
        <v>Elko Institute for Academic Achievement</v>
      </c>
      <c r="C58" s="545">
        <f>'1.2 Budgeted Enrollment YR1'!H50</f>
        <v>2</v>
      </c>
      <c r="D58" s="208">
        <f t="shared" si="6"/>
        <v>4041.4500000000003</v>
      </c>
      <c r="E58" s="595">
        <f t="shared" si="9"/>
        <v>8082.9000000000005</v>
      </c>
      <c r="G58" s="545">
        <f>'1.2 Budgeted Enrollment YR1'!I50</f>
        <v>5</v>
      </c>
      <c r="H58" s="208">
        <f t="shared" si="7"/>
        <v>3143.35</v>
      </c>
      <c r="I58" s="595">
        <f t="shared" si="10"/>
        <v>15716.75</v>
      </c>
      <c r="K58" s="545">
        <f>'1.2 Budgeted Enrollment YR1'!J50</f>
        <v>0</v>
      </c>
      <c r="L58" s="208">
        <f t="shared" si="8"/>
        <v>1077.72</v>
      </c>
      <c r="M58" s="595">
        <f t="shared" si="11"/>
        <v>0</v>
      </c>
    </row>
    <row r="59" spans="1:13" x14ac:dyDescent="0.3">
      <c r="B59" s="10" t="str">
        <f>'1.2 Budgeted Enrollment YR1'!E51</f>
        <v>enCompass Academy</v>
      </c>
      <c r="C59" s="545">
        <f>'1.2 Budgeted Enrollment YR1'!H51</f>
        <v>6</v>
      </c>
      <c r="D59" s="208">
        <f t="shared" si="6"/>
        <v>4041.4500000000003</v>
      </c>
      <c r="E59" s="595">
        <f t="shared" si="9"/>
        <v>24248.7</v>
      </c>
      <c r="G59" s="545">
        <f>'1.2 Budgeted Enrollment YR1'!I51</f>
        <v>20</v>
      </c>
      <c r="H59" s="208">
        <f t="shared" si="7"/>
        <v>3143.35</v>
      </c>
      <c r="I59" s="595">
        <f t="shared" si="10"/>
        <v>62867</v>
      </c>
      <c r="K59" s="545">
        <f>'1.2 Budgeted Enrollment YR1'!J51</f>
        <v>0</v>
      </c>
      <c r="L59" s="208">
        <f t="shared" si="8"/>
        <v>1077.72</v>
      </c>
      <c r="M59" s="595">
        <f t="shared" si="11"/>
        <v>0</v>
      </c>
    </row>
    <row r="60" spans="1:13" x14ac:dyDescent="0.3">
      <c r="B60" s="10" t="str">
        <f>'1.2 Budgeted Enrollment YR1'!E52</f>
        <v>Equipo Academy</v>
      </c>
      <c r="C60" s="545">
        <f>'1.2 Budgeted Enrollment YR1'!H52</f>
        <v>168</v>
      </c>
      <c r="D60" s="208">
        <f t="shared" si="6"/>
        <v>4041.4500000000003</v>
      </c>
      <c r="E60" s="595">
        <f t="shared" si="9"/>
        <v>678963.60000000009</v>
      </c>
      <c r="G60" s="545">
        <f>'1.2 Budgeted Enrollment YR1'!I52</f>
        <v>29</v>
      </c>
      <c r="H60" s="208">
        <f t="shared" si="7"/>
        <v>3143.35</v>
      </c>
      <c r="I60" s="595">
        <f t="shared" si="10"/>
        <v>91157.15</v>
      </c>
      <c r="K60" s="545">
        <f>'1.2 Budgeted Enrollment YR1'!J52</f>
        <v>0</v>
      </c>
      <c r="L60" s="208">
        <f t="shared" si="8"/>
        <v>1077.72</v>
      </c>
      <c r="M60" s="595">
        <f t="shared" si="11"/>
        <v>0</v>
      </c>
    </row>
    <row r="61" spans="1:13" x14ac:dyDescent="0.3">
      <c r="B61" s="10" t="str">
        <f>'1.2 Budgeted Enrollment YR1'!E53</f>
        <v>Explore Academy</v>
      </c>
      <c r="C61" s="545">
        <f>'1.2 Budgeted Enrollment YR1'!H53</f>
        <v>11</v>
      </c>
      <c r="D61" s="208">
        <f t="shared" si="6"/>
        <v>4041.4500000000003</v>
      </c>
      <c r="E61" s="595">
        <f t="shared" si="9"/>
        <v>44455.950000000004</v>
      </c>
      <c r="G61" s="545">
        <f>'1.2 Budgeted Enrollment YR1'!I53</f>
        <v>2</v>
      </c>
      <c r="H61" s="208">
        <f t="shared" si="7"/>
        <v>3143.35</v>
      </c>
      <c r="I61" s="595">
        <f t="shared" si="10"/>
        <v>6286.7</v>
      </c>
      <c r="K61" s="545">
        <f>'1.2 Budgeted Enrollment YR1'!J53</f>
        <v>0</v>
      </c>
      <c r="L61" s="208">
        <f t="shared" si="8"/>
        <v>1077.72</v>
      </c>
      <c r="M61" s="595">
        <f t="shared" si="11"/>
        <v>0</v>
      </c>
    </row>
    <row r="62" spans="1:13" x14ac:dyDescent="0.3">
      <c r="B62" s="10" t="str">
        <f>'1.2 Budgeted Enrollment YR1'!E54</f>
        <v>Explore Knowledge Academy</v>
      </c>
      <c r="C62" s="545">
        <f>'1.2 Budgeted Enrollment YR1'!H54</f>
        <v>59</v>
      </c>
      <c r="D62" s="208">
        <f t="shared" si="6"/>
        <v>4041.4500000000003</v>
      </c>
      <c r="E62" s="595">
        <f t="shared" si="9"/>
        <v>238445.55000000002</v>
      </c>
      <c r="G62" s="545">
        <f>'1.2 Budgeted Enrollment YR1'!I54</f>
        <v>44</v>
      </c>
      <c r="H62" s="208">
        <f t="shared" si="7"/>
        <v>3143.35</v>
      </c>
      <c r="I62" s="595">
        <f t="shared" si="10"/>
        <v>138307.4</v>
      </c>
      <c r="K62" s="545">
        <f>'1.2 Budgeted Enrollment YR1'!J54</f>
        <v>0</v>
      </c>
      <c r="L62" s="208">
        <f t="shared" si="8"/>
        <v>1077.72</v>
      </c>
      <c r="M62" s="595">
        <f t="shared" si="11"/>
        <v>0</v>
      </c>
    </row>
    <row r="63" spans="1:13" x14ac:dyDescent="0.3">
      <c r="B63" s="10" t="str">
        <f>'1.2 Budgeted Enrollment YR1'!E55</f>
        <v>Founders Academy of Las Vegas</v>
      </c>
      <c r="C63" s="545">
        <f>'1.2 Budgeted Enrollment YR1'!H55</f>
        <v>57</v>
      </c>
      <c r="D63" s="208">
        <f t="shared" si="6"/>
        <v>4041.4500000000003</v>
      </c>
      <c r="E63" s="595">
        <f t="shared" si="9"/>
        <v>230362.65000000002</v>
      </c>
      <c r="G63" s="545">
        <f>'1.2 Budgeted Enrollment YR1'!I55</f>
        <v>23</v>
      </c>
      <c r="H63" s="208">
        <f t="shared" si="7"/>
        <v>3143.35</v>
      </c>
      <c r="I63" s="595">
        <f t="shared" si="10"/>
        <v>72297.05</v>
      </c>
      <c r="K63" s="545">
        <f>'1.2 Budgeted Enrollment YR1'!J55</f>
        <v>0</v>
      </c>
      <c r="L63" s="208">
        <f t="shared" si="8"/>
        <v>1077.72</v>
      </c>
      <c r="M63" s="595">
        <f t="shared" si="11"/>
        <v>0</v>
      </c>
    </row>
    <row r="64" spans="1:13" x14ac:dyDescent="0.3">
      <c r="B64" s="10" t="str">
        <f>'1.2 Budgeted Enrollment YR1'!E56</f>
        <v>Freedom Classical Academy</v>
      </c>
      <c r="C64" s="545">
        <f>'1.2 Budgeted Enrollment YR1'!H56</f>
        <v>83</v>
      </c>
      <c r="D64" s="208">
        <f t="shared" si="6"/>
        <v>4041.4500000000003</v>
      </c>
      <c r="E64" s="595">
        <f t="shared" si="9"/>
        <v>335440.35000000003</v>
      </c>
      <c r="G64" s="545">
        <f>'1.2 Budgeted Enrollment YR1'!I56</f>
        <v>48</v>
      </c>
      <c r="H64" s="208">
        <f t="shared" si="7"/>
        <v>3143.35</v>
      </c>
      <c r="I64" s="595">
        <f t="shared" si="10"/>
        <v>150880.79999999999</v>
      </c>
      <c r="K64" s="545">
        <f>'1.2 Budgeted Enrollment YR1'!J56</f>
        <v>0</v>
      </c>
      <c r="L64" s="208">
        <f t="shared" si="8"/>
        <v>1077.72</v>
      </c>
      <c r="M64" s="595">
        <f t="shared" si="11"/>
        <v>0</v>
      </c>
    </row>
    <row r="65" spans="2:13" x14ac:dyDescent="0.3">
      <c r="B65" s="10" t="str">
        <f>'1.2 Budgeted Enrollment YR1'!E57</f>
        <v>Futuro Academy Elementary</v>
      </c>
      <c r="C65" s="545">
        <f>'1.2 Budgeted Enrollment YR1'!H57</f>
        <v>188</v>
      </c>
      <c r="D65" s="208">
        <f t="shared" si="6"/>
        <v>4041.4500000000003</v>
      </c>
      <c r="E65" s="595">
        <f t="shared" si="9"/>
        <v>759792.60000000009</v>
      </c>
      <c r="G65" s="545">
        <f>'1.2 Budgeted Enrollment YR1'!I57</f>
        <v>40</v>
      </c>
      <c r="H65" s="208">
        <f t="shared" si="7"/>
        <v>3143.35</v>
      </c>
      <c r="I65" s="595">
        <f t="shared" si="10"/>
        <v>125734</v>
      </c>
      <c r="K65" s="545">
        <f>'1.2 Budgeted Enrollment YR1'!J57</f>
        <v>0</v>
      </c>
      <c r="L65" s="208">
        <f t="shared" si="8"/>
        <v>1077.72</v>
      </c>
      <c r="M65" s="595">
        <f t="shared" si="11"/>
        <v>0</v>
      </c>
    </row>
    <row r="66" spans="2:13" x14ac:dyDescent="0.3">
      <c r="B66" s="10" t="str">
        <f>'1.2 Budgeted Enrollment YR1'!E58</f>
        <v>Girls Athletic Leadership Schools</v>
      </c>
      <c r="C66" s="545">
        <f>'1.2 Budgeted Enrollment YR1'!H58</f>
        <v>0</v>
      </c>
      <c r="D66" s="208">
        <f t="shared" si="6"/>
        <v>4041.4500000000003</v>
      </c>
      <c r="E66" s="595">
        <f t="shared" si="9"/>
        <v>0</v>
      </c>
      <c r="G66" s="545">
        <f>'1.2 Budgeted Enrollment YR1'!I58</f>
        <v>0</v>
      </c>
      <c r="H66" s="208">
        <f t="shared" si="7"/>
        <v>3143.35</v>
      </c>
      <c r="I66" s="595">
        <f t="shared" si="10"/>
        <v>0</v>
      </c>
      <c r="K66" s="545">
        <f>'1.2 Budgeted Enrollment YR1'!J58</f>
        <v>0</v>
      </c>
      <c r="L66" s="208">
        <f t="shared" si="8"/>
        <v>1077.72</v>
      </c>
      <c r="M66" s="595">
        <f t="shared" si="11"/>
        <v>0</v>
      </c>
    </row>
    <row r="67" spans="2:13" x14ac:dyDescent="0.3">
      <c r="B67" s="10" t="str">
        <f>'1.2 Budgeted Enrollment YR1'!E59</f>
        <v>High Desert Montessori</v>
      </c>
      <c r="C67" s="545">
        <f>'1.2 Budgeted Enrollment YR1'!H59</f>
        <v>24</v>
      </c>
      <c r="D67" s="208">
        <f t="shared" si="6"/>
        <v>4041.4500000000003</v>
      </c>
      <c r="E67" s="595">
        <f t="shared" si="9"/>
        <v>96994.8</v>
      </c>
      <c r="G67" s="545">
        <f>'1.2 Budgeted Enrollment YR1'!I59</f>
        <v>11</v>
      </c>
      <c r="H67" s="208">
        <f t="shared" si="7"/>
        <v>3143.35</v>
      </c>
      <c r="I67" s="595">
        <f t="shared" si="10"/>
        <v>34576.85</v>
      </c>
      <c r="K67" s="545">
        <f>'1.2 Budgeted Enrollment YR1'!J59</f>
        <v>0</v>
      </c>
      <c r="L67" s="208">
        <f t="shared" si="8"/>
        <v>1077.72</v>
      </c>
      <c r="M67" s="595">
        <f t="shared" si="11"/>
        <v>0</v>
      </c>
    </row>
    <row r="68" spans="2:13" x14ac:dyDescent="0.3">
      <c r="B68" s="10" t="str">
        <f>'1.2 Budgeted Enrollment YR1'!E60</f>
        <v>Honors Academy of Literature</v>
      </c>
      <c r="C68" s="545">
        <f>'1.2 Budgeted Enrollment YR1'!H60</f>
        <v>4</v>
      </c>
      <c r="D68" s="208">
        <f t="shared" si="6"/>
        <v>4041.4500000000003</v>
      </c>
      <c r="E68" s="595">
        <f t="shared" si="9"/>
        <v>16165.800000000001</v>
      </c>
      <c r="G68" s="545">
        <f>'1.2 Budgeted Enrollment YR1'!I60</f>
        <v>3</v>
      </c>
      <c r="H68" s="208">
        <f t="shared" si="7"/>
        <v>3143.35</v>
      </c>
      <c r="I68" s="595">
        <f t="shared" si="10"/>
        <v>9430.0499999999993</v>
      </c>
      <c r="K68" s="545">
        <f>'1.2 Budgeted Enrollment YR1'!J60</f>
        <v>0</v>
      </c>
      <c r="L68" s="208">
        <f t="shared" si="8"/>
        <v>1077.72</v>
      </c>
      <c r="M68" s="595">
        <f t="shared" si="11"/>
        <v>0</v>
      </c>
    </row>
    <row r="69" spans="2:13" x14ac:dyDescent="0.3">
      <c r="B69" s="10" t="str">
        <f>'1.2 Budgeted Enrollment YR1'!E61</f>
        <v>Imagine School Mountain View</v>
      </c>
      <c r="C69" s="545">
        <f>'1.2 Budgeted Enrollment YR1'!H61</f>
        <v>70</v>
      </c>
      <c r="D69" s="208">
        <f t="shared" si="6"/>
        <v>4041.4500000000003</v>
      </c>
      <c r="E69" s="595">
        <f t="shared" si="9"/>
        <v>282901.5</v>
      </c>
      <c r="G69" s="545">
        <f>'1.2 Budgeted Enrollment YR1'!I61</f>
        <v>2</v>
      </c>
      <c r="H69" s="208">
        <f t="shared" si="7"/>
        <v>3143.35</v>
      </c>
      <c r="I69" s="595">
        <f t="shared" si="10"/>
        <v>6286.7</v>
      </c>
      <c r="K69" s="545">
        <f>'1.2 Budgeted Enrollment YR1'!J61</f>
        <v>0</v>
      </c>
      <c r="L69" s="208">
        <f t="shared" si="8"/>
        <v>1077.72</v>
      </c>
      <c r="M69" s="595">
        <f t="shared" si="11"/>
        <v>0</v>
      </c>
    </row>
    <row r="70" spans="2:13" x14ac:dyDescent="0.3">
      <c r="B70" s="10" t="str">
        <f>'1.2 Budgeted Enrollment YR1'!E62</f>
        <v>Innovations Int'l Charter</v>
      </c>
      <c r="C70" s="545">
        <f>'1.2 Budgeted Enrollment YR1'!H62</f>
        <v>189</v>
      </c>
      <c r="D70" s="208">
        <f t="shared" si="6"/>
        <v>4041.4500000000003</v>
      </c>
      <c r="E70" s="595">
        <f t="shared" si="9"/>
        <v>763834.05</v>
      </c>
      <c r="G70" s="545">
        <f>'1.2 Budgeted Enrollment YR1'!I62</f>
        <v>175</v>
      </c>
      <c r="H70" s="208">
        <f t="shared" si="7"/>
        <v>3143.35</v>
      </c>
      <c r="I70" s="595">
        <f t="shared" si="10"/>
        <v>550086.25</v>
      </c>
      <c r="K70" s="545">
        <f>'1.2 Budgeted Enrollment YR1'!J62</f>
        <v>0</v>
      </c>
      <c r="L70" s="208">
        <f t="shared" si="8"/>
        <v>1077.72</v>
      </c>
      <c r="M70" s="595">
        <f t="shared" si="11"/>
        <v>0</v>
      </c>
    </row>
    <row r="71" spans="2:13" x14ac:dyDescent="0.3">
      <c r="B71" s="10" t="str">
        <f>'1.2 Budgeted Enrollment YR1'!E63</f>
        <v>Leadership Academy of Nevada</v>
      </c>
      <c r="C71" s="545">
        <f>'1.2 Budgeted Enrollment YR1'!H63</f>
        <v>1</v>
      </c>
      <c r="D71" s="208">
        <f t="shared" si="6"/>
        <v>4041.4500000000003</v>
      </c>
      <c r="E71" s="595">
        <f t="shared" si="9"/>
        <v>4041.4500000000003</v>
      </c>
      <c r="G71" s="545">
        <f>'1.2 Budgeted Enrollment YR1'!I63</f>
        <v>15</v>
      </c>
      <c r="H71" s="208">
        <f t="shared" si="7"/>
        <v>3143.35</v>
      </c>
      <c r="I71" s="595">
        <f t="shared" si="10"/>
        <v>47150.25</v>
      </c>
      <c r="K71" s="545">
        <f>'1.2 Budgeted Enrollment YR1'!J63</f>
        <v>0</v>
      </c>
      <c r="L71" s="208">
        <f t="shared" si="8"/>
        <v>1077.72</v>
      </c>
      <c r="M71" s="595">
        <f t="shared" si="11"/>
        <v>0</v>
      </c>
    </row>
    <row r="72" spans="2:13" x14ac:dyDescent="0.3">
      <c r="B72" s="10" t="str">
        <f>'1.2 Budgeted Enrollment YR1'!E64</f>
        <v>Learning Bridge</v>
      </c>
      <c r="C72" s="545">
        <f>'1.2 Budgeted Enrollment YR1'!H64</f>
        <v>2</v>
      </c>
      <c r="D72" s="208">
        <f t="shared" si="6"/>
        <v>4041.4500000000003</v>
      </c>
      <c r="E72" s="595">
        <f t="shared" si="9"/>
        <v>8082.9000000000005</v>
      </c>
      <c r="G72" s="545">
        <f>'1.2 Budgeted Enrollment YR1'!I64</f>
        <v>0</v>
      </c>
      <c r="H72" s="208">
        <f t="shared" si="7"/>
        <v>3143.35</v>
      </c>
      <c r="I72" s="595">
        <f t="shared" si="10"/>
        <v>0</v>
      </c>
      <c r="K72" s="545">
        <f>'1.2 Budgeted Enrollment YR1'!J64</f>
        <v>0</v>
      </c>
      <c r="L72" s="208">
        <f t="shared" si="8"/>
        <v>1077.72</v>
      </c>
      <c r="M72" s="595">
        <f t="shared" si="11"/>
        <v>0</v>
      </c>
    </row>
    <row r="73" spans="2:13" x14ac:dyDescent="0.3">
      <c r="B73" s="10" t="str">
        <f>'1.2 Budgeted Enrollment YR1'!E65</f>
        <v>Legacy Traditional Schools</v>
      </c>
      <c r="C73" s="545">
        <f>'1.2 Budgeted Enrollment YR1'!H65</f>
        <v>264</v>
      </c>
      <c r="D73" s="208">
        <f t="shared" si="6"/>
        <v>4041.4500000000003</v>
      </c>
      <c r="E73" s="595">
        <f t="shared" si="9"/>
        <v>1066942.8</v>
      </c>
      <c r="G73" s="545">
        <f>'1.2 Budgeted Enrollment YR1'!I65</f>
        <v>158</v>
      </c>
      <c r="H73" s="208">
        <f t="shared" si="7"/>
        <v>3143.35</v>
      </c>
      <c r="I73" s="595">
        <f t="shared" si="10"/>
        <v>496649.3</v>
      </c>
      <c r="K73" s="545">
        <f>'1.2 Budgeted Enrollment YR1'!J65</f>
        <v>179</v>
      </c>
      <c r="L73" s="208">
        <f t="shared" si="8"/>
        <v>1077.72</v>
      </c>
      <c r="M73" s="595">
        <f t="shared" si="11"/>
        <v>192911.88</v>
      </c>
    </row>
    <row r="74" spans="2:13" x14ac:dyDescent="0.3">
      <c r="B74" s="10" t="str">
        <f>'1.2 Budgeted Enrollment YR1'!E66</f>
        <v>Mariposa Dual Language Academy</v>
      </c>
      <c r="C74" s="545">
        <f>'1.2 Budgeted Enrollment YR1'!H66</f>
        <v>35</v>
      </c>
      <c r="D74" s="208">
        <f t="shared" si="6"/>
        <v>4041.4500000000003</v>
      </c>
      <c r="E74" s="595">
        <f t="shared" si="9"/>
        <v>141450.75</v>
      </c>
      <c r="G74" s="545">
        <f>'1.2 Budgeted Enrollment YR1'!I66</f>
        <v>1</v>
      </c>
      <c r="H74" s="208">
        <f t="shared" si="7"/>
        <v>3143.35</v>
      </c>
      <c r="I74" s="595">
        <f t="shared" si="10"/>
        <v>3143.35</v>
      </c>
      <c r="K74" s="545">
        <f>'1.2 Budgeted Enrollment YR1'!J66</f>
        <v>0</v>
      </c>
      <c r="L74" s="208">
        <f t="shared" si="8"/>
        <v>1077.72</v>
      </c>
      <c r="M74" s="595">
        <f t="shared" si="11"/>
        <v>0</v>
      </c>
    </row>
    <row r="75" spans="2:13" x14ac:dyDescent="0.3">
      <c r="B75" s="10" t="str">
        <f>'1.2 Budgeted Enrollment YR1'!E67</f>
        <v>Mater Academy</v>
      </c>
      <c r="C75" s="545">
        <f>'1.2 Budgeted Enrollment YR1'!H67</f>
        <v>1373</v>
      </c>
      <c r="D75" s="208">
        <f t="shared" si="6"/>
        <v>4041.4500000000003</v>
      </c>
      <c r="E75" s="595">
        <f t="shared" si="9"/>
        <v>5548910.8500000006</v>
      </c>
      <c r="G75" s="545">
        <f>'1.2 Budgeted Enrollment YR1'!I67</f>
        <v>45</v>
      </c>
      <c r="H75" s="208">
        <f t="shared" si="7"/>
        <v>3143.35</v>
      </c>
      <c r="I75" s="595">
        <f t="shared" si="10"/>
        <v>141450.75</v>
      </c>
      <c r="K75" s="545">
        <f>'1.2 Budgeted Enrollment YR1'!J67</f>
        <v>0</v>
      </c>
      <c r="L75" s="208">
        <f t="shared" si="8"/>
        <v>1077.72</v>
      </c>
      <c r="M75" s="595">
        <f t="shared" si="11"/>
        <v>0</v>
      </c>
    </row>
    <row r="76" spans="2:13" x14ac:dyDescent="0.3">
      <c r="B76" s="10" t="str">
        <f>'1.2 Budgeted Enrollment YR1'!E68</f>
        <v>Mater Academy of Northern Nevada</v>
      </c>
      <c r="C76" s="545">
        <f>'1.2 Budgeted Enrollment YR1'!H68</f>
        <v>152</v>
      </c>
      <c r="D76" s="208">
        <f t="shared" si="6"/>
        <v>4041.4500000000003</v>
      </c>
      <c r="E76" s="595">
        <f t="shared" si="9"/>
        <v>614300.4</v>
      </c>
      <c r="G76" s="545">
        <f>'1.2 Budgeted Enrollment YR1'!I68</f>
        <v>4</v>
      </c>
      <c r="H76" s="208">
        <f t="shared" si="7"/>
        <v>3143.35</v>
      </c>
      <c r="I76" s="595">
        <f t="shared" si="10"/>
        <v>12573.4</v>
      </c>
      <c r="K76" s="545">
        <f>'1.2 Budgeted Enrollment YR1'!J68</f>
        <v>0</v>
      </c>
      <c r="L76" s="208">
        <f t="shared" si="8"/>
        <v>1077.72</v>
      </c>
      <c r="M76" s="595">
        <f t="shared" si="11"/>
        <v>0</v>
      </c>
    </row>
    <row r="77" spans="2:13" x14ac:dyDescent="0.3">
      <c r="B77" s="10" t="str">
        <f>'1.2 Budgeted Enrollment YR1'!E69</f>
        <v>Nevada Connections Academy</v>
      </c>
      <c r="C77" s="545">
        <f>'1.2 Budgeted Enrollment YR1'!H69</f>
        <v>24</v>
      </c>
      <c r="D77" s="208">
        <f t="shared" si="6"/>
        <v>4041.4500000000003</v>
      </c>
      <c r="E77" s="595">
        <f t="shared" si="9"/>
        <v>96994.8</v>
      </c>
      <c r="G77" s="545">
        <f>'1.2 Budgeted Enrollment YR1'!I69</f>
        <v>28</v>
      </c>
      <c r="H77" s="208">
        <f t="shared" si="7"/>
        <v>3143.35</v>
      </c>
      <c r="I77" s="595">
        <f t="shared" si="10"/>
        <v>88013.8</v>
      </c>
      <c r="K77" s="545">
        <f>'1.2 Budgeted Enrollment YR1'!J69</f>
        <v>0</v>
      </c>
      <c r="L77" s="208">
        <f t="shared" si="8"/>
        <v>1077.72</v>
      </c>
      <c r="M77" s="595">
        <f t="shared" si="11"/>
        <v>0</v>
      </c>
    </row>
    <row r="78" spans="2:13" x14ac:dyDescent="0.3">
      <c r="B78" s="10" t="str">
        <f>'1.2 Budgeted Enrollment YR1'!E70</f>
        <v>Nevada Prep</v>
      </c>
      <c r="C78" s="545">
        <f>'1.2 Budgeted Enrollment YR1'!H70</f>
        <v>68</v>
      </c>
      <c r="D78" s="208">
        <f t="shared" si="6"/>
        <v>4041.4500000000003</v>
      </c>
      <c r="E78" s="595">
        <f t="shared" si="9"/>
        <v>274818.60000000003</v>
      </c>
      <c r="G78" s="545">
        <f>'1.2 Budgeted Enrollment YR1'!I70</f>
        <v>12</v>
      </c>
      <c r="H78" s="208">
        <f t="shared" si="7"/>
        <v>3143.35</v>
      </c>
      <c r="I78" s="595">
        <f t="shared" si="10"/>
        <v>37720.199999999997</v>
      </c>
      <c r="K78" s="545">
        <f>'1.2 Budgeted Enrollment YR1'!J70</f>
        <v>0</v>
      </c>
      <c r="L78" s="208">
        <f t="shared" si="8"/>
        <v>1077.72</v>
      </c>
      <c r="M78" s="595">
        <f t="shared" si="11"/>
        <v>0</v>
      </c>
    </row>
    <row r="79" spans="2:13" x14ac:dyDescent="0.3">
      <c r="B79" s="10" t="str">
        <f>'1.2 Budgeted Enrollment YR1'!E71</f>
        <v xml:space="preserve">Nevada Rise </v>
      </c>
      <c r="C79" s="545">
        <f>'1.2 Budgeted Enrollment YR1'!H71</f>
        <v>73</v>
      </c>
      <c r="D79" s="208">
        <f t="shared" si="6"/>
        <v>4041.4500000000003</v>
      </c>
      <c r="E79" s="595">
        <f t="shared" si="9"/>
        <v>295025.85000000003</v>
      </c>
      <c r="G79" s="545">
        <f>'1.2 Budgeted Enrollment YR1'!I71</f>
        <v>67</v>
      </c>
      <c r="H79" s="208">
        <f t="shared" si="7"/>
        <v>3143.35</v>
      </c>
      <c r="I79" s="595">
        <f t="shared" si="10"/>
        <v>210604.44999999998</v>
      </c>
      <c r="K79" s="545">
        <f>'1.2 Budgeted Enrollment YR1'!J71</f>
        <v>0</v>
      </c>
      <c r="L79" s="208">
        <f t="shared" si="8"/>
        <v>1077.72</v>
      </c>
      <c r="M79" s="595">
        <f t="shared" si="11"/>
        <v>0</v>
      </c>
    </row>
    <row r="80" spans="2:13" x14ac:dyDescent="0.3">
      <c r="B80" s="10" t="str">
        <f>'1.2 Budgeted Enrollment YR1'!E72</f>
        <v>Nevada State High School</v>
      </c>
      <c r="C80" s="545">
        <f>'1.2 Budgeted Enrollment YR1'!H72</f>
        <v>44</v>
      </c>
      <c r="D80" s="208">
        <f t="shared" si="6"/>
        <v>4041.4500000000003</v>
      </c>
      <c r="E80" s="595">
        <f t="shared" si="9"/>
        <v>177823.80000000002</v>
      </c>
      <c r="G80" s="545">
        <f>'1.2 Budgeted Enrollment YR1'!I72</f>
        <v>1</v>
      </c>
      <c r="H80" s="208">
        <f t="shared" si="7"/>
        <v>3143.35</v>
      </c>
      <c r="I80" s="595">
        <f t="shared" si="10"/>
        <v>3143.35</v>
      </c>
      <c r="K80" s="545">
        <f>'1.2 Budgeted Enrollment YR1'!J72</f>
        <v>0</v>
      </c>
      <c r="L80" s="208">
        <f t="shared" si="8"/>
        <v>1077.72</v>
      </c>
      <c r="M80" s="595">
        <f t="shared" si="11"/>
        <v>0</v>
      </c>
    </row>
    <row r="81" spans="2:13" x14ac:dyDescent="0.3">
      <c r="B81" s="10" t="str">
        <f>'1.2 Budgeted Enrollment YR1'!E73</f>
        <v>Nevada State High School-Meadowwood</v>
      </c>
      <c r="C81" s="545">
        <f>'1.2 Budgeted Enrollment YR1'!H73</f>
        <v>0</v>
      </c>
      <c r="D81" s="208">
        <f t="shared" si="6"/>
        <v>4041.4500000000003</v>
      </c>
      <c r="E81" s="595">
        <f t="shared" si="9"/>
        <v>0</v>
      </c>
      <c r="G81" s="545">
        <f>'1.2 Budgeted Enrollment YR1'!I73</f>
        <v>0</v>
      </c>
      <c r="H81" s="208">
        <f t="shared" si="7"/>
        <v>3143.35</v>
      </c>
      <c r="I81" s="595">
        <f t="shared" si="10"/>
        <v>0</v>
      </c>
      <c r="K81" s="545">
        <f>'1.2 Budgeted Enrollment YR1'!J73</f>
        <v>0</v>
      </c>
      <c r="L81" s="208">
        <f t="shared" si="8"/>
        <v>1077.72</v>
      </c>
      <c r="M81" s="595">
        <f t="shared" si="11"/>
        <v>0</v>
      </c>
    </row>
    <row r="82" spans="2:13" x14ac:dyDescent="0.3">
      <c r="B82" s="10" t="str">
        <f>'1.2 Budgeted Enrollment YR1'!E74</f>
        <v>Nevada Virtual Academy</v>
      </c>
      <c r="C82" s="545">
        <f>'1.2 Budgeted Enrollment YR1'!H74</f>
        <v>84</v>
      </c>
      <c r="D82" s="208">
        <f t="shared" si="6"/>
        <v>4041.4500000000003</v>
      </c>
      <c r="E82" s="595">
        <f t="shared" si="9"/>
        <v>339481.80000000005</v>
      </c>
      <c r="G82" s="545">
        <f>'1.2 Budgeted Enrollment YR1'!I74</f>
        <v>160</v>
      </c>
      <c r="H82" s="208">
        <f t="shared" si="7"/>
        <v>3143.35</v>
      </c>
      <c r="I82" s="595">
        <f t="shared" si="10"/>
        <v>502936</v>
      </c>
      <c r="K82" s="545">
        <f>'1.2 Budgeted Enrollment YR1'!J74</f>
        <v>0</v>
      </c>
      <c r="L82" s="208">
        <f t="shared" si="8"/>
        <v>1077.72</v>
      </c>
      <c r="M82" s="595">
        <f t="shared" si="11"/>
        <v>0</v>
      </c>
    </row>
    <row r="83" spans="2:13" x14ac:dyDescent="0.3">
      <c r="B83" s="10" t="str">
        <f>'1.2 Budgeted Enrollment YR1'!E75</f>
        <v>Oasis Academy</v>
      </c>
      <c r="C83" s="545">
        <f>'1.2 Budgeted Enrollment YR1'!H75</f>
        <v>28</v>
      </c>
      <c r="D83" s="208">
        <f t="shared" si="6"/>
        <v>4041.4500000000003</v>
      </c>
      <c r="E83" s="595">
        <f t="shared" si="9"/>
        <v>113160.6</v>
      </c>
      <c r="G83" s="545">
        <f>'1.2 Budgeted Enrollment YR1'!I75</f>
        <v>3</v>
      </c>
      <c r="H83" s="208">
        <f t="shared" si="7"/>
        <v>3143.35</v>
      </c>
      <c r="I83" s="595">
        <f t="shared" si="10"/>
        <v>9430.0499999999993</v>
      </c>
      <c r="K83" s="545">
        <f>'1.2 Budgeted Enrollment YR1'!J75</f>
        <v>0</v>
      </c>
      <c r="L83" s="208">
        <f t="shared" si="8"/>
        <v>1077.72</v>
      </c>
      <c r="M83" s="595">
        <f t="shared" si="11"/>
        <v>0</v>
      </c>
    </row>
    <row r="84" spans="2:13" x14ac:dyDescent="0.3">
      <c r="B84" s="10" t="str">
        <f>'1.2 Budgeted Enrollment YR1'!E76</f>
        <v>Odyssey Charter Schools</v>
      </c>
      <c r="C84" s="545">
        <f>'1.2 Budgeted Enrollment YR1'!H76</f>
        <v>100</v>
      </c>
      <c r="D84" s="208">
        <f t="shared" si="6"/>
        <v>4041.4500000000003</v>
      </c>
      <c r="E84" s="595">
        <f t="shared" si="9"/>
        <v>404145</v>
      </c>
      <c r="G84" s="545">
        <f>'1.2 Budgeted Enrollment YR1'!I76</f>
        <v>275</v>
      </c>
      <c r="H84" s="208">
        <f t="shared" si="7"/>
        <v>3143.35</v>
      </c>
      <c r="I84" s="595">
        <f t="shared" si="10"/>
        <v>864421.25</v>
      </c>
      <c r="K84" s="545">
        <f>'1.2 Budgeted Enrollment YR1'!J76</f>
        <v>0</v>
      </c>
      <c r="L84" s="208">
        <f t="shared" si="8"/>
        <v>1077.72</v>
      </c>
      <c r="M84" s="595">
        <f t="shared" si="11"/>
        <v>0</v>
      </c>
    </row>
    <row r="85" spans="2:13" x14ac:dyDescent="0.3">
      <c r="B85" s="10" t="str">
        <f>'1.2 Budgeted Enrollment YR1'!E77</f>
        <v>Pinecrest Academy of Northern Nevada</v>
      </c>
      <c r="C85" s="545">
        <f>'1.2 Budgeted Enrollment YR1'!H77</f>
        <v>18</v>
      </c>
      <c r="D85" s="208">
        <f t="shared" si="6"/>
        <v>4041.4500000000003</v>
      </c>
      <c r="E85" s="595">
        <f t="shared" si="9"/>
        <v>72746.100000000006</v>
      </c>
      <c r="G85" s="545">
        <f>'1.2 Budgeted Enrollment YR1'!I77</f>
        <v>0</v>
      </c>
      <c r="H85" s="208">
        <f t="shared" si="7"/>
        <v>3143.35</v>
      </c>
      <c r="I85" s="595">
        <f t="shared" si="10"/>
        <v>0</v>
      </c>
      <c r="K85" s="545">
        <f>'1.2 Budgeted Enrollment YR1'!J77</f>
        <v>34</v>
      </c>
      <c r="L85" s="208">
        <f t="shared" si="8"/>
        <v>1077.72</v>
      </c>
      <c r="M85" s="595">
        <f t="shared" si="11"/>
        <v>36642.480000000003</v>
      </c>
    </row>
    <row r="86" spans="2:13" x14ac:dyDescent="0.3">
      <c r="B86" s="10" t="str">
        <f>'1.2 Budgeted Enrollment YR1'!E78</f>
        <v>Pinecrest Academy of Nevada</v>
      </c>
      <c r="C86" s="545">
        <f>'1.2 Budgeted Enrollment YR1'!H78</f>
        <v>160</v>
      </c>
      <c r="D86" s="208">
        <f t="shared" si="6"/>
        <v>4041.4500000000003</v>
      </c>
      <c r="E86" s="595">
        <f t="shared" si="9"/>
        <v>646632</v>
      </c>
      <c r="G86" s="545">
        <f>'1.2 Budgeted Enrollment YR1'!I78</f>
        <v>203</v>
      </c>
      <c r="H86" s="208">
        <f t="shared" si="7"/>
        <v>3143.35</v>
      </c>
      <c r="I86" s="595">
        <f t="shared" si="10"/>
        <v>638100.04999999993</v>
      </c>
      <c r="K86" s="545">
        <f>'1.2 Budgeted Enrollment YR1'!J78</f>
        <v>259</v>
      </c>
      <c r="L86" s="208">
        <f t="shared" si="8"/>
        <v>1077.72</v>
      </c>
      <c r="M86" s="595">
        <f t="shared" si="11"/>
        <v>279129.48</v>
      </c>
    </row>
    <row r="87" spans="2:13" x14ac:dyDescent="0.3">
      <c r="B87" s="10" t="str">
        <f>'1.2 Budgeted Enrollment YR1'!E79</f>
        <v>Quest Academy</v>
      </c>
      <c r="C87" s="545">
        <f>'1.2 Budgeted Enrollment YR1'!H79</f>
        <v>34</v>
      </c>
      <c r="D87" s="208">
        <f t="shared" si="6"/>
        <v>4041.4500000000003</v>
      </c>
      <c r="E87" s="595">
        <f t="shared" si="9"/>
        <v>137409.30000000002</v>
      </c>
      <c r="G87" s="545">
        <f>'1.2 Budgeted Enrollment YR1'!I79</f>
        <v>42</v>
      </c>
      <c r="H87" s="208">
        <f t="shared" si="7"/>
        <v>3143.35</v>
      </c>
      <c r="I87" s="595">
        <f t="shared" si="10"/>
        <v>132020.69999999998</v>
      </c>
      <c r="K87" s="545">
        <f>'1.2 Budgeted Enrollment YR1'!J79</f>
        <v>0</v>
      </c>
      <c r="L87" s="208">
        <f t="shared" si="8"/>
        <v>1077.72</v>
      </c>
      <c r="M87" s="595">
        <f t="shared" si="11"/>
        <v>0</v>
      </c>
    </row>
    <row r="88" spans="2:13" x14ac:dyDescent="0.3">
      <c r="B88" s="10" t="str">
        <f>'1.2 Budgeted Enrollment YR1'!E80</f>
        <v>Rainbow Dreams Academy</v>
      </c>
      <c r="C88" s="545">
        <f>'1.2 Budgeted Enrollment YR1'!H80</f>
        <v>8</v>
      </c>
      <c r="D88" s="208">
        <f t="shared" si="6"/>
        <v>4041.4500000000003</v>
      </c>
      <c r="E88" s="595">
        <f t="shared" si="9"/>
        <v>32331.600000000002</v>
      </c>
      <c r="G88" s="545">
        <f>'1.2 Budgeted Enrollment YR1'!I80</f>
        <v>34</v>
      </c>
      <c r="H88" s="208">
        <f t="shared" si="7"/>
        <v>3143.35</v>
      </c>
      <c r="I88" s="595">
        <f t="shared" si="10"/>
        <v>106873.9</v>
      </c>
      <c r="K88" s="545">
        <f>'1.2 Budgeted Enrollment YR1'!J80</f>
        <v>0</v>
      </c>
      <c r="L88" s="208">
        <f t="shared" si="8"/>
        <v>1077.72</v>
      </c>
      <c r="M88" s="595">
        <f t="shared" si="11"/>
        <v>0</v>
      </c>
    </row>
    <row r="89" spans="2:13" x14ac:dyDescent="0.3">
      <c r="B89" s="10" t="str">
        <f>'1.2 Budgeted Enrollment YR1'!E81</f>
        <v>Rooted Charter School</v>
      </c>
      <c r="C89" s="545">
        <f>'1.2 Budgeted Enrollment YR1'!H81</f>
        <v>0</v>
      </c>
      <c r="D89" s="208">
        <f t="shared" si="6"/>
        <v>4041.4500000000003</v>
      </c>
      <c r="E89" s="595">
        <f t="shared" ref="E89" si="12">C89*D89</f>
        <v>0</v>
      </c>
      <c r="G89" s="545">
        <f>'1.2 Budgeted Enrollment YR1'!I81</f>
        <v>0</v>
      </c>
      <c r="H89" s="208">
        <f t="shared" si="7"/>
        <v>3143.35</v>
      </c>
      <c r="I89" s="595">
        <f t="shared" ref="I89" si="13">G89*H89</f>
        <v>0</v>
      </c>
      <c r="K89" s="545">
        <f>'1.2 Budgeted Enrollment YR1'!J81</f>
        <v>0</v>
      </c>
      <c r="L89" s="208">
        <f t="shared" si="8"/>
        <v>1077.72</v>
      </c>
      <c r="M89" s="595">
        <f t="shared" ref="M89" si="14">K89*L89</f>
        <v>0</v>
      </c>
    </row>
    <row r="90" spans="2:13" x14ac:dyDescent="0.3">
      <c r="B90" s="10" t="str">
        <f>'1.2 Budgeted Enrollment YR1'!E82</f>
        <v>Sage Collegiate Academy</v>
      </c>
      <c r="C90" s="545">
        <f>'1.2 Budgeted Enrollment YR1'!H82</f>
        <v>18</v>
      </c>
      <c r="D90" s="208">
        <f t="shared" si="6"/>
        <v>4041.4500000000003</v>
      </c>
      <c r="E90" s="595">
        <f t="shared" si="9"/>
        <v>72746.100000000006</v>
      </c>
      <c r="G90" s="545">
        <f>'1.2 Budgeted Enrollment YR1'!I82</f>
        <v>0</v>
      </c>
      <c r="H90" s="208">
        <f t="shared" si="7"/>
        <v>3143.35</v>
      </c>
      <c r="I90" s="595">
        <f t="shared" si="10"/>
        <v>0</v>
      </c>
      <c r="K90" s="545">
        <f>'1.2 Budgeted Enrollment YR1'!J82</f>
        <v>0</v>
      </c>
      <c r="L90" s="208">
        <f t="shared" si="8"/>
        <v>1077.72</v>
      </c>
      <c r="M90" s="595">
        <f t="shared" si="11"/>
        <v>0</v>
      </c>
    </row>
    <row r="91" spans="2:13" x14ac:dyDescent="0.3">
      <c r="B91" s="10" t="str">
        <f>'1.2 Budgeted Enrollment YR1'!E83</f>
        <v>Sierra Nevada Academy Charter</v>
      </c>
      <c r="C91" s="545">
        <f>'1.2 Budgeted Enrollment YR1'!H83</f>
        <v>20</v>
      </c>
      <c r="D91" s="208">
        <f t="shared" si="6"/>
        <v>4041.4500000000003</v>
      </c>
      <c r="E91" s="595">
        <f t="shared" si="9"/>
        <v>80829</v>
      </c>
      <c r="G91" s="545">
        <f>'1.2 Budgeted Enrollment YR1'!I83</f>
        <v>32</v>
      </c>
      <c r="H91" s="208">
        <f t="shared" si="7"/>
        <v>3143.35</v>
      </c>
      <c r="I91" s="595">
        <f t="shared" si="10"/>
        <v>100587.2</v>
      </c>
      <c r="K91" s="545">
        <f>'1.2 Budgeted Enrollment YR1'!J83</f>
        <v>0</v>
      </c>
      <c r="L91" s="208">
        <f t="shared" si="8"/>
        <v>1077.72</v>
      </c>
      <c r="M91" s="595">
        <f t="shared" si="11"/>
        <v>0</v>
      </c>
    </row>
    <row r="92" spans="2:13" x14ac:dyDescent="0.3">
      <c r="B92" s="10" t="str">
        <f>'1.2 Budgeted Enrollment YR1'!E84</f>
        <v>Signature Preparatory</v>
      </c>
      <c r="C92" s="545">
        <f>'1.2 Budgeted Enrollment YR1'!H84</f>
        <v>75</v>
      </c>
      <c r="D92" s="208">
        <f t="shared" si="6"/>
        <v>4041.4500000000003</v>
      </c>
      <c r="E92" s="595">
        <f t="shared" si="9"/>
        <v>303108.75</v>
      </c>
      <c r="G92" s="545">
        <f>'1.2 Budgeted Enrollment YR1'!I84</f>
        <v>5</v>
      </c>
      <c r="H92" s="208">
        <f t="shared" si="7"/>
        <v>3143.35</v>
      </c>
      <c r="I92" s="595">
        <f t="shared" si="10"/>
        <v>15716.75</v>
      </c>
      <c r="K92" s="545">
        <f>'1.2 Budgeted Enrollment YR1'!J84</f>
        <v>0</v>
      </c>
      <c r="L92" s="208">
        <f t="shared" si="8"/>
        <v>1077.72</v>
      </c>
      <c r="M92" s="595">
        <f t="shared" si="11"/>
        <v>0</v>
      </c>
    </row>
    <row r="93" spans="2:13" x14ac:dyDescent="0.3">
      <c r="B93" s="10" t="str">
        <f>'1.2 Budgeted Enrollment YR1'!E85</f>
        <v>Silver Sands Montessori</v>
      </c>
      <c r="C93" s="545">
        <f>'1.2 Budgeted Enrollment YR1'!H85</f>
        <v>11</v>
      </c>
      <c r="D93" s="208">
        <f t="shared" si="6"/>
        <v>4041.4500000000003</v>
      </c>
      <c r="E93" s="595">
        <f t="shared" si="9"/>
        <v>44455.950000000004</v>
      </c>
      <c r="G93" s="545">
        <f>'1.2 Budgeted Enrollment YR1'!I85</f>
        <v>12</v>
      </c>
      <c r="H93" s="208">
        <f t="shared" si="7"/>
        <v>3143.35</v>
      </c>
      <c r="I93" s="595">
        <f t="shared" si="10"/>
        <v>37720.199999999997</v>
      </c>
      <c r="K93" s="545">
        <f>'1.2 Budgeted Enrollment YR1'!J85</f>
        <v>0</v>
      </c>
      <c r="L93" s="208">
        <f t="shared" si="8"/>
        <v>1077.72</v>
      </c>
      <c r="M93" s="595">
        <f t="shared" si="11"/>
        <v>0</v>
      </c>
    </row>
    <row r="94" spans="2:13" x14ac:dyDescent="0.3">
      <c r="B94" s="10" t="str">
        <f>'1.2 Budgeted Enrollment YR1'!E86</f>
        <v>Somerset Academy</v>
      </c>
      <c r="C94" s="545">
        <f>'1.2 Budgeted Enrollment YR1'!H86</f>
        <v>342</v>
      </c>
      <c r="D94" s="208">
        <f t="shared" si="6"/>
        <v>4041.4500000000003</v>
      </c>
      <c r="E94" s="595">
        <f t="shared" si="9"/>
        <v>1382175.9000000001</v>
      </c>
      <c r="G94" s="545">
        <f>'1.2 Budgeted Enrollment YR1'!I86</f>
        <v>302</v>
      </c>
      <c r="H94" s="208">
        <f t="shared" si="7"/>
        <v>3143.35</v>
      </c>
      <c r="I94" s="595">
        <f t="shared" si="10"/>
        <v>949291.7</v>
      </c>
      <c r="K94" s="545">
        <f>'1.2 Budgeted Enrollment YR1'!J86</f>
        <v>113</v>
      </c>
      <c r="L94" s="208">
        <f t="shared" si="8"/>
        <v>1077.72</v>
      </c>
      <c r="M94" s="595">
        <f t="shared" si="11"/>
        <v>121782.36</v>
      </c>
    </row>
    <row r="95" spans="2:13" x14ac:dyDescent="0.3">
      <c r="B95" s="10" t="str">
        <f>'1.2 Budgeted Enrollment YR1'!E87</f>
        <v>Southern Nevada Trade High School</v>
      </c>
      <c r="C95" s="545">
        <f>'1.2 Budgeted Enrollment YR1'!H87</f>
        <v>0</v>
      </c>
      <c r="D95" s="208">
        <f t="shared" si="6"/>
        <v>4041.4500000000003</v>
      </c>
      <c r="E95" s="595">
        <f t="shared" ref="E95" si="15">C95*D95</f>
        <v>0</v>
      </c>
      <c r="G95" s="545">
        <f>'1.2 Budgeted Enrollment YR1'!I87</f>
        <v>0</v>
      </c>
      <c r="H95" s="208">
        <f t="shared" si="7"/>
        <v>3143.35</v>
      </c>
      <c r="I95" s="595">
        <f t="shared" ref="I95" si="16">G95*H95</f>
        <v>0</v>
      </c>
      <c r="K95" s="545">
        <f>'1.2 Budgeted Enrollment YR1'!J87</f>
        <v>0</v>
      </c>
      <c r="L95" s="208">
        <f t="shared" si="8"/>
        <v>1077.72</v>
      </c>
      <c r="M95" s="595">
        <f t="shared" ref="M95" si="17">K95*L95</f>
        <v>0</v>
      </c>
    </row>
    <row r="96" spans="2:13" x14ac:dyDescent="0.3">
      <c r="B96" s="10" t="str">
        <f>'1.2 Budgeted Enrollment YR1'!E88</f>
        <v>Sports Leadership and Management Academy</v>
      </c>
      <c r="C96" s="545">
        <f>'1.2 Budgeted Enrollment YR1'!H88</f>
        <v>162</v>
      </c>
      <c r="D96" s="208">
        <f t="shared" si="6"/>
        <v>4041.4500000000003</v>
      </c>
      <c r="E96" s="595">
        <f t="shared" si="9"/>
        <v>654714.9</v>
      </c>
      <c r="G96" s="545">
        <f>'1.2 Budgeted Enrollment YR1'!I88</f>
        <v>124</v>
      </c>
      <c r="H96" s="208">
        <f t="shared" si="7"/>
        <v>3143.35</v>
      </c>
      <c r="I96" s="595">
        <f t="shared" si="10"/>
        <v>389775.39999999997</v>
      </c>
      <c r="K96" s="545">
        <f>'1.2 Budgeted Enrollment YR1'!J88</f>
        <v>0</v>
      </c>
      <c r="L96" s="208">
        <f t="shared" si="8"/>
        <v>1077.72</v>
      </c>
      <c r="M96" s="595">
        <f t="shared" si="11"/>
        <v>0</v>
      </c>
    </row>
    <row r="97" spans="1:13" x14ac:dyDescent="0.3">
      <c r="B97" s="10" t="str">
        <f>'1.2 Budgeted Enrollment YR1'!E89</f>
        <v>Strong Start Academy</v>
      </c>
      <c r="C97" s="545">
        <f>'1.2 Budgeted Enrollment YR1'!H89</f>
        <v>16</v>
      </c>
      <c r="D97" s="208">
        <f t="shared" si="6"/>
        <v>4041.4500000000003</v>
      </c>
      <c r="E97" s="595">
        <f t="shared" si="9"/>
        <v>64663.200000000004</v>
      </c>
      <c r="G97" s="545">
        <f>'1.2 Budgeted Enrollment YR1'!I89</f>
        <v>0</v>
      </c>
      <c r="H97" s="208">
        <f t="shared" si="7"/>
        <v>3143.35</v>
      </c>
      <c r="I97" s="595">
        <f t="shared" si="10"/>
        <v>0</v>
      </c>
      <c r="K97" s="545">
        <f>'1.2 Budgeted Enrollment YR1'!J89</f>
        <v>0</v>
      </c>
      <c r="L97" s="208">
        <f t="shared" si="8"/>
        <v>1077.72</v>
      </c>
      <c r="M97" s="595">
        <f t="shared" si="11"/>
        <v>0</v>
      </c>
    </row>
    <row r="98" spans="1:13" x14ac:dyDescent="0.3">
      <c r="B98" s="10" t="str">
        <f>'1.2 Budgeted Enrollment YR1'!E90</f>
        <v>TEACH Las Vegas</v>
      </c>
      <c r="C98" s="545">
        <f>'1.2 Budgeted Enrollment YR1'!H90</f>
        <v>45</v>
      </c>
      <c r="D98" s="208">
        <f t="shared" si="6"/>
        <v>4041.4500000000003</v>
      </c>
      <c r="E98" s="595">
        <f t="shared" si="9"/>
        <v>181865.25</v>
      </c>
      <c r="G98" s="545">
        <f>'1.2 Budgeted Enrollment YR1'!I90</f>
        <v>18</v>
      </c>
      <c r="H98" s="208">
        <f t="shared" si="7"/>
        <v>3143.35</v>
      </c>
      <c r="I98" s="595">
        <f t="shared" si="10"/>
        <v>56580.299999999996</v>
      </c>
      <c r="K98" s="545">
        <f>'1.2 Budgeted Enrollment YR1'!J90</f>
        <v>0</v>
      </c>
      <c r="L98" s="208">
        <f t="shared" si="8"/>
        <v>1077.72</v>
      </c>
      <c r="M98" s="595">
        <f t="shared" si="11"/>
        <v>0</v>
      </c>
    </row>
    <row r="99" spans="1:13" s="4" customFormat="1" x14ac:dyDescent="0.3">
      <c r="A99" s="10"/>
      <c r="B99" s="10" t="str">
        <f>'1.2 Budgeted Enrollment YR1'!E91</f>
        <v>Young Women's Leadership Academy</v>
      </c>
      <c r="C99" s="546">
        <f>'1.2 Budgeted Enrollment YR1'!H91</f>
        <v>5</v>
      </c>
      <c r="D99" s="208">
        <f t="shared" si="6"/>
        <v>4041.4500000000003</v>
      </c>
      <c r="E99" s="596">
        <f>C99*D99</f>
        <v>20207.25</v>
      </c>
      <c r="F99" s="10"/>
      <c r="G99" s="546">
        <f>'1.2 Budgeted Enrollment YR1'!I91</f>
        <v>0</v>
      </c>
      <c r="H99" s="208">
        <f t="shared" si="7"/>
        <v>3143.35</v>
      </c>
      <c r="I99" s="596">
        <f>G99*H99</f>
        <v>0</v>
      </c>
      <c r="J99" s="10"/>
      <c r="K99" s="546">
        <f>'1.2 Budgeted Enrollment YR1'!J91</f>
        <v>0</v>
      </c>
      <c r="L99" s="201">
        <f t="shared" si="8"/>
        <v>1077.72</v>
      </c>
      <c r="M99" s="596">
        <f>K99*L99</f>
        <v>0</v>
      </c>
    </row>
    <row r="100" spans="1:13" x14ac:dyDescent="0.3">
      <c r="A100" s="4"/>
      <c r="B100" s="181" t="s">
        <v>63</v>
      </c>
      <c r="C100" s="600">
        <f>SUM(C40:C99)</f>
        <v>5510</v>
      </c>
      <c r="D100" s="456"/>
      <c r="E100" s="602">
        <f>SUM(E40:E99)</f>
        <v>22268389.500000011</v>
      </c>
      <c r="F100" s="4"/>
      <c r="G100" s="600">
        <f>SUM(G40:G99)</f>
        <v>3050</v>
      </c>
      <c r="H100" s="236"/>
      <c r="I100" s="601">
        <f>SUM(I40:I99)</f>
        <v>9587217.5</v>
      </c>
      <c r="J100" s="4"/>
      <c r="K100" s="600">
        <f>SUM(K40:K99)</f>
        <v>1097</v>
      </c>
      <c r="L100" s="122"/>
      <c r="M100" s="594">
        <f>SUM(M40:M99)</f>
        <v>1182258.8400000001</v>
      </c>
    </row>
    <row r="102" spans="1:13" s="4" customFormat="1" x14ac:dyDescent="0.3">
      <c r="A102" s="4" t="s">
        <v>1256</v>
      </c>
      <c r="C102" s="25"/>
      <c r="G102" s="25"/>
      <c r="K102" s="744"/>
      <c r="L102" s="7"/>
    </row>
    <row r="103" spans="1:13" x14ac:dyDescent="0.3">
      <c r="B103" s="683" t="str">
        <f>'1.2 Budgeted Enrollment YR1'!E96</f>
        <v>Davidson Academy</v>
      </c>
      <c r="C103" s="742">
        <f>'1.2 Budgeted Enrollment YR1'!H96</f>
        <v>0</v>
      </c>
      <c r="D103" s="745">
        <f>$D$10</f>
        <v>4041.4500000000003</v>
      </c>
      <c r="E103" s="746">
        <f>C103*D103</f>
        <v>0</v>
      </c>
      <c r="F103" s="307"/>
      <c r="G103" s="742">
        <f>'1.2 Budgeted Enrollment YR1'!I96</f>
        <v>0</v>
      </c>
      <c r="H103" s="745">
        <f>$H$10</f>
        <v>3143.35</v>
      </c>
      <c r="I103" s="746">
        <f>G103*H103</f>
        <v>0</v>
      </c>
      <c r="J103" s="307"/>
      <c r="K103" s="742">
        <f>'1.2 Budgeted Enrollment YR1'!J96</f>
        <v>0</v>
      </c>
      <c r="L103" s="745">
        <f>$L$10</f>
        <v>1077.72</v>
      </c>
      <c r="M103" s="746">
        <f>K103*L103</f>
        <v>0</v>
      </c>
    </row>
    <row r="104" spans="1:13" s="4" customFormat="1" x14ac:dyDescent="0.3">
      <c r="A104" s="10"/>
      <c r="B104" s="195">
        <f>'1.2 Budgeted Enrollment YR1'!E97</f>
        <v>0</v>
      </c>
      <c r="C104" s="546">
        <f>'1.2 Budgeted Enrollment YR1'!H97</f>
        <v>0</v>
      </c>
      <c r="D104" s="201">
        <f>$D$10</f>
        <v>4041.4500000000003</v>
      </c>
      <c r="E104" s="596">
        <f>C104*D104</f>
        <v>0</v>
      </c>
      <c r="F104" s="10"/>
      <c r="G104" s="546">
        <f>'1.2 Budgeted Enrollment YR1'!I97</f>
        <v>0</v>
      </c>
      <c r="H104" s="201">
        <f>$H$10</f>
        <v>3143.35</v>
      </c>
      <c r="I104" s="596">
        <f>G104*H104</f>
        <v>0</v>
      </c>
      <c r="J104" s="10"/>
      <c r="K104" s="546">
        <f>'1.2 Budgeted Enrollment YR1'!J97</f>
        <v>0</v>
      </c>
      <c r="L104" s="201">
        <f>$L$10</f>
        <v>1077.72</v>
      </c>
      <c r="M104" s="596">
        <f>K104*L104</f>
        <v>0</v>
      </c>
    </row>
    <row r="105" spans="1:13" x14ac:dyDescent="0.3">
      <c r="A105" s="4"/>
      <c r="B105" s="304" t="s">
        <v>63</v>
      </c>
      <c r="C105" s="600">
        <f>SUM(C103:C104)</f>
        <v>0</v>
      </c>
      <c r="D105" s="743"/>
      <c r="E105" s="602">
        <f>SUM(E103:E104)</f>
        <v>0</v>
      </c>
      <c r="F105" s="181"/>
      <c r="G105" s="600">
        <f>SUM(G103:G104)</f>
        <v>0</v>
      </c>
      <c r="H105" s="743"/>
      <c r="I105" s="601">
        <f>SUM(I103:I104)</f>
        <v>0</v>
      </c>
      <c r="J105" s="181"/>
      <c r="K105" s="600">
        <f>SUM(K103:K104)</f>
        <v>0</v>
      </c>
      <c r="L105" s="122"/>
      <c r="M105" s="594">
        <f>SUM(M103:M104)</f>
        <v>0</v>
      </c>
    </row>
  </sheetData>
  <sheetProtection algorithmName="SHA-512" hashValue="j+uZikOHv3I/SAcXR2I+sAMvfj//rBYttxqSWYDLyZue+BWOD554ufya4+bbwDBXKx8F0KIURryIOQK4WTnKaA==" saltValue="g2I3ajIR4Fl32TYI0IdQrQ==" spinCount="100000" sheet="1" objects="1" scenarios="1"/>
  <customSheetViews>
    <customSheetView guid="{92EB2B16-3546-4CC6-AF3A-0019867B62A7}" scale="70">
      <pane xSplit="2" ySplit="14" topLeftCell="C15" activePane="bottomRight" state="frozen"/>
      <selection pane="bottomRight" activeCell="B48" sqref="B48"/>
      <rowBreaks count="2" manualBreakCount="2">
        <brk id="35" max="26" man="1"/>
        <brk id="67" max="26" man="1"/>
      </rowBreaks>
      <colBreaks count="4" manualBreakCount="4">
        <brk id="9" max="1048575" man="1"/>
        <brk id="14" max="1048575" man="1"/>
        <brk id="19" max="1048575" man="1"/>
        <brk id="24" max="1048575" man="1"/>
      </colBreaks>
      <pageMargins left="0.7" right="0.7" top="0.75" bottom="0.75" header="0.3" footer="0.3"/>
      <pageSetup paperSize="3" scale="75" fitToWidth="0" fitToHeight="2" pageOrder="overThenDown"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70" showPageBreaks="1" printArea="1">
      <pane xSplit="2" ySplit="14" topLeftCell="C15" activePane="bottomRight" state="frozen"/>
      <selection pane="bottomRight" activeCell="A4" sqref="A4"/>
      <rowBreaks count="2" manualBreakCount="2">
        <brk id="35" max="26" man="1"/>
        <brk id="67" max="26" man="1"/>
      </rowBreaks>
      <colBreaks count="4" manualBreakCount="4">
        <brk id="9" max="1048575" man="1"/>
        <brk id="14" max="1048575" man="1"/>
        <brk id="19" max="1048575" man="1"/>
        <brk id="24" max="1048575" man="1"/>
      </colBreaks>
      <pageMargins left="0.7" right="0.7" top="0.75" bottom="0.75" header="0.3" footer="0.3"/>
      <pageSetup paperSize="3" scale="75" fitToWidth="0" fitToHeight="2" pageOrder="overThenDown"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70" showPageBreaks="1" printArea="1">
      <pane xSplit="2" ySplit="14" topLeftCell="C15" activePane="bottomRight" state="frozen"/>
      <selection pane="bottomRight" activeCell="A4" sqref="A4"/>
      <rowBreaks count="2" manualBreakCount="2">
        <brk id="35" max="26" man="1"/>
        <brk id="67" max="26" man="1"/>
      </rowBreaks>
      <colBreaks count="4" manualBreakCount="4">
        <brk id="9" max="1048575" man="1"/>
        <brk id="14" max="1048575" man="1"/>
        <brk id="19" max="1048575" man="1"/>
        <brk id="24" max="1048575" man="1"/>
      </colBreaks>
      <pageMargins left="0.7" right="0.7" top="0.75" bottom="0.75" header="0.3" footer="0.3"/>
      <pageSetup paperSize="3" scale="75" fitToWidth="0" fitToHeight="2" pageOrder="overThenDown" orientation="landscape" r:id="rId3"/>
      <headerFooter>
        <oddHeader>&amp;R&amp;"Arial Narrow,Regular"&amp;10&amp;A
&amp;P</oddHeader>
        <oddFooter>&amp;L&amp;"Arial Narrow,Regular"&amp;10This is a draft document. It is intended for discussion purposes only.&amp;R&amp;G</oddFooter>
      </headerFooter>
    </customSheetView>
  </customSheetViews>
  <phoneticPr fontId="79" type="noConversion"/>
  <pageMargins left="0.45" right="0" top="0.75" bottom="0.75" header="0.3" footer="0.3"/>
  <pageSetup paperSize="3" scale="75" fitToWidth="0" fitToHeight="2" orientation="portrait" r:id="rId4"/>
  <headerFooter>
    <oddHeader>&amp;R&amp;"Arial Narrow,Regular"&amp;10&amp;A
&amp;P</oddHeader>
  </headerFooter>
  <rowBreaks count="1" manualBreakCount="1">
    <brk id="36" max="17" man="1"/>
  </rowBreaks>
  <colBreaks count="3" manualBreakCount="3">
    <brk id="5" max="86" man="1"/>
    <brk id="9" max="86" man="1"/>
    <brk id="13" max="8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BAC9D-EA60-4950-B3FB-DD8EF864E489}">
  <sheetPr codeName="Sheet305">
    <tabColor theme="6"/>
    <pageSetUpPr autoPageBreaks="0"/>
  </sheetPr>
  <dimension ref="A1:O102"/>
  <sheetViews>
    <sheetView zoomScale="85" zoomScaleNormal="85" workbookViewId="0"/>
  </sheetViews>
  <sheetFormatPr defaultColWidth="8.85546875" defaultRowHeight="16.5" x14ac:dyDescent="0.3"/>
  <cols>
    <col min="1" max="1" width="7.42578125" style="10" customWidth="1"/>
    <col min="2" max="2" width="41" style="10" customWidth="1"/>
    <col min="3" max="3" width="14.85546875" style="11" bestFit="1" customWidth="1"/>
    <col min="4" max="4" width="17" style="11" bestFit="1" customWidth="1"/>
    <col min="5" max="5" width="14.85546875" style="11" bestFit="1" customWidth="1"/>
    <col min="6" max="6" width="7.85546875" style="11" customWidth="1"/>
    <col min="7" max="7" width="17.42578125" style="11" customWidth="1"/>
    <col min="8" max="8" width="13.7109375" style="11" bestFit="1" customWidth="1"/>
    <col min="9" max="9" width="14.85546875" style="11" customWidth="1"/>
    <col min="10" max="10" width="17" style="10" bestFit="1" customWidth="1"/>
    <col min="11" max="11" width="16.7109375" style="10" customWidth="1"/>
    <col min="12" max="12" width="14.85546875" style="11" bestFit="1" customWidth="1"/>
    <col min="13" max="13" width="17.140625" style="11" customWidth="1"/>
    <col min="14" max="14" width="14.5703125" style="11" bestFit="1" customWidth="1"/>
    <col min="15" max="15" width="14.7109375" style="10" bestFit="1" customWidth="1"/>
    <col min="16" max="16" width="4.5703125" style="10" customWidth="1"/>
    <col min="17" max="16384" width="8.85546875" style="10"/>
  </cols>
  <sheetData>
    <row r="1" spans="1:15" s="4" customFormat="1" x14ac:dyDescent="0.3">
      <c r="A1" s="4" t="s">
        <v>602</v>
      </c>
    </row>
    <row r="2" spans="1:15" x14ac:dyDescent="0.3">
      <c r="A2" s="10" t="str">
        <f>CONCATENATE("Pupil Center Funding Plan | FY",'1.1 Assumption Control YR1'!D5)</f>
        <v>Pupil Center Funding Plan | FY2024</v>
      </c>
      <c r="C2" s="10"/>
      <c r="D2" s="10"/>
      <c r="E2" s="10"/>
      <c r="F2" s="10"/>
      <c r="G2" s="10"/>
      <c r="H2" s="10"/>
      <c r="I2" s="10"/>
      <c r="L2" s="10"/>
      <c r="M2" s="10"/>
      <c r="N2" s="10"/>
    </row>
    <row r="3" spans="1:15" x14ac:dyDescent="0.3">
      <c r="A3" s="10" t="s">
        <v>1420</v>
      </c>
      <c r="C3" s="10"/>
      <c r="D3" s="10"/>
      <c r="E3" s="10"/>
      <c r="F3" s="10"/>
      <c r="G3" s="10"/>
      <c r="H3" s="10"/>
      <c r="I3" s="10"/>
      <c r="L3" s="10"/>
      <c r="M3" s="10"/>
      <c r="N3" s="10"/>
    </row>
    <row r="4" spans="1:15" x14ac:dyDescent="0.3">
      <c r="C4" s="10"/>
      <c r="D4" s="10"/>
      <c r="E4" s="10"/>
      <c r="F4" s="10"/>
      <c r="G4" s="4" t="s">
        <v>1421</v>
      </c>
      <c r="H4" s="10"/>
      <c r="I4" s="10"/>
      <c r="L4" s="10"/>
      <c r="M4" s="10"/>
      <c r="N4" s="10"/>
    </row>
    <row r="5" spans="1:15" s="4" customFormat="1" ht="17.25" thickBot="1" x14ac:dyDescent="0.35">
      <c r="C5" s="17" t="s">
        <v>92</v>
      </c>
      <c r="D5" s="17" t="s">
        <v>93</v>
      </c>
      <c r="E5" s="18" t="s">
        <v>94</v>
      </c>
      <c r="F5" s="7"/>
      <c r="H5" s="1348" t="s">
        <v>1712</v>
      </c>
      <c r="I5" s="7" t="s">
        <v>1849</v>
      </c>
      <c r="L5" s="7"/>
      <c r="M5" s="1348"/>
      <c r="N5" s="1348" t="s">
        <v>1711</v>
      </c>
      <c r="O5" s="4" t="s">
        <v>1849</v>
      </c>
    </row>
    <row r="6" spans="1:15" ht="15.75" customHeight="1" thickTop="1" thickBot="1" x14ac:dyDescent="0.35">
      <c r="B6" s="17" t="s">
        <v>597</v>
      </c>
      <c r="C6" s="50">
        <f>'2.7 Weighted Funding YR1'!E6</f>
        <v>3233.7063571214676</v>
      </c>
      <c r="D6" s="51">
        <f>E33</f>
        <v>3233.7063571214685</v>
      </c>
      <c r="E6" s="52">
        <f>MAX(C6-D6,0)</f>
        <v>0</v>
      </c>
      <c r="F6" s="10"/>
      <c r="G6" s="7" t="s">
        <v>1408</v>
      </c>
      <c r="H6" s="1239">
        <f>H7+I6</f>
        <v>1587</v>
      </c>
      <c r="I6" s="7">
        <v>368</v>
      </c>
      <c r="J6" s="1303" t="s">
        <v>1454</v>
      </c>
      <c r="L6" s="50">
        <f>'6.8 Alloc of Residual Rev. YR2'!C6</f>
        <v>92651.12887275219</v>
      </c>
      <c r="M6" s="7" t="s">
        <v>1408</v>
      </c>
      <c r="N6" s="1239">
        <f>N7+O6</f>
        <v>57</v>
      </c>
      <c r="O6" s="11">
        <v>3</v>
      </c>
    </row>
    <row r="7" spans="1:15" ht="14.45" customHeight="1" thickTop="1" x14ac:dyDescent="0.3">
      <c r="B7" s="17"/>
      <c r="F7" s="10"/>
      <c r="G7" s="11" t="s">
        <v>1848</v>
      </c>
      <c r="H7" s="11">
        <v>1219</v>
      </c>
      <c r="K7" s="11"/>
      <c r="M7" s="1539" t="str">
        <f>G7</f>
        <v>Original increase</v>
      </c>
      <c r="N7" s="12">
        <v>54</v>
      </c>
      <c r="O7" s="12"/>
    </row>
    <row r="8" spans="1:15" x14ac:dyDescent="0.3">
      <c r="B8" s="17"/>
      <c r="C8" s="423"/>
      <c r="D8" s="423"/>
      <c r="E8" s="424" t="s">
        <v>1103</v>
      </c>
      <c r="F8" s="10"/>
      <c r="G8" s="402" t="s">
        <v>1117</v>
      </c>
      <c r="H8" s="403"/>
      <c r="I8" s="403"/>
      <c r="J8" s="341"/>
      <c r="K8" s="403"/>
      <c r="L8" s="403"/>
      <c r="M8" s="404"/>
      <c r="N8" s="10"/>
    </row>
    <row r="9" spans="1:15" x14ac:dyDescent="0.3">
      <c r="C9" s="150" t="s">
        <v>742</v>
      </c>
      <c r="D9" s="150" t="s">
        <v>1102</v>
      </c>
      <c r="E9" s="150" t="s">
        <v>742</v>
      </c>
      <c r="F9" s="10"/>
      <c r="G9" s="123" t="s">
        <v>742</v>
      </c>
      <c r="H9" s="1052"/>
      <c r="I9" s="17" t="s">
        <v>1105</v>
      </c>
      <c r="J9" s="1052"/>
      <c r="K9" s="300"/>
      <c r="L9" s="1052"/>
      <c r="M9" s="143"/>
      <c r="N9" s="10"/>
    </row>
    <row r="10" spans="1:15" x14ac:dyDescent="0.3">
      <c r="C10" s="127" t="s">
        <v>743</v>
      </c>
      <c r="D10" s="127" t="s">
        <v>743</v>
      </c>
      <c r="E10" s="127" t="s">
        <v>743</v>
      </c>
      <c r="F10" s="10"/>
      <c r="G10" s="116" t="s">
        <v>743</v>
      </c>
      <c r="H10" s="127" t="s">
        <v>1104</v>
      </c>
      <c r="I10" s="117" t="s">
        <v>1106</v>
      </c>
      <c r="J10" s="127" t="s">
        <v>101</v>
      </c>
      <c r="K10" s="117"/>
      <c r="L10" s="127" t="s">
        <v>104</v>
      </c>
      <c r="M10" s="118" t="s">
        <v>0</v>
      </c>
      <c r="N10" s="10"/>
    </row>
    <row r="11" spans="1:15" x14ac:dyDescent="0.3">
      <c r="A11" s="4"/>
      <c r="C11" s="127" t="s">
        <v>88</v>
      </c>
      <c r="D11" s="127" t="s">
        <v>88</v>
      </c>
      <c r="E11" s="127" t="s">
        <v>88</v>
      </c>
      <c r="F11" s="10"/>
      <c r="G11" s="116" t="s">
        <v>88</v>
      </c>
      <c r="H11" s="127" t="s">
        <v>1182</v>
      </c>
      <c r="I11" s="117" t="s">
        <v>1107</v>
      </c>
      <c r="J11" s="127" t="s">
        <v>103</v>
      </c>
      <c r="K11" s="117" t="s">
        <v>20</v>
      </c>
      <c r="L11" s="127" t="s">
        <v>102</v>
      </c>
      <c r="M11" s="118" t="s">
        <v>88</v>
      </c>
      <c r="N11" s="10"/>
    </row>
    <row r="12" spans="1:15" s="101" customFormat="1" ht="14.45" customHeight="1" x14ac:dyDescent="0.25">
      <c r="A12" s="505"/>
      <c r="B12" s="303" t="s">
        <v>879</v>
      </c>
      <c r="C12" s="506" t="s">
        <v>1083</v>
      </c>
      <c r="D12" s="507" t="s">
        <v>1880</v>
      </c>
      <c r="E12" s="507" t="s">
        <v>1881</v>
      </c>
      <c r="G12" s="508" t="s">
        <v>1344</v>
      </c>
      <c r="H12" s="506" t="s">
        <v>915</v>
      </c>
      <c r="I12" s="509" t="s">
        <v>857</v>
      </c>
      <c r="J12" s="506" t="s">
        <v>1411</v>
      </c>
      <c r="K12" s="509" t="s">
        <v>1411</v>
      </c>
      <c r="L12" s="506" t="s">
        <v>1411</v>
      </c>
      <c r="M12" s="510" t="s">
        <v>1118</v>
      </c>
      <c r="N12" s="101" t="s">
        <v>0</v>
      </c>
    </row>
    <row r="13" spans="1:15" x14ac:dyDescent="0.3">
      <c r="A13" s="4" t="s">
        <v>87</v>
      </c>
      <c r="C13" s="130"/>
      <c r="D13" s="130"/>
      <c r="E13" s="130"/>
      <c r="F13" s="10"/>
      <c r="G13" s="125"/>
      <c r="H13" s="130"/>
      <c r="I13" s="115"/>
      <c r="J13" s="130"/>
      <c r="K13" s="115"/>
      <c r="L13" s="130"/>
      <c r="M13" s="126"/>
      <c r="N13" s="10" t="s">
        <v>1825</v>
      </c>
    </row>
    <row r="14" spans="1:15" x14ac:dyDescent="0.3">
      <c r="B14" s="143" t="str">
        <f>'1.2 Budgeted Enrollment YR1'!E9</f>
        <v>Carson City</v>
      </c>
      <c r="C14" s="530">
        <f>'2.6 Adj. Base Summary YR1'!G15</f>
        <v>69471039.267245293</v>
      </c>
      <c r="D14" s="751">
        <f>C14/$C$33</f>
        <v>1.5874172845020771E-2</v>
      </c>
      <c r="E14" s="559">
        <f>D14*$C$6</f>
        <v>51.332413642988641</v>
      </c>
      <c r="F14" s="10"/>
      <c r="G14" s="565">
        <f>ROUND(C14+E14,2)</f>
        <v>69471090.599999994</v>
      </c>
      <c r="H14" s="530">
        <f>ROUND('2.1 Auxiliary Services YR1'!I12,2)</f>
        <v>3003280.14</v>
      </c>
      <c r="I14" s="208">
        <f>ROUND('2.2 Spec Ed Local YR1'!J9,2)</f>
        <v>6423599</v>
      </c>
      <c r="J14" s="530">
        <f>ROUND('2.7 Weighted Funding YR1'!E18,2)</f>
        <v>2905802.55</v>
      </c>
      <c r="K14" s="208">
        <f>ROUND('2.7 Weighted Funding YR1'!I18,2)</f>
        <v>908428.15</v>
      </c>
      <c r="L14" s="530">
        <f>ROUND('2.7 Weighted Funding YR1'!M18,2)</f>
        <v>414922.2</v>
      </c>
      <c r="M14" s="595">
        <f>ROUND(SUM(G14:L14),2)</f>
        <v>83127122.640000001</v>
      </c>
      <c r="N14" s="12">
        <f>SUM(C14,H14,I14,J14,K14,L14)</f>
        <v>83127071.307245299</v>
      </c>
    </row>
    <row r="15" spans="1:15" x14ac:dyDescent="0.3">
      <c r="B15" s="143" t="str">
        <f>'1.2 Budgeted Enrollment YR1'!E10</f>
        <v>Churchill</v>
      </c>
      <c r="C15" s="530">
        <f>'2.6 Adj. Base Summary YR1'!G16</f>
        <v>32467086.221067153</v>
      </c>
      <c r="D15" s="751">
        <f t="shared" ref="D15:D30" si="0">C15/$C$33</f>
        <v>7.4187480694622504E-3</v>
      </c>
      <c r="E15" s="559">
        <f>D15*$C$6</f>
        <v>23.990052794102695</v>
      </c>
      <c r="F15" s="10"/>
      <c r="G15" s="565">
        <f t="shared" ref="G15:G30" si="1">ROUND(C15+E15,2)</f>
        <v>32467110.210000001</v>
      </c>
      <c r="H15" s="530">
        <f>ROUND('2.1 Auxiliary Services YR1'!I13,2)</f>
        <v>1667139.62</v>
      </c>
      <c r="I15" s="208">
        <f>ROUND('2.2 Spec Ed Local YR1'!J10,2)</f>
        <v>1639107.16</v>
      </c>
      <c r="J15" s="530">
        <f>ROUND('2.7 Weighted Funding YR1'!E19,2)</f>
        <v>448600.95</v>
      </c>
      <c r="K15" s="208">
        <f>ROUND('2.7 Weighted Funding YR1'!I19,2)</f>
        <v>556372.94999999995</v>
      </c>
      <c r="L15" s="530">
        <f>ROUND('2.7 Weighted Funding YR1'!M19,2)</f>
        <v>0</v>
      </c>
      <c r="M15" s="595">
        <f t="shared" ref="M15:M30" si="2">ROUND(SUM(G15:L15),2)</f>
        <v>36778330.890000001</v>
      </c>
      <c r="N15" s="12">
        <f t="shared" ref="N15:N32" si="3">SUM(C15,H15,I15,J15,K15,L15)</f>
        <v>36778306.901067153</v>
      </c>
    </row>
    <row r="16" spans="1:15" x14ac:dyDescent="0.3">
      <c r="B16" s="143" t="str">
        <f>'1.2 Budgeted Enrollment YR1'!E11</f>
        <v>Clark</v>
      </c>
      <c r="C16" s="530">
        <f>'2.6 Adj. Base Summary YR1'!G17</f>
        <v>2656606471.4495654</v>
      </c>
      <c r="D16" s="751">
        <f t="shared" si="0"/>
        <v>0.60703612258863138</v>
      </c>
      <c r="E16" s="559">
        <f t="shared" ref="E16:E30" si="4">D16*$C$6</f>
        <v>1962.9765686172238</v>
      </c>
      <c r="F16" s="10"/>
      <c r="G16" s="565">
        <f t="shared" si="1"/>
        <v>2656608434.4299998</v>
      </c>
      <c r="H16" s="530">
        <f>ROUND('2.1 Auxiliary Services YR1'!I14,2)</f>
        <v>140911845.43000001</v>
      </c>
      <c r="I16" s="208">
        <f>ROUND('2.2 Spec Ed Local YR1'!J11,2)</f>
        <v>384538138</v>
      </c>
      <c r="J16" s="530">
        <f>ROUND('2.7 Weighted Funding YR1'!E20,2)</f>
        <v>152087846.40000001</v>
      </c>
      <c r="K16" s="208">
        <f>ROUND('2.7 Weighted Funding YR1'!I20,2)</f>
        <v>165572817.90000001</v>
      </c>
      <c r="L16" s="530">
        <f>ROUND('2.7 Weighted Funding YR1'!M20,2)</f>
        <v>4898237.4000000004</v>
      </c>
      <c r="M16" s="595">
        <f t="shared" si="2"/>
        <v>3504617319.5599999</v>
      </c>
      <c r="N16" s="12">
        <f t="shared" si="3"/>
        <v>3504615356.5795655</v>
      </c>
    </row>
    <row r="17" spans="1:14" x14ac:dyDescent="0.3">
      <c r="B17" s="143" t="str">
        <f>'1.2 Budgeted Enrollment YR1'!E12</f>
        <v>Douglas</v>
      </c>
      <c r="C17" s="530">
        <f>'2.6 Adj. Base Summary YR1'!G18</f>
        <v>52228164.242329657</v>
      </c>
      <c r="D17" s="751">
        <f t="shared" si="0"/>
        <v>1.1934165881289389E-2</v>
      </c>
      <c r="E17" s="559">
        <f t="shared" si="4"/>
        <v>38.591588077267616</v>
      </c>
      <c r="F17" s="10"/>
      <c r="G17" s="565">
        <f t="shared" si="1"/>
        <v>52228202.829999998</v>
      </c>
      <c r="H17" s="530">
        <f>ROUND('2.1 Auxiliary Services YR1'!I15,2)</f>
        <v>3889783.55</v>
      </c>
      <c r="I17" s="208">
        <f>ROUND('2.2 Spec Ed Local YR1'!J12,2)</f>
        <v>4013804</v>
      </c>
      <c r="J17" s="530">
        <f>ROUND('2.7 Weighted Funding YR1'!E21,2)</f>
        <v>683005.05</v>
      </c>
      <c r="K17" s="208">
        <f>ROUND('2.7 Weighted Funding YR1'!I21,2)</f>
        <v>537512.85</v>
      </c>
      <c r="L17" s="530">
        <f>ROUND('2.7 Weighted Funding YR1'!M21,2)</f>
        <v>49575.12</v>
      </c>
      <c r="M17" s="595">
        <f t="shared" si="2"/>
        <v>61401883.399999999</v>
      </c>
      <c r="N17" s="12">
        <f t="shared" si="3"/>
        <v>61401844.81232965</v>
      </c>
    </row>
    <row r="18" spans="1:14" x14ac:dyDescent="0.3">
      <c r="B18" s="143" t="str">
        <f>'1.2 Budgeted Enrollment YR1'!E13</f>
        <v>Elko</v>
      </c>
      <c r="C18" s="530">
        <f>'2.6 Adj. Base Summary YR1'!G19</f>
        <v>108247954.17878467</v>
      </c>
      <c r="D18" s="751">
        <f t="shared" si="0"/>
        <v>2.4734720437154804E-2</v>
      </c>
      <c r="E18" s="559">
        <f t="shared" si="4"/>
        <v>79.984822719249777</v>
      </c>
      <c r="F18" s="10"/>
      <c r="G18" s="565">
        <f t="shared" si="1"/>
        <v>108248034.16</v>
      </c>
      <c r="H18" s="530">
        <f>ROUND('2.1 Auxiliary Services YR1'!I16,2)</f>
        <v>5091921.79</v>
      </c>
      <c r="I18" s="208">
        <f>ROUND('2.2 Spec Ed Local YR1'!J13,2)</f>
        <v>5053547</v>
      </c>
      <c r="J18" s="530">
        <f>ROUND('2.7 Weighted Funding YR1'!E22,2)</f>
        <v>2736061.65</v>
      </c>
      <c r="K18" s="208">
        <f>ROUND('2.7 Weighted Funding YR1'!I22,2)</f>
        <v>1983453.85</v>
      </c>
      <c r="L18" s="530">
        <f>ROUND('2.7 Weighted Funding YR1'!M22,2)</f>
        <v>104538.84</v>
      </c>
      <c r="M18" s="595">
        <f t="shared" si="2"/>
        <v>123217557.29000001</v>
      </c>
      <c r="N18" s="12">
        <f t="shared" si="3"/>
        <v>123217477.30878468</v>
      </c>
    </row>
    <row r="19" spans="1:14" x14ac:dyDescent="0.3">
      <c r="B19" s="143" t="str">
        <f>'1.2 Budgeted Enrollment YR1'!E14</f>
        <v>Esmeralda</v>
      </c>
      <c r="C19" s="530">
        <f>'2.6 Adj. Base Summary YR1'!G20</f>
        <v>1847149.5493934429</v>
      </c>
      <c r="D19" s="751">
        <f t="shared" si="0"/>
        <v>4.220747454903655E-4</v>
      </c>
      <c r="E19" s="559">
        <f t="shared" si="4"/>
        <v>1.3648657876726205</v>
      </c>
      <c r="F19" s="10"/>
      <c r="G19" s="565">
        <f t="shared" si="1"/>
        <v>1847150.91</v>
      </c>
      <c r="H19" s="530">
        <f>ROUND('2.1 Auxiliary Services YR1'!I17,2)</f>
        <v>423197.63</v>
      </c>
      <c r="I19" s="208">
        <f>ROUND('2.2 Spec Ed Local YR1'!J14,2)</f>
        <v>46943</v>
      </c>
      <c r="J19" s="530">
        <f>ROUND('2.7 Weighted Funding YR1'!E23,2)</f>
        <v>28290.15</v>
      </c>
      <c r="K19" s="208">
        <f>ROUND('2.7 Weighted Funding YR1'!I23,2)</f>
        <v>25146.799999999999</v>
      </c>
      <c r="L19" s="530">
        <f>ROUND('2.7 Weighted Funding YR1'!M23,2)</f>
        <v>0</v>
      </c>
      <c r="M19" s="595">
        <f t="shared" si="2"/>
        <v>2370728.4900000002</v>
      </c>
      <c r="N19" s="12">
        <f t="shared" si="3"/>
        <v>2370727.1293934425</v>
      </c>
    </row>
    <row r="20" spans="1:14" x14ac:dyDescent="0.3">
      <c r="B20" s="143" t="str">
        <f>'1.2 Budgeted Enrollment YR1'!E15</f>
        <v>Eureka</v>
      </c>
      <c r="C20" s="530">
        <f>'2.6 Adj. Base Summary YR1'!G21</f>
        <v>5443914.9635665994</v>
      </c>
      <c r="D20" s="751">
        <f t="shared" si="0"/>
        <v>1.2439377328560559E-3</v>
      </c>
      <c r="E20" s="559">
        <f t="shared" si="4"/>
        <v>4.0225293545998939</v>
      </c>
      <c r="F20" s="10"/>
      <c r="G20" s="565">
        <f t="shared" si="1"/>
        <v>5443918.9900000002</v>
      </c>
      <c r="H20" s="530">
        <f>ROUND('2.1 Auxiliary Services YR1'!I18,2)</f>
        <v>1002309.61</v>
      </c>
      <c r="I20" s="208">
        <f>ROUND('2.2 Spec Ed Local YR1'!J15,2)</f>
        <v>948961.5</v>
      </c>
      <c r="J20" s="530">
        <f>ROUND('2.7 Weighted Funding YR1'!E24,2)</f>
        <v>12124.35</v>
      </c>
      <c r="K20" s="208">
        <f>ROUND('2.7 Weighted Funding YR1'!I24,2)</f>
        <v>12573.4</v>
      </c>
      <c r="L20" s="530">
        <f>ROUND('2.7 Weighted Funding YR1'!M24,2)</f>
        <v>0</v>
      </c>
      <c r="M20" s="595">
        <f t="shared" si="2"/>
        <v>7419887.8499999996</v>
      </c>
      <c r="N20" s="12">
        <f t="shared" si="3"/>
        <v>7419883.8235665997</v>
      </c>
    </row>
    <row r="21" spans="1:14" x14ac:dyDescent="0.3">
      <c r="B21" s="143" t="str">
        <f>'1.2 Budgeted Enrollment YR1'!E16</f>
        <v>Humboldt</v>
      </c>
      <c r="C21" s="530">
        <f>'2.6 Adj. Base Summary YR1'!G22</f>
        <v>35000735.70714967</v>
      </c>
      <c r="D21" s="751">
        <f t="shared" si="0"/>
        <v>7.9976884494391901E-3</v>
      </c>
      <c r="E21" s="559">
        <f t="shared" si="4"/>
        <v>25.862175981228443</v>
      </c>
      <c r="F21" s="10"/>
      <c r="G21" s="565">
        <f t="shared" si="1"/>
        <v>35000761.57</v>
      </c>
      <c r="H21" s="530">
        <f>ROUND('2.1 Auxiliary Services YR1'!I19,2)</f>
        <v>2037056.22</v>
      </c>
      <c r="I21" s="208">
        <f>ROUND('2.2 Spec Ed Local YR1'!J16,2)</f>
        <v>2358470</v>
      </c>
      <c r="J21" s="530">
        <f>ROUND('2.7 Weighted Funding YR1'!E25,2)</f>
        <v>820414.35</v>
      </c>
      <c r="K21" s="208">
        <f>ROUND('2.7 Weighted Funding YR1'!I25,2)</f>
        <v>254611.35</v>
      </c>
      <c r="L21" s="530">
        <f>ROUND('2.7 Weighted Funding YR1'!M25,2)</f>
        <v>0</v>
      </c>
      <c r="M21" s="595">
        <f t="shared" si="2"/>
        <v>40471313.490000002</v>
      </c>
      <c r="N21" s="12">
        <f t="shared" si="3"/>
        <v>40471287.627149671</v>
      </c>
    </row>
    <row r="22" spans="1:14" x14ac:dyDescent="0.3">
      <c r="B22" s="143" t="str">
        <f>'1.2 Budgeted Enrollment YR1'!E17</f>
        <v>Lander</v>
      </c>
      <c r="C22" s="530">
        <f>'2.6 Adj. Base Summary YR1'!G23</f>
        <v>13392241.457800444</v>
      </c>
      <c r="D22" s="751">
        <f t="shared" si="0"/>
        <v>3.0601349558852936E-3</v>
      </c>
      <c r="E22" s="559">
        <f t="shared" si="4"/>
        <v>9.8955778604958962</v>
      </c>
      <c r="F22" s="10"/>
      <c r="G22" s="565">
        <f t="shared" si="1"/>
        <v>13392251.35</v>
      </c>
      <c r="H22" s="530">
        <f>ROUND('2.1 Auxiliary Services YR1'!I20,2)</f>
        <v>438952.86</v>
      </c>
      <c r="I22" s="208">
        <f>ROUND('2.2 Spec Ed Local YR1'!J17,2)</f>
        <v>1052995</v>
      </c>
      <c r="J22" s="530">
        <f>ROUND('2.7 Weighted Funding YR1'!E26,2)</f>
        <v>133367.85</v>
      </c>
      <c r="K22" s="208">
        <f>ROUND('2.7 Weighted Funding YR1'!I26,2)</f>
        <v>308048.3</v>
      </c>
      <c r="L22" s="530">
        <f>ROUND('2.7 Weighted Funding YR1'!M26,2)</f>
        <v>0</v>
      </c>
      <c r="M22" s="595">
        <f t="shared" si="2"/>
        <v>15325615.359999999</v>
      </c>
      <c r="N22" s="12">
        <f t="shared" si="3"/>
        <v>15325605.467800444</v>
      </c>
    </row>
    <row r="23" spans="1:14" x14ac:dyDescent="0.3">
      <c r="B23" s="143" t="str">
        <f>'1.2 Budgeted Enrollment YR1'!E18</f>
        <v>Lincoln</v>
      </c>
      <c r="C23" s="530">
        <f>'2.6 Adj. Base Summary YR1'!G24</f>
        <v>14433984.548956847</v>
      </c>
      <c r="D23" s="751">
        <f t="shared" si="0"/>
        <v>3.2981738576139431E-3</v>
      </c>
      <c r="E23" s="559">
        <f t="shared" si="4"/>
        <v>10.665325770258042</v>
      </c>
      <c r="F23" s="10"/>
      <c r="G23" s="565">
        <f t="shared" si="1"/>
        <v>14433995.210000001</v>
      </c>
      <c r="H23" s="530">
        <f>ROUND('2.1 Auxiliary Services YR1'!I21,2)</f>
        <v>683339.41</v>
      </c>
      <c r="I23" s="208">
        <f>ROUND('2.2 Spec Ed Local YR1'!J18,2)</f>
        <v>327715</v>
      </c>
      <c r="J23" s="530">
        <f>ROUND('2.7 Weighted Funding YR1'!E27,2)</f>
        <v>24248.7</v>
      </c>
      <c r="K23" s="208">
        <f>ROUND('2.7 Weighted Funding YR1'!I27,2)</f>
        <v>135164.04999999999</v>
      </c>
      <c r="L23" s="530">
        <f>ROUND('2.7 Weighted Funding YR1'!M27,2)</f>
        <v>0</v>
      </c>
      <c r="M23" s="595">
        <f t="shared" si="2"/>
        <v>15604462.369999999</v>
      </c>
      <c r="N23" s="12">
        <f t="shared" si="3"/>
        <v>15604451.708956847</v>
      </c>
    </row>
    <row r="24" spans="1:14" x14ac:dyDescent="0.3">
      <c r="B24" s="143" t="str">
        <f>'1.2 Budgeted Enrollment YR1'!E19</f>
        <v>Lyon</v>
      </c>
      <c r="C24" s="530">
        <f>'2.6 Adj. Base Summary YR1'!G25</f>
        <v>99045043.176589191</v>
      </c>
      <c r="D24" s="751">
        <f t="shared" si="0"/>
        <v>2.2631849924966092E-2</v>
      </c>
      <c r="E24" s="559">
        <f t="shared" si="4"/>
        <v>73.184756975781866</v>
      </c>
      <c r="F24" s="10"/>
      <c r="G24" s="565">
        <f t="shared" si="1"/>
        <v>99045116.359999999</v>
      </c>
      <c r="H24" s="530">
        <f>ROUND('2.1 Auxiliary Services YR1'!I22,2)</f>
        <v>5015867.67</v>
      </c>
      <c r="I24" s="208">
        <f>ROUND('2.2 Spec Ed Local YR1'!J19,2)</f>
        <v>9582952</v>
      </c>
      <c r="J24" s="530">
        <f>ROUND('2.7 Weighted Funding YR1'!E28,2)</f>
        <v>1960103.25</v>
      </c>
      <c r="K24" s="208">
        <f>ROUND('2.7 Weighted Funding YR1'!I28,2)</f>
        <v>1653402.1</v>
      </c>
      <c r="L24" s="530">
        <f>ROUND('2.7 Weighted Funding YR1'!M28,2)</f>
        <v>0</v>
      </c>
      <c r="M24" s="595">
        <f t="shared" si="2"/>
        <v>117257441.38</v>
      </c>
      <c r="N24" s="12">
        <f t="shared" si="3"/>
        <v>117257368.19658919</v>
      </c>
    </row>
    <row r="25" spans="1:14" x14ac:dyDescent="0.3">
      <c r="B25" s="143" t="str">
        <f>'1.2 Budgeted Enrollment YR1'!E20</f>
        <v>Mineral</v>
      </c>
      <c r="C25" s="530">
        <f>'2.6 Adj. Base Summary YR1'!G26</f>
        <v>8777463.4898045026</v>
      </c>
      <c r="D25" s="751">
        <f t="shared" si="0"/>
        <v>2.0056555083624687E-3</v>
      </c>
      <c r="E25" s="559">
        <f t="shared" si="4"/>
        <v>6.4857009675874036</v>
      </c>
      <c r="F25" s="10"/>
      <c r="G25" s="565">
        <f t="shared" si="1"/>
        <v>8777469.9800000004</v>
      </c>
      <c r="H25" s="530">
        <f>ROUND('2.1 Auxiliary Services YR1'!I23,2)</f>
        <v>475073.27</v>
      </c>
      <c r="I25" s="208">
        <f>ROUND('2.2 Spec Ed Local YR1'!J20,2)</f>
        <v>215665</v>
      </c>
      <c r="J25" s="530">
        <f>ROUND('2.7 Weighted Funding YR1'!E29,2)</f>
        <v>137409.29999999999</v>
      </c>
      <c r="K25" s="208">
        <f>ROUND('2.7 Weighted Funding YR1'!I29,2)</f>
        <v>163454.20000000001</v>
      </c>
      <c r="L25" s="530">
        <f>ROUND('2.7 Weighted Funding YR1'!M29,2)</f>
        <v>0</v>
      </c>
      <c r="M25" s="595">
        <f t="shared" si="2"/>
        <v>9769071.75</v>
      </c>
      <c r="N25" s="12">
        <f t="shared" si="3"/>
        <v>9769065.2598045021</v>
      </c>
    </row>
    <row r="26" spans="1:14" x14ac:dyDescent="0.3">
      <c r="B26" s="143" t="str">
        <f>'1.2 Budgeted Enrollment YR1'!E21</f>
        <v>Nye</v>
      </c>
      <c r="C26" s="530">
        <f>'2.6 Adj. Base Summary YR1'!G27</f>
        <v>61343624.559238859</v>
      </c>
      <c r="D26" s="751">
        <f t="shared" si="0"/>
        <v>1.4017053861069028E-2</v>
      </c>
      <c r="E26" s="559">
        <f t="shared" si="4"/>
        <v>45.327036178652932</v>
      </c>
      <c r="F26" s="10"/>
      <c r="G26" s="565">
        <f t="shared" si="1"/>
        <v>61343669.890000001</v>
      </c>
      <c r="H26" s="530">
        <f>ROUND('2.1 Auxiliary Services YR1'!I24,2)</f>
        <v>4268308.3</v>
      </c>
      <c r="I26" s="208">
        <f>ROUND('2.2 Spec Ed Local YR1'!J21,2)</f>
        <v>8314944</v>
      </c>
      <c r="J26" s="530">
        <f>ROUND('2.7 Weighted Funding YR1'!E30,2)</f>
        <v>1309429.8</v>
      </c>
      <c r="K26" s="208">
        <f>ROUND('2.7 Weighted Funding YR1'!I30,2)</f>
        <v>1411364.15</v>
      </c>
      <c r="L26" s="530">
        <f>ROUND('2.7 Weighted Funding YR1'!M30,2)</f>
        <v>0</v>
      </c>
      <c r="M26" s="595">
        <f t="shared" si="2"/>
        <v>76647716.140000001</v>
      </c>
      <c r="N26" s="12">
        <f t="shared" si="3"/>
        <v>76647670.809238866</v>
      </c>
    </row>
    <row r="27" spans="1:14" x14ac:dyDescent="0.3">
      <c r="B27" s="143" t="str">
        <f>'1.2 Budgeted Enrollment YR1'!E22</f>
        <v>Pershing</v>
      </c>
      <c r="C27" s="530">
        <f>'2.6 Adj. Base Summary YR1'!G28</f>
        <v>9551166.6206728909</v>
      </c>
      <c r="D27" s="751">
        <f t="shared" si="0"/>
        <v>2.1824471233963505E-3</v>
      </c>
      <c r="E27" s="559">
        <f t="shared" si="4"/>
        <v>7.0573931370082388</v>
      </c>
      <c r="F27" s="10"/>
      <c r="G27" s="565">
        <f t="shared" si="1"/>
        <v>9551173.6799999997</v>
      </c>
      <c r="H27" s="530">
        <f>ROUND('2.1 Auxiliary Services YR1'!I25,2)</f>
        <v>825645.34</v>
      </c>
      <c r="I27" s="208">
        <f>ROUND('2.2 Spec Ed Local YR1'!J22,2)</f>
        <v>456815</v>
      </c>
      <c r="J27" s="530">
        <f>ROUND('2.7 Weighted Funding YR1'!E31,2)</f>
        <v>92953.35</v>
      </c>
      <c r="K27" s="208">
        <f>ROUND('2.7 Weighted Funding YR1'!I31,2)</f>
        <v>122590.65</v>
      </c>
      <c r="L27" s="530">
        <f>ROUND('2.7 Weighted Funding YR1'!M31,2)</f>
        <v>0</v>
      </c>
      <c r="M27" s="595">
        <f t="shared" si="2"/>
        <v>11049178.02</v>
      </c>
      <c r="N27" s="12">
        <f t="shared" si="3"/>
        <v>11049170.960672891</v>
      </c>
    </row>
    <row r="28" spans="1:14" x14ac:dyDescent="0.3">
      <c r="B28" s="143" t="str">
        <f>'1.2 Budgeted Enrollment YR1'!E23</f>
        <v>Storey</v>
      </c>
      <c r="C28" s="530">
        <f>'2.6 Adj. Base Summary YR1'!G29</f>
        <v>6712783.321660554</v>
      </c>
      <c r="D28" s="751">
        <f t="shared" si="0"/>
        <v>1.5338748900716951E-3</v>
      </c>
      <c r="E28" s="559">
        <f t="shared" si="4"/>
        <v>4.9601009830538327</v>
      </c>
      <c r="F28" s="10"/>
      <c r="G28" s="565">
        <f t="shared" si="1"/>
        <v>6712788.2800000003</v>
      </c>
      <c r="H28" s="530">
        <f>ROUND('2.1 Auxiliary Services YR1'!I26,2)</f>
        <v>513415.75</v>
      </c>
      <c r="I28" s="208">
        <f>ROUND('2.2 Spec Ed Local YR1'!J23,2)</f>
        <v>54667</v>
      </c>
      <c r="J28" s="530">
        <f>ROUND('2.7 Weighted Funding YR1'!E32,2)</f>
        <v>4041.45</v>
      </c>
      <c r="K28" s="208">
        <f>ROUND('2.7 Weighted Funding YR1'!I32,2)</f>
        <v>37720.199999999997</v>
      </c>
      <c r="L28" s="530">
        <f>ROUND('2.7 Weighted Funding YR1'!M32,2)</f>
        <v>5388.6</v>
      </c>
      <c r="M28" s="595">
        <f t="shared" si="2"/>
        <v>7328021.2800000003</v>
      </c>
      <c r="N28" s="12">
        <f t="shared" si="3"/>
        <v>7328016.321660554</v>
      </c>
    </row>
    <row r="29" spans="1:14" x14ac:dyDescent="0.3">
      <c r="B29" s="143" t="str">
        <f>'1.2 Budgeted Enrollment YR1'!E24</f>
        <v>Washoe</v>
      </c>
      <c r="C29" s="530">
        <f>'2.6 Adj. Base Summary YR1'!G30</f>
        <v>560612892.10490739</v>
      </c>
      <c r="D29" s="751">
        <f t="shared" si="0"/>
        <v>0.128100371640995</v>
      </c>
      <c r="E29" s="559">
        <f t="shared" si="4"/>
        <v>414.23898612510811</v>
      </c>
      <c r="F29" s="10"/>
      <c r="G29" s="565">
        <f t="shared" si="1"/>
        <v>560613306.34000003</v>
      </c>
      <c r="H29" s="530">
        <f>ROUND('2.1 Auxiliary Services YR1'!I27,2)</f>
        <v>23740800.77</v>
      </c>
      <c r="I29" s="208">
        <f>ROUND('2.2 Spec Ed Local YR1'!J24,2)</f>
        <v>44935310</v>
      </c>
      <c r="J29" s="530">
        <f>ROUND('2.7 Weighted Funding YR1'!E33,2)</f>
        <v>27182792.699999999</v>
      </c>
      <c r="K29" s="208">
        <f>ROUND('2.7 Weighted Funding YR1'!I33,2)</f>
        <v>15440135.199999999</v>
      </c>
      <c r="L29" s="530">
        <f>ROUND('2.7 Weighted Funding YR1'!M33,2)</f>
        <v>1356849.48</v>
      </c>
      <c r="M29" s="595">
        <f t="shared" si="2"/>
        <v>673269194.49000001</v>
      </c>
      <c r="N29" s="12">
        <f t="shared" si="3"/>
        <v>673268780.25490749</v>
      </c>
    </row>
    <row r="30" spans="1:14" x14ac:dyDescent="0.3">
      <c r="B30" s="143" t="str">
        <f>'1.2 Budgeted Enrollment YR1'!E25</f>
        <v>White Pine</v>
      </c>
      <c r="C30" s="530">
        <f>'2.6 Adj. Base Summary YR1'!G31</f>
        <v>17858310.386725582</v>
      </c>
      <c r="D30" s="751">
        <f t="shared" si="0"/>
        <v>4.0806343015595504E-3</v>
      </c>
      <c r="E30" s="559">
        <f t="shared" si="4"/>
        <v>13.195573082041038</v>
      </c>
      <c r="F30" s="10"/>
      <c r="G30" s="565">
        <f t="shared" si="1"/>
        <v>17858323.579999998</v>
      </c>
      <c r="H30" s="530">
        <f>ROUND('2.1 Auxiliary Services YR1'!I28,2)</f>
        <v>1267543.17</v>
      </c>
      <c r="I30" s="208">
        <f>ROUND('2.2 Spec Ed Local YR1'!J25,2)</f>
        <v>599616</v>
      </c>
      <c r="J30" s="530">
        <f>ROUND('2.7 Weighted Funding YR1'!E34,2)</f>
        <v>60621.75</v>
      </c>
      <c r="K30" s="208">
        <f>ROUND('2.7 Weighted Funding YR1'!I34,2)</f>
        <v>342625.15</v>
      </c>
      <c r="L30" s="530">
        <f>ROUND('2.7 Weighted Funding YR1'!M34,2)</f>
        <v>0</v>
      </c>
      <c r="M30" s="595">
        <f t="shared" si="2"/>
        <v>20128729.649999999</v>
      </c>
      <c r="N30" s="12">
        <f t="shared" si="3"/>
        <v>20128716.456725582</v>
      </c>
    </row>
    <row r="31" spans="1:14" x14ac:dyDescent="0.3">
      <c r="B31" s="143" t="str">
        <f>'1.2 Budgeted Enrollment YR1'!E26</f>
        <v>Charter Schools (Combined)</v>
      </c>
      <c r="C31" s="530">
        <f>C96</f>
        <v>621861141.38655722</v>
      </c>
      <c r="D31" s="751">
        <f>D96</f>
        <v>0.14209563219570848</v>
      </c>
      <c r="E31" s="559">
        <f>D31*$C$6</f>
        <v>459.49554915045638</v>
      </c>
      <c r="F31" s="10"/>
      <c r="G31" s="565">
        <f t="shared" ref="G31:M31" si="5">G96</f>
        <v>621861600.87000024</v>
      </c>
      <c r="H31" s="530">
        <f t="shared" si="5"/>
        <v>0</v>
      </c>
      <c r="I31" s="208">
        <f t="shared" si="5"/>
        <v>14783450.18</v>
      </c>
      <c r="J31" s="530">
        <f t="shared" si="5"/>
        <v>22268389.500000007</v>
      </c>
      <c r="K31" s="208">
        <f t="shared" si="5"/>
        <v>9587217.5000000019</v>
      </c>
      <c r="L31" s="530">
        <f t="shared" si="5"/>
        <v>1182258.8400000001</v>
      </c>
      <c r="M31" s="595">
        <f t="shared" si="5"/>
        <v>669682916.8900001</v>
      </c>
      <c r="N31" s="12">
        <f t="shared" si="3"/>
        <v>669682457.4065572</v>
      </c>
    </row>
    <row r="32" spans="1:14" x14ac:dyDescent="0.3">
      <c r="A32" s="183"/>
      <c r="B32" s="168" t="str">
        <f>'1.2 Budgeted Enrollment YR1'!E27</f>
        <v>University Schools</v>
      </c>
      <c r="C32" s="547">
        <f>C101</f>
        <v>1455317.9224656573</v>
      </c>
      <c r="D32" s="752">
        <f>D101</f>
        <v>3.32540991028022E-4</v>
      </c>
      <c r="E32" s="561">
        <f>D32*$C$6</f>
        <v>1.0753399166907878</v>
      </c>
      <c r="F32" s="10"/>
      <c r="G32" s="565">
        <f t="shared" ref="G32:M32" si="6">G101</f>
        <v>1455319</v>
      </c>
      <c r="H32" s="530">
        <f t="shared" si="6"/>
        <v>0</v>
      </c>
      <c r="I32" s="208">
        <f t="shared" si="6"/>
        <v>0</v>
      </c>
      <c r="J32" s="530">
        <f t="shared" si="6"/>
        <v>0</v>
      </c>
      <c r="K32" s="208">
        <f t="shared" si="6"/>
        <v>0</v>
      </c>
      <c r="L32" s="547">
        <f t="shared" si="6"/>
        <v>0</v>
      </c>
      <c r="M32" s="595">
        <f t="shared" si="6"/>
        <v>1455319</v>
      </c>
      <c r="N32" s="12">
        <f t="shared" si="3"/>
        <v>1455317.9224656573</v>
      </c>
    </row>
    <row r="33" spans="1:14" s="4" customFormat="1" x14ac:dyDescent="0.3">
      <c r="A33" s="304"/>
      <c r="B33" s="181" t="s">
        <v>89</v>
      </c>
      <c r="C33" s="591">
        <f>'2.6 Adj. Base Summary YR1'!G34</f>
        <v>4376356484.5544806</v>
      </c>
      <c r="D33" s="592">
        <f>SUM(D14:D32)</f>
        <v>1.0000000000000002</v>
      </c>
      <c r="E33" s="750">
        <f>D33*$C$6</f>
        <v>3233.7063571214685</v>
      </c>
      <c r="G33" s="567">
        <f t="shared" ref="G33:L33" si="7">SUM(G14:G32)</f>
        <v>4376359718.2399998</v>
      </c>
      <c r="H33" s="564">
        <f t="shared" si="7"/>
        <v>195255480.53000003</v>
      </c>
      <c r="I33" s="568">
        <f t="shared" si="7"/>
        <v>485346698.84000003</v>
      </c>
      <c r="J33" s="564">
        <f t="shared" si="7"/>
        <v>212895503.09999999</v>
      </c>
      <c r="K33" s="568">
        <f t="shared" si="7"/>
        <v>199052638.75</v>
      </c>
      <c r="L33" s="564">
        <f t="shared" si="7"/>
        <v>8011770.4800000004</v>
      </c>
      <c r="M33" s="971">
        <f>SUM(M14:M32)</f>
        <v>5476921809.9399996</v>
      </c>
    </row>
    <row r="34" spans="1:14" s="805" customFormat="1" x14ac:dyDescent="0.3">
      <c r="C34" s="1048">
        <f>C33-'2.6 Adj. Base Summary YR1'!G34</f>
        <v>0</v>
      </c>
      <c r="D34" s="1048"/>
      <c r="E34" s="1049"/>
      <c r="F34" s="1050"/>
      <c r="G34" s="1048">
        <f>(C33+E33)-G33</f>
        <v>2.0837783813476563E-2</v>
      </c>
      <c r="H34" s="1053">
        <f>H33-'2.1 Auxiliary Services YR1'!I31</f>
        <v>0</v>
      </c>
      <c r="I34" s="1051">
        <f>'2.2 Spec Ed Local YR1'!J28-I33</f>
        <v>0</v>
      </c>
      <c r="J34" s="1053">
        <f>J33-'2.7 Weighted Funding YR1'!E37</f>
        <v>0</v>
      </c>
      <c r="K34" s="1051">
        <f>K33-'2.7 Weighted Funding YR1'!I37</f>
        <v>0</v>
      </c>
      <c r="L34" s="1053">
        <f>L33-'2.7 Weighted Funding YR1'!M37</f>
        <v>0.48000000044703484</v>
      </c>
      <c r="M34" s="1047">
        <f>M33-'1.3 Budgeted Revenues YR1'!C35</f>
        <v>0.45916175842285156</v>
      </c>
    </row>
    <row r="35" spans="1:14" x14ac:dyDescent="0.3">
      <c r="A35" s="4" t="s">
        <v>84</v>
      </c>
      <c r="C35" s="125"/>
      <c r="D35" s="125"/>
      <c r="E35" s="130"/>
      <c r="F35" s="10"/>
      <c r="G35" s="125"/>
      <c r="H35" s="130"/>
      <c r="I35" s="115"/>
      <c r="J35" s="130"/>
      <c r="K35" s="115"/>
      <c r="L35" s="130"/>
      <c r="M35" s="126"/>
      <c r="N35" s="10"/>
    </row>
    <row r="36" spans="1:14" x14ac:dyDescent="0.3">
      <c r="B36" s="143" t="str">
        <f>'1.2 Budgeted Enrollment YR1'!E32</f>
        <v>100 Academy Of Excellence</v>
      </c>
      <c r="C36" s="530">
        <f>'2.6 Adj. Base Summary YR1'!G37</f>
        <v>2849782.7658028984</v>
      </c>
      <c r="D36" s="597">
        <f>C36/$C$33</f>
        <v>6.511770181109939E-4</v>
      </c>
      <c r="E36" s="559">
        <f>D36*$C$6</f>
        <v>2.105715263076922</v>
      </c>
      <c r="F36" s="10"/>
      <c r="G36" s="559">
        <f>ROUND(C36+E36,2)</f>
        <v>2849784.87</v>
      </c>
      <c r="H36" s="530">
        <v>0</v>
      </c>
      <c r="I36" s="530">
        <f>ROUND('2.2 Spec Ed Local YR1'!J30,2)</f>
        <v>129964</v>
      </c>
      <c r="J36" s="530">
        <f>ROUND('2.7 Weighted Funding YR1'!E40,2)</f>
        <v>121243.5</v>
      </c>
      <c r="K36" s="530">
        <f>ROUND('2.7 Weighted Funding YR1'!I40,2)</f>
        <v>506079.35</v>
      </c>
      <c r="L36" s="530">
        <f>ROUND('2.7 Weighted Funding YR1'!M40,2)</f>
        <v>0</v>
      </c>
      <c r="M36" s="595">
        <f>SUM(G36:L36)</f>
        <v>3607071.72</v>
      </c>
      <c r="N36" s="10"/>
    </row>
    <row r="37" spans="1:14" x14ac:dyDescent="0.3">
      <c r="B37" s="143" t="str">
        <f>'1.2 Budgeted Enrollment YR1'!E33</f>
        <v>Academy For Career Education</v>
      </c>
      <c r="C37" s="530">
        <f>'2.6 Adj. Base Summary YR1'!G38</f>
        <v>2094069.8376082226</v>
      </c>
      <c r="D37" s="597">
        <f>C37/$C$33</f>
        <v>4.7849617484289604E-4</v>
      </c>
      <c r="E37" s="559">
        <f>D37*$C$6</f>
        <v>1.5473161224477783</v>
      </c>
      <c r="F37" s="10"/>
      <c r="G37" s="559">
        <f t="shared" ref="G37:G94" si="8">ROUND(C37+E37,2)</f>
        <v>2094071.38</v>
      </c>
      <c r="H37" s="530">
        <v>0</v>
      </c>
      <c r="I37" s="530">
        <f>ROUND('2.2 Spec Ed Local YR1'!J31,2)</f>
        <v>95195</v>
      </c>
      <c r="J37" s="530">
        <f>ROUND('2.7 Weighted Funding YR1'!E41,2)</f>
        <v>88911.9</v>
      </c>
      <c r="K37" s="530">
        <f>ROUND('2.7 Weighted Funding YR1'!I41,2)</f>
        <v>6286.7</v>
      </c>
      <c r="L37" s="530">
        <f>ROUND('2.7 Weighted Funding YR1'!M41,2)</f>
        <v>0</v>
      </c>
      <c r="M37" s="595">
        <f>SUM(G37:L37)</f>
        <v>2284464.98</v>
      </c>
      <c r="N37" s="10"/>
    </row>
    <row r="38" spans="1:14" x14ac:dyDescent="0.3">
      <c r="B38" s="143" t="str">
        <f>'1.2 Budgeted Enrollment YR1'!E34</f>
        <v xml:space="preserve">Alpine Academy </v>
      </c>
      <c r="C38" s="530">
        <f>'2.6 Adj. Base Summary YR1'!G39</f>
        <v>1327527.2782567348</v>
      </c>
      <c r="D38" s="597">
        <f t="shared" ref="D38:D94" si="9">C38/$C$33</f>
        <v>3.0334075456192621E-4</v>
      </c>
      <c r="E38" s="559">
        <f t="shared" ref="E38:E94" si="10">D38*$C$6</f>
        <v>0.98091492640092359</v>
      </c>
      <c r="F38" s="10"/>
      <c r="G38" s="559">
        <f t="shared" si="8"/>
        <v>1327528.26</v>
      </c>
      <c r="H38" s="530">
        <v>0</v>
      </c>
      <c r="I38" s="530">
        <f>ROUND('2.2 Spec Ed Local YR1'!J32,2)</f>
        <v>79475</v>
      </c>
      <c r="J38" s="530">
        <f>ROUND('2.7 Weighted Funding YR1'!E42,2)</f>
        <v>0</v>
      </c>
      <c r="K38" s="530">
        <f>ROUND('2.7 Weighted Funding YR1'!I42,2)</f>
        <v>15716.75</v>
      </c>
      <c r="L38" s="530">
        <f>ROUND('2.7 Weighted Funding YR1'!M42,2)</f>
        <v>0</v>
      </c>
      <c r="M38" s="595">
        <f t="shared" ref="M38:M94" si="11">SUM(G38:L38)</f>
        <v>1422720.01</v>
      </c>
      <c r="N38" s="10"/>
    </row>
    <row r="39" spans="1:14" x14ac:dyDescent="0.3">
      <c r="B39" s="143" t="str">
        <f>'1.2 Budgeted Enrollment YR1'!E35</f>
        <v xml:space="preserve">Amplus (Formerly American Preparatory Academy) </v>
      </c>
      <c r="C39" s="530">
        <f>'2.6 Adj. Base Summary YR1'!G40</f>
        <v>20366291.42746279</v>
      </c>
      <c r="D39" s="597">
        <f t="shared" si="9"/>
        <v>4.6537094268581068E-3</v>
      </c>
      <c r="E39" s="559">
        <f t="shared" si="10"/>
        <v>15.048729757827161</v>
      </c>
      <c r="F39" s="10"/>
      <c r="G39" s="559">
        <f t="shared" si="8"/>
        <v>20366306.48</v>
      </c>
      <c r="H39" s="530">
        <v>0</v>
      </c>
      <c r="I39" s="530">
        <f>ROUND('2.2 Spec Ed Local YR1'!J33,2)</f>
        <v>23584</v>
      </c>
      <c r="J39" s="530">
        <f>ROUND('2.7 Weighted Funding YR1'!E43,2)</f>
        <v>703212.3</v>
      </c>
      <c r="K39" s="530">
        <f>ROUND('2.7 Weighted Funding YR1'!I43,2)</f>
        <v>122590.65</v>
      </c>
      <c r="L39" s="530">
        <f>ROUND('2.7 Weighted Funding YR1'!M43,2)</f>
        <v>43108.800000000003</v>
      </c>
      <c r="M39" s="595">
        <f t="shared" si="11"/>
        <v>21258802.23</v>
      </c>
      <c r="N39" s="10"/>
    </row>
    <row r="40" spans="1:14" x14ac:dyDescent="0.3">
      <c r="B40" s="143" t="str">
        <f>'1.2 Budgeted Enrollment YR1'!E36</f>
        <v>Bailey Charter School</v>
      </c>
      <c r="C40" s="530">
        <f>'2.6 Adj. Base Summary YR1'!G41</f>
        <v>1574633.7332449914</v>
      </c>
      <c r="D40" s="597">
        <f t="shared" si="9"/>
        <v>3.5980472313038535E-4</v>
      </c>
      <c r="E40" s="559">
        <f t="shared" si="10"/>
        <v>1.1635028205090567</v>
      </c>
      <c r="F40" s="10"/>
      <c r="G40" s="559">
        <f t="shared" si="8"/>
        <v>1574634.9</v>
      </c>
      <c r="H40" s="530">
        <v>0</v>
      </c>
      <c r="I40" s="530">
        <f>ROUND('2.2 Spec Ed Local YR1'!J34,2)</f>
        <v>67769</v>
      </c>
      <c r="J40" s="530">
        <f>ROUND('2.7 Weighted Funding YR1'!E44,2)</f>
        <v>303108.75</v>
      </c>
      <c r="K40" s="530">
        <f>ROUND('2.7 Weighted Funding YR1'!I44,2)</f>
        <v>116303.95</v>
      </c>
      <c r="L40" s="530">
        <f>ROUND('2.7 Weighted Funding YR1'!M44,2)</f>
        <v>0</v>
      </c>
      <c r="M40" s="595">
        <f t="shared" si="11"/>
        <v>2061816.5999999999</v>
      </c>
      <c r="N40" s="10"/>
    </row>
    <row r="41" spans="1:14" x14ac:dyDescent="0.3">
      <c r="B41" s="143" t="str">
        <f>'1.2 Budgeted Enrollment YR1'!E37</f>
        <v>Battle Born Academy</v>
      </c>
      <c r="C41" s="530">
        <f>'2.6 Adj. Base Summary YR1'!G42</f>
        <v>1187026.8628891171</v>
      </c>
      <c r="D41" s="597">
        <f t="shared" si="9"/>
        <v>2.7123632799990198E-4</v>
      </c>
      <c r="E41" s="559">
        <f t="shared" si="10"/>
        <v>0.87709863813556654</v>
      </c>
      <c r="F41" s="10"/>
      <c r="G41" s="559">
        <f t="shared" si="8"/>
        <v>1187027.74</v>
      </c>
      <c r="H41" s="530">
        <v>0</v>
      </c>
      <c r="I41" s="530">
        <f>ROUND('2.2 Spec Ed Local YR1'!J35,2)</f>
        <v>0</v>
      </c>
      <c r="J41" s="530">
        <f>ROUND('2.7 Weighted Funding YR1'!E45,2)</f>
        <v>226321.2</v>
      </c>
      <c r="K41" s="530">
        <f>ROUND('2.7 Weighted Funding YR1'!I45,2)</f>
        <v>0</v>
      </c>
      <c r="L41" s="530">
        <f>ROUND('2.7 Weighted Funding YR1'!M45,2)</f>
        <v>0</v>
      </c>
      <c r="M41" s="595">
        <f t="shared" si="11"/>
        <v>1413348.94</v>
      </c>
      <c r="N41" s="10"/>
    </row>
    <row r="42" spans="1:14" x14ac:dyDescent="0.3">
      <c r="B42" s="143" t="str">
        <f>'1.2 Budgeted Enrollment YR1'!E38</f>
        <v>Beacon Academy</v>
      </c>
      <c r="C42" s="530">
        <f>'2.6 Adj. Base Summary YR1'!G43</f>
        <v>5399455.4254256114</v>
      </c>
      <c r="D42" s="597">
        <f t="shared" si="9"/>
        <v>1.2337787025535887E-3</v>
      </c>
      <c r="E42" s="559">
        <f t="shared" si="10"/>
        <v>3.989678033728616</v>
      </c>
      <c r="F42" s="10"/>
      <c r="G42" s="559">
        <f t="shared" si="8"/>
        <v>5399459.4199999999</v>
      </c>
      <c r="H42" s="530">
        <v>0</v>
      </c>
      <c r="I42" s="530">
        <f>ROUND('2.2 Spec Ed Local YR1'!J36,2)</f>
        <v>275857</v>
      </c>
      <c r="J42" s="530">
        <f>ROUND('2.7 Weighted Funding YR1'!E46,2)</f>
        <v>226321.2</v>
      </c>
      <c r="K42" s="530">
        <f>ROUND('2.7 Weighted Funding YR1'!I46,2)</f>
        <v>528082.80000000005</v>
      </c>
      <c r="L42" s="530">
        <f>ROUND('2.7 Weighted Funding YR1'!M46,2)</f>
        <v>0</v>
      </c>
      <c r="M42" s="595">
        <f t="shared" si="11"/>
        <v>6429720.4199999999</v>
      </c>
      <c r="N42" s="10"/>
    </row>
    <row r="43" spans="1:14" x14ac:dyDescent="0.3">
      <c r="B43" s="143" t="str">
        <f>'1.2 Budgeted Enrollment YR1'!E39</f>
        <v>Cactus Park</v>
      </c>
      <c r="C43" s="530">
        <f>'2.6 Adj. Base Summary YR1'!G44</f>
        <v>974704.44933711365</v>
      </c>
      <c r="D43" s="597">
        <f t="shared" si="9"/>
        <v>2.2272053311405229E-4</v>
      </c>
      <c r="E43" s="559">
        <f t="shared" si="10"/>
        <v>0.72021280379239316</v>
      </c>
      <c r="F43" s="10"/>
      <c r="G43" s="559">
        <f t="shared" si="8"/>
        <v>974705.17</v>
      </c>
      <c r="H43" s="530">
        <v>0</v>
      </c>
      <c r="I43" s="530">
        <f>ROUND('2.2 Spec Ed Local YR1'!J37,2)</f>
        <v>0</v>
      </c>
      <c r="J43" s="530">
        <f>ROUND('2.7 Weighted Funding YR1'!E47,2)</f>
        <v>88911.9</v>
      </c>
      <c r="K43" s="530">
        <f>ROUND('2.7 Weighted Funding YR1'!I47,2)</f>
        <v>0</v>
      </c>
      <c r="L43" s="530">
        <f>ROUND('2.7 Weighted Funding YR1'!M47,2)</f>
        <v>0</v>
      </c>
      <c r="M43" s="595">
        <f t="shared" si="11"/>
        <v>1063617.07</v>
      </c>
      <c r="N43" s="10"/>
    </row>
    <row r="44" spans="1:14" x14ac:dyDescent="0.3">
      <c r="B44" s="143" t="str">
        <f>'1.2 Budgeted Enrollment YR1'!E40</f>
        <v>Carson Montessori</v>
      </c>
      <c r="C44" s="530">
        <f>'2.6 Adj. Base Summary YR1'!G45</f>
        <v>2762094.2618306628</v>
      </c>
      <c r="D44" s="597">
        <f t="shared" si="9"/>
        <v>6.311401439939708E-4</v>
      </c>
      <c r="E44" s="559">
        <f t="shared" si="10"/>
        <v>2.0409218958678617</v>
      </c>
      <c r="F44" s="10"/>
      <c r="G44" s="559">
        <f t="shared" si="8"/>
        <v>2762096.3</v>
      </c>
      <c r="H44" s="530">
        <v>0</v>
      </c>
      <c r="I44" s="530">
        <f>ROUND('2.2 Spec Ed Local YR1'!J38,2)</f>
        <v>144597</v>
      </c>
      <c r="J44" s="530">
        <f>ROUND('2.7 Weighted Funding YR1'!E48,2)</f>
        <v>36373.050000000003</v>
      </c>
      <c r="K44" s="530">
        <f>ROUND('2.7 Weighted Funding YR1'!I48,2)</f>
        <v>9430.0499999999993</v>
      </c>
      <c r="L44" s="530">
        <f>ROUND('2.7 Weighted Funding YR1'!M48,2)</f>
        <v>0</v>
      </c>
      <c r="M44" s="595">
        <f t="shared" si="11"/>
        <v>2952496.3999999994</v>
      </c>
      <c r="N44" s="10"/>
    </row>
    <row r="45" spans="1:14" x14ac:dyDescent="0.3">
      <c r="B45" s="143" t="str">
        <f>'1.2 Budgeted Enrollment YR1'!E41</f>
        <v>CIVICA Nevada Career &amp; Collegiate Academy</v>
      </c>
      <c r="C45" s="530">
        <f>'2.6 Adj. Base Summary YR1'!G46</f>
        <v>6879964.7873969227</v>
      </c>
      <c r="D45" s="597">
        <f t="shared" si="9"/>
        <v>1.5720759521484259E-3</v>
      </c>
      <c r="E45" s="559">
        <f t="shared" si="10"/>
        <v>5.0836320003401489</v>
      </c>
      <c r="F45" s="10"/>
      <c r="G45" s="559">
        <f t="shared" si="8"/>
        <v>6879969.8700000001</v>
      </c>
      <c r="H45" s="530">
        <v>0</v>
      </c>
      <c r="I45" s="530">
        <f>ROUND('2.2 Spec Ed Local YR1'!J39,2)</f>
        <v>258073</v>
      </c>
      <c r="J45" s="530">
        <f>ROUND('2.7 Weighted Funding YR1'!E49,2)</f>
        <v>973989.45</v>
      </c>
      <c r="K45" s="530">
        <f>ROUND('2.7 Weighted Funding YR1'!I49,2)</f>
        <v>154024.15</v>
      </c>
      <c r="L45" s="530">
        <f>ROUND('2.7 Weighted Funding YR1'!M49,2)</f>
        <v>0</v>
      </c>
      <c r="M45" s="595">
        <f t="shared" si="11"/>
        <v>8266056.4700000007</v>
      </c>
      <c r="N45" s="10"/>
    </row>
    <row r="46" spans="1:14" x14ac:dyDescent="0.3">
      <c r="B46" s="143" t="str">
        <f>'1.2 Budgeted Enrollment YR1'!E42</f>
        <v>Coral Academy of Science Las Vegas</v>
      </c>
      <c r="C46" s="530">
        <f>'2.6 Adj. Base Summary YR1'!G47</f>
        <v>46489932.110639274</v>
      </c>
      <c r="D46" s="597">
        <f t="shared" si="9"/>
        <v>1.0622976504477336E-2</v>
      </c>
      <c r="E46" s="559">
        <f t="shared" si="10"/>
        <v>34.35158665408035</v>
      </c>
      <c r="F46" s="10"/>
      <c r="G46" s="559">
        <f t="shared" si="8"/>
        <v>46489966.460000001</v>
      </c>
      <c r="H46" s="530">
        <v>0</v>
      </c>
      <c r="I46" s="530">
        <f>ROUND('2.2 Spec Ed Local YR1'!J40,2)</f>
        <v>621925</v>
      </c>
      <c r="J46" s="530">
        <f>ROUND('2.7 Weighted Funding YR1'!E50,2)</f>
        <v>876994.65</v>
      </c>
      <c r="K46" s="530">
        <f>ROUND('2.7 Weighted Funding YR1'!I50,2)</f>
        <v>91157.15</v>
      </c>
      <c r="L46" s="530">
        <f>ROUND('2.7 Weighted Funding YR1'!M50,2)</f>
        <v>24787.56</v>
      </c>
      <c r="M46" s="595">
        <f t="shared" si="11"/>
        <v>48104830.82</v>
      </c>
      <c r="N46" s="10"/>
    </row>
    <row r="47" spans="1:14" x14ac:dyDescent="0.3">
      <c r="B47" s="143" t="str">
        <f>'1.2 Budgeted Enrollment YR1'!E43</f>
        <v>Coral Academy Washoe</v>
      </c>
      <c r="C47" s="530">
        <f>'2.6 Adj. Base Summary YR1'!G48</f>
        <v>15834078.442602661</v>
      </c>
      <c r="D47" s="597">
        <f t="shared" si="9"/>
        <v>3.6180961259636947E-3</v>
      </c>
      <c r="E47" s="559">
        <f t="shared" si="10"/>
        <v>11.699860443205354</v>
      </c>
      <c r="F47" s="10"/>
      <c r="G47" s="559">
        <f t="shared" si="8"/>
        <v>15834090.140000001</v>
      </c>
      <c r="H47" s="530">
        <v>0</v>
      </c>
      <c r="I47" s="530">
        <f>ROUND('2.2 Spec Ed Local YR1'!J41,2)</f>
        <v>230064</v>
      </c>
      <c r="J47" s="530">
        <f>ROUND('2.7 Weighted Funding YR1'!E51,2)</f>
        <v>517305.59999999998</v>
      </c>
      <c r="K47" s="530">
        <f>ROUND('2.7 Weighted Funding YR1'!I51,2)</f>
        <v>132020.70000000001</v>
      </c>
      <c r="L47" s="530">
        <f>ROUND('2.7 Weighted Funding YR1'!M51,2)</f>
        <v>4310.88</v>
      </c>
      <c r="M47" s="595">
        <f t="shared" si="11"/>
        <v>16717791.32</v>
      </c>
      <c r="N47" s="10"/>
    </row>
    <row r="48" spans="1:14" x14ac:dyDescent="0.3">
      <c r="B48" s="143" t="str">
        <f>'1.2 Budgeted Enrollment YR1'!E44</f>
        <v>Delta Academy</v>
      </c>
      <c r="C48" s="530">
        <f>'2.6 Adj. Base Summary YR1'!G49</f>
        <v>11308562.562693248</v>
      </c>
      <c r="D48" s="597">
        <f t="shared" si="9"/>
        <v>2.5840131174424828E-3</v>
      </c>
      <c r="E48" s="559">
        <f t="shared" si="10"/>
        <v>8.3559396447590188</v>
      </c>
      <c r="F48" s="10"/>
      <c r="G48" s="559">
        <f t="shared" si="8"/>
        <v>11308570.92</v>
      </c>
      <c r="H48" s="530">
        <v>0</v>
      </c>
      <c r="I48" s="530">
        <f>ROUND('2.2 Spec Ed Local YR1'!J42,2)</f>
        <v>315441</v>
      </c>
      <c r="J48" s="530">
        <f>ROUND('2.7 Weighted Funding YR1'!E52,2)</f>
        <v>408186.45</v>
      </c>
      <c r="K48" s="530">
        <f>ROUND('2.7 Weighted Funding YR1'!I52,2)</f>
        <v>1043592.2</v>
      </c>
      <c r="L48" s="530">
        <f>ROUND('2.7 Weighted Funding YR1'!M52,2)</f>
        <v>0</v>
      </c>
      <c r="M48" s="595">
        <f t="shared" si="11"/>
        <v>13075790.569999998</v>
      </c>
      <c r="N48" s="10"/>
    </row>
    <row r="49" spans="2:14" x14ac:dyDescent="0.3">
      <c r="B49" s="143" t="str">
        <f>'1.2 Budgeted Enrollment YR1'!E45</f>
        <v>Democracy Prep</v>
      </c>
      <c r="C49" s="530">
        <f>'2.6 Adj. Base Summary YR1'!G50</f>
        <v>10807007.742496021</v>
      </c>
      <c r="D49" s="597">
        <f t="shared" si="9"/>
        <v>2.4694075495534477E-3</v>
      </c>
      <c r="E49" s="559">
        <f t="shared" si="10"/>
        <v>7.9853388913147292</v>
      </c>
      <c r="F49" s="10"/>
      <c r="G49" s="559">
        <f t="shared" si="8"/>
        <v>10807015.73</v>
      </c>
      <c r="H49" s="530">
        <v>0</v>
      </c>
      <c r="I49" s="530">
        <f>ROUND('2.2 Spec Ed Local YR1'!J43,2)</f>
        <v>0</v>
      </c>
      <c r="J49" s="530">
        <f>ROUND('2.7 Weighted Funding YR1'!E53,2)</f>
        <v>436476.6</v>
      </c>
      <c r="K49" s="530">
        <f>ROUND('2.7 Weighted Funding YR1'!I53,2)</f>
        <v>609809.9</v>
      </c>
      <c r="L49" s="530">
        <f>ROUND('2.7 Weighted Funding YR1'!M53,2)</f>
        <v>0</v>
      </c>
      <c r="M49" s="595">
        <f t="shared" si="11"/>
        <v>11853302.23</v>
      </c>
      <c r="N49" s="10"/>
    </row>
    <row r="50" spans="2:14" x14ac:dyDescent="0.3">
      <c r="B50" s="143" t="str">
        <f>'1.2 Budgeted Enrollment YR1'!E46</f>
        <v>Discovery Charter</v>
      </c>
      <c r="C50" s="530">
        <f>'2.6 Adj. Base Summary YR1'!G51</f>
        <v>4420539.0324021596</v>
      </c>
      <c r="D50" s="597">
        <f t="shared" si="9"/>
        <v>1.0100957378594759E-3</v>
      </c>
      <c r="E50" s="559">
        <f t="shared" si="10"/>
        <v>3.2663530088174868</v>
      </c>
      <c r="F50" s="10"/>
      <c r="G50" s="559">
        <f t="shared" si="8"/>
        <v>4420542.3</v>
      </c>
      <c r="H50" s="530">
        <v>0</v>
      </c>
      <c r="I50" s="530">
        <f>ROUND('2.2 Spec Ed Local YR1'!J44,2)</f>
        <v>18495</v>
      </c>
      <c r="J50" s="530">
        <f>ROUND('2.7 Weighted Funding YR1'!E54,2)</f>
        <v>92953.35</v>
      </c>
      <c r="K50" s="530">
        <f>ROUND('2.7 Weighted Funding YR1'!I54,2)</f>
        <v>28290.15</v>
      </c>
      <c r="L50" s="530">
        <f>ROUND('2.7 Weighted Funding YR1'!M54,2)</f>
        <v>46341.96</v>
      </c>
      <c r="M50" s="595">
        <f t="shared" si="11"/>
        <v>4606622.76</v>
      </c>
      <c r="N50" s="10"/>
    </row>
    <row r="51" spans="2:14" x14ac:dyDescent="0.3">
      <c r="B51" s="143" t="str">
        <f>'1.2 Budgeted Enrollment YR1'!E47</f>
        <v>Doral Academy</v>
      </c>
      <c r="C51" s="530">
        <f>'2.6 Adj. Base Summary YR1'!G52</f>
        <v>56401904.630846761</v>
      </c>
      <c r="D51" s="597">
        <f t="shared" si="9"/>
        <v>1.2887867985596369E-2</v>
      </c>
      <c r="E51" s="559">
        <f t="shared" si="10"/>
        <v>41.675580634765218</v>
      </c>
      <c r="F51" s="10"/>
      <c r="G51" s="559">
        <f t="shared" si="8"/>
        <v>56401946.310000002</v>
      </c>
      <c r="H51" s="530">
        <v>0</v>
      </c>
      <c r="I51" s="530">
        <f>ROUND('2.2 Spec Ed Local YR1'!J45,2)</f>
        <v>1947565</v>
      </c>
      <c r="J51" s="530">
        <f>ROUND('2.7 Weighted Funding YR1'!E55,2)</f>
        <v>901243.35</v>
      </c>
      <c r="K51" s="530">
        <f>ROUND('2.7 Weighted Funding YR1'!I55,2)</f>
        <v>116303.95</v>
      </c>
      <c r="L51" s="530">
        <f>ROUND('2.7 Weighted Funding YR1'!M55,2)</f>
        <v>363191.64</v>
      </c>
      <c r="M51" s="595">
        <f t="shared" si="11"/>
        <v>59730250.250000007</v>
      </c>
      <c r="N51" s="10"/>
    </row>
    <row r="52" spans="2:14" x14ac:dyDescent="0.3">
      <c r="B52" s="143" t="str">
        <f>'1.2 Budgeted Enrollment YR1'!E48</f>
        <v>Doral Academy of Northern Nevada</v>
      </c>
      <c r="C52" s="530">
        <f>'2.6 Adj. Base Summary YR1'!G53</f>
        <v>8598578.4529150706</v>
      </c>
      <c r="D52" s="597">
        <f t="shared" si="9"/>
        <v>1.9647801734758402E-3</v>
      </c>
      <c r="E52" s="559">
        <f t="shared" si="10"/>
        <v>6.3535221373150446</v>
      </c>
      <c r="F52" s="10"/>
      <c r="G52" s="559">
        <f t="shared" si="8"/>
        <v>8598584.8100000005</v>
      </c>
      <c r="H52" s="530">
        <v>0</v>
      </c>
      <c r="I52" s="530">
        <f>ROUND('2.2 Spec Ed Local YR1'!J46,2)</f>
        <v>85193</v>
      </c>
      <c r="J52" s="530">
        <f>ROUND('2.7 Weighted Funding YR1'!E56,2)</f>
        <v>8082.9</v>
      </c>
      <c r="K52" s="530">
        <f>ROUND('2.7 Weighted Funding YR1'!I56,2)</f>
        <v>0</v>
      </c>
      <c r="L52" s="530">
        <f>ROUND('2.7 Weighted Funding YR1'!M56,2)</f>
        <v>70051.8</v>
      </c>
      <c r="M52" s="595">
        <f t="shared" si="11"/>
        <v>8761912.5100000016</v>
      </c>
      <c r="N52" s="10"/>
    </row>
    <row r="53" spans="2:14" x14ac:dyDescent="0.3">
      <c r="B53" s="143" t="str">
        <f>'1.2 Budgeted Enrollment YR1'!E49</f>
        <v>Eagle Charter School</v>
      </c>
      <c r="C53" s="530">
        <f>'2.6 Adj. Base Summary YR1'!G54</f>
        <v>4849740</v>
      </c>
      <c r="D53" s="597">
        <f t="shared" si="9"/>
        <v>1.1081684083817753E-3</v>
      </c>
      <c r="E53" s="559">
        <f t="shared" si="10"/>
        <v>3.5834912269453256</v>
      </c>
      <c r="F53" s="10"/>
      <c r="G53" s="559">
        <f t="shared" si="8"/>
        <v>4849743.58</v>
      </c>
      <c r="H53" s="530">
        <v>0</v>
      </c>
      <c r="I53" s="530">
        <f>ROUND('2.2 Spec Ed Local YR1'!J47,2)</f>
        <v>0</v>
      </c>
      <c r="J53" s="530">
        <f>ROUND('2.7 Weighted Funding YR1'!E57,2)</f>
        <v>0</v>
      </c>
      <c r="K53" s="530">
        <f>ROUND('2.7 Weighted Funding YR1'!I57,2)</f>
        <v>0</v>
      </c>
      <c r="L53" s="530">
        <f>ROUND('2.7 Weighted Funding YR1'!M57,2)</f>
        <v>0</v>
      </c>
      <c r="M53" s="595">
        <f t="shared" si="11"/>
        <v>4849743.58</v>
      </c>
      <c r="N53" s="10"/>
    </row>
    <row r="54" spans="2:14" x14ac:dyDescent="0.3">
      <c r="B54" s="143" t="str">
        <f>'1.2 Budgeted Enrollment YR1'!E50</f>
        <v>Elko Institute for Academic Achievement</v>
      </c>
      <c r="C54" s="530">
        <f>'2.6 Adj. Base Summary YR1'!G55</f>
        <v>1910495.2859912214</v>
      </c>
      <c r="D54" s="597">
        <f t="shared" si="9"/>
        <v>4.3654928311574981E-4</v>
      </c>
      <c r="E54" s="559">
        <f t="shared" si="10"/>
        <v>1.4116721920082196</v>
      </c>
      <c r="F54" s="10"/>
      <c r="G54" s="559">
        <f t="shared" si="8"/>
        <v>1910496.7</v>
      </c>
      <c r="H54" s="530">
        <v>0</v>
      </c>
      <c r="I54" s="530">
        <f>ROUND('2.2 Spec Ed Local YR1'!J48,2)</f>
        <v>38988</v>
      </c>
      <c r="J54" s="530">
        <f>ROUND('2.7 Weighted Funding YR1'!E58,2)</f>
        <v>8082.9</v>
      </c>
      <c r="K54" s="530">
        <f>ROUND('2.7 Weighted Funding YR1'!I58,2)</f>
        <v>15716.75</v>
      </c>
      <c r="L54" s="530">
        <f>ROUND('2.7 Weighted Funding YR1'!M58,2)</f>
        <v>0</v>
      </c>
      <c r="M54" s="595">
        <f t="shared" si="11"/>
        <v>1973284.3499999999</v>
      </c>
      <c r="N54" s="10"/>
    </row>
    <row r="55" spans="2:14" x14ac:dyDescent="0.3">
      <c r="B55" s="143" t="str">
        <f>'1.2 Budgeted Enrollment YR1'!E51</f>
        <v>enCompass Academy</v>
      </c>
      <c r="C55" s="530">
        <f>'2.6 Adj. Base Summary YR1'!G56</f>
        <v>1031681.7371378193</v>
      </c>
      <c r="D55" s="597">
        <f t="shared" si="9"/>
        <v>2.3573987648834005E-4</v>
      </c>
      <c r="E55" s="559">
        <f t="shared" si="10"/>
        <v>0.76231353722737483</v>
      </c>
      <c r="F55" s="10"/>
      <c r="G55" s="559">
        <f t="shared" si="8"/>
        <v>1031682.5</v>
      </c>
      <c r="H55" s="530">
        <v>0</v>
      </c>
      <c r="I55" s="530">
        <f>ROUND('2.2 Spec Ed Local YR1'!J49,2)</f>
        <v>72695</v>
      </c>
      <c r="J55" s="530">
        <f>ROUND('2.7 Weighted Funding YR1'!E59,2)</f>
        <v>24248.7</v>
      </c>
      <c r="K55" s="530">
        <f>ROUND('2.7 Weighted Funding YR1'!I59,2)</f>
        <v>62867</v>
      </c>
      <c r="L55" s="530">
        <f>ROUND('2.7 Weighted Funding YR1'!M59,2)</f>
        <v>0</v>
      </c>
      <c r="M55" s="595">
        <f t="shared" si="11"/>
        <v>1191493.2</v>
      </c>
      <c r="N55" s="10"/>
    </row>
    <row r="56" spans="2:14" x14ac:dyDescent="0.3">
      <c r="B56" s="143" t="str">
        <f>'1.2 Budgeted Enrollment YR1'!E52</f>
        <v>Equipo Academy</v>
      </c>
      <c r="C56" s="530">
        <f>'2.6 Adj. Base Summary YR1'!G57</f>
        <v>7176901.2014230145</v>
      </c>
      <c r="D56" s="597">
        <f t="shared" si="9"/>
        <v>1.6399260953152525E-3</v>
      </c>
      <c r="E56" s="559">
        <f t="shared" si="10"/>
        <v>5.303039439630318</v>
      </c>
      <c r="F56" s="10"/>
      <c r="G56" s="559">
        <f t="shared" si="8"/>
        <v>7176906.5</v>
      </c>
      <c r="H56" s="530">
        <v>0</v>
      </c>
      <c r="I56" s="530">
        <f>ROUND('2.2 Spec Ed Local YR1'!J50,2)</f>
        <v>97416.04</v>
      </c>
      <c r="J56" s="530">
        <f>ROUND('2.7 Weighted Funding YR1'!E60,2)</f>
        <v>678963.6</v>
      </c>
      <c r="K56" s="530">
        <f>ROUND('2.7 Weighted Funding YR1'!I60,2)</f>
        <v>91157.15</v>
      </c>
      <c r="L56" s="530">
        <f>ROUND('2.7 Weighted Funding YR1'!M60,2)</f>
        <v>0</v>
      </c>
      <c r="M56" s="595">
        <f t="shared" si="11"/>
        <v>8044443.29</v>
      </c>
      <c r="N56" s="10"/>
    </row>
    <row r="57" spans="2:14" x14ac:dyDescent="0.3">
      <c r="B57" s="143" t="str">
        <f>'1.2 Budgeted Enrollment YR1'!E53</f>
        <v>Explore Academy</v>
      </c>
      <c r="C57" s="530">
        <f>'2.6 Adj. Base Summary YR1'!G58</f>
        <v>2467379.3797282884</v>
      </c>
      <c r="D57" s="597">
        <f t="shared" si="9"/>
        <v>5.6379762216273637E-4</v>
      </c>
      <c r="E57" s="559">
        <f t="shared" si="10"/>
        <v>1.8231559549176077</v>
      </c>
      <c r="F57" s="10"/>
      <c r="G57" s="559">
        <f t="shared" si="8"/>
        <v>2467381.2000000002</v>
      </c>
      <c r="H57" s="530">
        <v>0</v>
      </c>
      <c r="I57" s="530">
        <f>ROUND('2.2 Spec Ed Local YR1'!J51,2)</f>
        <v>0</v>
      </c>
      <c r="J57" s="530">
        <f>ROUND('2.7 Weighted Funding YR1'!E61,2)</f>
        <v>44455.95</v>
      </c>
      <c r="K57" s="530">
        <f>ROUND('2.7 Weighted Funding YR1'!I61,2)</f>
        <v>6286.7</v>
      </c>
      <c r="L57" s="530">
        <f>ROUND('2.7 Weighted Funding YR1'!M61,2)</f>
        <v>0</v>
      </c>
      <c r="M57" s="595">
        <f t="shared" si="11"/>
        <v>2518123.8500000006</v>
      </c>
      <c r="N57" s="10"/>
    </row>
    <row r="58" spans="2:14" x14ac:dyDescent="0.3">
      <c r="B58" s="143" t="str">
        <f>'1.2 Budgeted Enrollment YR1'!E54</f>
        <v>Explore Knowledge Academy</v>
      </c>
      <c r="C58" s="530">
        <f>'2.6 Adj. Base Summary YR1'!G59</f>
        <v>6033601.8730111057</v>
      </c>
      <c r="D58" s="597">
        <f t="shared" si="9"/>
        <v>1.378681534355247E-3</v>
      </c>
      <c r="E58" s="559">
        <f t="shared" si="10"/>
        <v>4.4582512420905411</v>
      </c>
      <c r="F58" s="10"/>
      <c r="G58" s="559">
        <f t="shared" si="8"/>
        <v>6033606.3300000001</v>
      </c>
      <c r="H58" s="530">
        <v>0</v>
      </c>
      <c r="I58" s="530">
        <f>ROUND('2.2 Spec Ed Local YR1'!J52,2)</f>
        <v>179352</v>
      </c>
      <c r="J58" s="530">
        <f>ROUND('2.7 Weighted Funding YR1'!E62,2)</f>
        <v>238445.55</v>
      </c>
      <c r="K58" s="530">
        <f>ROUND('2.7 Weighted Funding YR1'!I62,2)</f>
        <v>138307.4</v>
      </c>
      <c r="L58" s="530">
        <f>ROUND('2.7 Weighted Funding YR1'!M62,2)</f>
        <v>0</v>
      </c>
      <c r="M58" s="595">
        <f t="shared" si="11"/>
        <v>6589711.2800000003</v>
      </c>
      <c r="N58" s="10"/>
    </row>
    <row r="59" spans="2:14" x14ac:dyDescent="0.3">
      <c r="B59" s="143" t="str">
        <f>'1.2 Budgeted Enrollment YR1'!E55</f>
        <v>Founders Academy of Las Vegas</v>
      </c>
      <c r="C59" s="530">
        <f>'2.6 Adj. Base Summary YR1'!G60</f>
        <v>8462931.0947984289</v>
      </c>
      <c r="D59" s="597">
        <f t="shared" si="9"/>
        <v>1.9337846733159735E-3</v>
      </c>
      <c r="E59" s="559">
        <f t="shared" si="10"/>
        <v>6.2532917914059238</v>
      </c>
      <c r="F59" s="10"/>
      <c r="G59" s="559">
        <f t="shared" si="8"/>
        <v>8462937.3499999996</v>
      </c>
      <c r="H59" s="530">
        <v>0</v>
      </c>
      <c r="I59" s="530">
        <f>ROUND('2.2 Spec Ed Local YR1'!J53,2)</f>
        <v>111805</v>
      </c>
      <c r="J59" s="530">
        <f>ROUND('2.7 Weighted Funding YR1'!E63,2)</f>
        <v>230362.65</v>
      </c>
      <c r="K59" s="530">
        <f>ROUND('2.7 Weighted Funding YR1'!I63,2)</f>
        <v>72297.05</v>
      </c>
      <c r="L59" s="530">
        <f>ROUND('2.7 Weighted Funding YR1'!M63,2)</f>
        <v>0</v>
      </c>
      <c r="M59" s="595">
        <f t="shared" si="11"/>
        <v>8877402.0500000007</v>
      </c>
      <c r="N59" s="10"/>
    </row>
    <row r="60" spans="2:14" s="19" customFormat="1" x14ac:dyDescent="0.3">
      <c r="B60" s="143" t="str">
        <f>'1.2 Budgeted Enrollment YR1'!E56</f>
        <v>Freedom Classical Academy</v>
      </c>
      <c r="C60" s="530">
        <f>'2.6 Adj. Base Summary YR1'!G61</f>
        <v>9384724.9892986845</v>
      </c>
      <c r="D60" s="597">
        <f t="shared" si="9"/>
        <v>2.1444151139013217E-3</v>
      </c>
      <c r="E60" s="559">
        <f t="shared" si="10"/>
        <v>6.9344087861300601</v>
      </c>
      <c r="F60" s="10"/>
      <c r="G60" s="559">
        <f t="shared" si="8"/>
        <v>9384731.9199999999</v>
      </c>
      <c r="H60" s="530">
        <v>0</v>
      </c>
      <c r="I60" s="530">
        <f>ROUND('2.2 Spec Ed Local YR1'!J54,2)</f>
        <v>301886</v>
      </c>
      <c r="J60" s="530">
        <f>ROUND('2.7 Weighted Funding YR1'!E64,2)</f>
        <v>335440.34999999998</v>
      </c>
      <c r="K60" s="530">
        <f>ROUND('2.7 Weighted Funding YR1'!I64,2)</f>
        <v>150880.79999999999</v>
      </c>
      <c r="L60" s="530">
        <f>ROUND('2.7 Weighted Funding YR1'!M64,2)</f>
        <v>0</v>
      </c>
      <c r="M60" s="595">
        <f t="shared" si="11"/>
        <v>10172939.07</v>
      </c>
    </row>
    <row r="61" spans="2:14" x14ac:dyDescent="0.3">
      <c r="B61" s="143" t="str">
        <f>'1.2 Budgeted Enrollment YR1'!E57</f>
        <v>Futuro Academy Elementary</v>
      </c>
      <c r="C61" s="530">
        <f>'2.6 Adj. Base Summary YR1'!G62</f>
        <v>4164554.8570063417</v>
      </c>
      <c r="D61" s="597">
        <f t="shared" si="9"/>
        <v>9.5160320501868332E-4</v>
      </c>
      <c r="E61" s="559">
        <f t="shared" si="10"/>
        <v>3.0772053335260794</v>
      </c>
      <c r="F61" s="10"/>
      <c r="G61" s="559">
        <f t="shared" si="8"/>
        <v>4164557.93</v>
      </c>
      <c r="H61" s="530">
        <v>0</v>
      </c>
      <c r="I61" s="530">
        <f>ROUND('2.2 Spec Ed Local YR1'!J55,2)</f>
        <v>252643</v>
      </c>
      <c r="J61" s="530">
        <f>ROUND('2.7 Weighted Funding YR1'!E65,2)</f>
        <v>759792.6</v>
      </c>
      <c r="K61" s="530">
        <f>ROUND('2.7 Weighted Funding YR1'!I65,2)</f>
        <v>125734</v>
      </c>
      <c r="L61" s="530">
        <f>ROUND('2.7 Weighted Funding YR1'!M65,2)</f>
        <v>0</v>
      </c>
      <c r="M61" s="595">
        <f t="shared" si="11"/>
        <v>5302727.5299999993</v>
      </c>
      <c r="N61" s="10"/>
    </row>
    <row r="62" spans="2:14" x14ac:dyDescent="0.3">
      <c r="B62" s="143" t="str">
        <f>'1.2 Budgeted Enrollment YR1'!E58</f>
        <v>Girls Athletic Leadership Schools</v>
      </c>
      <c r="C62" s="530">
        <f>'2.6 Adj. Base Summary YR1'!G63</f>
        <v>0</v>
      </c>
      <c r="D62" s="597">
        <f t="shared" si="9"/>
        <v>0</v>
      </c>
      <c r="E62" s="559">
        <f t="shared" si="10"/>
        <v>0</v>
      </c>
      <c r="F62" s="10"/>
      <c r="G62" s="559">
        <f t="shared" si="8"/>
        <v>0</v>
      </c>
      <c r="H62" s="530">
        <v>0</v>
      </c>
      <c r="I62" s="530">
        <f>ROUND('2.2 Spec Ed Local YR1'!J56,2)</f>
        <v>0</v>
      </c>
      <c r="J62" s="530">
        <f>ROUND('2.7 Weighted Funding YR1'!E66,2)</f>
        <v>0</v>
      </c>
      <c r="K62" s="530">
        <f>ROUND('2.7 Weighted Funding YR1'!I66,2)</f>
        <v>0</v>
      </c>
      <c r="L62" s="530">
        <f>ROUND('2.7 Weighted Funding YR1'!M66,2)</f>
        <v>0</v>
      </c>
      <c r="M62" s="595">
        <f t="shared" si="11"/>
        <v>0</v>
      </c>
      <c r="N62" s="10"/>
    </row>
    <row r="63" spans="2:14" x14ac:dyDescent="0.3">
      <c r="B63" s="143" t="str">
        <f>'1.2 Budgeted Enrollment YR1'!E59</f>
        <v>High Desert Montessori</v>
      </c>
      <c r="C63" s="530">
        <f>'2.6 Adj. Base Summary YR1'!G64</f>
        <v>3523518.1679669935</v>
      </c>
      <c r="D63" s="597">
        <f t="shared" si="9"/>
        <v>8.0512594904061905E-4</v>
      </c>
      <c r="E63" s="559">
        <f t="shared" si="10"/>
        <v>2.6035408996961045</v>
      </c>
      <c r="F63" s="10"/>
      <c r="G63" s="559">
        <f t="shared" si="8"/>
        <v>3523520.77</v>
      </c>
      <c r="H63" s="530">
        <v>0</v>
      </c>
      <c r="I63" s="530">
        <f>ROUND('2.2 Spec Ed Local YR1'!J57,2)</f>
        <v>164199</v>
      </c>
      <c r="J63" s="530">
        <f>ROUND('2.7 Weighted Funding YR1'!E67,2)</f>
        <v>96994.8</v>
      </c>
      <c r="K63" s="530">
        <f>ROUND('2.7 Weighted Funding YR1'!I67,2)</f>
        <v>34576.85</v>
      </c>
      <c r="L63" s="530">
        <f>ROUND('2.7 Weighted Funding YR1'!M67,2)</f>
        <v>0</v>
      </c>
      <c r="M63" s="595">
        <f t="shared" si="11"/>
        <v>3819291.42</v>
      </c>
      <c r="N63" s="10"/>
    </row>
    <row r="64" spans="2:14" x14ac:dyDescent="0.3">
      <c r="B64" s="143" t="str">
        <f>'1.2 Budgeted Enrollment YR1'!E60</f>
        <v>Honors Academy of Literature</v>
      </c>
      <c r="C64" s="530">
        <f>'2.6 Adj. Base Summary YR1'!G65</f>
        <v>1944964.5062703281</v>
      </c>
      <c r="D64" s="597">
        <f t="shared" si="9"/>
        <v>4.4442551998099584E-4</v>
      </c>
      <c r="E64" s="559">
        <f t="shared" si="10"/>
        <v>1.43714162922956</v>
      </c>
      <c r="F64" s="10"/>
      <c r="G64" s="559">
        <f t="shared" si="8"/>
        <v>1944965.94</v>
      </c>
      <c r="H64" s="530">
        <v>0</v>
      </c>
      <c r="I64" s="530">
        <f>ROUND('2.2 Spec Ed Local YR1'!J58,2)</f>
        <v>27349</v>
      </c>
      <c r="J64" s="530">
        <f>ROUND('2.7 Weighted Funding YR1'!E68,2)</f>
        <v>16165.8</v>
      </c>
      <c r="K64" s="530">
        <f>ROUND('2.7 Weighted Funding YR1'!I68,2)</f>
        <v>9430.0499999999993</v>
      </c>
      <c r="L64" s="530">
        <f>ROUND('2.7 Weighted Funding YR1'!M68,2)</f>
        <v>0</v>
      </c>
      <c r="M64" s="595">
        <f t="shared" si="11"/>
        <v>1997910.79</v>
      </c>
      <c r="N64" s="10"/>
    </row>
    <row r="65" spans="2:14" x14ac:dyDescent="0.3">
      <c r="B65" s="143" t="str">
        <f>'1.2 Budgeted Enrollment YR1'!E61</f>
        <v>Imagine School Mountain View</v>
      </c>
      <c r="C65" s="530">
        <f>'2.6 Adj. Base Summary YR1'!G66</f>
        <v>6029647.674815014</v>
      </c>
      <c r="D65" s="597">
        <f t="shared" si="9"/>
        <v>1.3777779977694941E-3</v>
      </c>
      <c r="E65" s="559">
        <f t="shared" si="10"/>
        <v>4.4553294700893007</v>
      </c>
      <c r="F65" s="10"/>
      <c r="G65" s="559">
        <f t="shared" si="8"/>
        <v>6029652.1299999999</v>
      </c>
      <c r="H65" s="530">
        <v>0</v>
      </c>
      <c r="I65" s="530">
        <f>ROUND('2.2 Spec Ed Local YR1'!J59,2)</f>
        <v>170299.9</v>
      </c>
      <c r="J65" s="530">
        <f>ROUND('2.7 Weighted Funding YR1'!E69,2)</f>
        <v>282901.5</v>
      </c>
      <c r="K65" s="530">
        <f>ROUND('2.7 Weighted Funding YR1'!I69,2)</f>
        <v>6286.7</v>
      </c>
      <c r="L65" s="530">
        <f>ROUND('2.7 Weighted Funding YR1'!M69,2)</f>
        <v>0</v>
      </c>
      <c r="M65" s="595">
        <f t="shared" si="11"/>
        <v>6489140.2300000004</v>
      </c>
      <c r="N65" s="10"/>
    </row>
    <row r="66" spans="2:14" x14ac:dyDescent="0.3">
      <c r="B66" s="143" t="str">
        <f>'1.2 Budgeted Enrollment YR1'!E62</f>
        <v>Innovations Int'l Charter</v>
      </c>
      <c r="C66" s="530">
        <f>'2.6 Adj. Base Summary YR1'!G67</f>
        <v>6619829.6215933012</v>
      </c>
      <c r="D66" s="597">
        <f t="shared" si="9"/>
        <v>1.5126349155871403E-3</v>
      </c>
      <c r="E66" s="559">
        <f t="shared" si="10"/>
        <v>4.8914171425380299</v>
      </c>
      <c r="F66" s="10"/>
      <c r="G66" s="559">
        <f t="shared" si="8"/>
        <v>6619834.5099999998</v>
      </c>
      <c r="H66" s="530">
        <v>0</v>
      </c>
      <c r="I66" s="530">
        <f>ROUND('2.2 Spec Ed Local YR1'!J60,2)</f>
        <v>0</v>
      </c>
      <c r="J66" s="530">
        <f>ROUND('2.7 Weighted Funding YR1'!E70,2)</f>
        <v>763834.05</v>
      </c>
      <c r="K66" s="530">
        <f>ROUND('2.7 Weighted Funding YR1'!I70,2)</f>
        <v>550086.25</v>
      </c>
      <c r="L66" s="530">
        <f>ROUND('2.7 Weighted Funding YR1'!M70,2)</f>
        <v>0</v>
      </c>
      <c r="M66" s="595">
        <f t="shared" si="11"/>
        <v>7933754.8099999996</v>
      </c>
      <c r="N66" s="10"/>
    </row>
    <row r="67" spans="2:14" x14ac:dyDescent="0.3">
      <c r="B67" s="143" t="str">
        <f>'1.2 Budgeted Enrollment YR1'!E63</f>
        <v>Leadership Academy of Nevada</v>
      </c>
      <c r="C67" s="530">
        <f>'2.6 Adj. Base Summary YR1'!G68</f>
        <v>2403671.9369078916</v>
      </c>
      <c r="D67" s="597">
        <f t="shared" si="9"/>
        <v>5.4924043445528153E-4</v>
      </c>
      <c r="E67" s="559">
        <f t="shared" si="10"/>
        <v>1.7760822844862005</v>
      </c>
      <c r="F67" s="10"/>
      <c r="G67" s="559">
        <f t="shared" si="8"/>
        <v>2403673.71</v>
      </c>
      <c r="H67" s="530">
        <v>0</v>
      </c>
      <c r="I67" s="530">
        <f>ROUND('2.2 Spec Ed Local YR1'!J61,2)</f>
        <v>0</v>
      </c>
      <c r="J67" s="530">
        <f>ROUND('2.7 Weighted Funding YR1'!E71,2)</f>
        <v>4041.45</v>
      </c>
      <c r="K67" s="530">
        <f>ROUND('2.7 Weighted Funding YR1'!I71,2)</f>
        <v>47150.25</v>
      </c>
      <c r="L67" s="530">
        <f>ROUND('2.7 Weighted Funding YR1'!M71,2)</f>
        <v>0</v>
      </c>
      <c r="M67" s="595">
        <f t="shared" si="11"/>
        <v>2454865.41</v>
      </c>
      <c r="N67" s="10"/>
    </row>
    <row r="68" spans="2:14" x14ac:dyDescent="0.3">
      <c r="B68" s="143" t="str">
        <f>'1.2 Budgeted Enrollment YR1'!E64</f>
        <v>Learning Bridge</v>
      </c>
      <c r="C68" s="530">
        <f>'2.6 Adj. Base Summary YR1'!G69</f>
        <v>2278290.4283271017</v>
      </c>
      <c r="D68" s="597">
        <f t="shared" si="9"/>
        <v>5.2059068688026114E-4</v>
      </c>
      <c r="E68" s="559">
        <f t="shared" si="10"/>
        <v>1.6834374136229318</v>
      </c>
      <c r="F68" s="10"/>
      <c r="G68" s="559">
        <f t="shared" si="8"/>
        <v>2278292.11</v>
      </c>
      <c r="H68" s="530">
        <v>0</v>
      </c>
      <c r="I68" s="530">
        <f>ROUND('2.2 Spec Ed Local YR1'!J62,2)</f>
        <v>0</v>
      </c>
      <c r="J68" s="530">
        <f>ROUND('2.7 Weighted Funding YR1'!E72,2)</f>
        <v>8082.9</v>
      </c>
      <c r="K68" s="530">
        <f>ROUND('2.7 Weighted Funding YR1'!I72,2)</f>
        <v>0</v>
      </c>
      <c r="L68" s="530">
        <f>ROUND('2.7 Weighted Funding YR1'!M72,2)</f>
        <v>0</v>
      </c>
      <c r="M68" s="595">
        <f t="shared" si="11"/>
        <v>2286375.0099999998</v>
      </c>
      <c r="N68" s="10"/>
    </row>
    <row r="69" spans="2:14" x14ac:dyDescent="0.3">
      <c r="B69" s="143" t="str">
        <f>'1.2 Budgeted Enrollment YR1'!E65</f>
        <v>Legacy Traditional Schools</v>
      </c>
      <c r="C69" s="530">
        <f>'2.6 Adj. Base Summary YR1'!G70</f>
        <v>36053005.984254658</v>
      </c>
      <c r="D69" s="597">
        <f t="shared" si="9"/>
        <v>8.2381328192748689E-3</v>
      </c>
      <c r="E69" s="559">
        <f t="shared" si="10"/>
        <v>26.639702468500143</v>
      </c>
      <c r="F69" s="10"/>
      <c r="G69" s="559">
        <f t="shared" si="8"/>
        <v>36053032.619999997</v>
      </c>
      <c r="H69" s="530">
        <v>0</v>
      </c>
      <c r="I69" s="530">
        <f>ROUND('2.2 Spec Ed Local YR1'!J63,2)</f>
        <v>0</v>
      </c>
      <c r="J69" s="530">
        <f>ROUND('2.7 Weighted Funding YR1'!E73,2)</f>
        <v>1066942.8</v>
      </c>
      <c r="K69" s="530">
        <f>ROUND('2.7 Weighted Funding YR1'!I73,2)</f>
        <v>496649.3</v>
      </c>
      <c r="L69" s="530">
        <f>ROUND('2.7 Weighted Funding YR1'!M73,2)</f>
        <v>192911.88</v>
      </c>
      <c r="M69" s="595">
        <f t="shared" si="11"/>
        <v>37809536.599999994</v>
      </c>
      <c r="N69" s="10"/>
    </row>
    <row r="70" spans="2:14" x14ac:dyDescent="0.3">
      <c r="B70" s="143" t="str">
        <f>'1.2 Budgeted Enrollment YR1'!E66</f>
        <v>Mariposa Dual Language Academy</v>
      </c>
      <c r="C70" s="530">
        <f>'2.6 Adj. Base Summary YR1'!G71</f>
        <v>1438417.6639262431</v>
      </c>
      <c r="D70" s="597">
        <f t="shared" si="9"/>
        <v>3.2867927213033608E-4</v>
      </c>
      <c r="E70" s="559">
        <f t="shared" si="10"/>
        <v>1.0628522517419245</v>
      </c>
      <c r="F70" s="10"/>
      <c r="G70" s="559">
        <f t="shared" si="8"/>
        <v>1438418.73</v>
      </c>
      <c r="H70" s="530">
        <v>0</v>
      </c>
      <c r="I70" s="530">
        <f>ROUND('2.2 Spec Ed Local YR1'!J64,2)</f>
        <v>128848</v>
      </c>
      <c r="J70" s="530">
        <f>ROUND('2.7 Weighted Funding YR1'!E74,2)</f>
        <v>141450.75</v>
      </c>
      <c r="K70" s="530">
        <f>ROUND('2.7 Weighted Funding YR1'!I74,2)</f>
        <v>3143.35</v>
      </c>
      <c r="L70" s="530">
        <f>ROUND('2.7 Weighted Funding YR1'!M74,2)</f>
        <v>0</v>
      </c>
      <c r="M70" s="595">
        <f t="shared" si="11"/>
        <v>1711860.83</v>
      </c>
      <c r="N70" s="10"/>
    </row>
    <row r="71" spans="2:14" x14ac:dyDescent="0.3">
      <c r="B71" s="143" t="str">
        <f>'1.2 Budgeted Enrollment YR1'!E67</f>
        <v>Mater Academy</v>
      </c>
      <c r="C71" s="530">
        <f>'2.6 Adj. Base Summary YR1'!G72</f>
        <v>35541840.715747409</v>
      </c>
      <c r="D71" s="597">
        <f t="shared" si="9"/>
        <v>8.1213312583619697E-3</v>
      </c>
      <c r="E71" s="559">
        <f t="shared" si="10"/>
        <v>26.262000518454389</v>
      </c>
      <c r="F71" s="10"/>
      <c r="G71" s="559">
        <f t="shared" si="8"/>
        <v>35541866.979999997</v>
      </c>
      <c r="H71" s="530">
        <v>0</v>
      </c>
      <c r="I71" s="530">
        <f>ROUND('2.2 Spec Ed Local YR1'!J65,2)</f>
        <v>681469.72</v>
      </c>
      <c r="J71" s="530">
        <f>ROUND('2.7 Weighted Funding YR1'!E75,2)</f>
        <v>5548910.8499999996</v>
      </c>
      <c r="K71" s="530">
        <f>ROUND('2.7 Weighted Funding YR1'!I75,2)</f>
        <v>141450.75</v>
      </c>
      <c r="L71" s="530">
        <f>ROUND('2.7 Weighted Funding YR1'!M75,2)</f>
        <v>0</v>
      </c>
      <c r="M71" s="595">
        <f t="shared" si="11"/>
        <v>41913698.299999997</v>
      </c>
      <c r="N71" s="10"/>
    </row>
    <row r="72" spans="2:14" x14ac:dyDescent="0.3">
      <c r="B72" s="143" t="str">
        <f>'1.2 Budgeted Enrollment YR1'!E68</f>
        <v>Mater Academy of Northern Nevada</v>
      </c>
      <c r="C72" s="530">
        <f>'2.6 Adj. Base Summary YR1'!G73</f>
        <v>4413939.5563279372</v>
      </c>
      <c r="D72" s="597">
        <f t="shared" si="9"/>
        <v>1.0085877537412912E-3</v>
      </c>
      <c r="E72" s="559">
        <f t="shared" si="10"/>
        <v>3.2614766309880747</v>
      </c>
      <c r="F72" s="10"/>
      <c r="G72" s="559">
        <f t="shared" si="8"/>
        <v>4413942.82</v>
      </c>
      <c r="H72" s="530">
        <v>0</v>
      </c>
      <c r="I72" s="530">
        <f>ROUND('2.2 Spec Ed Local YR1'!J66,2)</f>
        <v>53953</v>
      </c>
      <c r="J72" s="530">
        <f>ROUND('2.7 Weighted Funding YR1'!E76,2)</f>
        <v>614300.4</v>
      </c>
      <c r="K72" s="530">
        <f>ROUND('2.7 Weighted Funding YR1'!I76,2)</f>
        <v>12573.4</v>
      </c>
      <c r="L72" s="530">
        <f>ROUND('2.7 Weighted Funding YR1'!M76,2)</f>
        <v>0</v>
      </c>
      <c r="M72" s="595">
        <f t="shared" si="11"/>
        <v>5094769.620000001</v>
      </c>
      <c r="N72" s="10"/>
    </row>
    <row r="73" spans="2:14" x14ac:dyDescent="0.3">
      <c r="B73" s="143" t="str">
        <f>'1.2 Budgeted Enrollment YR1'!E69</f>
        <v>Nevada Connections Academy</v>
      </c>
      <c r="C73" s="530">
        <f>'2.6 Adj. Base Summary YR1'!G74</f>
        <v>9573216.422390474</v>
      </c>
      <c r="D73" s="597">
        <f t="shared" si="9"/>
        <v>2.1874855159028576E-3</v>
      </c>
      <c r="E73" s="559">
        <f t="shared" si="10"/>
        <v>7.0736858188862035</v>
      </c>
      <c r="F73" s="10"/>
      <c r="G73" s="559">
        <f t="shared" si="8"/>
        <v>9573223.5</v>
      </c>
      <c r="H73" s="530">
        <v>0</v>
      </c>
      <c r="I73" s="530">
        <f>ROUND('2.2 Spec Ed Local YR1'!J67,2)</f>
        <v>0</v>
      </c>
      <c r="J73" s="530">
        <f>ROUND('2.7 Weighted Funding YR1'!E77,2)</f>
        <v>96994.8</v>
      </c>
      <c r="K73" s="530">
        <f>ROUND('2.7 Weighted Funding YR1'!I77,2)</f>
        <v>88013.8</v>
      </c>
      <c r="L73" s="530">
        <f>ROUND('2.7 Weighted Funding YR1'!M77,2)</f>
        <v>0</v>
      </c>
      <c r="M73" s="595">
        <f t="shared" si="11"/>
        <v>9758232.1000000015</v>
      </c>
      <c r="N73" s="10"/>
    </row>
    <row r="74" spans="2:14" x14ac:dyDescent="0.3">
      <c r="B74" s="143" t="str">
        <f>'1.2 Budgeted Enrollment YR1'!E70</f>
        <v>Nevada Prep</v>
      </c>
      <c r="C74" s="530">
        <f>'2.6 Adj. Base Summary YR1'!G75</f>
        <v>2526682.5443767644</v>
      </c>
      <c r="D74" s="597">
        <f t="shared" si="9"/>
        <v>5.7734842974840168E-4</v>
      </c>
      <c r="E74" s="559">
        <f t="shared" si="10"/>
        <v>1.8669752875515035</v>
      </c>
      <c r="F74" s="10"/>
      <c r="G74" s="559">
        <f t="shared" si="8"/>
        <v>2526684.41</v>
      </c>
      <c r="H74" s="530">
        <v>0</v>
      </c>
      <c r="I74" s="530">
        <f>ROUND('2.2 Spec Ed Local YR1'!J68,2)</f>
        <v>106176</v>
      </c>
      <c r="J74" s="530">
        <f>ROUND('2.7 Weighted Funding YR1'!E78,2)</f>
        <v>274818.59999999998</v>
      </c>
      <c r="K74" s="530">
        <f>ROUND('2.7 Weighted Funding YR1'!I78,2)</f>
        <v>37720.199999999997</v>
      </c>
      <c r="L74" s="530">
        <f>ROUND('2.7 Weighted Funding YR1'!M78,2)</f>
        <v>0</v>
      </c>
      <c r="M74" s="595">
        <f t="shared" si="11"/>
        <v>2945399.2100000004</v>
      </c>
      <c r="N74" s="10"/>
    </row>
    <row r="75" spans="2:14" x14ac:dyDescent="0.3">
      <c r="B75" s="143" t="str">
        <f>'1.2 Budgeted Enrollment YR1'!E71</f>
        <v xml:space="preserve">Nevada Rise </v>
      </c>
      <c r="C75" s="530">
        <f>'2.6 Adj. Base Summary YR1'!G76</f>
        <v>4112478.1319421632</v>
      </c>
      <c r="D75" s="597">
        <f t="shared" si="9"/>
        <v>9.3970364307760903E-4</v>
      </c>
      <c r="E75" s="559">
        <f t="shared" si="10"/>
        <v>3.0387256444302668</v>
      </c>
      <c r="F75" s="10"/>
      <c r="G75" s="559">
        <f t="shared" si="8"/>
        <v>4112481.17</v>
      </c>
      <c r="H75" s="530">
        <v>0</v>
      </c>
      <c r="I75" s="530">
        <f>ROUND('2.2 Spec Ed Local YR1'!J69,2)</f>
        <v>164728</v>
      </c>
      <c r="J75" s="530">
        <f>ROUND('2.7 Weighted Funding YR1'!E79,2)</f>
        <v>295025.84999999998</v>
      </c>
      <c r="K75" s="530">
        <f>ROUND('2.7 Weighted Funding YR1'!I79,2)</f>
        <v>210604.45</v>
      </c>
      <c r="L75" s="530">
        <f>ROUND('2.7 Weighted Funding YR1'!M79,2)</f>
        <v>0</v>
      </c>
      <c r="M75" s="595">
        <f t="shared" si="11"/>
        <v>4782839.47</v>
      </c>
      <c r="N75" s="10"/>
    </row>
    <row r="76" spans="2:14" x14ac:dyDescent="0.3">
      <c r="B76" s="143" t="str">
        <f>'1.2 Budgeted Enrollment YR1'!E72</f>
        <v>Nevada State High School</v>
      </c>
      <c r="C76" s="530">
        <f>'2.6 Adj. Base Summary YR1'!G77</f>
        <v>8831170.2875383031</v>
      </c>
      <c r="D76" s="597">
        <f t="shared" si="9"/>
        <v>2.0179275428558532E-3</v>
      </c>
      <c r="E76" s="559">
        <f t="shared" si="10"/>
        <v>6.525385123543475</v>
      </c>
      <c r="F76" s="10"/>
      <c r="G76" s="559">
        <f t="shared" si="8"/>
        <v>8831176.8100000005</v>
      </c>
      <c r="H76" s="530">
        <v>0</v>
      </c>
      <c r="I76" s="530">
        <f>ROUND('2.2 Spec Ed Local YR1'!J70,2)</f>
        <v>0</v>
      </c>
      <c r="J76" s="530">
        <f>ROUND('2.7 Weighted Funding YR1'!E80,2)</f>
        <v>177823.8</v>
      </c>
      <c r="K76" s="530">
        <f>ROUND('2.7 Weighted Funding YR1'!I80,2)</f>
        <v>3143.35</v>
      </c>
      <c r="L76" s="530">
        <f>ROUND('2.7 Weighted Funding YR1'!M80,2)</f>
        <v>0</v>
      </c>
      <c r="M76" s="595">
        <f t="shared" si="11"/>
        <v>9012143.9600000009</v>
      </c>
      <c r="N76" s="10"/>
    </row>
    <row r="77" spans="2:14" x14ac:dyDescent="0.3">
      <c r="B77" s="143" t="str">
        <f>'1.2 Budgeted Enrollment YR1'!E73</f>
        <v>Nevada State High School-Meadowwood</v>
      </c>
      <c r="C77" s="530">
        <f>'2.6 Adj. Base Summary YR1'!G78</f>
        <v>285788.09552968672</v>
      </c>
      <c r="D77" s="597">
        <f t="shared" si="9"/>
        <v>6.5302745911655405E-5</v>
      </c>
      <c r="E77" s="559">
        <f t="shared" si="10"/>
        <v>0.21116990459200802</v>
      </c>
      <c r="F77" s="10"/>
      <c r="G77" s="559">
        <f t="shared" si="8"/>
        <v>285788.31</v>
      </c>
      <c r="H77" s="530">
        <v>0</v>
      </c>
      <c r="I77" s="530">
        <f>ROUND('2.2 Spec Ed Local YR1'!J71,2)</f>
        <v>0</v>
      </c>
      <c r="J77" s="530">
        <f>ROUND('2.7 Weighted Funding YR1'!E81,2)</f>
        <v>0</v>
      </c>
      <c r="K77" s="530">
        <f>ROUND('2.7 Weighted Funding YR1'!I81,2)</f>
        <v>0</v>
      </c>
      <c r="L77" s="530">
        <f>ROUND('2.7 Weighted Funding YR1'!M81,2)</f>
        <v>0</v>
      </c>
      <c r="M77" s="595">
        <f t="shared" si="11"/>
        <v>285788.31</v>
      </c>
      <c r="N77" s="10"/>
    </row>
    <row r="78" spans="2:14" x14ac:dyDescent="0.3">
      <c r="B78" s="143" t="str">
        <f>'1.2 Budgeted Enrollment YR1'!E74</f>
        <v>Nevada Virtual Academy</v>
      </c>
      <c r="C78" s="530">
        <f>'2.6 Adj. Base Summary YR1'!G79</f>
        <v>19384552.357058242</v>
      </c>
      <c r="D78" s="597">
        <f t="shared" si="9"/>
        <v>4.4293814787420404E-3</v>
      </c>
      <c r="E78" s="559">
        <f t="shared" si="10"/>
        <v>14.323319045924222</v>
      </c>
      <c r="F78" s="10"/>
      <c r="G78" s="559">
        <f t="shared" si="8"/>
        <v>19384566.68</v>
      </c>
      <c r="H78" s="530">
        <v>0</v>
      </c>
      <c r="I78" s="530">
        <f>ROUND('2.2 Spec Ed Local YR1'!J72,2)</f>
        <v>0</v>
      </c>
      <c r="J78" s="530">
        <f>ROUND('2.7 Weighted Funding YR1'!E82,2)</f>
        <v>339481.8</v>
      </c>
      <c r="K78" s="530">
        <f>ROUND('2.7 Weighted Funding YR1'!I82,2)</f>
        <v>502936</v>
      </c>
      <c r="L78" s="530">
        <f>ROUND('2.7 Weighted Funding YR1'!M82,2)</f>
        <v>0</v>
      </c>
      <c r="M78" s="595">
        <f t="shared" si="11"/>
        <v>20226984.48</v>
      </c>
      <c r="N78" s="10"/>
    </row>
    <row r="79" spans="2:14" x14ac:dyDescent="0.3">
      <c r="B79" s="143" t="str">
        <f>'1.2 Budgeted Enrollment YR1'!E75</f>
        <v>Oasis Academy</v>
      </c>
      <c r="C79" s="530">
        <f>'2.6 Adj. Base Summary YR1'!G80</f>
        <v>7469927.7868443299</v>
      </c>
      <c r="D79" s="597">
        <f t="shared" si="9"/>
        <v>1.7068828403737268E-3</v>
      </c>
      <c r="E79" s="559">
        <f t="shared" si="10"/>
        <v>5.5195578917780672</v>
      </c>
      <c r="F79" s="10"/>
      <c r="G79" s="559">
        <f t="shared" si="8"/>
        <v>7469933.3099999996</v>
      </c>
      <c r="H79" s="530">
        <v>0</v>
      </c>
      <c r="I79" s="530">
        <f>ROUND('2.2 Spec Ed Local YR1'!J73,2)</f>
        <v>303879</v>
      </c>
      <c r="J79" s="530">
        <f>ROUND('2.7 Weighted Funding YR1'!E83,2)</f>
        <v>113160.6</v>
      </c>
      <c r="K79" s="530">
        <f>ROUND('2.7 Weighted Funding YR1'!I83,2)</f>
        <v>9430.0499999999993</v>
      </c>
      <c r="L79" s="530">
        <f>ROUND('2.7 Weighted Funding YR1'!M83,2)</f>
        <v>0</v>
      </c>
      <c r="M79" s="595">
        <f t="shared" si="11"/>
        <v>7896402.959999999</v>
      </c>
      <c r="N79" s="10"/>
    </row>
    <row r="80" spans="2:14" x14ac:dyDescent="0.3">
      <c r="B80" s="143" t="str">
        <f>'1.2 Budgeted Enrollment YR1'!E76</f>
        <v>Odyssey Charter Schools</v>
      </c>
      <c r="C80" s="530">
        <f>'2.6 Adj. Base Summary YR1'!G81</f>
        <v>20882890.153339133</v>
      </c>
      <c r="D80" s="597">
        <f t="shared" si="9"/>
        <v>4.771752535937447E-3</v>
      </c>
      <c r="E80" s="559">
        <f t="shared" si="10"/>
        <v>15.430446510071407</v>
      </c>
      <c r="F80" s="10"/>
      <c r="G80" s="559">
        <f t="shared" si="8"/>
        <v>20882905.579999998</v>
      </c>
      <c r="H80" s="530">
        <v>0</v>
      </c>
      <c r="I80" s="530">
        <f>ROUND('2.2 Spec Ed Local YR1'!J74,2)</f>
        <v>2209616</v>
      </c>
      <c r="J80" s="530">
        <f>ROUND('2.7 Weighted Funding YR1'!E84,2)</f>
        <v>404145</v>
      </c>
      <c r="K80" s="530">
        <f>ROUND('2.7 Weighted Funding YR1'!I84,2)</f>
        <v>864421.25</v>
      </c>
      <c r="L80" s="530">
        <f>ROUND('2.7 Weighted Funding YR1'!M84,2)</f>
        <v>0</v>
      </c>
      <c r="M80" s="595">
        <f t="shared" si="11"/>
        <v>24361087.829999998</v>
      </c>
      <c r="N80" s="10"/>
    </row>
    <row r="81" spans="1:14" x14ac:dyDescent="0.3">
      <c r="B81" s="143" t="str">
        <f>'1.2 Budgeted Enrollment YR1'!E77</f>
        <v>Pinecrest Academy of Northern Nevada</v>
      </c>
      <c r="C81" s="530">
        <f>'2.6 Adj. Base Summary YR1'!G82</f>
        <v>8325158.3183480995</v>
      </c>
      <c r="D81" s="597">
        <f t="shared" si="9"/>
        <v>1.902303513831692E-3</v>
      </c>
      <c r="E81" s="559">
        <f t="shared" si="10"/>
        <v>6.151490965852048</v>
      </c>
      <c r="F81" s="10"/>
      <c r="G81" s="559">
        <f t="shared" si="8"/>
        <v>8325164.4699999997</v>
      </c>
      <c r="H81" s="530">
        <v>0</v>
      </c>
      <c r="I81" s="530">
        <f>ROUND('2.2 Spec Ed Local YR1'!J75,2)</f>
        <v>144137</v>
      </c>
      <c r="J81" s="530">
        <f>ROUND('2.7 Weighted Funding YR1'!E85,2)</f>
        <v>72746.100000000006</v>
      </c>
      <c r="K81" s="530">
        <f>ROUND('2.7 Weighted Funding YR1'!I85,2)</f>
        <v>0</v>
      </c>
      <c r="L81" s="530">
        <f>ROUND('2.7 Weighted Funding YR1'!M85,2)</f>
        <v>36642.480000000003</v>
      </c>
      <c r="M81" s="595">
        <f t="shared" si="11"/>
        <v>8578690.0499999989</v>
      </c>
      <c r="N81" s="10"/>
    </row>
    <row r="82" spans="1:14" x14ac:dyDescent="0.3">
      <c r="B82" s="143" t="str">
        <f>'1.2 Budgeted Enrollment YR1'!E78</f>
        <v>Pinecrest Academy of Nevada</v>
      </c>
      <c r="C82" s="530">
        <f>'2.6 Adj. Base Summary YR1'!G83</f>
        <v>66517281.858513109</v>
      </c>
      <c r="D82" s="597">
        <f t="shared" si="9"/>
        <v>1.5199237560576527E-2</v>
      </c>
      <c r="E82" s="559">
        <f t="shared" si="10"/>
        <v>49.149871123035702</v>
      </c>
      <c r="F82" s="10"/>
      <c r="G82" s="559">
        <f t="shared" si="8"/>
        <v>66517331.009999998</v>
      </c>
      <c r="H82" s="530">
        <v>0</v>
      </c>
      <c r="I82" s="530">
        <f>ROUND('2.2 Spec Ed Local YR1'!J76,2)</f>
        <v>1251037</v>
      </c>
      <c r="J82" s="530">
        <f>ROUND('2.7 Weighted Funding YR1'!E86,2)</f>
        <v>646632</v>
      </c>
      <c r="K82" s="530">
        <f>ROUND('2.7 Weighted Funding YR1'!I86,2)</f>
        <v>638100.05000000005</v>
      </c>
      <c r="L82" s="530">
        <f>ROUND('2.7 Weighted Funding YR1'!M86,2)</f>
        <v>279129.48</v>
      </c>
      <c r="M82" s="595">
        <f t="shared" si="11"/>
        <v>69332229.539999992</v>
      </c>
      <c r="N82" s="10"/>
    </row>
    <row r="83" spans="1:14" x14ac:dyDescent="0.3">
      <c r="B83" s="143" t="str">
        <f>'1.2 Budgeted Enrollment YR1'!E79</f>
        <v>Quest Academy</v>
      </c>
      <c r="C83" s="530">
        <f>'2.6 Adj. Base Summary YR1'!G84</f>
        <v>3905563.3463481772</v>
      </c>
      <c r="D83" s="597">
        <f t="shared" si="9"/>
        <v>8.9242349432275953E-4</v>
      </c>
      <c r="E83" s="559">
        <f t="shared" si="10"/>
        <v>2.8858355268360616</v>
      </c>
      <c r="F83" s="10"/>
      <c r="G83" s="559">
        <f t="shared" si="8"/>
        <v>3905566.23</v>
      </c>
      <c r="H83" s="530">
        <v>0</v>
      </c>
      <c r="I83" s="530">
        <f>ROUND('2.2 Spec Ed Local YR1'!J77,2)</f>
        <v>46281</v>
      </c>
      <c r="J83" s="530">
        <f>ROUND('2.7 Weighted Funding YR1'!E87,2)</f>
        <v>137409.29999999999</v>
      </c>
      <c r="K83" s="530">
        <f>ROUND('2.7 Weighted Funding YR1'!I87,2)</f>
        <v>132020.70000000001</v>
      </c>
      <c r="L83" s="530">
        <f>ROUND('2.7 Weighted Funding YR1'!M87,2)</f>
        <v>0</v>
      </c>
      <c r="M83" s="595">
        <f t="shared" si="11"/>
        <v>4221277.2299999995</v>
      </c>
      <c r="N83" s="10"/>
    </row>
    <row r="84" spans="1:14" x14ac:dyDescent="0.3">
      <c r="B84" s="143" t="str">
        <f>'1.2 Budgeted Enrollment YR1'!E80</f>
        <v>Rainbow Dreams Academy</v>
      </c>
      <c r="C84" s="530">
        <f>'2.6 Adj. Base Summary YR1'!G85</f>
        <v>630783.24939139525</v>
      </c>
      <c r="D84" s="597">
        <f t="shared" si="9"/>
        <v>1.4413433905981495E-4</v>
      </c>
      <c r="E84" s="559">
        <f t="shared" si="10"/>
        <v>0.46608812849722464</v>
      </c>
      <c r="F84" s="10"/>
      <c r="G84" s="559">
        <f t="shared" si="8"/>
        <v>630783.72</v>
      </c>
      <c r="H84" s="530">
        <v>0</v>
      </c>
      <c r="I84" s="530">
        <f>ROUND('2.2 Spec Ed Local YR1'!J78,2)</f>
        <v>40702</v>
      </c>
      <c r="J84" s="530">
        <f>ROUND('2.7 Weighted Funding YR1'!E88,2)</f>
        <v>32331.599999999999</v>
      </c>
      <c r="K84" s="530">
        <f>ROUND('2.7 Weighted Funding YR1'!I88,2)</f>
        <v>106873.9</v>
      </c>
      <c r="L84" s="530">
        <f>ROUND('2.7 Weighted Funding YR1'!M88,2)</f>
        <v>0</v>
      </c>
      <c r="M84" s="595">
        <f t="shared" si="11"/>
        <v>810691.22</v>
      </c>
      <c r="N84" s="10"/>
    </row>
    <row r="85" spans="1:14" x14ac:dyDescent="0.3">
      <c r="B85" s="143" t="str">
        <f>'1.2 Budgeted Enrollment YR1'!E81</f>
        <v>Rooted Charter School</v>
      </c>
      <c r="C85" s="530">
        <f>'2.6 Adj. Base Summary YR1'!G86</f>
        <v>1616580</v>
      </c>
      <c r="D85" s="597">
        <f t="shared" ref="D85" si="12">C85/$C$33</f>
        <v>3.6938946946059174E-4</v>
      </c>
      <c r="E85" s="559">
        <f t="shared" ref="E85" si="13">D85*$C$6</f>
        <v>1.1944970756484417</v>
      </c>
      <c r="F85" s="10"/>
      <c r="G85" s="559">
        <f t="shared" si="8"/>
        <v>1616581.19</v>
      </c>
      <c r="H85" s="530">
        <v>0</v>
      </c>
      <c r="I85" s="530">
        <f>ROUND('2.2 Spec Ed Local YR1'!J79,2)</f>
        <v>0</v>
      </c>
      <c r="J85" s="530">
        <f>ROUND('2.7 Weighted Funding YR1'!E89,2)</f>
        <v>0</v>
      </c>
      <c r="K85" s="530">
        <f>ROUND('2.7 Weighted Funding YR1'!I89,2)</f>
        <v>0</v>
      </c>
      <c r="L85" s="530">
        <f>ROUND('2.7 Weighted Funding YR1'!M89,2)</f>
        <v>0</v>
      </c>
      <c r="M85" s="595">
        <f t="shared" ref="M85" si="14">SUM(G85:L85)</f>
        <v>1616581.19</v>
      </c>
      <c r="N85" s="10"/>
    </row>
    <row r="86" spans="1:14" x14ac:dyDescent="0.3">
      <c r="B86" s="143" t="str">
        <f>'1.2 Budgeted Enrollment YR1'!E82</f>
        <v>Sage Collegiate Academy</v>
      </c>
      <c r="C86" s="530">
        <f>'2.6 Adj. Base Summary YR1'!G87</f>
        <v>1786123.8447540409</v>
      </c>
      <c r="D86" s="597">
        <f t="shared" si="9"/>
        <v>4.081303365157354E-4</v>
      </c>
      <c r="E86" s="559">
        <f t="shared" si="10"/>
        <v>1.3197736637250574</v>
      </c>
      <c r="F86" s="10"/>
      <c r="G86" s="559">
        <f t="shared" si="8"/>
        <v>1786125.16</v>
      </c>
      <c r="H86" s="530">
        <v>0</v>
      </c>
      <c r="I86" s="530">
        <f>ROUND('2.2 Spec Ed Local YR1'!J80,2)</f>
        <v>0</v>
      </c>
      <c r="J86" s="530">
        <f>ROUND('2.7 Weighted Funding YR1'!E90,2)</f>
        <v>72746.100000000006</v>
      </c>
      <c r="K86" s="530">
        <f>ROUND('2.7 Weighted Funding YR1'!I90,2)</f>
        <v>0</v>
      </c>
      <c r="L86" s="530">
        <f>ROUND('2.7 Weighted Funding YR1'!M90,2)</f>
        <v>0</v>
      </c>
      <c r="M86" s="595">
        <f t="shared" si="11"/>
        <v>1858871.26</v>
      </c>
      <c r="N86" s="10"/>
    </row>
    <row r="87" spans="1:14" x14ac:dyDescent="0.3">
      <c r="B87" s="143" t="str">
        <f>'1.2 Budgeted Enrollment YR1'!E83</f>
        <v>Sierra Nevada Academy Charter</v>
      </c>
      <c r="C87" s="530">
        <f>'2.6 Adj. Base Summary YR1'!G88</f>
        <v>3139303.6749637737</v>
      </c>
      <c r="D87" s="597">
        <f t="shared" si="9"/>
        <v>7.1733271410666616E-4</v>
      </c>
      <c r="E87" s="559">
        <f t="shared" si="10"/>
        <v>2.3196433577779225</v>
      </c>
      <c r="F87" s="10"/>
      <c r="G87" s="559">
        <f t="shared" si="8"/>
        <v>3139305.99</v>
      </c>
      <c r="H87" s="530">
        <v>0</v>
      </c>
      <c r="I87" s="530">
        <f>ROUND('2.2 Spec Ed Local YR1'!J81,2)</f>
        <v>119278</v>
      </c>
      <c r="J87" s="530">
        <f>ROUND('2.7 Weighted Funding YR1'!E91,2)</f>
        <v>80829</v>
      </c>
      <c r="K87" s="530">
        <f>ROUND('2.7 Weighted Funding YR1'!I91,2)</f>
        <v>100587.2</v>
      </c>
      <c r="L87" s="530">
        <f>ROUND('2.7 Weighted Funding YR1'!M91,2)</f>
        <v>0</v>
      </c>
      <c r="M87" s="595">
        <f t="shared" si="11"/>
        <v>3440000.1900000004</v>
      </c>
      <c r="N87" s="10"/>
    </row>
    <row r="88" spans="1:14" x14ac:dyDescent="0.3">
      <c r="B88" s="143" t="str">
        <f>'1.2 Budgeted Enrollment YR1'!E84</f>
        <v>Signature Preparatory</v>
      </c>
      <c r="C88" s="530">
        <f>'2.6 Adj. Base Summary YR1'!G89</f>
        <v>8744579.2327704374</v>
      </c>
      <c r="D88" s="597">
        <f t="shared" si="9"/>
        <v>1.9981414365198014E-3</v>
      </c>
      <c r="E88" s="559">
        <f t="shared" si="10"/>
        <v>6.461402665701903</v>
      </c>
      <c r="F88" s="10"/>
      <c r="G88" s="559">
        <f t="shared" si="8"/>
        <v>8744585.6899999995</v>
      </c>
      <c r="H88" s="530">
        <v>0</v>
      </c>
      <c r="I88" s="530">
        <f>ROUND('2.2 Spec Ed Local YR1'!J82,2)</f>
        <v>291137.52</v>
      </c>
      <c r="J88" s="530">
        <f>ROUND('2.7 Weighted Funding YR1'!E92,2)</f>
        <v>303108.75</v>
      </c>
      <c r="K88" s="530">
        <f>ROUND('2.7 Weighted Funding YR1'!I92,2)</f>
        <v>15716.75</v>
      </c>
      <c r="L88" s="530">
        <f>ROUND('2.7 Weighted Funding YR1'!M92,2)</f>
        <v>0</v>
      </c>
      <c r="M88" s="595">
        <f t="shared" si="11"/>
        <v>9354548.709999999</v>
      </c>
      <c r="N88" s="10"/>
    </row>
    <row r="89" spans="1:14" x14ac:dyDescent="0.3">
      <c r="B89" s="143" t="str">
        <f>'1.2 Budgeted Enrollment YR1'!E85</f>
        <v>Silver Sands Montessori</v>
      </c>
      <c r="C89" s="530">
        <f>'2.6 Adj. Base Summary YR1'!G90</f>
        <v>2156764.6488858471</v>
      </c>
      <c r="D89" s="597">
        <f t="shared" si="9"/>
        <v>4.9282197565434589E-4</v>
      </c>
      <c r="E89" s="559">
        <f t="shared" si="10"/>
        <v>1.5936415556026196</v>
      </c>
      <c r="F89" s="10"/>
      <c r="G89" s="559">
        <f t="shared" si="8"/>
        <v>2156766.2400000002</v>
      </c>
      <c r="H89" s="530">
        <v>0</v>
      </c>
      <c r="I89" s="530">
        <f>ROUND('2.2 Spec Ed Local YR1'!J83,2)</f>
        <v>0</v>
      </c>
      <c r="J89" s="530">
        <f>ROUND('2.7 Weighted Funding YR1'!E93,2)</f>
        <v>44455.95</v>
      </c>
      <c r="K89" s="530">
        <f>ROUND('2.7 Weighted Funding YR1'!I93,2)</f>
        <v>37720.199999999997</v>
      </c>
      <c r="L89" s="530">
        <f>ROUND('2.7 Weighted Funding YR1'!M93,2)</f>
        <v>0</v>
      </c>
      <c r="M89" s="595">
        <f t="shared" si="11"/>
        <v>2238942.3900000006</v>
      </c>
      <c r="N89" s="10"/>
    </row>
    <row r="90" spans="1:14" x14ac:dyDescent="0.3">
      <c r="B90" s="143" t="str">
        <f>'1.2 Budgeted Enrollment YR1'!E86</f>
        <v>Somerset Academy</v>
      </c>
      <c r="C90" s="530">
        <f>'2.6 Adj. Base Summary YR1'!G91</f>
        <v>85015673.228619054</v>
      </c>
      <c r="D90" s="597">
        <f t="shared" si="9"/>
        <v>1.9426130738815665E-2</v>
      </c>
      <c r="E90" s="559">
        <f t="shared" si="10"/>
        <v>62.818402464380966</v>
      </c>
      <c r="F90" s="10"/>
      <c r="G90" s="559">
        <f t="shared" si="8"/>
        <v>85015736.049999997</v>
      </c>
      <c r="H90" s="530">
        <v>0</v>
      </c>
      <c r="I90" s="530">
        <f>ROUND('2.2 Spec Ed Local YR1'!J84,2)</f>
        <v>2722399</v>
      </c>
      <c r="J90" s="530">
        <f>ROUND('2.7 Weighted Funding YR1'!E94,2)</f>
        <v>1382175.9</v>
      </c>
      <c r="K90" s="530">
        <f>ROUND('2.7 Weighted Funding YR1'!I94,2)</f>
        <v>949291.7</v>
      </c>
      <c r="L90" s="530">
        <f>ROUND('2.7 Weighted Funding YR1'!M94,2)</f>
        <v>121782.36</v>
      </c>
      <c r="M90" s="595">
        <f t="shared" si="11"/>
        <v>90191385.010000005</v>
      </c>
      <c r="N90" s="10"/>
    </row>
    <row r="91" spans="1:14" x14ac:dyDescent="0.3">
      <c r="B91" s="143" t="str">
        <f>'1.2 Budgeted Enrollment YR1'!E87</f>
        <v>Southern Nevada Trade High School</v>
      </c>
      <c r="C91" s="530">
        <f>'2.6 Adj. Base Summary YR1'!G92</f>
        <v>1796200</v>
      </c>
      <c r="D91" s="597">
        <f t="shared" ref="D91" si="15">C91/$C$33</f>
        <v>4.1043274384510196E-4</v>
      </c>
      <c r="E91" s="559">
        <f t="shared" ref="E91" si="16">D91*$C$6</f>
        <v>1.3272189729427131</v>
      </c>
      <c r="F91" s="10"/>
      <c r="G91" s="559">
        <f t="shared" si="8"/>
        <v>1796201.33</v>
      </c>
      <c r="H91" s="530">
        <v>0</v>
      </c>
      <c r="I91" s="530">
        <f>ROUND('2.2 Spec Ed Local YR1'!J85,2)</f>
        <v>0</v>
      </c>
      <c r="J91" s="530">
        <f>ROUND('2.7 Weighted Funding YR1'!E95,2)</f>
        <v>0</v>
      </c>
      <c r="K91" s="530">
        <f>ROUND('2.7 Weighted Funding YR1'!I95,2)</f>
        <v>0</v>
      </c>
      <c r="L91" s="530">
        <f>ROUND('2.7 Weighted Funding YR1'!M95,2)</f>
        <v>0</v>
      </c>
      <c r="M91" s="595">
        <f t="shared" ref="M91" si="17">SUM(G91:L91)</f>
        <v>1796201.33</v>
      </c>
      <c r="N91" s="10"/>
    </row>
    <row r="92" spans="1:14" x14ac:dyDescent="0.3">
      <c r="B92" s="143" t="str">
        <f>'1.2 Budgeted Enrollment YR1'!E88</f>
        <v>Sports Leadership and Management Academy</v>
      </c>
      <c r="C92" s="530">
        <f>'2.6 Adj. Base Summary YR1'!G93</f>
        <v>16042096.102717223</v>
      </c>
      <c r="D92" s="597">
        <f t="shared" si="9"/>
        <v>3.6656282821874212E-3</v>
      </c>
      <c r="E92" s="559">
        <f t="shared" si="10"/>
        <v>11.853565478953708</v>
      </c>
      <c r="F92" s="10"/>
      <c r="G92" s="559">
        <f t="shared" si="8"/>
        <v>16042107.960000001</v>
      </c>
      <c r="H92" s="530">
        <v>0</v>
      </c>
      <c r="I92" s="530">
        <f>ROUND('2.2 Spec Ed Local YR1'!J86,2)</f>
        <v>761730</v>
      </c>
      <c r="J92" s="530">
        <f>ROUND('2.7 Weighted Funding YR1'!E96,2)</f>
        <v>654714.9</v>
      </c>
      <c r="K92" s="530">
        <f>ROUND('2.7 Weighted Funding YR1'!I96,2)</f>
        <v>389775.4</v>
      </c>
      <c r="L92" s="530">
        <f>ROUND('2.7 Weighted Funding YR1'!M96,2)</f>
        <v>0</v>
      </c>
      <c r="M92" s="595">
        <f t="shared" si="11"/>
        <v>17848328.259999998</v>
      </c>
      <c r="N92" s="10"/>
    </row>
    <row r="93" spans="1:14" x14ac:dyDescent="0.3">
      <c r="B93" s="143" t="str">
        <f>'1.2 Budgeted Enrollment YR1'!E89</f>
        <v>Strong Start Academy</v>
      </c>
      <c r="C93" s="530">
        <f>'2.6 Adj. Base Summary YR1'!G94</f>
        <v>724141.12997423892</v>
      </c>
      <c r="D93" s="597">
        <f t="shared" si="9"/>
        <v>1.6546666902706798E-4</v>
      </c>
      <c r="E93" s="559">
        <f t="shared" si="10"/>
        <v>0.5350706195245436</v>
      </c>
      <c r="F93" s="10"/>
      <c r="G93" s="559">
        <f t="shared" si="8"/>
        <v>724141.67</v>
      </c>
      <c r="H93" s="530">
        <v>0</v>
      </c>
      <c r="I93" s="530">
        <f>ROUND('2.2 Spec Ed Local YR1'!J87,2)</f>
        <v>0</v>
      </c>
      <c r="J93" s="530">
        <f>ROUND('2.7 Weighted Funding YR1'!E97,2)</f>
        <v>64663.199999999997</v>
      </c>
      <c r="K93" s="530">
        <f>ROUND('2.7 Weighted Funding YR1'!I97,2)</f>
        <v>0</v>
      </c>
      <c r="L93" s="530">
        <f>ROUND('2.7 Weighted Funding YR1'!M97,2)</f>
        <v>0</v>
      </c>
      <c r="M93" s="595">
        <f t="shared" si="11"/>
        <v>788804.87</v>
      </c>
      <c r="N93" s="10"/>
    </row>
    <row r="94" spans="1:14" x14ac:dyDescent="0.3">
      <c r="B94" s="143" t="str">
        <f>'1.2 Budgeted Enrollment YR1'!E90</f>
        <v>TEACH Las Vegas</v>
      </c>
      <c r="C94" s="530">
        <f>'2.6 Adj. Base Summary YR1'!G95</f>
        <v>2882756.3292895234</v>
      </c>
      <c r="D94" s="597">
        <f t="shared" si="9"/>
        <v>6.5871149652997065E-4</v>
      </c>
      <c r="E94" s="559">
        <f t="shared" si="10"/>
        <v>2.1300795538379615</v>
      </c>
      <c r="F94" s="10"/>
      <c r="G94" s="559">
        <f t="shared" si="8"/>
        <v>2882758.46</v>
      </c>
      <c r="H94" s="530">
        <v>0</v>
      </c>
      <c r="I94" s="530">
        <f>ROUND('2.2 Spec Ed Local YR1'!J88,2)</f>
        <v>48249</v>
      </c>
      <c r="J94" s="530">
        <f>ROUND('2.7 Weighted Funding YR1'!E98,2)</f>
        <v>181865.25</v>
      </c>
      <c r="K94" s="530">
        <f>ROUND('2.7 Weighted Funding YR1'!I98,2)</f>
        <v>56580.3</v>
      </c>
      <c r="L94" s="530">
        <f>ROUND('2.7 Weighted Funding YR1'!M98,2)</f>
        <v>0</v>
      </c>
      <c r="M94" s="595">
        <f t="shared" si="11"/>
        <v>3169453.01</v>
      </c>
      <c r="N94" s="10"/>
    </row>
    <row r="95" spans="1:14" x14ac:dyDescent="0.3">
      <c r="B95" s="168" t="str">
        <f>'1.2 Budgeted Enrollment YR1'!E91</f>
        <v>Young Women's Leadership Academy</v>
      </c>
      <c r="C95" s="547">
        <f>'2.6 Adj. Base Summary YR1'!G96</f>
        <v>506140.16458105104</v>
      </c>
      <c r="D95" s="598">
        <f>C95/$C$33</f>
        <v>1.1565332174546947E-4</v>
      </c>
      <c r="E95" s="561">
        <f>D95*$C$6</f>
        <v>0.37398888175053907</v>
      </c>
      <c r="F95" s="10"/>
      <c r="G95" s="561">
        <f>ROUND(C95+E95,2)</f>
        <v>506140.54</v>
      </c>
      <c r="H95" s="547">
        <v>0</v>
      </c>
      <c r="I95" s="547">
        <f>ROUND('2.2 Spec Ed Local YR1'!J89,2)</f>
        <v>0</v>
      </c>
      <c r="J95" s="547">
        <f>ROUND('2.7 Weighted Funding YR1'!E99,2)</f>
        <v>20207.25</v>
      </c>
      <c r="K95" s="547">
        <f>ROUND('2.7 Weighted Funding YR1'!I99,2)</f>
        <v>0</v>
      </c>
      <c r="L95" s="530">
        <f>ROUND('2.7 Weighted Funding YR1'!M99,2)</f>
        <v>0</v>
      </c>
      <c r="M95" s="596">
        <f>SUM(G95:L95)</f>
        <v>526347.79</v>
      </c>
      <c r="N95" s="10"/>
    </row>
    <row r="96" spans="1:14" s="4" customFormat="1" x14ac:dyDescent="0.3">
      <c r="A96" s="427"/>
      <c r="B96" s="511" t="s">
        <v>63</v>
      </c>
      <c r="C96" s="591">
        <f>SUM(C36:C95)</f>
        <v>621861141.38655722</v>
      </c>
      <c r="D96" s="592">
        <f>C96/$C$33</f>
        <v>0.14209563219570848</v>
      </c>
      <c r="E96" s="573">
        <f>SUM(E36:E95)</f>
        <v>459.49554915045633</v>
      </c>
      <c r="G96" s="591">
        <f t="shared" ref="G96:M96" si="18">SUM(G36:G95)</f>
        <v>621861600.87000024</v>
      </c>
      <c r="H96" s="573">
        <f t="shared" si="18"/>
        <v>0</v>
      </c>
      <c r="I96" s="593">
        <f t="shared" si="18"/>
        <v>14783450.18</v>
      </c>
      <c r="J96" s="573">
        <f t="shared" si="18"/>
        <v>22268389.500000007</v>
      </c>
      <c r="K96" s="593">
        <f t="shared" si="18"/>
        <v>9587217.5000000019</v>
      </c>
      <c r="L96" s="573">
        <f t="shared" si="18"/>
        <v>1182258.8400000001</v>
      </c>
      <c r="M96" s="594">
        <f t="shared" si="18"/>
        <v>669682916.8900001</v>
      </c>
    </row>
    <row r="97" spans="1:14" x14ac:dyDescent="0.3">
      <c r="C97" s="11">
        <f>C96-C31</f>
        <v>0</v>
      </c>
      <c r="E97" s="12">
        <f>E96-E31</f>
        <v>0</v>
      </c>
      <c r="G97" s="12">
        <f t="shared" ref="G97:M97" si="19">G96-G31</f>
        <v>0</v>
      </c>
      <c r="H97" s="12">
        <f t="shared" si="19"/>
        <v>0</v>
      </c>
      <c r="I97" s="12">
        <f t="shared" si="19"/>
        <v>0</v>
      </c>
      <c r="J97" s="12">
        <f t="shared" si="19"/>
        <v>0</v>
      </c>
      <c r="K97" s="12">
        <f t="shared" si="19"/>
        <v>0</v>
      </c>
      <c r="L97" s="12">
        <f t="shared" si="19"/>
        <v>0</v>
      </c>
      <c r="M97" s="12">
        <f t="shared" si="19"/>
        <v>0</v>
      </c>
    </row>
    <row r="98" spans="1:14" x14ac:dyDescent="0.3">
      <c r="A98" s="4" t="s">
        <v>1256</v>
      </c>
    </row>
    <row r="99" spans="1:14" x14ac:dyDescent="0.3">
      <c r="A99" s="683"/>
      <c r="B99" s="671" t="str">
        <f>'1.2 Budgeted Enrollment YR1'!E96</f>
        <v>Davidson Academy</v>
      </c>
      <c r="C99" s="753">
        <f>'2.6 Adj. Base Summary YR1'!G100</f>
        <v>1455317.9224656573</v>
      </c>
      <c r="D99" s="1045">
        <f>C99/$C$33</f>
        <v>3.32540991028022E-4</v>
      </c>
      <c r="E99" s="560">
        <f>D99*$C$6</f>
        <v>1.0753399166907878</v>
      </c>
      <c r="F99" s="10"/>
      <c r="G99" s="754">
        <f>ROUND(C99+E99,2)</f>
        <v>1455319</v>
      </c>
      <c r="H99" s="753">
        <v>0</v>
      </c>
      <c r="I99" s="745">
        <f>'2.2 Spec Ed Local YR1'!J93</f>
        <v>0</v>
      </c>
      <c r="J99" s="753">
        <f>'2.7 Weighted Funding YR1'!E103</f>
        <v>0</v>
      </c>
      <c r="K99" s="745">
        <f>'2.7 Weighted Funding YR1'!I103</f>
        <v>0</v>
      </c>
      <c r="L99" s="753">
        <f>'2.7 Weighted Funding YR1'!M103</f>
        <v>0</v>
      </c>
      <c r="M99" s="560">
        <f>SUM(G99:L99)</f>
        <v>1455319</v>
      </c>
      <c r="N99" s="10"/>
    </row>
    <row r="100" spans="1:14" x14ac:dyDescent="0.3">
      <c r="A100" s="132"/>
      <c r="B100" s="143">
        <f>'1.2 Budgeted Enrollment YR1'!E97</f>
        <v>0</v>
      </c>
      <c r="C100" s="547">
        <f>'2.6 Adj. Base Summary YR1'!G101</f>
        <v>0</v>
      </c>
      <c r="D100" s="1007">
        <f>C100/$C$33</f>
        <v>0</v>
      </c>
      <c r="E100" s="561">
        <f>D100*$C$6</f>
        <v>0</v>
      </c>
      <c r="F100" s="10"/>
      <c r="G100" s="566">
        <f>C100+E100</f>
        <v>0</v>
      </c>
      <c r="H100" s="547">
        <v>0</v>
      </c>
      <c r="I100" s="201">
        <f>'2.2 Spec Ed Local YR1'!J94</f>
        <v>0</v>
      </c>
      <c r="J100" s="547">
        <f>'2.7 Weighted Funding YR1'!E104</f>
        <v>0</v>
      </c>
      <c r="K100" s="201">
        <f>'2.7 Weighted Funding YR1'!I104</f>
        <v>0</v>
      </c>
      <c r="L100" s="547">
        <f>'2.7 Weighted Funding YR1'!M104</f>
        <v>0</v>
      </c>
      <c r="M100" s="561">
        <f>SUM(G100:L100)</f>
        <v>0</v>
      </c>
      <c r="N100" s="10"/>
    </row>
    <row r="101" spans="1:14" s="4" customFormat="1" x14ac:dyDescent="0.3">
      <c r="A101" s="425"/>
      <c r="B101" s="511" t="s">
        <v>63</v>
      </c>
      <c r="C101" s="591">
        <f>SUM(C99:C100)</f>
        <v>1455317.9224656573</v>
      </c>
      <c r="D101" s="1008">
        <f>C101/$C$33</f>
        <v>3.32540991028022E-4</v>
      </c>
      <c r="E101" s="573">
        <f>SUM(E99:E100)</f>
        <v>1.0753399166907878</v>
      </c>
      <c r="G101" s="591">
        <f>SUM(G99:G100)</f>
        <v>1455319</v>
      </c>
      <c r="H101" s="573">
        <f t="shared" ref="H101:M101" si="20">SUM(H99:H100)</f>
        <v>0</v>
      </c>
      <c r="I101" s="593">
        <f t="shared" si="20"/>
        <v>0</v>
      </c>
      <c r="J101" s="573">
        <f t="shared" si="20"/>
        <v>0</v>
      </c>
      <c r="K101" s="593">
        <f t="shared" si="20"/>
        <v>0</v>
      </c>
      <c r="L101" s="573">
        <f t="shared" si="20"/>
        <v>0</v>
      </c>
      <c r="M101" s="573">
        <f t="shared" si="20"/>
        <v>1455319</v>
      </c>
    </row>
    <row r="102" spans="1:14" x14ac:dyDescent="0.3">
      <c r="C102" s="11">
        <f>C101-C32</f>
        <v>0</v>
      </c>
      <c r="E102" s="11">
        <f>E101-E32</f>
        <v>0</v>
      </c>
      <c r="G102" s="11">
        <f t="shared" ref="G102:M102" si="21">G101-G32</f>
        <v>0</v>
      </c>
      <c r="H102" s="11">
        <f t="shared" si="21"/>
        <v>0</v>
      </c>
      <c r="I102" s="11">
        <f t="shared" si="21"/>
        <v>0</v>
      </c>
      <c r="J102" s="11">
        <f t="shared" si="21"/>
        <v>0</v>
      </c>
      <c r="K102" s="11">
        <f t="shared" si="21"/>
        <v>0</v>
      </c>
      <c r="L102" s="11">
        <f t="shared" si="21"/>
        <v>0</v>
      </c>
      <c r="M102" s="11">
        <f t="shared" si="21"/>
        <v>0</v>
      </c>
    </row>
  </sheetData>
  <sheetProtection algorithmName="SHA-512" hashValue="45OlvL9tKwbFFDMfdokBaqL7mPz2CXfMcNr+euzjDTINgbBCjoDxQ/E3oURFEIbImHr80rlM3Al+JCcJ4zJ4vg==" saltValue="+BHVGZGw94ieMBQo7Y3v9Q==" spinCount="100000" sheet="1" objects="1" scenarios="1"/>
  <customSheetViews>
    <customSheetView guid="{92EB2B16-3546-4CC6-AF3A-0019867B62A7}" scale="70">
      <pane xSplit="2" ySplit="10" topLeftCell="U11" activePane="bottomRight" state="frozen"/>
      <selection pane="bottomRight" activeCell="B48" sqref="B48"/>
      <rowBreaks count="1" manualBreakCount="1">
        <brk id="30" max="16383" man="1"/>
      </rowBreaks>
      <colBreaks count="6" manualBreakCount="6">
        <brk id="10" max="1048575" man="1"/>
        <brk id="18" max="1048575" man="1"/>
        <brk id="26" max="1048575" man="1"/>
        <brk id="34" max="1048575" man="1"/>
        <brk id="42" max="1048575" man="1"/>
        <brk id="50" max="1048575" man="1"/>
      </colBreaks>
      <pageMargins left="0.7" right="0.7" top="0.75" bottom="0.75" header="0.3" footer="0.3"/>
      <pageSetup paperSize="3" fitToWidth="0"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70" showPageBreaks="1">
      <pane xSplit="2" ySplit="10" topLeftCell="U11" activePane="bottomRight" state="frozen"/>
      <selection pane="bottomRight" activeCell="A4" sqref="A4"/>
      <rowBreaks count="1" manualBreakCount="1">
        <brk id="30" max="16383" man="1"/>
      </rowBreaks>
      <colBreaks count="6" manualBreakCount="6">
        <brk id="10" max="1048575" man="1"/>
        <brk id="18" max="1048575" man="1"/>
        <brk id="26" max="1048575" man="1"/>
        <brk id="34" max="1048575" man="1"/>
        <brk id="42" max="1048575" man="1"/>
        <brk id="50" max="1048575" man="1"/>
      </colBreaks>
      <pageMargins left="0.7" right="0.7" top="0.75" bottom="0.75" header="0.3" footer="0.3"/>
      <pageSetup paperSize="3" fitToWidth="0"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70" showPageBreaks="1">
      <pane xSplit="2" ySplit="10" topLeftCell="U11" activePane="bottomRight" state="frozen"/>
      <selection pane="bottomRight" activeCell="A4" sqref="A4"/>
      <rowBreaks count="1" manualBreakCount="1">
        <brk id="30" max="16383" man="1"/>
      </rowBreaks>
      <colBreaks count="6" manualBreakCount="6">
        <brk id="10" max="1048575" man="1"/>
        <brk id="18" max="1048575" man="1"/>
        <brk id="26" max="1048575" man="1"/>
        <brk id="34" max="1048575" man="1"/>
        <brk id="42" max="1048575" man="1"/>
        <brk id="50" max="1048575" man="1"/>
      </colBreaks>
      <pageMargins left="0.7" right="0.7" top="0.75" bottom="0.75" header="0.3" footer="0.3"/>
      <pageSetup paperSize="3" fitToWidth="0" orientation="landscape" r:id="rId3"/>
      <headerFooter>
        <oddHeader>&amp;R&amp;"Arial Narrow,Regular"&amp;10&amp;A
&amp;P</oddHeader>
        <oddFooter>&amp;L&amp;"Arial Narrow,Regular"&amp;10This is a draft document. It is intended for discussion purposes only.&amp;R&amp;G</oddFooter>
      </headerFooter>
    </customSheetView>
  </customSheetViews>
  <pageMargins left="0.7" right="0.7" top="0.75" bottom="0.75" header="0.3" footer="0.3"/>
  <pageSetup paperSize="3" fitToWidth="0" orientation="landscape" r:id="rId4"/>
  <headerFooter>
    <oddHeader>&amp;R&amp;"Arial Narrow,Regular"&amp;10&amp;A
&amp;P</oddHeader>
  </headerFooter>
  <rowBreaks count="3" manualBreakCount="3">
    <brk id="33" max="16383" man="1"/>
    <brk id="61" max="16383" man="1"/>
    <brk id="87" max="16383" man="1"/>
  </rowBreaks>
  <colBreaks count="1" manualBreakCount="1">
    <brk id="11" max="1048575" man="1"/>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26A55-CEBC-444B-B802-3CF6D671804D}">
  <sheetPr>
    <tabColor theme="6"/>
    <pageSetUpPr autoPageBreaks="0" fitToPage="1"/>
  </sheetPr>
  <dimension ref="A1:Y97"/>
  <sheetViews>
    <sheetView zoomScale="85" zoomScaleNormal="85" workbookViewId="0">
      <selection activeCell="V8" sqref="V8"/>
    </sheetView>
  </sheetViews>
  <sheetFormatPr defaultColWidth="8.85546875" defaultRowHeight="16.5" x14ac:dyDescent="0.3"/>
  <cols>
    <col min="1" max="1" width="39.28515625" style="10" customWidth="1"/>
    <col min="2" max="2" width="14.140625" style="40" bestFit="1" customWidth="1"/>
    <col min="3" max="4" width="11" style="10" bestFit="1" customWidth="1"/>
    <col min="5" max="5" width="19.42578125" style="10" customWidth="1"/>
    <col min="6" max="6" width="11" style="10" bestFit="1" customWidth="1"/>
    <col min="7" max="7" width="2.7109375" style="10" customWidth="1"/>
    <col min="8" max="8" width="20.28515625" style="10" customWidth="1"/>
    <col min="9" max="9" width="12" style="10" customWidth="1"/>
    <col min="10" max="10" width="2.7109375" style="10" bestFit="1" customWidth="1"/>
    <col min="11" max="11" width="16.5703125" style="10" bestFit="1" customWidth="1"/>
    <col min="12" max="12" width="2.7109375" style="10" customWidth="1"/>
    <col min="13" max="13" width="19.28515625" style="10" customWidth="1"/>
    <col min="14" max="14" width="2.7109375" style="10" customWidth="1"/>
    <col min="15" max="15" width="19.7109375" style="40" customWidth="1"/>
    <col min="16" max="16" width="2.7109375" style="40" customWidth="1"/>
    <col min="17" max="17" width="21" style="40" customWidth="1"/>
    <col min="18" max="18" width="3.140625" style="40" customWidth="1"/>
    <col min="19" max="19" width="27" style="40" bestFit="1" customWidth="1"/>
    <col min="20" max="20" width="23.5703125" style="40" bestFit="1" customWidth="1"/>
    <col min="21" max="21" width="2.7109375" style="40" customWidth="1"/>
    <col min="22" max="22" width="19.7109375" style="40" bestFit="1" customWidth="1"/>
    <col min="23" max="23" width="14.5703125" style="10" bestFit="1" customWidth="1"/>
    <col min="24" max="24" width="12.5703125" style="10" bestFit="1" customWidth="1"/>
    <col min="25" max="16384" width="8.85546875" style="10"/>
  </cols>
  <sheetData>
    <row r="1" spans="1:25" s="4" customFormat="1" x14ac:dyDescent="0.3">
      <c r="A1" s="4" t="s">
        <v>602</v>
      </c>
      <c r="B1" s="5"/>
    </row>
    <row r="2" spans="1:25" x14ac:dyDescent="0.3">
      <c r="A2" s="10" t="str">
        <f>CONCATENATE("Pupil Center Funding Model | FY",'1.1 Assumption Control YR1'!D5)</f>
        <v>Pupil Center Funding Model | FY2024</v>
      </c>
      <c r="O2" s="10"/>
      <c r="P2" s="10"/>
      <c r="Q2" s="10"/>
      <c r="R2" s="10"/>
      <c r="S2" s="10"/>
      <c r="T2" s="10"/>
      <c r="U2" s="10"/>
      <c r="V2" s="10"/>
    </row>
    <row r="3" spans="1:25" x14ac:dyDescent="0.3">
      <c r="A3" s="10" t="s">
        <v>1272</v>
      </c>
      <c r="O3" s="10"/>
      <c r="P3" s="10"/>
      <c r="Q3" s="10"/>
      <c r="R3" s="10"/>
      <c r="S3" s="10"/>
      <c r="T3" s="10"/>
      <c r="U3" s="10"/>
      <c r="V3" s="10"/>
    </row>
    <row r="4" spans="1:25" x14ac:dyDescent="0.3">
      <c r="H4" s="17"/>
      <c r="I4" s="17"/>
      <c r="J4" s="17"/>
      <c r="K4" s="17"/>
      <c r="L4" s="17"/>
      <c r="M4" s="17"/>
      <c r="N4" s="17"/>
      <c r="O4" s="5"/>
      <c r="P4" s="5"/>
      <c r="Q4" s="5"/>
      <c r="R4" s="5"/>
      <c r="S4" s="5"/>
      <c r="T4" s="5"/>
      <c r="U4" s="5"/>
      <c r="V4" s="5"/>
    </row>
    <row r="5" spans="1:25" x14ac:dyDescent="0.3">
      <c r="E5" s="1593" t="s">
        <v>1053</v>
      </c>
      <c r="F5" s="1594"/>
      <c r="G5" s="1595"/>
      <c r="H5" s="1595"/>
      <c r="I5" s="1595"/>
      <c r="J5" s="1595"/>
      <c r="K5" s="1596"/>
      <c r="L5" s="17"/>
      <c r="M5" s="1597" t="s">
        <v>991</v>
      </c>
      <c r="N5" s="1595"/>
      <c r="O5" s="1595"/>
      <c r="P5" s="1595"/>
      <c r="Q5" s="1596"/>
      <c r="R5" s="5"/>
      <c r="S5" s="346"/>
      <c r="T5" s="347"/>
      <c r="U5" s="5"/>
      <c r="V5" s="348"/>
    </row>
    <row r="6" spans="1:25" s="13" customFormat="1" ht="69" customHeight="1" x14ac:dyDescent="0.3">
      <c r="A6" s="732" t="s">
        <v>706</v>
      </c>
      <c r="B6" s="857"/>
      <c r="C6" s="733" t="s">
        <v>1025</v>
      </c>
      <c r="D6" s="733" t="s">
        <v>1345</v>
      </c>
      <c r="E6" s="881" t="s">
        <v>1054</v>
      </c>
      <c r="F6" s="733" t="s">
        <v>1403</v>
      </c>
      <c r="G6" s="733"/>
      <c r="H6" s="733" t="s">
        <v>1402</v>
      </c>
      <c r="I6" s="733" t="s">
        <v>1404</v>
      </c>
      <c r="J6" s="733"/>
      <c r="K6" s="1167" t="s">
        <v>1119</v>
      </c>
      <c r="L6" s="733"/>
      <c r="M6" s="881" t="s">
        <v>990</v>
      </c>
      <c r="N6" s="733"/>
      <c r="O6" s="733" t="s">
        <v>988</v>
      </c>
      <c r="P6" s="733"/>
      <c r="Q6" s="882" t="s">
        <v>989</v>
      </c>
      <c r="R6" s="733"/>
      <c r="S6" s="881" t="s">
        <v>1406</v>
      </c>
      <c r="T6" s="882" t="s">
        <v>1405</v>
      </c>
      <c r="U6" s="733"/>
      <c r="V6" s="883" t="s">
        <v>1116</v>
      </c>
      <c r="W6" s="1336"/>
    </row>
    <row r="7" spans="1:25" x14ac:dyDescent="0.3">
      <c r="E7" s="132"/>
      <c r="I7" s="228"/>
      <c r="K7" s="128"/>
      <c r="M7" s="132"/>
      <c r="Q7" s="243"/>
      <c r="S7" s="199"/>
      <c r="T7" s="243"/>
      <c r="V7" s="198"/>
      <c r="W7" s="301"/>
      <c r="X7" s="12"/>
    </row>
    <row r="8" spans="1:25" x14ac:dyDescent="0.3">
      <c r="A8" s="41" t="str">
        <f>'1.2 Budgeted Enrollment YR1'!E9</f>
        <v>Carson City</v>
      </c>
      <c r="C8" s="136">
        <f>'1.4 FY 2020 Revenue Received'!J8</f>
        <v>7703.8062179500002</v>
      </c>
      <c r="D8" s="136">
        <f>'1.2 Budgeted Enrollment YR1'!G9</f>
        <v>7200.2984639728293</v>
      </c>
      <c r="E8" s="215">
        <f>ROUND('2.8 Alloc of Residual Rev. YR1'!M14,2)</f>
        <v>83127122.640000001</v>
      </c>
      <c r="F8" s="570">
        <f>E8/D8</f>
        <v>11544.955123170528</v>
      </c>
      <c r="H8" s="208">
        <f>ROUND('1.4 FY 2020 Revenue Received'!H8,0)</f>
        <v>72834176</v>
      </c>
      <c r="I8" s="1474">
        <f>H8/C8</f>
        <v>9454.3104978802712</v>
      </c>
      <c r="J8" s="1475">
        <f>I8-'1.4 FY 2020 Revenue Received'!K8</f>
        <v>0</v>
      </c>
      <c r="K8" s="1168" t="str">
        <f>IF(F8&gt;I8,"Yes",IF(V8="PCFP","Yes","No"))</f>
        <v>Yes</v>
      </c>
      <c r="L8" s="11"/>
      <c r="M8" s="480">
        <f>'1.3 Budgeted Revenues YR1'!G17</f>
        <v>0</v>
      </c>
      <c r="N8" s="115"/>
      <c r="O8" s="244" t="str">
        <f>IF(M8&gt;H8,"Yes","No")</f>
        <v>No</v>
      </c>
      <c r="P8" s="244"/>
      <c r="Q8" s="242" t="str">
        <f>IF(M8&gt;E8,"Yes","No")</f>
        <v>No</v>
      </c>
      <c r="R8" s="244"/>
      <c r="S8" s="585">
        <f>IF(K8="Yes",ROUND(F8*D8,2),"")</f>
        <v>83127122.640000001</v>
      </c>
      <c r="T8" s="583" t="str">
        <f>IF(K8="No",ROUND((I8*D8),2),"")</f>
        <v/>
      </c>
      <c r="U8" s="244"/>
      <c r="V8" s="549" t="str">
        <f>'1.1 Assumption Control YR1'!I35</f>
        <v>FY 2020 Baseline</v>
      </c>
      <c r="X8" s="12"/>
    </row>
    <row r="9" spans="1:25" x14ac:dyDescent="0.3">
      <c r="A9" s="41" t="str">
        <f>'1.2 Budgeted Enrollment YR1'!E10</f>
        <v>Churchill</v>
      </c>
      <c r="C9" s="136">
        <f>'1.4 FY 2020 Revenue Received'!J9</f>
        <v>3244.6133332499999</v>
      </c>
      <c r="D9" s="136">
        <f>'1.2 Budgeted Enrollment YR1'!G10</f>
        <v>3191.1266236748447</v>
      </c>
      <c r="E9" s="215">
        <f>ROUND('2.8 Alloc of Residual Rev. YR1'!M15,2)</f>
        <v>36778330.890000001</v>
      </c>
      <c r="F9" s="570">
        <f t="shared" ref="F9:F26" si="0">E9/D9</f>
        <v>11525.186940920172</v>
      </c>
      <c r="H9" s="208">
        <f>ROUND('1.4 FY 2020 Revenue Received'!H9,0)</f>
        <v>29392879</v>
      </c>
      <c r="I9" s="1474">
        <f>H9/C9</f>
        <v>9058.9774438725872</v>
      </c>
      <c r="J9" s="1475">
        <f>I9-'1.4 FY 2020 Revenue Received'!K9</f>
        <v>0</v>
      </c>
      <c r="K9" s="1168" t="str">
        <f t="shared" ref="K9:K26" si="1">IF(F9&gt;I9,"Yes",IF(V9="PCFP","Yes","No"))</f>
        <v>Yes</v>
      </c>
      <c r="L9" s="11"/>
      <c r="M9" s="480">
        <f>'1.3 Budgeted Revenues YR1'!G18</f>
        <v>232149.81636441968</v>
      </c>
      <c r="N9" s="115"/>
      <c r="O9" s="244" t="str">
        <f>IF(M9&gt;H9,"Yes","No")</f>
        <v>No</v>
      </c>
      <c r="P9" s="244"/>
      <c r="Q9" s="242" t="str">
        <f>IF(M9&gt;E9,"Yes","No")</f>
        <v>No</v>
      </c>
      <c r="R9" s="244"/>
      <c r="S9" s="585">
        <f t="shared" ref="S9:S26" si="2">IF(K9="Yes",ROUND(F9*D9,2),"")</f>
        <v>36778330.890000001</v>
      </c>
      <c r="T9" s="583" t="str">
        <f t="shared" ref="T9:T26" si="3">IF(K9="No",ROUND((I9*D9),2),"")</f>
        <v/>
      </c>
      <c r="U9" s="244"/>
      <c r="V9" s="549" t="str">
        <f>'1.1 Assumption Control YR1'!I36</f>
        <v>PCFP</v>
      </c>
      <c r="X9" s="12"/>
    </row>
    <row r="10" spans="1:25" x14ac:dyDescent="0.3">
      <c r="A10" s="41" t="str">
        <f>'1.2 Budgeted Enrollment YR1'!E11</f>
        <v>Clark</v>
      </c>
      <c r="C10" s="136">
        <f>'1.4 FY 2020 Revenue Received'!J10</f>
        <v>314756.71407050022</v>
      </c>
      <c r="D10" s="136">
        <f>'1.2 Budgeted Enrollment YR1'!G11</f>
        <v>293209.81057058816</v>
      </c>
      <c r="E10" s="215">
        <f>ROUND('2.8 Alloc of Residual Rev. YR1'!M16,2)</f>
        <v>3504617319.5599999</v>
      </c>
      <c r="F10" s="570">
        <f t="shared" si="0"/>
        <v>11952.592284480497</v>
      </c>
      <c r="H10" s="208">
        <f>ROUND('1.4 FY 2020 Revenue Received'!H10,0)</f>
        <v>2584487500</v>
      </c>
      <c r="I10" s="1474">
        <f t="shared" ref="I10:I26" si="4">H10/C10</f>
        <v>8211.0639248226435</v>
      </c>
      <c r="J10" s="1475">
        <f>I10-'1.4 FY 2020 Revenue Received'!K10</f>
        <v>0</v>
      </c>
      <c r="K10" s="1168" t="str">
        <f t="shared" si="1"/>
        <v>Yes</v>
      </c>
      <c r="L10" s="11"/>
      <c r="M10" s="480">
        <f>'1.3 Budgeted Revenues YR1'!G19</f>
        <v>37979.737824605363</v>
      </c>
      <c r="N10" s="115"/>
      <c r="O10" s="244" t="str">
        <f t="shared" ref="O10:O24" si="5">IF(M10&gt;H10,"Yes","No")</f>
        <v>No</v>
      </c>
      <c r="P10" s="244"/>
      <c r="Q10" s="242" t="str">
        <f t="shared" ref="Q10:Q24" si="6">IF(M10&gt;E10,"Yes","No")</f>
        <v>No</v>
      </c>
      <c r="R10" s="244"/>
      <c r="S10" s="585">
        <f t="shared" si="2"/>
        <v>3504617319.5599999</v>
      </c>
      <c r="T10" s="583" t="str">
        <f t="shared" si="3"/>
        <v/>
      </c>
      <c r="U10" s="244"/>
      <c r="V10" s="549" t="str">
        <f>'1.1 Assumption Control YR1'!I37</f>
        <v>PCFP</v>
      </c>
      <c r="X10" s="12"/>
    </row>
    <row r="11" spans="1:25" x14ac:dyDescent="0.3">
      <c r="A11" s="41" t="str">
        <f>'1.2 Budgeted Enrollment YR1'!E12</f>
        <v>Douglas</v>
      </c>
      <c r="C11" s="136">
        <f>'1.4 FY 2020 Revenue Received'!J11</f>
        <v>5629.4090109500003</v>
      </c>
      <c r="D11" s="136">
        <f>'1.2 Budgeted Enrollment YR1'!G12</f>
        <v>5165.4763710930883</v>
      </c>
      <c r="E11" s="215">
        <f>ROUND('2.8 Alloc of Residual Rev. YR1'!M17,2)</f>
        <v>61401883.399999999</v>
      </c>
      <c r="F11" s="570">
        <f t="shared" si="0"/>
        <v>11886.974015332973</v>
      </c>
      <c r="H11" s="208">
        <f>ROUND('1.4 FY 2020 Revenue Received'!H11,0)</f>
        <v>56746025</v>
      </c>
      <c r="I11" s="1474">
        <f t="shared" si="4"/>
        <v>10080.281054302666</v>
      </c>
      <c r="J11" s="1475">
        <f>I11-'1.4 FY 2020 Revenue Received'!K11</f>
        <v>0</v>
      </c>
      <c r="K11" s="1168" t="str">
        <f t="shared" si="1"/>
        <v>Yes</v>
      </c>
      <c r="L11" s="11"/>
      <c r="M11" s="480">
        <f>'1.3 Budgeted Revenues YR1'!G20</f>
        <v>0</v>
      </c>
      <c r="N11" s="115"/>
      <c r="O11" s="244" t="str">
        <f t="shared" si="5"/>
        <v>No</v>
      </c>
      <c r="P11" s="244"/>
      <c r="Q11" s="242" t="str">
        <f t="shared" si="6"/>
        <v>No</v>
      </c>
      <c r="R11" s="244"/>
      <c r="S11" s="585">
        <f t="shared" si="2"/>
        <v>61401883.399999999</v>
      </c>
      <c r="T11" s="583" t="str">
        <f t="shared" si="3"/>
        <v/>
      </c>
      <c r="U11" s="244"/>
      <c r="V11" s="549" t="str">
        <f>'1.1 Assumption Control YR1'!I38</f>
        <v>FY 2020 Baseline</v>
      </c>
      <c r="X11" s="12"/>
    </row>
    <row r="12" spans="1:25" x14ac:dyDescent="0.3">
      <c r="A12" s="41" t="str">
        <f>'1.2 Budgeted Enrollment YR1'!E13</f>
        <v>Elko</v>
      </c>
      <c r="C12" s="136">
        <f>'1.4 FY 2020 Revenue Received'!J12</f>
        <v>9933.4221988000008</v>
      </c>
      <c r="D12" s="136">
        <f>'1.2 Budgeted Enrollment YR1'!G13</f>
        <v>9808.5957553950393</v>
      </c>
      <c r="E12" s="215">
        <f>ROUND('2.8 Alloc of Residual Rev. YR1'!M18,2)</f>
        <v>123217557.29000001</v>
      </c>
      <c r="F12" s="570">
        <f>E12/D12</f>
        <v>12562.201599778076</v>
      </c>
      <c r="H12" s="208">
        <f>ROUND('1.4 FY 2020 Revenue Received'!H12,0)</f>
        <v>102333946</v>
      </c>
      <c r="I12" s="1474">
        <f t="shared" si="4"/>
        <v>10301.98293719584</v>
      </c>
      <c r="J12" s="1475">
        <f>I12-'1.4 FY 2020 Revenue Received'!K12</f>
        <v>0</v>
      </c>
      <c r="K12" s="1168" t="str">
        <f t="shared" si="1"/>
        <v>Yes</v>
      </c>
      <c r="L12" s="11"/>
      <c r="M12" s="480">
        <f>'1.3 Budgeted Revenues YR1'!G21</f>
        <v>2694237.2020837404</v>
      </c>
      <c r="N12" s="115"/>
      <c r="O12" s="244" t="str">
        <f t="shared" si="5"/>
        <v>No</v>
      </c>
      <c r="P12" s="244"/>
      <c r="Q12" s="242" t="str">
        <f t="shared" si="6"/>
        <v>No</v>
      </c>
      <c r="R12" s="244"/>
      <c r="S12" s="585">
        <f t="shared" si="2"/>
        <v>123217557.29000001</v>
      </c>
      <c r="T12" s="583" t="str">
        <f t="shared" si="3"/>
        <v/>
      </c>
      <c r="U12" s="244"/>
      <c r="V12" s="549" t="str">
        <f>'1.1 Assumption Control YR1'!I39</f>
        <v>FY 2020 Baseline</v>
      </c>
      <c r="X12" s="12"/>
    </row>
    <row r="13" spans="1:25" x14ac:dyDescent="0.3">
      <c r="A13" s="41" t="str">
        <f>'1.2 Budgeted Enrollment YR1'!E14</f>
        <v>Esmeralda</v>
      </c>
      <c r="C13" s="136">
        <f>'1.4 FY 2020 Revenue Received'!J13</f>
        <v>70.707003950000001</v>
      </c>
      <c r="D13" s="136">
        <f>'1.2 Budgeted Enrollment YR1'!G14</f>
        <v>77.315222103844732</v>
      </c>
      <c r="E13" s="215">
        <f>ROUND('2.8 Alloc of Residual Rev. YR1'!M19,2)</f>
        <v>2370728.4900000002</v>
      </c>
      <c r="F13" s="570">
        <f>E13/D13</f>
        <v>30663.153069854645</v>
      </c>
      <c r="H13" s="208">
        <f>ROUND('1.4 FY 2020 Revenue Received'!H13,0)</f>
        <v>2619928</v>
      </c>
      <c r="I13" s="1474">
        <f>H13/C13</f>
        <v>37053.302411917568</v>
      </c>
      <c r="J13" s="1475">
        <f>I13-'1.4 FY 2020 Revenue Received'!K13</f>
        <v>0</v>
      </c>
      <c r="K13" s="1168" t="str">
        <f t="shared" si="1"/>
        <v>No</v>
      </c>
      <c r="L13" s="11"/>
      <c r="M13" s="480">
        <f>'1.3 Budgeted Revenues YR1'!G22</f>
        <v>54430.089036857134</v>
      </c>
      <c r="N13" s="115"/>
      <c r="O13" s="244" t="str">
        <f t="shared" si="5"/>
        <v>No</v>
      </c>
      <c r="P13" s="244"/>
      <c r="Q13" s="242" t="str">
        <f t="shared" si="6"/>
        <v>No</v>
      </c>
      <c r="R13" s="244"/>
      <c r="S13" s="585" t="str">
        <f t="shared" si="2"/>
        <v/>
      </c>
      <c r="T13" s="583">
        <f t="shared" si="3"/>
        <v>2864784.31</v>
      </c>
      <c r="U13" s="244"/>
      <c r="V13" s="549" t="str">
        <f>'1.1 Assumption Control YR1'!I40</f>
        <v>FY 2020 Baseline</v>
      </c>
      <c r="W13" s="218"/>
      <c r="X13" s="12"/>
      <c r="Y13" s="28"/>
    </row>
    <row r="14" spans="1:25" x14ac:dyDescent="0.3">
      <c r="A14" s="41" t="str">
        <f>'1.2 Budgeted Enrollment YR1'!E15</f>
        <v>Eureka</v>
      </c>
      <c r="C14" s="136">
        <f>'1.4 FY 2020 Revenue Received'!J14</f>
        <v>306.2</v>
      </c>
      <c r="D14" s="136">
        <f>'1.2 Budgeted Enrollment YR1'!G15</f>
        <v>323.70253352744805</v>
      </c>
      <c r="E14" s="215">
        <f>ROUND('2.8 Alloc of Residual Rev. YR1'!M20,2)</f>
        <v>7419887.8499999996</v>
      </c>
      <c r="F14" s="570">
        <f t="shared" si="0"/>
        <v>22921.933199422539</v>
      </c>
      <c r="H14" s="208">
        <f>ROUND('1.4 FY 2020 Revenue Received'!H14,0)</f>
        <v>12044695</v>
      </c>
      <c r="I14" s="1474">
        <f t="shared" si="4"/>
        <v>39336.038536903987</v>
      </c>
      <c r="J14" s="1475">
        <f>I14-'1.4 FY 2020 Revenue Received'!K14</f>
        <v>0</v>
      </c>
      <c r="K14" s="1168" t="str">
        <f t="shared" si="1"/>
        <v>No</v>
      </c>
      <c r="L14" s="11"/>
      <c r="M14" s="480">
        <f>'1.3 Budgeted Revenues YR1'!G23</f>
        <v>5424755.7041713977</v>
      </c>
      <c r="N14" s="115"/>
      <c r="O14" s="244" t="str">
        <f t="shared" si="5"/>
        <v>No</v>
      </c>
      <c r="P14" s="244"/>
      <c r="Q14" s="242" t="str">
        <f>IF(M14&gt;E14,"Yes","No")</f>
        <v>No</v>
      </c>
      <c r="R14" s="244"/>
      <c r="S14" s="585" t="str">
        <f t="shared" si="2"/>
        <v/>
      </c>
      <c r="T14" s="583">
        <f t="shared" si="3"/>
        <v>12733175.33</v>
      </c>
      <c r="U14" s="244"/>
      <c r="V14" s="549" t="str">
        <f>'1.1 Assumption Control YR1'!I41</f>
        <v>FY 2020 Baseline</v>
      </c>
      <c r="X14" s="12"/>
      <c r="Y14" s="28"/>
    </row>
    <row r="15" spans="1:25" x14ac:dyDescent="0.3">
      <c r="A15" s="41" t="str">
        <f>'1.2 Budgeted Enrollment YR1'!E16</f>
        <v>Humboldt</v>
      </c>
      <c r="C15" s="136">
        <f>'1.4 FY 2020 Revenue Received'!J15</f>
        <v>3383.7675731499999</v>
      </c>
      <c r="D15" s="136">
        <f>'1.2 Budgeted Enrollment YR1'!G16</f>
        <v>3182.6225722447102</v>
      </c>
      <c r="E15" s="215">
        <f>ROUND('2.8 Alloc of Residual Rev. YR1'!M21,2)</f>
        <v>40471313.490000002</v>
      </c>
      <c r="F15" s="570">
        <f t="shared" si="0"/>
        <v>12716.340870245102</v>
      </c>
      <c r="H15" s="208">
        <f>ROUND('1.4 FY 2020 Revenue Received'!H15,0)</f>
        <v>38103491</v>
      </c>
      <c r="I15" s="1474">
        <f t="shared" si="4"/>
        <v>11260.670296136472</v>
      </c>
      <c r="J15" s="1475">
        <f>I15-'1.4 FY 2020 Revenue Received'!K15</f>
        <v>0</v>
      </c>
      <c r="K15" s="1168" t="str">
        <f t="shared" si="1"/>
        <v>Yes</v>
      </c>
      <c r="L15" s="11"/>
      <c r="M15" s="480">
        <f>'1.3 Budgeted Revenues YR1'!G24</f>
        <v>3261245.7566409456</v>
      </c>
      <c r="N15" s="115"/>
      <c r="O15" s="244" t="str">
        <f t="shared" si="5"/>
        <v>No</v>
      </c>
      <c r="P15" s="244"/>
      <c r="Q15" s="242" t="str">
        <f t="shared" si="6"/>
        <v>No</v>
      </c>
      <c r="R15" s="244"/>
      <c r="S15" s="585">
        <f t="shared" si="2"/>
        <v>40471313.490000002</v>
      </c>
      <c r="T15" s="583" t="str">
        <f t="shared" si="3"/>
        <v/>
      </c>
      <c r="U15" s="244"/>
      <c r="V15" s="549" t="str">
        <f>'1.1 Assumption Control YR1'!I42</f>
        <v>FY 2020 Baseline</v>
      </c>
      <c r="X15" s="12"/>
      <c r="Y15" s="28"/>
    </row>
    <row r="16" spans="1:25" x14ac:dyDescent="0.3">
      <c r="A16" s="41" t="str">
        <f>'1.2 Budgeted Enrollment YR1'!E17</f>
        <v>Lander</v>
      </c>
      <c r="C16" s="136">
        <f>'1.4 FY 2020 Revenue Received'!J16</f>
        <v>982.91822275000004</v>
      </c>
      <c r="D16" s="136">
        <f>'1.2 Budgeted Enrollment YR1'!G17</f>
        <v>1002.8726085550823</v>
      </c>
      <c r="E16" s="215">
        <f>ROUND('2.8 Alloc of Residual Rev. YR1'!M22,2)</f>
        <v>15325615.359999999</v>
      </c>
      <c r="F16" s="570">
        <f t="shared" si="0"/>
        <v>15281.716969098223</v>
      </c>
      <c r="H16" s="208">
        <f>ROUND('1.4 FY 2020 Revenue Received'!H16,0)</f>
        <v>11828220</v>
      </c>
      <c r="I16" s="1474">
        <f t="shared" si="4"/>
        <v>12033.778320750946</v>
      </c>
      <c r="J16" s="1475">
        <f>I16-'1.4 FY 2020 Revenue Received'!K16</f>
        <v>0</v>
      </c>
      <c r="K16" s="1168" t="str">
        <f t="shared" si="1"/>
        <v>Yes</v>
      </c>
      <c r="L16" s="11"/>
      <c r="M16" s="480">
        <f>'1.3 Budgeted Revenues YR1'!G25</f>
        <v>3957854.9261055179</v>
      </c>
      <c r="N16" s="115"/>
      <c r="O16" s="244" t="str">
        <f t="shared" si="5"/>
        <v>No</v>
      </c>
      <c r="P16" s="244"/>
      <c r="Q16" s="242" t="str">
        <f t="shared" si="6"/>
        <v>No</v>
      </c>
      <c r="R16" s="244"/>
      <c r="S16" s="585">
        <f t="shared" si="2"/>
        <v>15325615.359999999</v>
      </c>
      <c r="T16" s="583" t="str">
        <f t="shared" si="3"/>
        <v/>
      </c>
      <c r="U16" s="244"/>
      <c r="V16" s="549" t="str">
        <f>'1.1 Assumption Control YR1'!I43</f>
        <v>PCFP</v>
      </c>
      <c r="X16" s="12"/>
      <c r="Y16" s="28"/>
    </row>
    <row r="17" spans="1:25" x14ac:dyDescent="0.3">
      <c r="A17" s="41" t="str">
        <f>'1.2 Budgeted Enrollment YR1'!E18</f>
        <v>Lincoln</v>
      </c>
      <c r="C17" s="136">
        <f>'1.4 FY 2020 Revenue Received'!J17</f>
        <v>855.1576710999999</v>
      </c>
      <c r="D17" s="136">
        <f>'1.2 Budgeted Enrollment YR1'!G18</f>
        <v>883.01945001270019</v>
      </c>
      <c r="E17" s="215">
        <f>ROUND('2.8 Alloc of Residual Rev. YR1'!M23,2)</f>
        <v>15604462.369999999</v>
      </c>
      <c r="F17" s="570">
        <f t="shared" si="0"/>
        <v>17671.70855610889</v>
      </c>
      <c r="H17" s="208">
        <f>ROUND('1.4 FY 2020 Revenue Received'!H17,0)</f>
        <v>12721737</v>
      </c>
      <c r="I17" s="1474">
        <f t="shared" si="4"/>
        <v>14876.481179939452</v>
      </c>
      <c r="J17" s="1475">
        <f>I17-'1.4 FY 2020 Revenue Received'!K17</f>
        <v>0</v>
      </c>
      <c r="K17" s="1168" t="str">
        <f t="shared" si="1"/>
        <v>Yes</v>
      </c>
      <c r="L17" s="11"/>
      <c r="M17" s="480">
        <f>'1.3 Budgeted Revenues YR1'!G26</f>
        <v>0</v>
      </c>
      <c r="N17" s="115"/>
      <c r="O17" s="244" t="str">
        <f t="shared" si="5"/>
        <v>No</v>
      </c>
      <c r="P17" s="244"/>
      <c r="Q17" s="242" t="str">
        <f t="shared" si="6"/>
        <v>No</v>
      </c>
      <c r="R17" s="244"/>
      <c r="S17" s="585">
        <f t="shared" si="2"/>
        <v>15604462.369999999</v>
      </c>
      <c r="T17" s="583" t="str">
        <f t="shared" si="3"/>
        <v/>
      </c>
      <c r="U17" s="244"/>
      <c r="V17" s="549" t="str">
        <f>'1.1 Assumption Control YR1'!I44</f>
        <v>FY 2020 Baseline</v>
      </c>
      <c r="X17" s="12"/>
      <c r="Y17" s="28"/>
    </row>
    <row r="18" spans="1:25" x14ac:dyDescent="0.3">
      <c r="A18" s="41" t="str">
        <f>'1.2 Budgeted Enrollment YR1'!E19</f>
        <v>Lyon</v>
      </c>
      <c r="C18" s="136">
        <f>'1.4 FY 2020 Revenue Received'!J18</f>
        <v>8845.8018661500009</v>
      </c>
      <c r="D18" s="136">
        <f>'1.2 Budgeted Enrollment YR1'!G19</f>
        <v>9036.0334518079708</v>
      </c>
      <c r="E18" s="215">
        <f>ROUND('2.8 Alloc of Residual Rev. YR1'!M24,2)</f>
        <v>117257441.38</v>
      </c>
      <c r="F18" s="570">
        <f t="shared" si="0"/>
        <v>12976.649766224426</v>
      </c>
      <c r="H18" s="208">
        <f>ROUND('1.4 FY 2020 Revenue Received'!H18,0)</f>
        <v>84376123</v>
      </c>
      <c r="I18" s="1474">
        <f t="shared" si="4"/>
        <v>9538.5499558700158</v>
      </c>
      <c r="J18" s="1475">
        <f>I18-'1.4 FY 2020 Revenue Received'!K18</f>
        <v>0</v>
      </c>
      <c r="K18" s="1168" t="str">
        <f t="shared" si="1"/>
        <v>Yes</v>
      </c>
      <c r="L18" s="11"/>
      <c r="M18" s="480">
        <f>'1.3 Budgeted Revenues YR1'!G27</f>
        <v>7139.6959617719622</v>
      </c>
      <c r="N18" s="115"/>
      <c r="O18" s="244" t="str">
        <f t="shared" si="5"/>
        <v>No</v>
      </c>
      <c r="P18" s="244"/>
      <c r="Q18" s="242" t="str">
        <f t="shared" si="6"/>
        <v>No</v>
      </c>
      <c r="R18" s="244"/>
      <c r="S18" s="585">
        <f t="shared" si="2"/>
        <v>117257441.38</v>
      </c>
      <c r="T18" s="583" t="str">
        <f t="shared" si="3"/>
        <v/>
      </c>
      <c r="U18" s="244"/>
      <c r="V18" s="549" t="str">
        <f>'1.1 Assumption Control YR1'!I45</f>
        <v>PCFP</v>
      </c>
      <c r="X18" s="12"/>
      <c r="Y18" s="28"/>
    </row>
    <row r="19" spans="1:25" x14ac:dyDescent="0.3">
      <c r="A19" s="41" t="str">
        <f>'1.2 Budgeted Enrollment YR1'!E20</f>
        <v>Mineral</v>
      </c>
      <c r="C19" s="136">
        <f>'1.4 FY 2020 Revenue Received'!J19</f>
        <v>541.82059757121215</v>
      </c>
      <c r="D19" s="136">
        <f>'1.2 Budgeted Enrollment YR1'!G20</f>
        <v>567.43327210269706</v>
      </c>
      <c r="E19" s="215">
        <f>ROUND('2.8 Alloc of Residual Rev. YR1'!M25,2)</f>
        <v>9769071.75</v>
      </c>
      <c r="F19" s="570">
        <f t="shared" si="0"/>
        <v>17216.247672258356</v>
      </c>
      <c r="H19" s="208">
        <f>ROUND('1.4 FY 2020 Revenue Received'!H19,0)</f>
        <v>7521260</v>
      </c>
      <c r="I19" s="1474">
        <f t="shared" si="4"/>
        <v>13881.458242294806</v>
      </c>
      <c r="J19" s="1475">
        <f>I19-'1.4 FY 2020 Revenue Received'!K19</f>
        <v>0</v>
      </c>
      <c r="K19" s="1168" t="str">
        <f t="shared" si="1"/>
        <v>Yes</v>
      </c>
      <c r="L19" s="11"/>
      <c r="M19" s="480">
        <f>'1.3 Budgeted Revenues YR1'!G28</f>
        <v>133710.48742313264</v>
      </c>
      <c r="N19" s="115"/>
      <c r="O19" s="244" t="str">
        <f t="shared" si="5"/>
        <v>No</v>
      </c>
      <c r="P19" s="244"/>
      <c r="Q19" s="242" t="str">
        <f t="shared" si="6"/>
        <v>No</v>
      </c>
      <c r="R19" s="244"/>
      <c r="S19" s="585">
        <f t="shared" si="2"/>
        <v>9769071.75</v>
      </c>
      <c r="T19" s="583" t="str">
        <f t="shared" si="3"/>
        <v/>
      </c>
      <c r="U19" s="244"/>
      <c r="V19" s="549" t="str">
        <f>'1.1 Assumption Control YR1'!I46</f>
        <v>PCFP</v>
      </c>
      <c r="X19" s="12"/>
      <c r="Y19" s="28"/>
    </row>
    <row r="20" spans="1:25" x14ac:dyDescent="0.3">
      <c r="A20" s="41" t="str">
        <f>'1.2 Budgeted Enrollment YR1'!E21</f>
        <v>Nye</v>
      </c>
      <c r="C20" s="136">
        <f>'1.4 FY 2020 Revenue Received'!J20</f>
        <v>5385.5136149795999</v>
      </c>
      <c r="D20" s="136">
        <f>'1.2 Budgeted Enrollment YR1'!G21</f>
        <v>5588.923509690796</v>
      </c>
      <c r="E20" s="215">
        <f>ROUND('2.8 Alloc of Residual Rev. YR1'!M26,2)</f>
        <v>76647716.140000001</v>
      </c>
      <c r="F20" s="570">
        <f t="shared" si="0"/>
        <v>13714.21813290132</v>
      </c>
      <c r="H20" s="208">
        <f>ROUND('1.4 FY 2020 Revenue Received'!H20,0)</f>
        <v>57608701</v>
      </c>
      <c r="I20" s="1474">
        <f t="shared" si="4"/>
        <v>10696.974349811986</v>
      </c>
      <c r="J20" s="1475">
        <f>I20-'1.4 FY 2020 Revenue Received'!K20</f>
        <v>0</v>
      </c>
      <c r="K20" s="1168" t="str">
        <f t="shared" si="1"/>
        <v>Yes</v>
      </c>
      <c r="L20" s="11"/>
      <c r="M20" s="480">
        <f>'1.3 Budgeted Revenues YR1'!G29</f>
        <v>832961.9354040185</v>
      </c>
      <c r="N20" s="115"/>
      <c r="O20" s="244" t="str">
        <f t="shared" si="5"/>
        <v>No</v>
      </c>
      <c r="P20" s="244"/>
      <c r="Q20" s="242" t="str">
        <f t="shared" si="6"/>
        <v>No</v>
      </c>
      <c r="R20" s="244"/>
      <c r="S20" s="585">
        <f t="shared" si="2"/>
        <v>76647716.140000001</v>
      </c>
      <c r="T20" s="583" t="str">
        <f t="shared" si="3"/>
        <v/>
      </c>
      <c r="U20" s="244"/>
      <c r="V20" s="549" t="str">
        <f>'1.1 Assumption Control YR1'!I47</f>
        <v>PCFP</v>
      </c>
      <c r="X20" s="12"/>
      <c r="Y20" s="28"/>
    </row>
    <row r="21" spans="1:25" x14ac:dyDescent="0.3">
      <c r="A21" s="41" t="str">
        <f>'1.2 Budgeted Enrollment YR1'!E22</f>
        <v>Pershing</v>
      </c>
      <c r="C21" s="136">
        <f>'1.4 FY 2020 Revenue Received'!J21</f>
        <v>665.11446960000001</v>
      </c>
      <c r="D21" s="136">
        <f>'1.2 Budgeted Enrollment YR1'!G22</f>
        <v>660.16040063426465</v>
      </c>
      <c r="E21" s="215">
        <f>ROUND('2.8 Alloc of Residual Rev. YR1'!M27,2)</f>
        <v>11049178.02</v>
      </c>
      <c r="F21" s="570">
        <f t="shared" si="0"/>
        <v>16737.111176896164</v>
      </c>
      <c r="H21" s="208">
        <f>ROUND('1.4 FY 2020 Revenue Received'!H21,0)</f>
        <v>9061410</v>
      </c>
      <c r="I21" s="1474">
        <f t="shared" si="4"/>
        <v>13623.83531582095</v>
      </c>
      <c r="J21" s="1475">
        <f>I21-'1.4 FY 2020 Revenue Received'!K21</f>
        <v>0</v>
      </c>
      <c r="K21" s="1168" t="str">
        <f t="shared" si="1"/>
        <v>Yes</v>
      </c>
      <c r="L21" s="11"/>
      <c r="M21" s="480">
        <f>'1.3 Budgeted Revenues YR1'!G30</f>
        <v>87631.542830284729</v>
      </c>
      <c r="N21" s="115"/>
      <c r="O21" s="244" t="str">
        <f t="shared" si="5"/>
        <v>No</v>
      </c>
      <c r="P21" s="244"/>
      <c r="Q21" s="242" t="str">
        <f t="shared" si="6"/>
        <v>No</v>
      </c>
      <c r="R21" s="244"/>
      <c r="S21" s="585">
        <f t="shared" si="2"/>
        <v>11049178.02</v>
      </c>
      <c r="T21" s="583" t="str">
        <f t="shared" si="3"/>
        <v/>
      </c>
      <c r="U21" s="244"/>
      <c r="V21" s="549" t="str">
        <f>'1.1 Assumption Control YR1'!I48</f>
        <v>FY 2020 Baseline</v>
      </c>
      <c r="X21" s="12"/>
      <c r="Y21" s="28"/>
    </row>
    <row r="22" spans="1:25" x14ac:dyDescent="0.3">
      <c r="A22" s="41" t="str">
        <f>'1.2 Budgeted Enrollment YR1'!E23</f>
        <v>Storey</v>
      </c>
      <c r="C22" s="136">
        <f>'1.4 FY 2020 Revenue Received'!J22</f>
        <v>437.81518235000004</v>
      </c>
      <c r="D22" s="136">
        <f>'1.2 Budgeted Enrollment YR1'!G23</f>
        <v>413.05444673325331</v>
      </c>
      <c r="E22" s="215">
        <f>ROUND('2.8 Alloc of Residual Rev. YR1'!M28,2)</f>
        <v>7328021.2800000003</v>
      </c>
      <c r="F22" s="570">
        <f t="shared" si="0"/>
        <v>17741.054086103006</v>
      </c>
      <c r="H22" s="208">
        <f>ROUND('1.4 FY 2020 Revenue Received'!H22,0)</f>
        <v>11383223</v>
      </c>
      <c r="I22" s="1474">
        <f t="shared" si="4"/>
        <v>26000.064545271929</v>
      </c>
      <c r="J22" s="1475">
        <f>I22-'1.4 FY 2020 Revenue Received'!K22</f>
        <v>0</v>
      </c>
      <c r="K22" s="1168" t="str">
        <f t="shared" si="1"/>
        <v>No</v>
      </c>
      <c r="L22" s="11"/>
      <c r="M22" s="480">
        <f>'1.3 Budgeted Revenues YR1'!G31</f>
        <v>4073.1085503897211</v>
      </c>
      <c r="N22" s="115"/>
      <c r="O22" s="244" t="str">
        <f t="shared" si="5"/>
        <v>No</v>
      </c>
      <c r="P22" s="244"/>
      <c r="Q22" s="242" t="str">
        <f t="shared" si="6"/>
        <v>No</v>
      </c>
      <c r="R22" s="244"/>
      <c r="S22" s="585" t="str">
        <f t="shared" si="2"/>
        <v/>
      </c>
      <c r="T22" s="583">
        <f t="shared" si="3"/>
        <v>10739442.279999999</v>
      </c>
      <c r="U22" s="244"/>
      <c r="V22" s="549" t="str">
        <f>'1.1 Assumption Control YR1'!I49</f>
        <v>FY 2020 Baseline</v>
      </c>
      <c r="W22" s="218"/>
      <c r="X22" s="12"/>
      <c r="Y22" s="28"/>
    </row>
    <row r="23" spans="1:25" x14ac:dyDescent="0.3">
      <c r="A23" s="41" t="str">
        <f>'1.2 Budgeted Enrollment YR1'!E24</f>
        <v>Washoe</v>
      </c>
      <c r="C23" s="136">
        <f>'1.4 FY 2020 Revenue Received'!J23</f>
        <v>63659.88216394998</v>
      </c>
      <c r="D23" s="136">
        <f>'1.2 Budgeted Enrollment YR1'!G24</f>
        <v>60547.590413175996</v>
      </c>
      <c r="E23" s="215">
        <f>ROUND('2.8 Alloc of Residual Rev. YR1'!M29,2)</f>
        <v>673269194.49000001</v>
      </c>
      <c r="F23" s="570">
        <f t="shared" si="0"/>
        <v>11119.669501224071</v>
      </c>
      <c r="H23" s="208">
        <f>ROUND('1.4 FY 2020 Revenue Received'!H23,0)</f>
        <v>533886901</v>
      </c>
      <c r="I23" s="1474">
        <f t="shared" si="4"/>
        <v>8386.5518259211512</v>
      </c>
      <c r="J23" s="1475">
        <f>I23-'1.4 FY 2020 Revenue Received'!K23</f>
        <v>0</v>
      </c>
      <c r="K23" s="1168" t="str">
        <f t="shared" si="1"/>
        <v>Yes</v>
      </c>
      <c r="L23" s="11"/>
      <c r="M23" s="480">
        <f>'1.3 Budgeted Revenues YR1'!G32</f>
        <v>5458.1373232540827</v>
      </c>
      <c r="N23" s="115"/>
      <c r="O23" s="244" t="str">
        <f t="shared" si="5"/>
        <v>No</v>
      </c>
      <c r="P23" s="244"/>
      <c r="Q23" s="242" t="str">
        <f t="shared" si="6"/>
        <v>No</v>
      </c>
      <c r="R23" s="244"/>
      <c r="S23" s="585">
        <f t="shared" si="2"/>
        <v>673269194.49000001</v>
      </c>
      <c r="T23" s="583" t="str">
        <f t="shared" si="3"/>
        <v/>
      </c>
      <c r="U23" s="244"/>
      <c r="V23" s="549" t="str">
        <f>'1.1 Assumption Control YR1'!I50</f>
        <v>PCFP</v>
      </c>
      <c r="X23" s="12"/>
      <c r="Y23" s="28"/>
    </row>
    <row r="24" spans="1:25" x14ac:dyDescent="0.3">
      <c r="A24" s="41" t="str">
        <f>'1.2 Budgeted Enrollment YR1'!E25</f>
        <v>White Pine</v>
      </c>
      <c r="C24" s="136">
        <f>'1.4 FY 2020 Revenue Received'!J24</f>
        <v>1248.6201723000001</v>
      </c>
      <c r="D24" s="136">
        <f>'1.2 Budgeted Enrollment YR1'!G25</f>
        <v>1259.3902506538202</v>
      </c>
      <c r="E24" s="215">
        <f>ROUND('2.8 Alloc of Residual Rev. YR1'!M30,2)</f>
        <v>20128729.649999999</v>
      </c>
      <c r="F24" s="570">
        <f t="shared" si="0"/>
        <v>15982.916843726593</v>
      </c>
      <c r="H24" s="208">
        <f>ROUND('1.4 FY 2020 Revenue Received'!H24,0)</f>
        <v>15230573</v>
      </c>
      <c r="I24" s="1474">
        <f t="shared" si="4"/>
        <v>12197.923225879633</v>
      </c>
      <c r="J24" s="1475">
        <f>I24-'1.4 FY 2020 Revenue Received'!K24</f>
        <v>0</v>
      </c>
      <c r="K24" s="1168" t="str">
        <f t="shared" si="1"/>
        <v>Yes</v>
      </c>
      <c r="L24" s="29"/>
      <c r="M24" s="480">
        <f>'1.3 Budgeted Revenues YR1'!G33</f>
        <v>706371.86027965986</v>
      </c>
      <c r="N24" s="208"/>
      <c r="O24" s="244" t="str">
        <f t="shared" si="5"/>
        <v>No</v>
      </c>
      <c r="P24" s="514"/>
      <c r="Q24" s="242" t="str">
        <f t="shared" si="6"/>
        <v>No</v>
      </c>
      <c r="R24" s="244"/>
      <c r="S24" s="585">
        <f t="shared" si="2"/>
        <v>20128729.649999999</v>
      </c>
      <c r="T24" s="583" t="str">
        <f t="shared" si="3"/>
        <v/>
      </c>
      <c r="U24" s="244"/>
      <c r="V24" s="549" t="str">
        <f>'1.1 Assumption Control YR1'!I51</f>
        <v>PCFP</v>
      </c>
      <c r="X24" s="12"/>
      <c r="Y24" s="28"/>
    </row>
    <row r="25" spans="1:25" ht="18.75" x14ac:dyDescent="0.45">
      <c r="A25" s="41" t="str">
        <f>'1.2 Budgeted Enrollment YR1'!E26</f>
        <v>Charter Schools (Combined)</v>
      </c>
      <c r="C25" s="136">
        <f>'1.4 FY 2020 Revenue Received'!J25</f>
        <v>57012.474131748568</v>
      </c>
      <c r="D25" s="136">
        <f>'1.2 Budgeted Enrollment YR1'!G26</f>
        <v>69003.49592143159</v>
      </c>
      <c r="E25" s="215">
        <f>ROUND('2.8 Alloc of Residual Rev. YR1'!M31,2)</f>
        <v>669682916.88999999</v>
      </c>
      <c r="F25" s="570">
        <f>E25/D25</f>
        <v>9705.057808266858</v>
      </c>
      <c r="H25" s="208">
        <f>ROUND('1.4 FY 2020 Revenue Received'!H25,0)</f>
        <v>433806526</v>
      </c>
      <c r="I25" s="1474">
        <f t="shared" si="4"/>
        <v>7608.9756251856106</v>
      </c>
      <c r="J25" s="1475">
        <f>I25-'1.4 FY 2020 Revenue Received'!K25</f>
        <v>0</v>
      </c>
      <c r="K25" s="1168" t="str">
        <f t="shared" si="1"/>
        <v>Yes</v>
      </c>
      <c r="L25" s="513"/>
      <c r="M25" s="760"/>
      <c r="N25" s="314"/>
      <c r="O25" s="248" t="str">
        <f>IF(M25&gt;H25,"Yes","Does Not Apply")</f>
        <v>Does Not Apply</v>
      </c>
      <c r="P25" s="314"/>
      <c r="Q25" s="249" t="str">
        <f>IF(O25&gt;K25,"Yes","Does Not Apply")</f>
        <v>Does Not Apply</v>
      </c>
      <c r="R25" s="314"/>
      <c r="S25" s="585">
        <f t="shared" si="2"/>
        <v>669682916.88999999</v>
      </c>
      <c r="T25" s="583" t="str">
        <f t="shared" si="3"/>
        <v/>
      </c>
      <c r="U25" s="314"/>
      <c r="V25" s="549" t="str">
        <f>'1.1 Assumption Control YR1'!I52</f>
        <v>PCFP</v>
      </c>
      <c r="X25" s="12"/>
      <c r="Y25" s="28"/>
    </row>
    <row r="26" spans="1:25" ht="18.75" x14ac:dyDescent="0.45">
      <c r="A26" s="709" t="str">
        <f>'1.2 Budgeted Enrollment YR1'!E27</f>
        <v>University Schools</v>
      </c>
      <c r="B26" s="449"/>
      <c r="C26" s="136">
        <f>'1.4 FY 2020 Revenue Received'!J26</f>
        <v>143.645726495611</v>
      </c>
      <c r="D26" s="136">
        <f>'1.2 Budgeted Enrollment YR1'!G27</f>
        <v>162.04408445225002</v>
      </c>
      <c r="E26" s="215">
        <f>ROUND('2.8 Alloc of Residual Rev. YR1'!M32,2)</f>
        <v>1455319</v>
      </c>
      <c r="F26" s="577">
        <f t="shared" si="0"/>
        <v>8981.0066496370182</v>
      </c>
      <c r="G26" s="183"/>
      <c r="H26" s="208">
        <f>ROUND('1.4 FY 2020 Revenue Received'!H26,0)</f>
        <v>1161407</v>
      </c>
      <c r="I26" s="1474">
        <f t="shared" si="4"/>
        <v>8085.2179061204861</v>
      </c>
      <c r="J26" s="1475">
        <f>I26-'1.4 FY 2020 Revenue Received'!K26</f>
        <v>0</v>
      </c>
      <c r="K26" s="1168" t="str">
        <f t="shared" si="1"/>
        <v>Yes</v>
      </c>
      <c r="M26" s="761"/>
      <c r="N26" s="756"/>
      <c r="O26" s="757" t="str">
        <f>IF(M26&gt;H26,"Yes","Does Not Apply")</f>
        <v>Does Not Apply</v>
      </c>
      <c r="P26" s="758"/>
      <c r="Q26" s="759" t="str">
        <f>IF(O26&gt;K26,"Yes","Does Not Apply")</f>
        <v>Does Not Apply</v>
      </c>
      <c r="R26" s="313"/>
      <c r="S26" s="585">
        <f t="shared" si="2"/>
        <v>1455319</v>
      </c>
      <c r="T26" s="583" t="str">
        <f t="shared" si="3"/>
        <v/>
      </c>
      <c r="U26" s="313"/>
      <c r="V26" s="672" t="str">
        <f>'1.1 Assumption Control YR1'!I53</f>
        <v>PCFP</v>
      </c>
      <c r="X26" s="12"/>
      <c r="Y26" s="28"/>
    </row>
    <row r="27" spans="1:25" x14ac:dyDescent="0.3">
      <c r="A27" s="425" t="s">
        <v>942</v>
      </c>
      <c r="B27" s="485"/>
      <c r="C27" s="739"/>
      <c r="D27" s="739">
        <f>SUM(D8:D26)</f>
        <v>471282.96592185041</v>
      </c>
      <c r="E27" s="567">
        <f>ROUND(SUM(E8:E26),0)</f>
        <v>5476921810</v>
      </c>
      <c r="F27" s="428"/>
      <c r="G27" s="427"/>
      <c r="H27" s="568">
        <f>ROUND(SUM(H8:H26),0)</f>
        <v>4077148721</v>
      </c>
      <c r="I27" s="428"/>
      <c r="J27" s="428"/>
      <c r="K27" s="1169"/>
      <c r="L27" s="44"/>
      <c r="M27" s="567">
        <f>SUM(M8:M26)</f>
        <v>17439999.999999996</v>
      </c>
      <c r="N27" s="428"/>
      <c r="O27" s="888"/>
      <c r="P27" s="888"/>
      <c r="Q27" s="889"/>
      <c r="R27" s="245"/>
      <c r="S27" s="884">
        <f>SUM(S8:S26)</f>
        <v>5459803172.3199997</v>
      </c>
      <c r="T27" s="885">
        <f>SUM(T8:T26)</f>
        <v>26337401.920000002</v>
      </c>
      <c r="U27" s="320"/>
      <c r="V27" s="320"/>
      <c r="X27" s="12"/>
    </row>
    <row r="28" spans="1:25" x14ac:dyDescent="0.3">
      <c r="C28" s="136">
        <f>SUM(C8:C26)-'1.4 FY 2020 Revenue Received'!J27</f>
        <v>0</v>
      </c>
      <c r="D28" s="136">
        <f>SUM(D8:D26)-'1.2 Budgeted Enrollment YR1'!G28</f>
        <v>0</v>
      </c>
      <c r="E28" s="1273">
        <f>ROUND(E27-'1.3 Budgeted Revenues YR1'!C35,2)</f>
        <v>0.52</v>
      </c>
      <c r="F28" s="1475"/>
      <c r="G28" s="175"/>
      <c r="H28" s="1475">
        <f>H27-'1.4 FY 2020 Revenue Received'!H27</f>
        <v>0</v>
      </c>
      <c r="I28" s="115"/>
      <c r="J28" s="115"/>
      <c r="K28" s="1168"/>
      <c r="L28" s="11"/>
      <c r="M28" s="1273">
        <f>M27-'1.3 Budgeted Revenues YR1'!G34</f>
        <v>0</v>
      </c>
      <c r="N28" s="115"/>
      <c r="O28" s="244"/>
      <c r="P28" s="244"/>
      <c r="Q28" s="242"/>
      <c r="R28" s="244"/>
      <c r="S28" s="1473" t="s">
        <v>1698</v>
      </c>
      <c r="T28" s="887">
        <f>T27+S27</f>
        <v>5486140574.2399998</v>
      </c>
      <c r="U28" s="244"/>
      <c r="V28" s="244"/>
    </row>
    <row r="29" spans="1:25" s="413" customFormat="1" ht="51.75" x14ac:dyDescent="0.45">
      <c r="A29" s="410" t="s">
        <v>943</v>
      </c>
      <c r="B29" s="418" t="s">
        <v>1111</v>
      </c>
      <c r="C29" s="410"/>
      <c r="D29" s="410"/>
      <c r="E29" s="411"/>
      <c r="F29" s="412"/>
      <c r="H29" s="412"/>
      <c r="I29" s="412"/>
      <c r="K29" s="1170"/>
      <c r="M29" s="415"/>
      <c r="N29" s="416"/>
      <c r="O29" s="417"/>
      <c r="P29" s="417"/>
      <c r="Q29" s="414"/>
      <c r="R29" s="417"/>
      <c r="S29" s="512" t="s">
        <v>1063</v>
      </c>
      <c r="T29" s="584">
        <f>(T28-E27)/T28</f>
        <v>1.6803733180455105E-3</v>
      </c>
      <c r="U29" s="515"/>
      <c r="V29" s="1540">
        <f>T28-'1.3 Budgeted Revenues YR1'!C35</f>
        <v>9218764.7591619492</v>
      </c>
    </row>
    <row r="30" spans="1:25" ht="18.75" x14ac:dyDescent="0.45">
      <c r="A30" s="10" t="str">
        <f>'1.2 Budgeted Enrollment YR1'!E32</f>
        <v>100 Academy Of Excellence</v>
      </c>
      <c r="B30" s="551" t="str">
        <f>IF(C30=0,"Yes","")</f>
        <v/>
      </c>
      <c r="C30" s="136">
        <f>'1.4 FY 2020 Revenue Received'!J30</f>
        <v>480.71396750000002</v>
      </c>
      <c r="D30" s="136">
        <f>'1.2 Budgeted Enrollment YR1'!G32</f>
        <v>317.31241129082491</v>
      </c>
      <c r="E30" s="215">
        <f>ROUND('2.8 Alloc of Residual Rev. YR1'!M36,0)</f>
        <v>3607072</v>
      </c>
      <c r="F30" s="570">
        <f>IF(D30=0,0,E30/D30)</f>
        <v>11367.573002664642</v>
      </c>
      <c r="H30" s="208">
        <f>'1.4 FY 2020 Revenue Received'!H30</f>
        <v>3526521.7955691037</v>
      </c>
      <c r="I30" s="570">
        <f>IF(C30=0,0,H30/C30)</f>
        <v>7336.0085913648918</v>
      </c>
      <c r="K30" s="1168" t="str">
        <f>$K$25</f>
        <v>Yes</v>
      </c>
      <c r="M30" s="760"/>
      <c r="N30" s="246"/>
      <c r="O30" s="248" t="str">
        <f>IF(M30&gt;H30,"Yes","Does Not Apply")</f>
        <v>Does Not Apply</v>
      </c>
      <c r="P30" s="244"/>
      <c r="Q30" s="249" t="str">
        <f>IF(O30&gt;K30,"Yes","Does Not Apply")</f>
        <v>Does Not Apply</v>
      </c>
      <c r="R30" s="248"/>
      <c r="S30" s="248"/>
      <c r="T30" s="248"/>
      <c r="U30" s="248"/>
      <c r="V30" s="248"/>
    </row>
    <row r="31" spans="1:25" ht="18.75" x14ac:dyDescent="0.45">
      <c r="A31" s="10" t="str">
        <f>'1.2 Budgeted Enrollment YR1'!E33</f>
        <v>Academy For Career Education</v>
      </c>
      <c r="B31" s="551" t="str">
        <f t="shared" ref="B31:B89" si="7">IF(C31=0,"Yes","")</f>
        <v/>
      </c>
      <c r="C31" s="136">
        <f>'1.4 FY 2020 Revenue Received'!J31</f>
        <v>190.83797749999999</v>
      </c>
      <c r="D31" s="136">
        <f>'1.2 Budgeted Enrollment YR1'!G33</f>
        <v>233.16666714265924</v>
      </c>
      <c r="E31" s="215">
        <f>ROUND('2.8 Alloc of Residual Rev. YR1'!M37,0)</f>
        <v>2284465</v>
      </c>
      <c r="F31" s="570">
        <f t="shared" ref="F31:F43" si="8">IF(D31=0,0,E31/D31)</f>
        <v>9797.5625246737654</v>
      </c>
      <c r="H31" s="208">
        <f>'1.4 FY 2020 Revenue Received'!H31</f>
        <v>1427555.6052536254</v>
      </c>
      <c r="I31" s="570">
        <f t="shared" ref="I31:I90" si="9">IF(C31=0,0,H31/C31)</f>
        <v>7480.458679948154</v>
      </c>
      <c r="K31" s="1168" t="str">
        <f t="shared" ref="K31:K88" si="10">$K$25</f>
        <v>Yes</v>
      </c>
      <c r="M31" s="760"/>
      <c r="N31" s="246"/>
      <c r="O31" s="248" t="str">
        <f t="shared" ref="O31:O88" si="11">IF(M31&gt;H31,"Yes","Does Not Apply")</f>
        <v>Does Not Apply</v>
      </c>
      <c r="P31" s="244"/>
      <c r="Q31" s="249" t="str">
        <f t="shared" ref="Q31:Q88" si="12">IF(O31&gt;K31,"Yes","Does Not Apply")</f>
        <v>Does Not Apply</v>
      </c>
      <c r="R31" s="248"/>
      <c r="S31" s="248"/>
      <c r="T31" s="248"/>
      <c r="U31" s="248"/>
      <c r="V31" s="248"/>
    </row>
    <row r="32" spans="1:25" ht="18.75" x14ac:dyDescent="0.45">
      <c r="A32" s="10" t="str">
        <f>'1.2 Budgeted Enrollment YR1'!E34</f>
        <v xml:space="preserve">Alpine Academy </v>
      </c>
      <c r="B32" s="551" t="str">
        <f t="shared" si="7"/>
        <v/>
      </c>
      <c r="C32" s="136">
        <f>'1.4 FY 2020 Revenue Received'!J32</f>
        <v>103.98956000000001</v>
      </c>
      <c r="D32" s="136">
        <f>'1.2 Budgeted Enrollment YR1'!G34</f>
        <v>147.81508498571816</v>
      </c>
      <c r="E32" s="215">
        <f>ROUND('2.8 Alloc of Residual Rev. YR1'!M38,0)</f>
        <v>1422720</v>
      </c>
      <c r="F32" s="570">
        <f t="shared" si="8"/>
        <v>9624.9986943989024</v>
      </c>
      <c r="H32" s="208">
        <f>'1.4 FY 2020 Revenue Received'!H32</f>
        <v>946883.12797927589</v>
      </c>
      <c r="I32" s="570">
        <f t="shared" si="9"/>
        <v>9105.5595194294092</v>
      </c>
      <c r="K32" s="1168" t="str">
        <f t="shared" si="10"/>
        <v>Yes</v>
      </c>
      <c r="M32" s="760"/>
      <c r="N32" s="246"/>
      <c r="O32" s="248" t="str">
        <f t="shared" si="11"/>
        <v>Does Not Apply</v>
      </c>
      <c r="P32" s="244"/>
      <c r="Q32" s="249" t="str">
        <f t="shared" si="12"/>
        <v>Does Not Apply</v>
      </c>
      <c r="R32" s="248"/>
      <c r="S32" s="248"/>
      <c r="T32" s="248"/>
      <c r="U32" s="248"/>
      <c r="V32" s="248"/>
    </row>
    <row r="33" spans="1:22" ht="18.75" x14ac:dyDescent="0.45">
      <c r="A33" s="10" t="str">
        <f>'1.2 Budgeted Enrollment YR1'!E35</f>
        <v xml:space="preserve">Amplus (Formerly American Preparatory Academy) </v>
      </c>
      <c r="B33" s="551" t="str">
        <f t="shared" si="7"/>
        <v/>
      </c>
      <c r="C33" s="136">
        <f>'1.4 FY 2020 Revenue Received'!J33</f>
        <v>1600.97</v>
      </c>
      <c r="D33" s="136">
        <f>'1.2 Budgeted Enrollment YR1'!G35</f>
        <v>2267.7086546556943</v>
      </c>
      <c r="E33" s="215">
        <f>ROUND('2.8 Alloc of Residual Rev. YR1'!M39,0)</f>
        <v>21258802</v>
      </c>
      <c r="F33" s="570">
        <f t="shared" si="8"/>
        <v>9374.5737382775569</v>
      </c>
      <c r="H33" s="208">
        <f>'1.4 FY 2020 Revenue Received'!H33</f>
        <v>11813992.992430983</v>
      </c>
      <c r="I33" s="570">
        <f t="shared" si="9"/>
        <v>7379.2719366577658</v>
      </c>
      <c r="K33" s="1168" t="str">
        <f t="shared" si="10"/>
        <v>Yes</v>
      </c>
      <c r="M33" s="760"/>
      <c r="N33" s="246"/>
      <c r="O33" s="248" t="str">
        <f t="shared" si="11"/>
        <v>Does Not Apply</v>
      </c>
      <c r="P33" s="244"/>
      <c r="Q33" s="249" t="str">
        <f t="shared" si="12"/>
        <v>Does Not Apply</v>
      </c>
      <c r="R33" s="248"/>
      <c r="S33" s="248"/>
      <c r="T33" s="248"/>
      <c r="U33" s="248"/>
      <c r="V33" s="248"/>
    </row>
    <row r="34" spans="1:22" ht="18.75" x14ac:dyDescent="0.45">
      <c r="A34" s="10" t="str">
        <f>'1.2 Budgeted Enrollment YR1'!E36</f>
        <v>Bailey Charter School</v>
      </c>
      <c r="B34" s="551" t="str">
        <f t="shared" si="7"/>
        <v/>
      </c>
      <c r="C34" s="136">
        <f>'1.4 FY 2020 Revenue Received'!J34</f>
        <v>265.87594999999999</v>
      </c>
      <c r="D34" s="136">
        <f>'1.2 Budgeted Enrollment YR1'!G36</f>
        <v>175.32944363044109</v>
      </c>
      <c r="E34" s="215">
        <f>ROUND('2.8 Alloc of Residual Rev. YR1'!M40,0)</f>
        <v>2061817</v>
      </c>
      <c r="F34" s="570">
        <f t="shared" si="8"/>
        <v>11759.673431382649</v>
      </c>
      <c r="H34" s="208">
        <f>'1.4 FY 2020 Revenue Received'!H34</f>
        <v>1985978.480397318</v>
      </c>
      <c r="I34" s="570">
        <f t="shared" si="9"/>
        <v>7469.5679710681543</v>
      </c>
      <c r="K34" s="1168" t="str">
        <f t="shared" si="10"/>
        <v>Yes</v>
      </c>
      <c r="M34" s="760"/>
      <c r="N34" s="246"/>
      <c r="O34" s="248" t="str">
        <f t="shared" si="11"/>
        <v>Does Not Apply</v>
      </c>
      <c r="P34" s="244"/>
      <c r="Q34" s="249" t="str">
        <f t="shared" si="12"/>
        <v>Does Not Apply</v>
      </c>
      <c r="R34" s="248"/>
      <c r="S34" s="248"/>
      <c r="T34" s="248"/>
      <c r="U34" s="248"/>
      <c r="V34" s="248"/>
    </row>
    <row r="35" spans="1:22" ht="18.75" x14ac:dyDescent="0.45">
      <c r="A35" s="10" t="str">
        <f>'1.2 Budgeted Enrollment YR1'!E37</f>
        <v>Battle Born Academy</v>
      </c>
      <c r="B35" s="551" t="str">
        <f t="shared" si="7"/>
        <v>Yes</v>
      </c>
      <c r="C35" s="136">
        <f>'1.4 FY 2020 Revenue Received'!J35</f>
        <v>0</v>
      </c>
      <c r="D35" s="136">
        <f>'1.2 Budgeted Enrollment YR1'!G37</f>
        <v>132.17090111224999</v>
      </c>
      <c r="E35" s="215">
        <f>ROUND('2.8 Alloc of Residual Rev. YR1'!M41,0)</f>
        <v>1413349</v>
      </c>
      <c r="F35" s="570">
        <f t="shared" si="8"/>
        <v>10693.344662904827</v>
      </c>
      <c r="H35" s="208">
        <f>'1.4 FY 2020 Revenue Received'!H35</f>
        <v>0</v>
      </c>
      <c r="I35" s="570">
        <f t="shared" si="9"/>
        <v>0</v>
      </c>
      <c r="K35" s="1168" t="str">
        <f t="shared" si="10"/>
        <v>Yes</v>
      </c>
      <c r="M35" s="760"/>
      <c r="N35" s="246"/>
      <c r="O35" s="248" t="str">
        <f t="shared" si="11"/>
        <v>Does Not Apply</v>
      </c>
      <c r="P35" s="244"/>
      <c r="Q35" s="249" t="str">
        <f t="shared" si="12"/>
        <v>Does Not Apply</v>
      </c>
      <c r="R35" s="248"/>
      <c r="S35" s="248"/>
      <c r="T35" s="248"/>
      <c r="U35" s="248"/>
      <c r="V35" s="248"/>
    </row>
    <row r="36" spans="1:22" ht="18.75" x14ac:dyDescent="0.45">
      <c r="A36" s="10" t="str">
        <f>'1.2 Budgeted Enrollment YR1'!E38</f>
        <v>Beacon Academy</v>
      </c>
      <c r="B36" s="551" t="str">
        <f t="shared" si="7"/>
        <v/>
      </c>
      <c r="C36" s="136">
        <f>'1.4 FY 2020 Revenue Received'!J36</f>
        <v>371.10250250000001</v>
      </c>
      <c r="D36" s="136">
        <f>'1.2 Budgeted Enrollment YR1'!G38</f>
        <v>601.2087101019498</v>
      </c>
      <c r="E36" s="215">
        <f>ROUND('2.8 Alloc of Residual Rev. YR1'!M42,0)</f>
        <v>6429720</v>
      </c>
      <c r="F36" s="570">
        <f t="shared" si="8"/>
        <v>10694.655436561592</v>
      </c>
      <c r="H36" s="208">
        <f>'1.4 FY 2020 Revenue Received'!H36</f>
        <v>3166785.5512704994</v>
      </c>
      <c r="I36" s="570">
        <f t="shared" si="9"/>
        <v>8533.4524287410295</v>
      </c>
      <c r="K36" s="1168" t="str">
        <f t="shared" si="10"/>
        <v>Yes</v>
      </c>
      <c r="M36" s="760"/>
      <c r="N36" s="246"/>
      <c r="O36" s="248" t="str">
        <f t="shared" si="11"/>
        <v>Does Not Apply</v>
      </c>
      <c r="P36" s="244"/>
      <c r="Q36" s="249" t="str">
        <f t="shared" si="12"/>
        <v>Does Not Apply</v>
      </c>
      <c r="R36" s="248"/>
      <c r="S36" s="248"/>
      <c r="T36" s="248"/>
      <c r="U36" s="248"/>
      <c r="V36" s="248"/>
    </row>
    <row r="37" spans="1:22" ht="18.75" x14ac:dyDescent="0.45">
      <c r="A37" s="10" t="str">
        <f>'1.2 Budgeted Enrollment YR1'!E39</f>
        <v>Cactus Park</v>
      </c>
      <c r="B37" s="551" t="str">
        <f t="shared" si="7"/>
        <v>Yes</v>
      </c>
      <c r="C37" s="136">
        <f>'1.4 FY 2020 Revenue Received'!J37</f>
        <v>0</v>
      </c>
      <c r="D37" s="136">
        <f>'1.2 Budgeted Enrollment YR1'!G39</f>
        <v>108.52961244150023</v>
      </c>
      <c r="E37" s="215">
        <f>ROUND('2.8 Alloc of Residual Rev. YR1'!M43,0)</f>
        <v>1063617</v>
      </c>
      <c r="F37" s="570">
        <f t="shared" si="8"/>
        <v>9800.2469194599962</v>
      </c>
      <c r="H37" s="208">
        <f>'1.4 FY 2020 Revenue Received'!H37</f>
        <v>0</v>
      </c>
      <c r="I37" s="570">
        <f t="shared" si="9"/>
        <v>0</v>
      </c>
      <c r="K37" s="1168" t="str">
        <f t="shared" si="10"/>
        <v>Yes</v>
      </c>
      <c r="M37" s="760"/>
      <c r="N37" s="246"/>
      <c r="O37" s="248" t="str">
        <f t="shared" si="11"/>
        <v>Does Not Apply</v>
      </c>
      <c r="P37" s="244"/>
      <c r="Q37" s="249" t="str">
        <f t="shared" si="12"/>
        <v>Does Not Apply</v>
      </c>
      <c r="R37" s="248"/>
      <c r="S37" s="248"/>
      <c r="T37" s="248"/>
      <c r="U37" s="248"/>
      <c r="V37" s="248"/>
    </row>
    <row r="38" spans="1:22" ht="18.75" x14ac:dyDescent="0.45">
      <c r="A38" s="10" t="str">
        <f>'1.2 Budgeted Enrollment YR1'!E40</f>
        <v>Carson Montessori</v>
      </c>
      <c r="B38" s="551" t="str">
        <f t="shared" si="7"/>
        <v/>
      </c>
      <c r="C38" s="136">
        <f>'1.4 FY 2020 Revenue Received'!J38</f>
        <v>278.55615749999998</v>
      </c>
      <c r="D38" s="136">
        <f>'1.2 Budgeted Enrollment YR1'!G40</f>
        <v>286.27617033770758</v>
      </c>
      <c r="E38" s="215">
        <f>ROUND('2.8 Alloc of Residual Rev. YR1'!M44,0)</f>
        <v>2952496</v>
      </c>
      <c r="F38" s="570">
        <f t="shared" si="8"/>
        <v>10313.45360152425</v>
      </c>
      <c r="H38" s="208">
        <f>'1.4 FY 2020 Revenue Received'!H38</f>
        <v>2359224.1750915041</v>
      </c>
      <c r="I38" s="570">
        <f t="shared" si="9"/>
        <v>8469.4741493607235</v>
      </c>
      <c r="K38" s="1168" t="str">
        <f t="shared" si="10"/>
        <v>Yes</v>
      </c>
      <c r="M38" s="760"/>
      <c r="N38" s="246"/>
      <c r="O38" s="248" t="str">
        <f t="shared" si="11"/>
        <v>Does Not Apply</v>
      </c>
      <c r="P38" s="244"/>
      <c r="Q38" s="249" t="str">
        <f t="shared" si="12"/>
        <v>Does Not Apply</v>
      </c>
      <c r="R38" s="248"/>
      <c r="S38" s="248"/>
      <c r="T38" s="248"/>
      <c r="U38" s="248"/>
      <c r="V38" s="248"/>
    </row>
    <row r="39" spans="1:22" ht="18.75" x14ac:dyDescent="0.45">
      <c r="A39" s="10" t="str">
        <f>'1.2 Budgeted Enrollment YR1'!E41</f>
        <v>CIVICA Nevada Career &amp; Collegiate Academy</v>
      </c>
      <c r="B39" s="551" t="str">
        <f t="shared" si="7"/>
        <v>Yes</v>
      </c>
      <c r="C39" s="136">
        <f>'1.4 FY 2020 Revenue Received'!J39</f>
        <v>0</v>
      </c>
      <c r="D39" s="136">
        <f>'1.2 Budgeted Enrollment YR1'!G41</f>
        <v>766.05776499241983</v>
      </c>
      <c r="E39" s="215">
        <f>ROUND('2.8 Alloc of Residual Rev. YR1'!M45,0)</f>
        <v>8266056</v>
      </c>
      <c r="F39" s="570">
        <f t="shared" si="8"/>
        <v>10790.382106604968</v>
      </c>
      <c r="H39" s="208">
        <f>'1.4 FY 2020 Revenue Received'!H39</f>
        <v>0</v>
      </c>
      <c r="I39" s="570">
        <f t="shared" si="9"/>
        <v>0</v>
      </c>
      <c r="K39" s="1168" t="str">
        <f t="shared" si="10"/>
        <v>Yes</v>
      </c>
      <c r="M39" s="760"/>
      <c r="N39" s="246"/>
      <c r="O39" s="248" t="str">
        <f t="shared" si="11"/>
        <v>Does Not Apply</v>
      </c>
      <c r="P39" s="244"/>
      <c r="Q39" s="249" t="str">
        <f t="shared" si="12"/>
        <v>Does Not Apply</v>
      </c>
      <c r="R39" s="248"/>
      <c r="S39" s="248"/>
      <c r="T39" s="248"/>
      <c r="U39" s="248"/>
      <c r="V39" s="248"/>
    </row>
    <row r="40" spans="1:22" ht="18.75" x14ac:dyDescent="0.45">
      <c r="A40" s="10" t="str">
        <f>'1.2 Budgeted Enrollment YR1'!E42</f>
        <v>Coral Academy of Science Las Vegas</v>
      </c>
      <c r="B40" s="551" t="str">
        <f t="shared" si="7"/>
        <v/>
      </c>
      <c r="C40" s="136">
        <f>'1.4 FY 2020 Revenue Received'!J40</f>
        <v>3731.6204735000006</v>
      </c>
      <c r="D40" s="136">
        <f>'1.2 Budgeted Enrollment YR1'!G42</f>
        <v>5176.4761285646673</v>
      </c>
      <c r="E40" s="215">
        <f>ROUND('2.8 Alloc of Residual Rev. YR1'!M46,0)</f>
        <v>48104831</v>
      </c>
      <c r="F40" s="570">
        <f t="shared" si="8"/>
        <v>9292.9687697291683</v>
      </c>
      <c r="H40" s="208">
        <f>'1.4 FY 2020 Revenue Received'!H40</f>
        <v>27593259.474862922</v>
      </c>
      <c r="I40" s="570">
        <f t="shared" si="9"/>
        <v>7394.4442289390599</v>
      </c>
      <c r="K40" s="1168" t="str">
        <f t="shared" si="10"/>
        <v>Yes</v>
      </c>
      <c r="M40" s="760"/>
      <c r="N40" s="246"/>
      <c r="O40" s="248" t="str">
        <f t="shared" si="11"/>
        <v>Does Not Apply</v>
      </c>
      <c r="P40" s="244"/>
      <c r="Q40" s="249" t="str">
        <f t="shared" si="12"/>
        <v>Does Not Apply</v>
      </c>
      <c r="R40" s="248"/>
      <c r="S40" s="248"/>
      <c r="T40" s="248"/>
      <c r="U40" s="248"/>
      <c r="V40" s="248"/>
    </row>
    <row r="41" spans="1:22" ht="18.75" x14ac:dyDescent="0.45">
      <c r="A41" s="10" t="str">
        <f>'1.2 Budgeted Enrollment YR1'!E43</f>
        <v>Coral Academy Washoe</v>
      </c>
      <c r="B41" s="551" t="str">
        <f t="shared" si="7"/>
        <v/>
      </c>
      <c r="C41" s="136">
        <f>'1.4 FY 2020 Revenue Received'!J41</f>
        <v>1424.90155</v>
      </c>
      <c r="D41" s="136">
        <f>'1.2 Budgeted Enrollment YR1'!G43</f>
        <v>1763.0640733328873</v>
      </c>
      <c r="E41" s="215">
        <f>ROUND('2.8 Alloc of Residual Rev. YR1'!M47,0)</f>
        <v>16717791</v>
      </c>
      <c r="F41" s="570">
        <f t="shared" si="8"/>
        <v>9482.2367790620192</v>
      </c>
      <c r="H41" s="208">
        <f>'1.4 FY 2020 Revenue Received'!H41</f>
        <v>10950257.057644386</v>
      </c>
      <c r="I41" s="570">
        <f t="shared" si="9"/>
        <v>7684.9218513688793</v>
      </c>
      <c r="K41" s="1168" t="str">
        <f t="shared" si="10"/>
        <v>Yes</v>
      </c>
      <c r="M41" s="760"/>
      <c r="N41" s="246"/>
      <c r="O41" s="248" t="str">
        <f t="shared" si="11"/>
        <v>Does Not Apply</v>
      </c>
      <c r="P41" s="244"/>
      <c r="Q41" s="249" t="str">
        <f t="shared" si="12"/>
        <v>Does Not Apply</v>
      </c>
      <c r="R41" s="248"/>
      <c r="S41" s="248"/>
      <c r="T41" s="248"/>
      <c r="U41" s="248"/>
      <c r="V41" s="248"/>
    </row>
    <row r="42" spans="1:22" ht="18.75" x14ac:dyDescent="0.45">
      <c r="A42" s="10" t="str">
        <f>'1.2 Budgeted Enrollment YR1'!E44</f>
        <v>Delta Academy</v>
      </c>
      <c r="B42" s="551" t="str">
        <f t="shared" si="7"/>
        <v/>
      </c>
      <c r="C42" s="136">
        <f>'1.4 FY 2020 Revenue Received'!J42</f>
        <v>614.92500499999994</v>
      </c>
      <c r="D42" s="136">
        <f>'1.2 Budgeted Enrollment YR1'!G44</f>
        <v>1259.1651890316498</v>
      </c>
      <c r="E42" s="215">
        <f>ROUND('2.8 Alloc of Residual Rev. YR1'!M48,0)</f>
        <v>13075791</v>
      </c>
      <c r="F42" s="570">
        <f t="shared" si="8"/>
        <v>10384.492133280643</v>
      </c>
      <c r="H42" s="208">
        <f>'1.4 FY 2020 Revenue Received'!H42</f>
        <v>4624988.5864378968</v>
      </c>
      <c r="I42" s="570">
        <f t="shared" si="9"/>
        <v>7521.2238058816574</v>
      </c>
      <c r="K42" s="1168" t="str">
        <f t="shared" si="10"/>
        <v>Yes</v>
      </c>
      <c r="M42" s="760"/>
      <c r="N42" s="246"/>
      <c r="O42" s="248" t="str">
        <f t="shared" si="11"/>
        <v>Does Not Apply</v>
      </c>
      <c r="P42" s="244"/>
      <c r="Q42" s="249" t="str">
        <f t="shared" si="12"/>
        <v>Does Not Apply</v>
      </c>
      <c r="R42" s="248"/>
      <c r="S42" s="248"/>
      <c r="T42" s="248"/>
      <c r="U42" s="248"/>
      <c r="V42" s="248"/>
    </row>
    <row r="43" spans="1:22" ht="18.75" x14ac:dyDescent="0.45">
      <c r="A43" s="10" t="str">
        <f>'1.2 Budgeted Enrollment YR1'!E45</f>
        <v>Democracy Prep</v>
      </c>
      <c r="B43" s="551" t="str">
        <f t="shared" si="7"/>
        <v/>
      </c>
      <c r="C43" s="136">
        <f>'1.4 FY 2020 Revenue Received'!J43</f>
        <v>981.96345500000007</v>
      </c>
      <c r="D43" s="136">
        <f>'1.2 Budgeted Enrollment YR1'!G45</f>
        <v>1203.3189781200335</v>
      </c>
      <c r="E43" s="215">
        <f>ROUND('2.8 Alloc of Residual Rev. YR1'!M49,0)</f>
        <v>11853302</v>
      </c>
      <c r="F43" s="570">
        <f t="shared" si="8"/>
        <v>9850.5069857026792</v>
      </c>
      <c r="H43" s="208">
        <f>'1.4 FY 2020 Revenue Received'!H43</f>
        <v>8001702.7656820379</v>
      </c>
      <c r="I43" s="570">
        <f t="shared" si="9"/>
        <v>8148.6767404007287</v>
      </c>
      <c r="K43" s="1168" t="str">
        <f t="shared" si="10"/>
        <v>Yes</v>
      </c>
      <c r="M43" s="760"/>
      <c r="N43" s="246"/>
      <c r="O43" s="248" t="str">
        <f t="shared" si="11"/>
        <v>Does Not Apply</v>
      </c>
      <c r="P43" s="244"/>
      <c r="Q43" s="249" t="str">
        <f t="shared" si="12"/>
        <v>Does Not Apply</v>
      </c>
      <c r="R43" s="248"/>
      <c r="S43" s="248"/>
      <c r="T43" s="248"/>
      <c r="U43" s="248"/>
      <c r="V43" s="248"/>
    </row>
    <row r="44" spans="1:22" ht="18.75" x14ac:dyDescent="0.45">
      <c r="A44" s="10" t="str">
        <f>'1.2 Budgeted Enrollment YR1'!E46</f>
        <v>Discovery Charter</v>
      </c>
      <c r="B44" s="551" t="str">
        <f t="shared" si="7"/>
        <v/>
      </c>
      <c r="C44" s="136">
        <f>'1.4 FY 2020 Revenue Received'!J44</f>
        <v>378.66546975</v>
      </c>
      <c r="D44" s="136">
        <f>'1.2 Budgeted Enrollment YR1'!G46</f>
        <v>492.2101138405701</v>
      </c>
      <c r="E44" s="215">
        <f>ROUND('2.8 Alloc of Residual Rev. YR1'!M50,0)</f>
        <v>4606623</v>
      </c>
      <c r="F44" s="570">
        <f t="shared" ref="F44:F88" si="13">IF(D44=0,0,E44/D44)</f>
        <v>9359.0579926444043</v>
      </c>
      <c r="H44" s="208">
        <f>'1.4 FY 2020 Revenue Received'!H44</f>
        <v>2926109.1685075662</v>
      </c>
      <c r="I44" s="570">
        <f t="shared" si="9"/>
        <v>7727.425398569937</v>
      </c>
      <c r="K44" s="1168" t="str">
        <f t="shared" si="10"/>
        <v>Yes</v>
      </c>
      <c r="M44" s="760"/>
      <c r="N44" s="246"/>
      <c r="O44" s="248" t="str">
        <f t="shared" si="11"/>
        <v>Does Not Apply</v>
      </c>
      <c r="P44" s="244"/>
      <c r="Q44" s="249" t="str">
        <f t="shared" si="12"/>
        <v>Does Not Apply</v>
      </c>
      <c r="R44" s="248"/>
      <c r="S44" s="248"/>
      <c r="T44" s="248"/>
      <c r="U44" s="248"/>
      <c r="V44" s="248"/>
    </row>
    <row r="45" spans="1:22" ht="18.75" x14ac:dyDescent="0.45">
      <c r="A45" s="10" t="str">
        <f>'1.2 Budgeted Enrollment YR1'!E47</f>
        <v>Doral Academy</v>
      </c>
      <c r="B45" s="551" t="str">
        <f t="shared" si="7"/>
        <v/>
      </c>
      <c r="C45" s="136">
        <f>'1.4 FY 2020 Revenue Received'!J45</f>
        <v>5724.9224675000005</v>
      </c>
      <c r="D45" s="136">
        <f>'1.2 Budgeted Enrollment YR1'!G47</f>
        <v>6280.1363579608906</v>
      </c>
      <c r="E45" s="215">
        <f>ROUND('2.8 Alloc of Residual Rev. YR1'!M51,0)</f>
        <v>59730250</v>
      </c>
      <c r="F45" s="570">
        <f t="shared" si="13"/>
        <v>9510.9797933422469</v>
      </c>
      <c r="H45" s="208">
        <f>'1.4 FY 2020 Revenue Received'!H45</f>
        <v>42640149.234954685</v>
      </c>
      <c r="I45" s="570">
        <f t="shared" si="9"/>
        <v>7448.1618706663612</v>
      </c>
      <c r="K45" s="1168" t="str">
        <f t="shared" si="10"/>
        <v>Yes</v>
      </c>
      <c r="M45" s="760"/>
      <c r="N45" s="246"/>
      <c r="O45" s="248" t="str">
        <f t="shared" si="11"/>
        <v>Does Not Apply</v>
      </c>
      <c r="P45" s="244"/>
      <c r="Q45" s="249" t="str">
        <f t="shared" si="12"/>
        <v>Does Not Apply</v>
      </c>
      <c r="R45" s="248"/>
      <c r="S45" s="248"/>
      <c r="T45" s="248"/>
      <c r="U45" s="248"/>
      <c r="V45" s="248"/>
    </row>
    <row r="46" spans="1:22" ht="18.75" x14ac:dyDescent="0.45">
      <c r="A46" s="10" t="str">
        <f>'1.2 Budgeted Enrollment YR1'!E48</f>
        <v>Doral Academy of Northern Nevada</v>
      </c>
      <c r="B46" s="551" t="str">
        <f t="shared" si="7"/>
        <v/>
      </c>
      <c r="C46" s="136">
        <f>'1.4 FY 2020 Revenue Received'!J46</f>
        <v>811.68888499999991</v>
      </c>
      <c r="D46" s="136">
        <f>'1.2 Budgeted Enrollment YR1'!G48</f>
        <v>957.41882339550943</v>
      </c>
      <c r="E46" s="215">
        <f>ROUND('2.8 Alloc of Residual Rev. YR1'!M52,0)</f>
        <v>8761913</v>
      </c>
      <c r="F46" s="570">
        <f t="shared" si="13"/>
        <v>9151.5988467049974</v>
      </c>
      <c r="H46" s="208">
        <f>'1.4 FY 2020 Revenue Received'!H46</f>
        <v>6246541.9827024397</v>
      </c>
      <c r="I46" s="570">
        <f t="shared" si="9"/>
        <v>7695.7342870383645</v>
      </c>
      <c r="K46" s="1168" t="str">
        <f t="shared" si="10"/>
        <v>Yes</v>
      </c>
      <c r="M46" s="760"/>
      <c r="N46" s="246"/>
      <c r="O46" s="248" t="str">
        <f t="shared" si="11"/>
        <v>Does Not Apply</v>
      </c>
      <c r="P46" s="244"/>
      <c r="Q46" s="249" t="str">
        <f t="shared" si="12"/>
        <v>Does Not Apply</v>
      </c>
      <c r="R46" s="248"/>
      <c r="S46" s="248"/>
      <c r="T46" s="248"/>
      <c r="U46" s="248"/>
      <c r="V46" s="248"/>
    </row>
    <row r="47" spans="1:22" ht="18.75" x14ac:dyDescent="0.45">
      <c r="A47" s="10" t="str">
        <f>'1.2 Budgeted Enrollment YR1'!E49</f>
        <v>Eagle Charter School</v>
      </c>
      <c r="B47" s="551" t="str">
        <f t="shared" si="7"/>
        <v>Yes</v>
      </c>
      <c r="C47" s="136">
        <f>'1.4 FY 2020 Revenue Received'!J47</f>
        <v>0</v>
      </c>
      <c r="D47" s="136">
        <f>'1.2 Budgeted Enrollment YR1'!G49</f>
        <v>540</v>
      </c>
      <c r="E47" s="215">
        <f>ROUND('2.8 Alloc of Residual Rev. YR1'!M53,0)</f>
        <v>4849744</v>
      </c>
      <c r="F47" s="570">
        <f t="shared" si="13"/>
        <v>8981.0074074074073</v>
      </c>
      <c r="H47" s="208">
        <f>'1.4 FY 2020 Revenue Received'!H47</f>
        <v>0</v>
      </c>
      <c r="I47" s="570">
        <f t="shared" si="9"/>
        <v>0</v>
      </c>
      <c r="K47" s="1168" t="str">
        <f t="shared" si="10"/>
        <v>Yes</v>
      </c>
      <c r="M47" s="760"/>
      <c r="N47" s="246"/>
      <c r="O47" s="248" t="str">
        <f t="shared" si="11"/>
        <v>Does Not Apply</v>
      </c>
      <c r="P47" s="244"/>
      <c r="Q47" s="249" t="str">
        <f t="shared" si="12"/>
        <v>Does Not Apply</v>
      </c>
      <c r="R47" s="248"/>
      <c r="S47" s="248"/>
      <c r="T47" s="248"/>
      <c r="U47" s="248"/>
      <c r="V47" s="248"/>
    </row>
    <row r="48" spans="1:22" ht="18.75" x14ac:dyDescent="0.45">
      <c r="A48" s="10" t="str">
        <f>'1.2 Budgeted Enrollment YR1'!E50</f>
        <v>Elko Institute for Academic Achievement</v>
      </c>
      <c r="B48" s="551" t="str">
        <f t="shared" si="7"/>
        <v/>
      </c>
      <c r="C48" s="136">
        <f>'1.4 FY 2020 Revenue Received'!J48</f>
        <v>197.48914249999996</v>
      </c>
      <c r="D48" s="136">
        <f>'1.2 Budgeted Enrollment YR1'!G50</f>
        <v>197.24352683287754</v>
      </c>
      <c r="E48" s="215">
        <f>ROUND('2.8 Alloc of Residual Rev. YR1'!M54,0)</f>
        <v>1973284</v>
      </c>
      <c r="F48" s="570">
        <f t="shared" si="13"/>
        <v>10004.302963371487</v>
      </c>
      <c r="H48" s="208">
        <f>'1.4 FY 2020 Revenue Received'!H48</f>
        <v>2010359.0977753294</v>
      </c>
      <c r="I48" s="570">
        <f t="shared" si="9"/>
        <v>10179.5930263626</v>
      </c>
      <c r="K48" s="1168" t="str">
        <f t="shared" si="10"/>
        <v>Yes</v>
      </c>
      <c r="M48" s="760"/>
      <c r="N48" s="246"/>
      <c r="O48" s="248" t="str">
        <f t="shared" si="11"/>
        <v>Does Not Apply</v>
      </c>
      <c r="P48" s="244"/>
      <c r="Q48" s="249" t="str">
        <f t="shared" si="12"/>
        <v>Does Not Apply</v>
      </c>
      <c r="R48" s="248"/>
      <c r="S48" s="248"/>
      <c r="T48" s="248"/>
      <c r="U48" s="248"/>
      <c r="V48" s="248"/>
    </row>
    <row r="49" spans="1:22" ht="18.75" x14ac:dyDescent="0.45">
      <c r="A49" s="10" t="str">
        <f>'1.2 Budgeted Enrollment YR1'!E51</f>
        <v>enCompass Academy</v>
      </c>
      <c r="B49" s="551" t="str">
        <f t="shared" si="7"/>
        <v/>
      </c>
      <c r="C49" s="136">
        <f>'1.4 FY 2020 Revenue Received'!J49</f>
        <v>94.269284999999996</v>
      </c>
      <c r="D49" s="136">
        <f>'1.2 Budgeted Enrollment YR1'!G51</f>
        <v>114.87381551473325</v>
      </c>
      <c r="E49" s="215">
        <f>ROUND('2.8 Alloc of Residual Rev. YR1'!M55,0)</f>
        <v>1191493</v>
      </c>
      <c r="F49" s="570">
        <f t="shared" si="13"/>
        <v>10372.189647058289</v>
      </c>
      <c r="H49" s="208">
        <f>'1.4 FY 2020 Revenue Received'!H49</f>
        <v>722845.91936268494</v>
      </c>
      <c r="I49" s="570">
        <f t="shared" si="9"/>
        <v>7667.8837583491268</v>
      </c>
      <c r="K49" s="1168" t="str">
        <f t="shared" si="10"/>
        <v>Yes</v>
      </c>
      <c r="M49" s="760"/>
      <c r="N49" s="246"/>
      <c r="O49" s="248" t="str">
        <f t="shared" si="11"/>
        <v>Does Not Apply</v>
      </c>
      <c r="P49" s="244"/>
      <c r="Q49" s="249" t="str">
        <f t="shared" si="12"/>
        <v>Does Not Apply</v>
      </c>
      <c r="R49" s="248"/>
      <c r="S49" s="248"/>
      <c r="T49" s="248"/>
      <c r="U49" s="248"/>
      <c r="V49" s="248"/>
    </row>
    <row r="50" spans="1:22" ht="18.75" x14ac:dyDescent="0.45">
      <c r="A50" s="10" t="str">
        <f>'1.2 Budgeted Enrollment YR1'!E52</f>
        <v>Equipo Academy</v>
      </c>
      <c r="B50" s="551" t="str">
        <f t="shared" si="7"/>
        <v/>
      </c>
      <c r="C50" s="136">
        <f>'1.4 FY 2020 Revenue Received'!J50</f>
        <v>759.97385250000002</v>
      </c>
      <c r="D50" s="136">
        <f>'1.2 Budgeted Enrollment YR1'!G52</f>
        <v>799.12049898931241</v>
      </c>
      <c r="E50" s="215">
        <f>ROUND('2.8 Alloc of Residual Rev. YR1'!M56,0)</f>
        <v>8044443</v>
      </c>
      <c r="F50" s="570">
        <f t="shared" si="13"/>
        <v>10066.62075390909</v>
      </c>
      <c r="H50" s="208">
        <f>'1.4 FY 2020 Revenue Received'!H50</f>
        <v>5943695.3766791327</v>
      </c>
      <c r="I50" s="570">
        <f t="shared" si="9"/>
        <v>7820.9208871158271</v>
      </c>
      <c r="K50" s="1168" t="str">
        <f t="shared" si="10"/>
        <v>Yes</v>
      </c>
      <c r="M50" s="760"/>
      <c r="N50" s="246"/>
      <c r="O50" s="248" t="str">
        <f t="shared" si="11"/>
        <v>Does Not Apply</v>
      </c>
      <c r="P50" s="244"/>
      <c r="Q50" s="249" t="str">
        <f t="shared" si="12"/>
        <v>Does Not Apply</v>
      </c>
      <c r="R50" s="248"/>
      <c r="S50" s="248"/>
      <c r="T50" s="248"/>
      <c r="U50" s="248"/>
      <c r="V50" s="248"/>
    </row>
    <row r="51" spans="1:22" ht="18.75" x14ac:dyDescent="0.45">
      <c r="A51" s="10" t="str">
        <f>'1.2 Budgeted Enrollment YR1'!E53</f>
        <v>Explore Academy</v>
      </c>
      <c r="B51" s="551" t="str">
        <f t="shared" si="7"/>
        <v>Yes</v>
      </c>
      <c r="C51" s="136">
        <f>'1.4 FY 2020 Revenue Received'!J51</f>
        <v>0</v>
      </c>
      <c r="D51" s="136">
        <f>'1.2 Budgeted Enrollment YR1'!G53</f>
        <v>274.7332568453723</v>
      </c>
      <c r="E51" s="215">
        <f>ROUND('2.8 Alloc of Residual Rev. YR1'!M57,0)</f>
        <v>2518124</v>
      </c>
      <c r="F51" s="570">
        <f t="shared" si="13"/>
        <v>9165.7050511990692</v>
      </c>
      <c r="H51" s="208">
        <f>'1.4 FY 2020 Revenue Received'!H51</f>
        <v>0</v>
      </c>
      <c r="I51" s="570">
        <f t="shared" si="9"/>
        <v>0</v>
      </c>
      <c r="K51" s="1168" t="str">
        <f t="shared" si="10"/>
        <v>Yes</v>
      </c>
      <c r="M51" s="760"/>
      <c r="N51" s="246"/>
      <c r="O51" s="248" t="str">
        <f t="shared" si="11"/>
        <v>Does Not Apply</v>
      </c>
      <c r="P51" s="244"/>
      <c r="Q51" s="249" t="str">
        <f t="shared" si="12"/>
        <v>Does Not Apply</v>
      </c>
      <c r="R51" s="248"/>
      <c r="S51" s="248"/>
      <c r="T51" s="248"/>
      <c r="U51" s="248"/>
      <c r="V51" s="248"/>
    </row>
    <row r="52" spans="1:22" ht="18.75" x14ac:dyDescent="0.45">
      <c r="A52" s="10" t="str">
        <f>'1.2 Budgeted Enrollment YR1'!E54</f>
        <v>Explore Knowledge Academy</v>
      </c>
      <c r="B52" s="551" t="str">
        <f t="shared" si="7"/>
        <v/>
      </c>
      <c r="C52" s="136">
        <f>'1.4 FY 2020 Revenue Received'!J52</f>
        <v>762.71106750000013</v>
      </c>
      <c r="D52" s="136">
        <f>'1.2 Budgeted Enrollment YR1'!G54</f>
        <v>671.81849159460035</v>
      </c>
      <c r="E52" s="215">
        <f>ROUND('2.8 Alloc of Residual Rev. YR1'!M58,0)</f>
        <v>6589711</v>
      </c>
      <c r="F52" s="570">
        <f t="shared" si="13"/>
        <v>9808.7669250647396</v>
      </c>
      <c r="H52" s="208">
        <f>'1.4 FY 2020 Revenue Received'!H52</f>
        <v>5570128.8209581729</v>
      </c>
      <c r="I52" s="570">
        <f t="shared" si="9"/>
        <v>7303.0654179646763</v>
      </c>
      <c r="K52" s="1168" t="str">
        <f t="shared" si="10"/>
        <v>Yes</v>
      </c>
      <c r="M52" s="760"/>
      <c r="N52" s="246"/>
      <c r="O52" s="248" t="str">
        <f t="shared" si="11"/>
        <v>Does Not Apply</v>
      </c>
      <c r="P52" s="244"/>
      <c r="Q52" s="249" t="str">
        <f t="shared" si="12"/>
        <v>Does Not Apply</v>
      </c>
      <c r="R52" s="248"/>
      <c r="S52" s="248"/>
      <c r="T52" s="248"/>
      <c r="U52" s="248"/>
      <c r="V52" s="248"/>
    </row>
    <row r="53" spans="1:22" ht="18.75" x14ac:dyDescent="0.45">
      <c r="A53" s="10" t="str">
        <f>'1.2 Budgeted Enrollment YR1'!E55</f>
        <v>Founders Academy of Las Vegas</v>
      </c>
      <c r="B53" s="551" t="str">
        <f t="shared" si="7"/>
        <v/>
      </c>
      <c r="C53" s="136">
        <f>'1.4 FY 2020 Revenue Received'!J53</f>
        <v>764.61392499999999</v>
      </c>
      <c r="D53" s="136">
        <f>'1.2 Budgeted Enrollment YR1'!G55</f>
        <v>942.31500888524988</v>
      </c>
      <c r="E53" s="215">
        <f>ROUND('2.8 Alloc of Residual Rev. YR1'!M59,0)</f>
        <v>8877402</v>
      </c>
      <c r="F53" s="570">
        <f t="shared" si="13"/>
        <v>9420.8432597310384</v>
      </c>
      <c r="H53" s="208">
        <f>'1.4 FY 2020 Revenue Received'!H53</f>
        <v>5668818.6629095022</v>
      </c>
      <c r="I53" s="570">
        <f t="shared" si="9"/>
        <v>7413.9621023897807</v>
      </c>
      <c r="K53" s="1168" t="str">
        <f t="shared" si="10"/>
        <v>Yes</v>
      </c>
      <c r="M53" s="760"/>
      <c r="N53" s="246"/>
      <c r="O53" s="248" t="str">
        <f t="shared" si="11"/>
        <v>Does Not Apply</v>
      </c>
      <c r="P53" s="244"/>
      <c r="Q53" s="249" t="str">
        <f t="shared" si="12"/>
        <v>Does Not Apply</v>
      </c>
      <c r="R53" s="248"/>
      <c r="S53" s="248"/>
      <c r="T53" s="248"/>
      <c r="U53" s="248"/>
      <c r="V53" s="248"/>
    </row>
    <row r="54" spans="1:22" ht="18.75" x14ac:dyDescent="0.45">
      <c r="A54" s="10" t="str">
        <f>'1.2 Budgeted Enrollment YR1'!E56</f>
        <v>Freedom Classical Academy</v>
      </c>
      <c r="B54" s="551" t="str">
        <f t="shared" si="7"/>
        <v/>
      </c>
      <c r="C54" s="136">
        <f>'1.4 FY 2020 Revenue Received'!J54</f>
        <v>1071.2845</v>
      </c>
      <c r="D54" s="136">
        <f>'1.2 Budgeted Enrollment YR1'!G56</f>
        <v>1044.9532334148407</v>
      </c>
      <c r="E54" s="215">
        <f>ROUND('2.8 Alloc of Residual Rev. YR1'!M60,0)</f>
        <v>10172939</v>
      </c>
      <c r="F54" s="570">
        <f t="shared" si="13"/>
        <v>9735.3055377947221</v>
      </c>
      <c r="H54" s="208">
        <f>'1.4 FY 2020 Revenue Received'!H54</f>
        <v>8142139.7054803856</v>
      </c>
      <c r="I54" s="570">
        <f t="shared" si="9"/>
        <v>7600.3523858325079</v>
      </c>
      <c r="K54" s="1168" t="str">
        <f t="shared" si="10"/>
        <v>Yes</v>
      </c>
      <c r="M54" s="760"/>
      <c r="N54" s="246"/>
      <c r="O54" s="248" t="str">
        <f t="shared" si="11"/>
        <v>Does Not Apply</v>
      </c>
      <c r="P54" s="244"/>
      <c r="Q54" s="249" t="str">
        <f t="shared" si="12"/>
        <v>Does Not Apply</v>
      </c>
      <c r="R54" s="248"/>
      <c r="S54" s="248"/>
      <c r="T54" s="248"/>
      <c r="U54" s="248"/>
      <c r="V54" s="248"/>
    </row>
    <row r="55" spans="1:22" ht="18.75" x14ac:dyDescent="0.45">
      <c r="A55" s="10" t="str">
        <f>'1.2 Budgeted Enrollment YR1'!E57</f>
        <v>Futuro Academy Elementary</v>
      </c>
      <c r="B55" s="551" t="str">
        <f t="shared" si="7"/>
        <v/>
      </c>
      <c r="C55" s="136">
        <f>'1.4 FY 2020 Revenue Received'!J55</f>
        <v>340.84044000000006</v>
      </c>
      <c r="D55" s="136">
        <f>'1.2 Budgeted Enrollment YR1'!G57</f>
        <v>463.70725498344746</v>
      </c>
      <c r="E55" s="215">
        <f>ROUND('2.8 Alloc of Residual Rev. YR1'!M61,0)</f>
        <v>5302728</v>
      </c>
      <c r="F55" s="570">
        <f t="shared" si="13"/>
        <v>11435.507948197375</v>
      </c>
      <c r="H55" s="208">
        <f>'1.4 FY 2020 Revenue Received'!H55</f>
        <v>2619248.1189276734</v>
      </c>
      <c r="I55" s="570">
        <f t="shared" si="9"/>
        <v>7684.6753246993603</v>
      </c>
      <c r="K55" s="1168" t="str">
        <f t="shared" si="10"/>
        <v>Yes</v>
      </c>
      <c r="M55" s="760"/>
      <c r="N55" s="246"/>
      <c r="O55" s="248" t="str">
        <f t="shared" si="11"/>
        <v>Does Not Apply</v>
      </c>
      <c r="P55" s="244"/>
      <c r="Q55" s="249" t="str">
        <f t="shared" si="12"/>
        <v>Does Not Apply</v>
      </c>
      <c r="R55" s="248"/>
      <c r="S55" s="248"/>
      <c r="T55" s="248"/>
      <c r="U55" s="248"/>
      <c r="V55" s="248"/>
    </row>
    <row r="56" spans="1:22" ht="18.75" x14ac:dyDescent="0.45">
      <c r="A56" s="10" t="str">
        <f>'1.2 Budgeted Enrollment YR1'!E58</f>
        <v>Girls Athletic Leadership Schools</v>
      </c>
      <c r="B56" s="551" t="str">
        <f t="shared" si="7"/>
        <v>Yes</v>
      </c>
      <c r="C56" s="136">
        <f>'1.4 FY 2020 Revenue Received'!J56</f>
        <v>0</v>
      </c>
      <c r="D56" s="136">
        <f>'1.2 Budgeted Enrollment YR1'!G58</f>
        <v>0</v>
      </c>
      <c r="E56" s="215">
        <f>ROUND('2.8 Alloc of Residual Rev. YR1'!M62,0)</f>
        <v>0</v>
      </c>
      <c r="F56" s="570">
        <f t="shared" si="13"/>
        <v>0</v>
      </c>
      <c r="H56" s="208">
        <f>'1.4 FY 2020 Revenue Received'!H56</f>
        <v>0</v>
      </c>
      <c r="I56" s="570">
        <f t="shared" si="9"/>
        <v>0</v>
      </c>
      <c r="K56" s="1168" t="str">
        <f t="shared" si="10"/>
        <v>Yes</v>
      </c>
      <c r="M56" s="760"/>
      <c r="N56" s="246"/>
      <c r="O56" s="248" t="str">
        <f t="shared" si="11"/>
        <v>Does Not Apply</v>
      </c>
      <c r="P56" s="244"/>
      <c r="Q56" s="249" t="str">
        <f t="shared" si="12"/>
        <v>Does Not Apply</v>
      </c>
      <c r="R56" s="248"/>
      <c r="S56" s="248"/>
      <c r="T56" s="248"/>
      <c r="U56" s="248"/>
      <c r="V56" s="248"/>
    </row>
    <row r="57" spans="1:22" ht="18.75" x14ac:dyDescent="0.45">
      <c r="A57" s="10" t="str">
        <f>'1.2 Budgeted Enrollment YR1'!E59</f>
        <v>High Desert Montessori</v>
      </c>
      <c r="B57" s="551" t="str">
        <f t="shared" si="7"/>
        <v/>
      </c>
      <c r="C57" s="136">
        <f>'1.4 FY 2020 Revenue Received'!J57</f>
        <v>346.239215</v>
      </c>
      <c r="D57" s="136">
        <f>'1.2 Budgeted Enrollment YR1'!G59</f>
        <v>392.33027145830016</v>
      </c>
      <c r="E57" s="215">
        <f>ROUND('2.8 Alloc of Residual Rev. YR1'!M63,0)</f>
        <v>3819291</v>
      </c>
      <c r="F57" s="570">
        <f t="shared" si="13"/>
        <v>9734.8873585604597</v>
      </c>
      <c r="H57" s="208">
        <f>'1.4 FY 2020 Revenue Received'!H57</f>
        <v>2661884.9865696384</v>
      </c>
      <c r="I57" s="570">
        <f t="shared" si="9"/>
        <v>7687.9939395935799</v>
      </c>
      <c r="K57" s="1168" t="str">
        <f t="shared" si="10"/>
        <v>Yes</v>
      </c>
      <c r="M57" s="760"/>
      <c r="N57" s="246"/>
      <c r="O57" s="248" t="str">
        <f t="shared" si="11"/>
        <v>Does Not Apply</v>
      </c>
      <c r="P57" s="244"/>
      <c r="Q57" s="249" t="str">
        <f t="shared" si="12"/>
        <v>Does Not Apply</v>
      </c>
      <c r="R57" s="248"/>
      <c r="S57" s="248"/>
      <c r="T57" s="248"/>
      <c r="U57" s="248"/>
      <c r="V57" s="248"/>
    </row>
    <row r="58" spans="1:22" ht="18.75" x14ac:dyDescent="0.45">
      <c r="A58" s="10" t="str">
        <f>'1.2 Budgeted Enrollment YR1'!E60</f>
        <v>Honors Academy of Literature</v>
      </c>
      <c r="B58" s="551" t="str">
        <f t="shared" si="7"/>
        <v/>
      </c>
      <c r="C58" s="136">
        <f>'1.4 FY 2020 Revenue Received'!J58</f>
        <v>218.46999250000002</v>
      </c>
      <c r="D58" s="136">
        <f>'1.2 Budgeted Enrollment YR1'!G60</f>
        <v>216.56435878747669</v>
      </c>
      <c r="E58" s="215">
        <f>ROUND('2.8 Alloc of Residual Rev. YR1'!M64,0)</f>
        <v>1997911</v>
      </c>
      <c r="F58" s="570">
        <f t="shared" si="13"/>
        <v>9225.4838754913981</v>
      </c>
      <c r="H58" s="208">
        <f>'1.4 FY 2020 Revenue Received'!H58</f>
        <v>1710885.8037064068</v>
      </c>
      <c r="I58" s="570">
        <f t="shared" si="9"/>
        <v>7831.2164710968564</v>
      </c>
      <c r="K58" s="1168" t="str">
        <f t="shared" si="10"/>
        <v>Yes</v>
      </c>
      <c r="M58" s="760"/>
      <c r="N58" s="246"/>
      <c r="O58" s="248" t="str">
        <f t="shared" si="11"/>
        <v>Does Not Apply</v>
      </c>
      <c r="P58" s="244"/>
      <c r="Q58" s="249" t="str">
        <f t="shared" si="12"/>
        <v>Does Not Apply</v>
      </c>
      <c r="R58" s="248"/>
      <c r="S58" s="248"/>
      <c r="T58" s="248"/>
      <c r="U58" s="248"/>
      <c r="V58" s="248"/>
    </row>
    <row r="59" spans="1:22" ht="18.75" x14ac:dyDescent="0.45">
      <c r="A59" s="10" t="str">
        <f>'1.2 Budgeted Enrollment YR1'!E61</f>
        <v>Imagine School Mountain View</v>
      </c>
      <c r="B59" s="551" t="str">
        <f t="shared" si="7"/>
        <v/>
      </c>
      <c r="C59" s="136">
        <f>'1.4 FY 2020 Revenue Received'!J59</f>
        <v>709.47592499999996</v>
      </c>
      <c r="D59" s="136">
        <f>'1.2 Budgeted Enrollment YR1'!G61</f>
        <v>671.37820674925001</v>
      </c>
      <c r="E59" s="215">
        <f>ROUND('2.8 Alloc of Residual Rev. YR1'!M65,0)</f>
        <v>6489140</v>
      </c>
      <c r="F59" s="570">
        <f t="shared" si="13"/>
        <v>9665.4016093548889</v>
      </c>
      <c r="H59" s="208">
        <f>'1.4 FY 2020 Revenue Received'!H59</f>
        <v>5418025.2167836307</v>
      </c>
      <c r="I59" s="570">
        <f t="shared" si="9"/>
        <v>7636.6583077271171</v>
      </c>
      <c r="K59" s="1168" t="str">
        <f t="shared" si="10"/>
        <v>Yes</v>
      </c>
      <c r="M59" s="760"/>
      <c r="N59" s="246"/>
      <c r="O59" s="248" t="str">
        <f t="shared" si="11"/>
        <v>Does Not Apply</v>
      </c>
      <c r="P59" s="244"/>
      <c r="Q59" s="249" t="str">
        <f t="shared" si="12"/>
        <v>Does Not Apply</v>
      </c>
      <c r="R59" s="248"/>
      <c r="S59" s="248"/>
      <c r="T59" s="248"/>
      <c r="U59" s="248"/>
      <c r="V59" s="248"/>
    </row>
    <row r="60" spans="1:22" ht="18.75" x14ac:dyDescent="0.45">
      <c r="A60" s="10" t="str">
        <f>'1.2 Budgeted Enrollment YR1'!E62</f>
        <v>Innovations Int'l Charter</v>
      </c>
      <c r="B60" s="551" t="str">
        <f t="shared" si="7"/>
        <v/>
      </c>
      <c r="C60" s="136">
        <f>'1.4 FY 2020 Revenue Received'!J60</f>
        <v>802.28936500000009</v>
      </c>
      <c r="D60" s="136">
        <f>'1.2 Budgeted Enrollment YR1'!G62</f>
        <v>737.09270922985206</v>
      </c>
      <c r="E60" s="215">
        <f>ROUND('2.8 Alloc of Residual Rev. YR1'!M66,0)</f>
        <v>7933755</v>
      </c>
      <c r="F60" s="570">
        <f t="shared" si="13"/>
        <v>10763.578177688865</v>
      </c>
      <c r="H60" s="208">
        <f>'1.4 FY 2020 Revenue Received'!H60</f>
        <v>5810173.8820857545</v>
      </c>
      <c r="I60" s="570">
        <f t="shared" si="9"/>
        <v>7241.9928962734712</v>
      </c>
      <c r="K60" s="1168" t="str">
        <f t="shared" si="10"/>
        <v>Yes</v>
      </c>
      <c r="M60" s="760"/>
      <c r="N60" s="246"/>
      <c r="O60" s="248" t="str">
        <f t="shared" si="11"/>
        <v>Does Not Apply</v>
      </c>
      <c r="P60" s="244"/>
      <c r="Q60" s="249" t="str">
        <f t="shared" si="12"/>
        <v>Does Not Apply</v>
      </c>
      <c r="R60" s="248"/>
      <c r="S60" s="248"/>
      <c r="T60" s="248"/>
      <c r="U60" s="248"/>
      <c r="V60" s="248"/>
    </row>
    <row r="61" spans="1:22" ht="18.75" x14ac:dyDescent="0.45">
      <c r="A61" s="10" t="str">
        <f>'1.2 Budgeted Enrollment YR1'!E63</f>
        <v>Leadership Academy of Nevada</v>
      </c>
      <c r="B61" s="551" t="str">
        <f t="shared" si="7"/>
        <v/>
      </c>
      <c r="C61" s="136">
        <f>'1.4 FY 2020 Revenue Received'!J61</f>
        <v>262.75737500000002</v>
      </c>
      <c r="D61" s="136">
        <f>'1.2 Budgeted Enrollment YR1'!G63</f>
        <v>267.63967675179731</v>
      </c>
      <c r="E61" s="215">
        <f>ROUND('2.8 Alloc of Residual Rev. YR1'!M67,0)</f>
        <v>2454865</v>
      </c>
      <c r="F61" s="570">
        <f t="shared" si="13"/>
        <v>9172.2760608345216</v>
      </c>
      <c r="H61" s="208">
        <f>'1.4 FY 2020 Revenue Received'!H61</f>
        <v>2119514.781194021</v>
      </c>
      <c r="I61" s="570">
        <f t="shared" si="9"/>
        <v>8066.4330780212003</v>
      </c>
      <c r="K61" s="1168" t="str">
        <f t="shared" si="10"/>
        <v>Yes</v>
      </c>
      <c r="M61" s="760"/>
      <c r="N61" s="246"/>
      <c r="O61" s="248" t="str">
        <f t="shared" si="11"/>
        <v>Does Not Apply</v>
      </c>
      <c r="P61" s="244"/>
      <c r="Q61" s="249" t="str">
        <f t="shared" si="12"/>
        <v>Does Not Apply</v>
      </c>
      <c r="R61" s="248"/>
      <c r="S61" s="248"/>
      <c r="T61" s="248"/>
      <c r="U61" s="248"/>
      <c r="V61" s="248"/>
    </row>
    <row r="62" spans="1:22" ht="18.75" x14ac:dyDescent="0.45">
      <c r="A62" s="10" t="str">
        <f>'1.2 Budgeted Enrollment YR1'!E64</f>
        <v>Learning Bridge</v>
      </c>
      <c r="B62" s="551" t="str">
        <f t="shared" si="7"/>
        <v/>
      </c>
      <c r="C62" s="136">
        <f>'1.4 FY 2020 Revenue Received'!J62</f>
        <v>180.91071249999999</v>
      </c>
      <c r="D62" s="136">
        <f>'1.2 Budgeted Enrollment YR1'!G64</f>
        <v>175.19825529226023</v>
      </c>
      <c r="E62" s="215">
        <f>ROUND('2.8 Alloc of Residual Rev. YR1'!M68,0)</f>
        <v>2286375</v>
      </c>
      <c r="F62" s="570">
        <f t="shared" si="13"/>
        <v>13050.215575411645</v>
      </c>
      <c r="H62" s="208">
        <f>'1.4 FY 2020 Revenue Received'!H62</f>
        <v>2103601.7802868322</v>
      </c>
      <c r="I62" s="570">
        <f t="shared" si="9"/>
        <v>11627.845312293668</v>
      </c>
      <c r="K62" s="1168" t="str">
        <f t="shared" si="10"/>
        <v>Yes</v>
      </c>
      <c r="M62" s="760"/>
      <c r="N62" s="246"/>
      <c r="O62" s="248" t="str">
        <f t="shared" si="11"/>
        <v>Does Not Apply</v>
      </c>
      <c r="P62" s="244"/>
      <c r="Q62" s="249" t="str">
        <f t="shared" si="12"/>
        <v>Does Not Apply</v>
      </c>
      <c r="R62" s="248"/>
      <c r="S62" s="248"/>
      <c r="T62" s="248"/>
      <c r="U62" s="248"/>
      <c r="V62" s="248"/>
    </row>
    <row r="63" spans="1:22" ht="18.75" x14ac:dyDescent="0.45">
      <c r="A63" s="10" t="str">
        <f>'1.2 Budgeted Enrollment YR1'!E65</f>
        <v>Legacy Traditional Schools</v>
      </c>
      <c r="B63" s="551" t="str">
        <f t="shared" si="7"/>
        <v/>
      </c>
      <c r="C63" s="136">
        <f>'1.4 FY 2020 Revenue Received'!J63</f>
        <v>4157.8304200000002</v>
      </c>
      <c r="D63" s="136">
        <f>'1.2 Budgeted Enrollment YR1'!G65</f>
        <v>4014.3643229322638</v>
      </c>
      <c r="E63" s="215">
        <f>ROUND('2.8 Alloc of Residual Rev. YR1'!M69,0)</f>
        <v>37809537</v>
      </c>
      <c r="F63" s="570">
        <f t="shared" si="13"/>
        <v>9418.5614354957925</v>
      </c>
      <c r="H63" s="208">
        <f>'1.4 FY 2020 Revenue Received'!H63</f>
        <v>30660605.179457314</v>
      </c>
      <c r="I63" s="570">
        <f t="shared" si="9"/>
        <v>7374.1836684761456</v>
      </c>
      <c r="K63" s="1168" t="str">
        <f t="shared" si="10"/>
        <v>Yes</v>
      </c>
      <c r="M63" s="760"/>
      <c r="N63" s="246"/>
      <c r="O63" s="248" t="str">
        <f t="shared" si="11"/>
        <v>Does Not Apply</v>
      </c>
      <c r="P63" s="244"/>
      <c r="Q63" s="249" t="str">
        <f t="shared" si="12"/>
        <v>Does Not Apply</v>
      </c>
      <c r="R63" s="248"/>
      <c r="S63" s="248"/>
      <c r="T63" s="248"/>
      <c r="U63" s="248"/>
      <c r="V63" s="248"/>
    </row>
    <row r="64" spans="1:22" ht="18.75" x14ac:dyDescent="0.45">
      <c r="A64" s="10" t="str">
        <f>'1.2 Budgeted Enrollment YR1'!E66</f>
        <v>Mariposa Dual Language Academy</v>
      </c>
      <c r="B64" s="551" t="str">
        <f t="shared" si="7"/>
        <v/>
      </c>
      <c r="C64" s="136">
        <f>'1.4 FY 2020 Revenue Received'!J64</f>
        <v>141.298315</v>
      </c>
      <c r="D64" s="136">
        <f>'1.2 Budgeted Enrollment YR1'!G66</f>
        <v>160.16230530300001</v>
      </c>
      <c r="E64" s="215">
        <f>ROUND('2.8 Alloc of Residual Rev. YR1'!M70,0)</f>
        <v>1711861</v>
      </c>
      <c r="F64" s="570">
        <f t="shared" si="13"/>
        <v>10688.288962633551</v>
      </c>
      <c r="H64" s="208">
        <f>'1.4 FY 2020 Revenue Received'!H64</f>
        <v>1264706.2771841914</v>
      </c>
      <c r="I64" s="570">
        <f t="shared" si="9"/>
        <v>8950.611174550746</v>
      </c>
      <c r="K64" s="1168" t="str">
        <f t="shared" si="10"/>
        <v>Yes</v>
      </c>
      <c r="M64" s="760"/>
      <c r="N64" s="246"/>
      <c r="O64" s="248" t="str">
        <f t="shared" si="11"/>
        <v>Does Not Apply</v>
      </c>
      <c r="P64" s="244"/>
      <c r="Q64" s="249" t="str">
        <f t="shared" si="12"/>
        <v>Does Not Apply</v>
      </c>
      <c r="R64" s="248"/>
      <c r="S64" s="248"/>
      <c r="T64" s="248"/>
      <c r="U64" s="248"/>
      <c r="V64" s="248"/>
    </row>
    <row r="65" spans="1:22" ht="18.75" x14ac:dyDescent="0.45">
      <c r="A65" s="10" t="str">
        <f>'1.2 Budgeted Enrollment YR1'!E67</f>
        <v>Mater Academy</v>
      </c>
      <c r="B65" s="551" t="str">
        <f t="shared" si="7"/>
        <v/>
      </c>
      <c r="C65" s="136">
        <f>'1.4 FY 2020 Revenue Received'!J65</f>
        <v>1973.4592965000002</v>
      </c>
      <c r="D65" s="136">
        <f>'1.2 Budgeted Enrollment YR1'!G67</f>
        <v>3957.4480253588026</v>
      </c>
      <c r="E65" s="215">
        <f>ROUND('2.8 Alloc of Residual Rev. YR1'!M71,0)</f>
        <v>41913698</v>
      </c>
      <c r="F65" s="570">
        <f t="shared" si="13"/>
        <v>10591.092474600444</v>
      </c>
      <c r="H65" s="208">
        <f>'1.4 FY 2020 Revenue Received'!H65</f>
        <v>16298030.436630471</v>
      </c>
      <c r="I65" s="570">
        <f t="shared" si="9"/>
        <v>8258.6098763402952</v>
      </c>
      <c r="K65" s="1168" t="str">
        <f t="shared" si="10"/>
        <v>Yes</v>
      </c>
      <c r="M65" s="760"/>
      <c r="N65" s="246"/>
      <c r="O65" s="248" t="str">
        <f t="shared" si="11"/>
        <v>Does Not Apply</v>
      </c>
      <c r="P65" s="244"/>
      <c r="Q65" s="249" t="str">
        <f t="shared" si="12"/>
        <v>Does Not Apply</v>
      </c>
      <c r="R65" s="248"/>
      <c r="S65" s="248"/>
      <c r="T65" s="248"/>
      <c r="U65" s="248"/>
      <c r="V65" s="248"/>
    </row>
    <row r="66" spans="1:22" ht="18.75" x14ac:dyDescent="0.45">
      <c r="A66" s="10" t="str">
        <f>'1.2 Budgeted Enrollment YR1'!E68</f>
        <v>Mater Academy of Northern Nevada</v>
      </c>
      <c r="B66" s="551" t="str">
        <f t="shared" si="7"/>
        <v/>
      </c>
      <c r="C66" s="136">
        <f>'1.4 FY 2020 Revenue Received'!J66</f>
        <v>347.39350000000002</v>
      </c>
      <c r="D66" s="136">
        <f>'1.2 Budgeted Enrollment YR1'!G68</f>
        <v>491.47528742099291</v>
      </c>
      <c r="E66" s="215">
        <f>ROUND('2.8 Alloc of Residual Rev. YR1'!M72,0)</f>
        <v>5094770</v>
      </c>
      <c r="F66" s="570">
        <f t="shared" si="13"/>
        <v>10366.279099677031</v>
      </c>
      <c r="H66" s="208">
        <f>'1.4 FY 2020 Revenue Received'!H66</f>
        <v>2974095.9272914366</v>
      </c>
      <c r="I66" s="570">
        <f t="shared" si="9"/>
        <v>8561.1732150758035</v>
      </c>
      <c r="K66" s="1168" t="str">
        <f t="shared" si="10"/>
        <v>Yes</v>
      </c>
      <c r="M66" s="760"/>
      <c r="N66" s="246"/>
      <c r="O66" s="248" t="str">
        <f t="shared" si="11"/>
        <v>Does Not Apply</v>
      </c>
      <c r="P66" s="244"/>
      <c r="Q66" s="249" t="str">
        <f t="shared" si="12"/>
        <v>Does Not Apply</v>
      </c>
      <c r="R66" s="248"/>
      <c r="S66" s="248"/>
      <c r="T66" s="248"/>
      <c r="U66" s="248"/>
      <c r="V66" s="248"/>
    </row>
    <row r="67" spans="1:22" ht="18.75" x14ac:dyDescent="0.45">
      <c r="A67" s="10" t="str">
        <f>'1.2 Budgeted Enrollment YR1'!E69</f>
        <v>Nevada Connections Academy</v>
      </c>
      <c r="B67" s="551" t="str">
        <f t="shared" si="7"/>
        <v/>
      </c>
      <c r="C67" s="136">
        <f>'1.4 FY 2020 Revenue Received'!J67</f>
        <v>3282.6674575360644</v>
      </c>
      <c r="D67" s="136">
        <f>'1.2 Budgeted Enrollment YR1'!G69</f>
        <v>1065.9410335586765</v>
      </c>
      <c r="E67" s="215">
        <f>ROUND('2.8 Alloc of Residual Rev. YR1'!M73,0)</f>
        <v>9758232</v>
      </c>
      <c r="F67" s="570">
        <f t="shared" si="13"/>
        <v>9154.5701805116241</v>
      </c>
      <c r="H67" s="208">
        <f>'1.4 FY 2020 Revenue Received'!H67</f>
        <v>26749623.619163226</v>
      </c>
      <c r="I67" s="570">
        <f t="shared" si="9"/>
        <v>8148.7460929841527</v>
      </c>
      <c r="K67" s="1168" t="str">
        <f t="shared" si="10"/>
        <v>Yes</v>
      </c>
      <c r="M67" s="760"/>
      <c r="N67" s="246"/>
      <c r="O67" s="248" t="str">
        <f t="shared" si="11"/>
        <v>Does Not Apply</v>
      </c>
      <c r="P67" s="244"/>
      <c r="Q67" s="249" t="str">
        <f t="shared" si="12"/>
        <v>Does Not Apply</v>
      </c>
      <c r="R67" s="248"/>
      <c r="S67" s="248"/>
      <c r="T67" s="248"/>
      <c r="U67" s="248"/>
      <c r="V67" s="248"/>
    </row>
    <row r="68" spans="1:22" ht="18.75" x14ac:dyDescent="0.45">
      <c r="A68" s="10" t="str">
        <f>'1.2 Budgeted Enrollment YR1'!E70</f>
        <v>Nevada Prep</v>
      </c>
      <c r="B68" s="551" t="str">
        <f t="shared" si="7"/>
        <v/>
      </c>
      <c r="C68" s="136">
        <f>'1.4 FY 2020 Revenue Received'!J68</f>
        <v>207.55364499999999</v>
      </c>
      <c r="D68" s="136">
        <f>'1.2 Budgeted Enrollment YR1'!G70</f>
        <v>281.33643740972769</v>
      </c>
      <c r="E68" s="215">
        <f>ROUND('2.8 Alloc of Residual Rev. YR1'!M74,0)</f>
        <v>2945399</v>
      </c>
      <c r="F68" s="570">
        <f t="shared" si="13"/>
        <v>10469.312212518114</v>
      </c>
      <c r="H68" s="208">
        <f>'1.4 FY 2020 Revenue Received'!H68</f>
        <v>1524042.3583890153</v>
      </c>
      <c r="I68" s="570">
        <f t="shared" si="9"/>
        <v>7342.8840933582032</v>
      </c>
      <c r="K68" s="1168" t="str">
        <f t="shared" si="10"/>
        <v>Yes</v>
      </c>
      <c r="M68" s="760"/>
      <c r="N68" s="246"/>
      <c r="O68" s="248" t="str">
        <f t="shared" si="11"/>
        <v>Does Not Apply</v>
      </c>
      <c r="P68" s="244"/>
      <c r="Q68" s="249" t="str">
        <f t="shared" si="12"/>
        <v>Does Not Apply</v>
      </c>
      <c r="R68" s="248"/>
      <c r="S68" s="248"/>
      <c r="T68" s="248"/>
      <c r="U68" s="248"/>
      <c r="V68" s="248"/>
    </row>
    <row r="69" spans="1:22" ht="18.75" x14ac:dyDescent="0.45">
      <c r="A69" s="10" t="str">
        <f>'1.2 Budgeted Enrollment YR1'!E71</f>
        <v xml:space="preserve">Nevada Rise </v>
      </c>
      <c r="B69" s="551" t="str">
        <f t="shared" si="7"/>
        <v/>
      </c>
      <c r="C69" s="136">
        <f>'1.4 FY 2020 Revenue Received'!J69</f>
        <v>224.46602000000001</v>
      </c>
      <c r="D69" s="136">
        <f>'1.2 Budgeted Enrollment YR1'!G71</f>
        <v>457.90871082754296</v>
      </c>
      <c r="E69" s="215">
        <f>ROUND('2.8 Alloc of Residual Rev. YR1'!M75,0)</f>
        <v>4782839</v>
      </c>
      <c r="F69" s="570">
        <f t="shared" si="13"/>
        <v>10444.961816420451</v>
      </c>
      <c r="H69" s="208">
        <f>'1.4 FY 2020 Revenue Received'!H69</f>
        <v>1721040.7639197428</v>
      </c>
      <c r="I69" s="570">
        <f t="shared" si="9"/>
        <v>7667.2663591564669</v>
      </c>
      <c r="K69" s="1168" t="str">
        <f t="shared" si="10"/>
        <v>Yes</v>
      </c>
      <c r="M69" s="760"/>
      <c r="N69" s="246"/>
      <c r="O69" s="248" t="str">
        <f t="shared" si="11"/>
        <v>Does Not Apply</v>
      </c>
      <c r="P69" s="244"/>
      <c r="Q69" s="249" t="str">
        <f t="shared" si="12"/>
        <v>Does Not Apply</v>
      </c>
      <c r="R69" s="248"/>
      <c r="S69" s="248"/>
      <c r="T69" s="248"/>
      <c r="U69" s="248"/>
      <c r="V69" s="248"/>
    </row>
    <row r="70" spans="1:22" ht="18.75" x14ac:dyDescent="0.45">
      <c r="A70" s="10" t="str">
        <f>'1.2 Budgeted Enrollment YR1'!E72</f>
        <v>Nevada State High School</v>
      </c>
      <c r="B70" s="551" t="str">
        <f t="shared" si="7"/>
        <v/>
      </c>
      <c r="C70" s="136">
        <f>'1.4 FY 2020 Revenue Received'!J70</f>
        <v>738.88392750000003</v>
      </c>
      <c r="D70" s="136">
        <f>'1.2 Budgeted Enrollment YR1'!G72</f>
        <v>983.31703457725234</v>
      </c>
      <c r="E70" s="215">
        <f>ROUND('2.8 Alloc of Residual Rev. YR1'!M76,0)</f>
        <v>9012144</v>
      </c>
      <c r="F70" s="570">
        <f t="shared" si="13"/>
        <v>9165.0441140526982</v>
      </c>
      <c r="H70" s="208">
        <f>'1.4 FY 2020 Revenue Received'!H70</f>
        <v>5698376.6619613161</v>
      </c>
      <c r="I70" s="570">
        <f t="shared" si="9"/>
        <v>7712.1404998504531</v>
      </c>
      <c r="K70" s="1168" t="str">
        <f t="shared" si="10"/>
        <v>Yes</v>
      </c>
      <c r="M70" s="760"/>
      <c r="N70" s="246"/>
      <c r="O70" s="248" t="str">
        <f t="shared" si="11"/>
        <v>Does Not Apply</v>
      </c>
      <c r="P70" s="244"/>
      <c r="Q70" s="249" t="str">
        <f t="shared" si="12"/>
        <v>Does Not Apply</v>
      </c>
      <c r="R70" s="248"/>
      <c r="S70" s="248"/>
      <c r="T70" s="248"/>
      <c r="U70" s="248"/>
      <c r="V70" s="248"/>
    </row>
    <row r="71" spans="1:22" ht="18.75" x14ac:dyDescent="0.45">
      <c r="A71" s="10" t="str">
        <f>'1.2 Budgeted Enrollment YR1'!E73</f>
        <v>Nevada State High School-Meadowwood</v>
      </c>
      <c r="B71" s="551" t="str">
        <f t="shared" si="7"/>
        <v/>
      </c>
      <c r="C71" s="136">
        <f>'1.4 FY 2020 Revenue Received'!J71</f>
        <v>53.673810000000003</v>
      </c>
      <c r="D71" s="136">
        <f>'1.2 Budgeted Enrollment YR1'!G73</f>
        <v>31.821411371749999</v>
      </c>
      <c r="E71" s="215">
        <f>ROUND('2.8 Alloc of Residual Rev. YR1'!M77,0)</f>
        <v>285788</v>
      </c>
      <c r="F71" s="570">
        <f t="shared" si="13"/>
        <v>8980.9969979431262</v>
      </c>
      <c r="H71" s="208">
        <f>'1.4 FY 2020 Revenue Received'!H71</f>
        <v>411580.22573416005</v>
      </c>
      <c r="I71" s="570">
        <f t="shared" si="9"/>
        <v>7668.1760757091779</v>
      </c>
      <c r="K71" s="1168" t="str">
        <f t="shared" si="10"/>
        <v>Yes</v>
      </c>
      <c r="M71" s="760"/>
      <c r="N71" s="246"/>
      <c r="O71" s="248" t="str">
        <f t="shared" si="11"/>
        <v>Does Not Apply</v>
      </c>
      <c r="P71" s="244"/>
      <c r="Q71" s="249" t="str">
        <f t="shared" si="12"/>
        <v>Does Not Apply</v>
      </c>
      <c r="R71" s="248"/>
      <c r="S71" s="248"/>
      <c r="T71" s="248"/>
      <c r="U71" s="248"/>
      <c r="V71" s="248"/>
    </row>
    <row r="72" spans="1:22" ht="18.75" x14ac:dyDescent="0.45">
      <c r="A72" s="10" t="str">
        <f>'1.2 Budgeted Enrollment YR1'!E74</f>
        <v>Nevada Virtual Academy</v>
      </c>
      <c r="B72" s="551" t="str">
        <f t="shared" si="7"/>
        <v/>
      </c>
      <c r="C72" s="136">
        <f>'1.4 FY 2020 Revenue Received'!J72</f>
        <v>1486.74559</v>
      </c>
      <c r="D72" s="136">
        <f>'1.2 Budgeted Enrollment YR1'!G74</f>
        <v>2158.3957640639396</v>
      </c>
      <c r="E72" s="215">
        <f>ROUND('2.8 Alloc of Residual Rev. YR1'!M78,0)</f>
        <v>20226984</v>
      </c>
      <c r="F72" s="570">
        <f t="shared" si="13"/>
        <v>9371.3045293952873</v>
      </c>
      <c r="H72" s="208">
        <f>'1.4 FY 2020 Revenue Received'!H72</f>
        <v>11537545.738864614</v>
      </c>
      <c r="I72" s="570">
        <f t="shared" si="9"/>
        <v>7760.2690174212075</v>
      </c>
      <c r="K72" s="1168" t="str">
        <f t="shared" si="10"/>
        <v>Yes</v>
      </c>
      <c r="M72" s="760"/>
      <c r="N72" s="246"/>
      <c r="O72" s="248" t="str">
        <f t="shared" si="11"/>
        <v>Does Not Apply</v>
      </c>
      <c r="P72" s="244"/>
      <c r="Q72" s="249" t="str">
        <f t="shared" si="12"/>
        <v>Does Not Apply</v>
      </c>
      <c r="R72" s="248"/>
      <c r="S72" s="248"/>
      <c r="T72" s="248"/>
      <c r="U72" s="248"/>
      <c r="V72" s="248"/>
    </row>
    <row r="73" spans="1:22" ht="18.75" x14ac:dyDescent="0.45">
      <c r="A73" s="10" t="str">
        <f>'1.2 Budgeted Enrollment YR1'!E75</f>
        <v>Oasis Academy</v>
      </c>
      <c r="B73" s="551" t="str">
        <f t="shared" si="7"/>
        <v/>
      </c>
      <c r="C73" s="136">
        <f>'1.4 FY 2020 Revenue Received'!J73</f>
        <v>638.00608999999997</v>
      </c>
      <c r="D73" s="136">
        <f>'1.2 Budgeted Enrollment YR1'!G75</f>
        <v>734.20464267162504</v>
      </c>
      <c r="E73" s="215">
        <f>ROUND('2.8 Alloc of Residual Rev. YR1'!M79,0)</f>
        <v>7896403</v>
      </c>
      <c r="F73" s="570">
        <f t="shared" si="13"/>
        <v>10755.043677286698</v>
      </c>
      <c r="H73" s="208">
        <f>'1.4 FY 2020 Revenue Received'!H73</f>
        <v>5553083.1445088536</v>
      </c>
      <c r="I73" s="570">
        <f t="shared" si="9"/>
        <v>8703.8089942195602</v>
      </c>
      <c r="K73" s="1168" t="str">
        <f t="shared" si="10"/>
        <v>Yes</v>
      </c>
      <c r="M73" s="760"/>
      <c r="N73" s="246"/>
      <c r="O73" s="248" t="str">
        <f t="shared" si="11"/>
        <v>Does Not Apply</v>
      </c>
      <c r="P73" s="244"/>
      <c r="Q73" s="249" t="str">
        <f t="shared" si="12"/>
        <v>Does Not Apply</v>
      </c>
      <c r="R73" s="248"/>
      <c r="S73" s="248"/>
      <c r="T73" s="248"/>
      <c r="U73" s="248"/>
      <c r="V73" s="248"/>
    </row>
    <row r="74" spans="1:22" ht="18.75" x14ac:dyDescent="0.45">
      <c r="A74" s="10" t="str">
        <f>'1.2 Budgeted Enrollment YR1'!E76</f>
        <v>Odyssey Charter Schools</v>
      </c>
      <c r="B74" s="551" t="str">
        <f t="shared" si="7"/>
        <v/>
      </c>
      <c r="C74" s="136">
        <f>'1.4 FY 2020 Revenue Received'!J74</f>
        <v>2198.2159775</v>
      </c>
      <c r="D74" s="136">
        <f>'1.2 Budgeted Enrollment YR1'!G76</f>
        <v>2325.2299469256354</v>
      </c>
      <c r="E74" s="215">
        <f>ROUND('2.8 Alloc of Residual Rev. YR1'!M80,0)</f>
        <v>24361088</v>
      </c>
      <c r="F74" s="570">
        <f t="shared" si="13"/>
        <v>10476.851131308395</v>
      </c>
      <c r="H74" s="208">
        <f>'1.4 FY 2020 Revenue Received'!H74</f>
        <v>15953828.928174073</v>
      </c>
      <c r="I74" s="570">
        <f t="shared" si="9"/>
        <v>7257.6257708390131</v>
      </c>
      <c r="K74" s="1168" t="str">
        <f t="shared" si="10"/>
        <v>Yes</v>
      </c>
      <c r="M74" s="760"/>
      <c r="N74" s="246"/>
      <c r="O74" s="248" t="str">
        <f t="shared" si="11"/>
        <v>Does Not Apply</v>
      </c>
      <c r="P74" s="244"/>
      <c r="Q74" s="249" t="str">
        <f t="shared" si="12"/>
        <v>Does Not Apply</v>
      </c>
      <c r="R74" s="248"/>
      <c r="S74" s="248"/>
      <c r="T74" s="248"/>
      <c r="U74" s="248"/>
      <c r="V74" s="248"/>
    </row>
    <row r="75" spans="1:22" ht="18.75" x14ac:dyDescent="0.45">
      <c r="A75" s="10" t="str">
        <f>'1.2 Budgeted Enrollment YR1'!E77</f>
        <v>Pinecrest Academy of Northern Nevada</v>
      </c>
      <c r="B75" s="551" t="str">
        <f t="shared" si="7"/>
        <v>Yes</v>
      </c>
      <c r="C75" s="136">
        <f>'1.4 FY 2020 Revenue Received'!J75</f>
        <v>0</v>
      </c>
      <c r="D75" s="136">
        <f>'1.2 Budgeted Enrollment YR1'!G77</f>
        <v>926.97453717270901</v>
      </c>
      <c r="E75" s="215">
        <f>ROUND('2.8 Alloc of Residual Rev. YR1'!M81,0)</f>
        <v>8578690</v>
      </c>
      <c r="F75" s="570">
        <f t="shared" si="13"/>
        <v>9254.5044723290648</v>
      </c>
      <c r="H75" s="208">
        <f>'1.4 FY 2020 Revenue Received'!H75</f>
        <v>0</v>
      </c>
      <c r="I75" s="570">
        <f t="shared" si="9"/>
        <v>0</v>
      </c>
      <c r="K75" s="1168" t="str">
        <f t="shared" si="10"/>
        <v>Yes</v>
      </c>
      <c r="M75" s="760"/>
      <c r="N75" s="246"/>
      <c r="O75" s="248" t="str">
        <f t="shared" si="11"/>
        <v>Does Not Apply</v>
      </c>
      <c r="P75" s="244"/>
      <c r="Q75" s="249" t="str">
        <f t="shared" si="12"/>
        <v>Does Not Apply</v>
      </c>
      <c r="R75" s="248"/>
      <c r="S75" s="248"/>
      <c r="T75" s="248"/>
      <c r="U75" s="248"/>
      <c r="V75" s="248"/>
    </row>
    <row r="76" spans="1:22" ht="18.75" x14ac:dyDescent="0.45">
      <c r="A76" s="10" t="str">
        <f>'1.2 Budgeted Enrollment YR1'!E78</f>
        <v>Pinecrest Academy of Nevada</v>
      </c>
      <c r="B76" s="551" t="str">
        <f t="shared" si="7"/>
        <v/>
      </c>
      <c r="C76" s="136">
        <f>'1.4 FY 2020 Revenue Received'!J76</f>
        <v>5968.9445674999997</v>
      </c>
      <c r="D76" s="136">
        <f>'1.2 Budgeted Enrollment YR1'!G78</f>
        <v>7406.4449235623106</v>
      </c>
      <c r="E76" s="215">
        <f>ROUND('2.8 Alloc of Residual Rev. YR1'!M82,0)</f>
        <v>69332230</v>
      </c>
      <c r="F76" s="570">
        <f t="shared" si="13"/>
        <v>9361.0673832774519</v>
      </c>
      <c r="H76" s="208">
        <f>'1.4 FY 2020 Revenue Received'!H76</f>
        <v>44296208.24187801</v>
      </c>
      <c r="I76" s="570">
        <f t="shared" si="9"/>
        <v>7421.112349252523</v>
      </c>
      <c r="K76" s="1168" t="str">
        <f t="shared" si="10"/>
        <v>Yes</v>
      </c>
      <c r="M76" s="760"/>
      <c r="N76" s="246"/>
      <c r="O76" s="248" t="str">
        <f t="shared" si="11"/>
        <v>Does Not Apply</v>
      </c>
      <c r="P76" s="244"/>
      <c r="Q76" s="249" t="str">
        <f t="shared" si="12"/>
        <v>Does Not Apply</v>
      </c>
      <c r="R76" s="248"/>
      <c r="S76" s="248"/>
      <c r="T76" s="248"/>
      <c r="U76" s="248"/>
      <c r="V76" s="248"/>
    </row>
    <row r="77" spans="1:22" ht="18.75" x14ac:dyDescent="0.45">
      <c r="A77" s="10" t="str">
        <f>'1.2 Budgeted Enrollment YR1'!E79</f>
        <v>Quest Academy</v>
      </c>
      <c r="B77" s="551" t="str">
        <f t="shared" si="7"/>
        <v/>
      </c>
      <c r="C77" s="136">
        <f>'1.4 FY 2020 Revenue Received'!J77</f>
        <v>473.36828499999996</v>
      </c>
      <c r="D77" s="136">
        <f>'1.2 Budgeted Enrollment YR1'!G79</f>
        <v>434.86954084714142</v>
      </c>
      <c r="E77" s="215">
        <f>ROUND('2.8 Alloc of Residual Rev. YR1'!M83,0)</f>
        <v>4221277</v>
      </c>
      <c r="F77" s="570">
        <f t="shared" si="13"/>
        <v>9706.9962448434562</v>
      </c>
      <c r="H77" s="208">
        <f>'1.4 FY 2020 Revenue Received'!H77</f>
        <v>3726085.0464330581</v>
      </c>
      <c r="I77" s="570">
        <f t="shared" si="9"/>
        <v>7871.4294229345305</v>
      </c>
      <c r="K77" s="1168" t="str">
        <f t="shared" si="10"/>
        <v>Yes</v>
      </c>
      <c r="M77" s="760"/>
      <c r="N77" s="246"/>
      <c r="O77" s="248" t="str">
        <f t="shared" si="11"/>
        <v>Does Not Apply</v>
      </c>
      <c r="P77" s="244"/>
      <c r="Q77" s="249" t="str">
        <f t="shared" si="12"/>
        <v>Does Not Apply</v>
      </c>
      <c r="R77" s="248"/>
      <c r="S77" s="248"/>
      <c r="T77" s="248"/>
      <c r="U77" s="248"/>
      <c r="V77" s="248"/>
    </row>
    <row r="78" spans="1:22" ht="18.75" x14ac:dyDescent="0.45">
      <c r="A78" s="10" t="str">
        <f>'1.2 Budgeted Enrollment YR1'!E80</f>
        <v>Rainbow Dreams Academy</v>
      </c>
      <c r="B78" s="551" t="str">
        <f t="shared" si="7"/>
        <v/>
      </c>
      <c r="C78" s="136">
        <f>'1.4 FY 2020 Revenue Received'!J78</f>
        <v>309.1138657125</v>
      </c>
      <c r="D78" s="136">
        <f>'1.2 Budgeted Enrollment YR1'!G80</f>
        <v>70.235302237100015</v>
      </c>
      <c r="E78" s="215">
        <f>ROUND('2.8 Alloc of Residual Rev. YR1'!M84,0)</f>
        <v>810691</v>
      </c>
      <c r="F78" s="570">
        <f t="shared" si="13"/>
        <v>11542.500340687266</v>
      </c>
      <c r="H78" s="208">
        <f>'1.4 FY 2020 Revenue Received'!H78</f>
        <v>2238632.8303267565</v>
      </c>
      <c r="I78" s="570">
        <f t="shared" si="9"/>
        <v>7242.0977466240856</v>
      </c>
      <c r="K78" s="1168" t="str">
        <f t="shared" si="10"/>
        <v>Yes</v>
      </c>
      <c r="M78" s="760"/>
      <c r="N78" s="246"/>
      <c r="O78" s="248" t="str">
        <f t="shared" si="11"/>
        <v>Does Not Apply</v>
      </c>
      <c r="P78" s="244"/>
      <c r="Q78" s="249" t="str">
        <f t="shared" si="12"/>
        <v>Does Not Apply</v>
      </c>
      <c r="R78" s="248"/>
      <c r="S78" s="248"/>
      <c r="T78" s="248"/>
      <c r="U78" s="248"/>
      <c r="V78" s="248"/>
    </row>
    <row r="79" spans="1:22" ht="18.75" x14ac:dyDescent="0.45">
      <c r="A79" s="10" t="str">
        <f>'1.2 Budgeted Enrollment YR1'!E81</f>
        <v>Rooted Charter School</v>
      </c>
      <c r="B79" s="551" t="str">
        <f t="shared" si="7"/>
        <v>Yes</v>
      </c>
      <c r="C79" s="136">
        <f>'1.4 FY 2020 Revenue Received'!J79</f>
        <v>0</v>
      </c>
      <c r="D79" s="136">
        <f>'1.2 Budgeted Enrollment YR1'!G81</f>
        <v>180</v>
      </c>
      <c r="E79" s="215">
        <f>ROUND('2.8 Alloc of Residual Rev. YR1'!M85,0)</f>
        <v>1616581</v>
      </c>
      <c r="F79" s="570">
        <f t="shared" ref="F79" si="14">IF(D79=0,0,E79/D79)</f>
        <v>8981.0055555555555</v>
      </c>
      <c r="H79" s="208">
        <f>'1.4 FY 2020 Revenue Received'!H79</f>
        <v>0</v>
      </c>
      <c r="I79" s="570">
        <f t="shared" ref="I79" si="15">IF(C79=0,0,H79/C79)</f>
        <v>0</v>
      </c>
      <c r="K79" s="1168" t="str">
        <f t="shared" si="10"/>
        <v>Yes</v>
      </c>
      <c r="M79" s="760"/>
      <c r="N79" s="246"/>
      <c r="O79" s="248" t="str">
        <f t="shared" ref="O79" si="16">IF(M79&gt;H79,"Yes","Does Not Apply")</f>
        <v>Does Not Apply</v>
      </c>
      <c r="P79" s="244"/>
      <c r="Q79" s="249" t="str">
        <f t="shared" ref="Q79" si="17">IF(O79&gt;K79,"Yes","Does Not Apply")</f>
        <v>Does Not Apply</v>
      </c>
      <c r="R79" s="248"/>
      <c r="S79" s="248"/>
      <c r="T79" s="248"/>
      <c r="U79" s="248"/>
      <c r="V79" s="248"/>
    </row>
    <row r="80" spans="1:22" ht="18.75" x14ac:dyDescent="0.45">
      <c r="A80" s="10" t="str">
        <f>'1.2 Budgeted Enrollment YR1'!E82</f>
        <v>Sage Collegiate Academy</v>
      </c>
      <c r="B80" s="551" t="str">
        <f t="shared" si="7"/>
        <v>Yes</v>
      </c>
      <c r="C80" s="136">
        <f>'1.4 FY 2020 Revenue Received'!J80</f>
        <v>0</v>
      </c>
      <c r="D80" s="136">
        <f>'1.2 Budgeted Enrollment YR1'!G82</f>
        <v>198.87805865204777</v>
      </c>
      <c r="E80" s="215">
        <f>ROUND('2.8 Alloc of Residual Rev. YR1'!M86,0)</f>
        <v>1858871</v>
      </c>
      <c r="F80" s="570">
        <f t="shared" si="13"/>
        <v>9346.7877381699291</v>
      </c>
      <c r="H80" s="208">
        <f>'1.4 FY 2020 Revenue Received'!H80</f>
        <v>0</v>
      </c>
      <c r="I80" s="570">
        <f t="shared" si="9"/>
        <v>0</v>
      </c>
      <c r="K80" s="1168" t="str">
        <f t="shared" si="10"/>
        <v>Yes</v>
      </c>
      <c r="M80" s="760"/>
      <c r="N80" s="246"/>
      <c r="O80" s="248" t="str">
        <f t="shared" si="11"/>
        <v>Does Not Apply</v>
      </c>
      <c r="P80" s="244"/>
      <c r="Q80" s="249" t="str">
        <f t="shared" si="12"/>
        <v>Does Not Apply</v>
      </c>
      <c r="R80" s="248"/>
      <c r="S80" s="248"/>
      <c r="T80" s="248"/>
      <c r="U80" s="248"/>
      <c r="V80" s="248"/>
    </row>
    <row r="81" spans="1:22" ht="18.75" x14ac:dyDescent="0.45">
      <c r="A81" s="10" t="str">
        <f>'1.2 Budgeted Enrollment YR1'!E83</f>
        <v>Sierra Nevada Academy Charter</v>
      </c>
      <c r="B81" s="551" t="str">
        <f t="shared" si="7"/>
        <v/>
      </c>
      <c r="C81" s="136">
        <f>'1.4 FY 2020 Revenue Received'!J81</f>
        <v>383.22259250000002</v>
      </c>
      <c r="D81" s="136">
        <f>'1.2 Budgeted Enrollment YR1'!G83</f>
        <v>323.96493651869849</v>
      </c>
      <c r="E81" s="215">
        <f>ROUND('2.8 Alloc of Residual Rev. YR1'!M87,0)</f>
        <v>3440000</v>
      </c>
      <c r="F81" s="570">
        <f t="shared" si="13"/>
        <v>10618.433084042881</v>
      </c>
      <c r="H81" s="208">
        <f>'1.4 FY 2020 Revenue Received'!H81</f>
        <v>3076925.349553898</v>
      </c>
      <c r="I81" s="570">
        <f t="shared" si="9"/>
        <v>8029.0812957586731</v>
      </c>
      <c r="K81" s="1168" t="str">
        <f t="shared" si="10"/>
        <v>Yes</v>
      </c>
      <c r="M81" s="760"/>
      <c r="N81" s="246"/>
      <c r="O81" s="248" t="str">
        <f t="shared" si="11"/>
        <v>Does Not Apply</v>
      </c>
      <c r="P81" s="244"/>
      <c r="Q81" s="249" t="str">
        <f t="shared" si="12"/>
        <v>Does Not Apply</v>
      </c>
      <c r="R81" s="248"/>
      <c r="S81" s="248"/>
      <c r="T81" s="248"/>
      <c r="U81" s="248"/>
      <c r="V81" s="248"/>
    </row>
    <row r="82" spans="1:22" ht="18.75" x14ac:dyDescent="0.45">
      <c r="A82" s="10" t="str">
        <f>'1.2 Budgeted Enrollment YR1'!E84</f>
        <v>Signature Preparatory</v>
      </c>
      <c r="B82" s="551" t="str">
        <f t="shared" si="7"/>
        <v/>
      </c>
      <c r="C82" s="136">
        <f>'1.4 FY 2020 Revenue Received'!J82</f>
        <v>558.54129249999994</v>
      </c>
      <c r="D82" s="136">
        <f>'1.2 Budgeted Enrollment YR1'!G84</f>
        <v>973.67545181721823</v>
      </c>
      <c r="E82" s="215">
        <f>ROUND('2.8 Alloc of Residual Rev. YR1'!M88,0)</f>
        <v>9354549</v>
      </c>
      <c r="F82" s="570">
        <f t="shared" si="13"/>
        <v>9607.4610719014709</v>
      </c>
      <c r="H82" s="208">
        <f>'1.4 FY 2020 Revenue Received'!H82</f>
        <v>4130437.8255527085</v>
      </c>
      <c r="I82" s="570">
        <f t="shared" si="9"/>
        <v>7395.0447012880586</v>
      </c>
      <c r="K82" s="1168" t="str">
        <f t="shared" si="10"/>
        <v>Yes</v>
      </c>
      <c r="M82" s="760"/>
      <c r="N82" s="246"/>
      <c r="O82" s="248" t="str">
        <f t="shared" si="11"/>
        <v>Does Not Apply</v>
      </c>
      <c r="P82" s="244"/>
      <c r="Q82" s="249" t="str">
        <f t="shared" si="12"/>
        <v>Does Not Apply</v>
      </c>
      <c r="R82" s="248"/>
      <c r="S82" s="248"/>
      <c r="T82" s="248"/>
      <c r="U82" s="248"/>
      <c r="V82" s="248"/>
    </row>
    <row r="83" spans="1:22" ht="18.75" x14ac:dyDescent="0.45">
      <c r="A83" s="10" t="str">
        <f>'1.2 Budgeted Enrollment YR1'!E85</f>
        <v>Silver Sands Montessori</v>
      </c>
      <c r="B83" s="551" t="str">
        <f t="shared" si="7"/>
        <v/>
      </c>
      <c r="C83" s="136">
        <f>'1.4 FY 2020 Revenue Received'!J83</f>
        <v>295.10142875000003</v>
      </c>
      <c r="D83" s="136">
        <f>'1.2 Budgeted Enrollment YR1'!G85</f>
        <v>240.14749458700001</v>
      </c>
      <c r="E83" s="215">
        <f>ROUND('2.8 Alloc of Residual Rev. YR1'!M89,0)</f>
        <v>2238942</v>
      </c>
      <c r="F83" s="570">
        <f t="shared" si="13"/>
        <v>9323.1953298137869</v>
      </c>
      <c r="H83" s="208">
        <f>'1.4 FY 2020 Revenue Received'!H83</f>
        <v>2228437.4633751237</v>
      </c>
      <c r="I83" s="570">
        <f t="shared" si="9"/>
        <v>7551.4289199290215</v>
      </c>
      <c r="K83" s="1168" t="str">
        <f t="shared" si="10"/>
        <v>Yes</v>
      </c>
      <c r="M83" s="760"/>
      <c r="N83" s="246"/>
      <c r="O83" s="248" t="str">
        <f t="shared" si="11"/>
        <v>Does Not Apply</v>
      </c>
      <c r="P83" s="244"/>
      <c r="Q83" s="249" t="str">
        <f t="shared" si="12"/>
        <v>Does Not Apply</v>
      </c>
      <c r="R83" s="248"/>
      <c r="S83" s="248"/>
      <c r="T83" s="248"/>
      <c r="U83" s="248"/>
      <c r="V83" s="248"/>
    </row>
    <row r="84" spans="1:22" ht="18.75" x14ac:dyDescent="0.45">
      <c r="A84" s="10" t="str">
        <f>'1.2 Budgeted Enrollment YR1'!E86</f>
        <v>Somerset Academy</v>
      </c>
      <c r="B84" s="551" t="str">
        <f t="shared" si="7"/>
        <v/>
      </c>
      <c r="C84" s="136">
        <f>'1.4 FY 2020 Revenue Received'!J84</f>
        <v>9074.0997949999983</v>
      </c>
      <c r="D84" s="136">
        <f>'1.2 Budgeted Enrollment YR1'!G86</f>
        <v>9466.1700510654773</v>
      </c>
      <c r="E84" s="215">
        <f>ROUND('2.8 Alloc of Residual Rev. YR1'!M90,0)</f>
        <v>90191385</v>
      </c>
      <c r="F84" s="570">
        <f t="shared" si="13"/>
        <v>9527.758799330717</v>
      </c>
      <c r="H84" s="208">
        <f>'1.4 FY 2020 Revenue Received'!H84</f>
        <v>67219951.90445362</v>
      </c>
      <c r="I84" s="570">
        <f t="shared" si="9"/>
        <v>7407.8920689733977</v>
      </c>
      <c r="K84" s="1168" t="str">
        <f t="shared" si="10"/>
        <v>Yes</v>
      </c>
      <c r="M84" s="760"/>
      <c r="N84" s="246"/>
      <c r="O84" s="248" t="str">
        <f t="shared" si="11"/>
        <v>Does Not Apply</v>
      </c>
      <c r="P84" s="244"/>
      <c r="Q84" s="249" t="str">
        <f t="shared" si="12"/>
        <v>Does Not Apply</v>
      </c>
      <c r="R84" s="248"/>
      <c r="S84" s="248"/>
      <c r="T84" s="248"/>
      <c r="U84" s="248"/>
      <c r="V84" s="248"/>
    </row>
    <row r="85" spans="1:22" ht="18.75" x14ac:dyDescent="0.45">
      <c r="A85" s="10" t="str">
        <f>'1.2 Budgeted Enrollment YR1'!E87</f>
        <v>Southern Nevada Trade High School</v>
      </c>
      <c r="B85" s="551" t="str">
        <f t="shared" si="7"/>
        <v>Yes</v>
      </c>
      <c r="C85" s="136">
        <f>'1.4 FY 2020 Revenue Received'!J85</f>
        <v>0</v>
      </c>
      <c r="D85" s="136">
        <f>'1.2 Budgeted Enrollment YR1'!G87</f>
        <v>200</v>
      </c>
      <c r="E85" s="215">
        <f>ROUND('2.8 Alloc of Residual Rev. YR1'!M91,0)</f>
        <v>1796201</v>
      </c>
      <c r="F85" s="570">
        <f t="shared" ref="F85" si="18">IF(D85=0,0,E85/D85)</f>
        <v>8981.0049999999992</v>
      </c>
      <c r="H85" s="208">
        <f>'1.4 FY 2020 Revenue Received'!H85</f>
        <v>0</v>
      </c>
      <c r="I85" s="570">
        <f t="shared" ref="I85" si="19">IF(C85=0,0,H85/C85)</f>
        <v>0</v>
      </c>
      <c r="K85" s="1168" t="str">
        <f t="shared" si="10"/>
        <v>Yes</v>
      </c>
      <c r="M85" s="760"/>
      <c r="N85" s="246"/>
      <c r="O85" s="248" t="str">
        <f t="shared" ref="O85" si="20">IF(M85&gt;H85,"Yes","Does Not Apply")</f>
        <v>Does Not Apply</v>
      </c>
      <c r="P85" s="244"/>
      <c r="Q85" s="249" t="str">
        <f t="shared" ref="Q85" si="21">IF(O85&gt;K85,"Yes","Does Not Apply")</f>
        <v>Does Not Apply</v>
      </c>
      <c r="R85" s="248"/>
      <c r="S85" s="248"/>
      <c r="T85" s="248"/>
      <c r="U85" s="248"/>
      <c r="V85" s="248"/>
    </row>
    <row r="86" spans="1:22" ht="18.75" x14ac:dyDescent="0.45">
      <c r="A86" s="10" t="str">
        <f>'1.2 Budgeted Enrollment YR1'!E88</f>
        <v>Sports Leadership and Management Academy</v>
      </c>
      <c r="B86" s="551" t="str">
        <f t="shared" si="7"/>
        <v/>
      </c>
      <c r="C86" s="136">
        <f>'1.4 FY 2020 Revenue Received'!J86</f>
        <v>1027.8300375000001</v>
      </c>
      <c r="D86" s="136">
        <f>'1.2 Budgeted Enrollment YR1'!G88</f>
        <v>1786.2260441729454</v>
      </c>
      <c r="E86" s="215">
        <f>ROUND('2.8 Alloc of Residual Rev. YR1'!M92,0)</f>
        <v>17848328</v>
      </c>
      <c r="F86" s="570">
        <f t="shared" si="13"/>
        <v>9992.2000679729736</v>
      </c>
      <c r="H86" s="208">
        <f>'1.4 FY 2020 Revenue Received'!H86</f>
        <v>7832015.9718428571</v>
      </c>
      <c r="I86" s="570">
        <f t="shared" si="9"/>
        <v>7619.9524105101436</v>
      </c>
      <c r="K86" s="1168" t="str">
        <f t="shared" si="10"/>
        <v>Yes</v>
      </c>
      <c r="M86" s="760"/>
      <c r="N86" s="246"/>
      <c r="O86" s="248" t="str">
        <f t="shared" si="11"/>
        <v>Does Not Apply</v>
      </c>
      <c r="P86" s="244"/>
      <c r="Q86" s="249" t="str">
        <f t="shared" si="12"/>
        <v>Does Not Apply</v>
      </c>
      <c r="R86" s="248"/>
      <c r="S86" s="248"/>
      <c r="T86" s="248"/>
      <c r="U86" s="248"/>
      <c r="V86" s="248"/>
    </row>
    <row r="87" spans="1:22" ht="18.75" x14ac:dyDescent="0.45">
      <c r="A87" s="10" t="str">
        <f>'1.2 Budgeted Enrollment YR1'!E89</f>
        <v>Strong Start Academy</v>
      </c>
      <c r="B87" s="551" t="str">
        <f t="shared" si="7"/>
        <v>Yes</v>
      </c>
      <c r="C87" s="136">
        <f>'1.4 FY 2020 Revenue Received'!J87</f>
        <v>0</v>
      </c>
      <c r="D87" s="136">
        <f>'1.2 Budgeted Enrollment YR1'!G89</f>
        <v>80.630345170274907</v>
      </c>
      <c r="E87" s="215">
        <f>ROUND('2.8 Alloc of Residual Rev. YR1'!M93,0)</f>
        <v>788805</v>
      </c>
      <c r="F87" s="570">
        <f t="shared" si="13"/>
        <v>9782.9793278722063</v>
      </c>
      <c r="H87" s="208">
        <f>'1.4 FY 2020 Revenue Received'!H87</f>
        <v>0</v>
      </c>
      <c r="I87" s="570">
        <f t="shared" si="9"/>
        <v>0</v>
      </c>
      <c r="K87" s="1168" t="str">
        <f t="shared" si="10"/>
        <v>Yes</v>
      </c>
      <c r="M87" s="760"/>
      <c r="N87" s="246"/>
      <c r="O87" s="248" t="str">
        <f t="shared" si="11"/>
        <v>Does Not Apply</v>
      </c>
      <c r="P87" s="244"/>
      <c r="Q87" s="249" t="str">
        <f t="shared" si="12"/>
        <v>Does Not Apply</v>
      </c>
      <c r="R87" s="248"/>
      <c r="S87" s="248"/>
      <c r="T87" s="248"/>
      <c r="U87" s="248"/>
      <c r="V87" s="248"/>
    </row>
    <row r="88" spans="1:22" ht="18.75" x14ac:dyDescent="0.45">
      <c r="A88" s="10" t="str">
        <f>'1.2 Budgeted Enrollment YR1'!E90</f>
        <v>TEACH Las Vegas</v>
      </c>
      <c r="B88" s="551" t="str">
        <f t="shared" si="7"/>
        <v>Yes</v>
      </c>
      <c r="C88" s="136">
        <f>'1.4 FY 2020 Revenue Received'!J88</f>
        <v>0</v>
      </c>
      <c r="D88" s="136">
        <f>'1.2 Budgeted Enrollment YR1'!G90</f>
        <v>320.98389146971647</v>
      </c>
      <c r="E88" s="215">
        <f>ROUND('2.8 Alloc of Residual Rev. YR1'!M94,0)</f>
        <v>3169453</v>
      </c>
      <c r="F88" s="570">
        <f t="shared" si="13"/>
        <v>9874.1808677306326</v>
      </c>
      <c r="H88" s="208">
        <f>'1.4 FY 2020 Revenue Received'!H88</f>
        <v>0</v>
      </c>
      <c r="I88" s="570">
        <f t="shared" si="9"/>
        <v>0</v>
      </c>
      <c r="K88" s="1168" t="str">
        <f t="shared" si="10"/>
        <v>Yes</v>
      </c>
      <c r="M88" s="760"/>
      <c r="N88" s="246"/>
      <c r="O88" s="248" t="str">
        <f t="shared" si="11"/>
        <v>Does Not Apply</v>
      </c>
      <c r="P88" s="244"/>
      <c r="Q88" s="249" t="str">
        <f t="shared" si="12"/>
        <v>Does Not Apply</v>
      </c>
      <c r="R88" s="248"/>
      <c r="S88" s="248"/>
      <c r="T88" s="248"/>
      <c r="U88" s="248"/>
      <c r="V88" s="248"/>
    </row>
    <row r="89" spans="1:22" ht="18.75" x14ac:dyDescent="0.45">
      <c r="A89" s="10" t="str">
        <f>'1.2 Budgeted Enrollment YR1'!E91</f>
        <v>Young Women's Leadership Academy</v>
      </c>
      <c r="B89" s="551" t="str">
        <f t="shared" si="7"/>
        <v>Yes</v>
      </c>
      <c r="C89" s="136">
        <f>'1.4 FY 2020 Revenue Received'!J89</f>
        <v>0</v>
      </c>
      <c r="D89" s="136">
        <f>'1.2 Budgeted Enrollment YR1'!G91</f>
        <v>56.356771471000002</v>
      </c>
      <c r="E89" s="215">
        <f>ROUND('2.8 Alloc of Residual Rev. YR1'!M95,0)</f>
        <v>526348</v>
      </c>
      <c r="F89" s="570">
        <f>IF(D89=0,0,E89/D89)</f>
        <v>9339.5697848101099</v>
      </c>
      <c r="H89" s="208">
        <f>'1.4 FY 2020 Revenue Received'!H86</f>
        <v>7832015.9718428571</v>
      </c>
      <c r="I89" s="577">
        <f t="shared" si="9"/>
        <v>0</v>
      </c>
      <c r="K89" s="1168" t="str">
        <f>$K$25</f>
        <v>Yes</v>
      </c>
      <c r="M89" s="760"/>
      <c r="N89" s="246"/>
      <c r="O89" s="248" t="str">
        <f>IF(M89&gt;H89,"Yes","Does Not Apply")</f>
        <v>Does Not Apply</v>
      </c>
      <c r="P89" s="244"/>
      <c r="Q89" s="249" t="str">
        <f>IF(O89&gt;K89,"Yes","Does Not Apply")</f>
        <v>Does Not Apply</v>
      </c>
      <c r="R89" s="248"/>
      <c r="S89" s="248"/>
      <c r="T89" s="248"/>
      <c r="U89" s="248"/>
      <c r="V89" s="248"/>
    </row>
    <row r="90" spans="1:22" ht="18.75" x14ac:dyDescent="0.45">
      <c r="A90" s="683" t="s">
        <v>1260</v>
      </c>
      <c r="B90" s="771"/>
      <c r="C90" s="788">
        <f>SUMIF(B30:B89,"",C30:C89)</f>
        <v>57012.474131748568</v>
      </c>
      <c r="D90" s="788">
        <f>SUMIF(B30:B89,"",D30:D89)</f>
        <v>65218.180782104304</v>
      </c>
      <c r="E90" s="789">
        <f>SUMIF(B30:B89,"",E30:E89)</f>
        <v>633237075</v>
      </c>
      <c r="F90" s="774">
        <f>IF(D90=0,0,E90/D90)</f>
        <v>9709.5176131278804</v>
      </c>
      <c r="G90" s="307"/>
      <c r="H90" s="745">
        <f>SUMIF(B30:B89,"",H30:H89)</f>
        <v>433806526.04619783</v>
      </c>
      <c r="I90" s="570">
        <f t="shared" si="9"/>
        <v>7608.9756259959213</v>
      </c>
      <c r="J90" s="307"/>
      <c r="K90" s="1171" t="str">
        <f>IF(F90&gt;I90,"Yes",IF(V25="PCFP","Yes","No"))</f>
        <v>Yes</v>
      </c>
      <c r="L90" s="307"/>
      <c r="M90" s="790"/>
      <c r="N90" s="791"/>
      <c r="O90" s="777"/>
      <c r="P90" s="778"/>
      <c r="Q90" s="779"/>
      <c r="R90" s="777"/>
      <c r="S90" s="777"/>
      <c r="T90" s="777"/>
      <c r="U90" s="777"/>
      <c r="V90" s="779"/>
    </row>
    <row r="91" spans="1:22" ht="18.75" x14ac:dyDescent="0.45">
      <c r="A91" s="195" t="s">
        <v>1261</v>
      </c>
      <c r="B91" s="782"/>
      <c r="C91" s="792">
        <f>SUMIF(B30:B89,"Yes",C30:C89)</f>
        <v>0</v>
      </c>
      <c r="D91" s="792">
        <f>SUMIF(B30:B89,"Yes",D30:D89)</f>
        <v>3785.315139327291</v>
      </c>
      <c r="E91" s="548">
        <f>SUMIF(B30:B89,"Yes",E30:E89)</f>
        <v>36445839</v>
      </c>
      <c r="F91" s="577">
        <f>IF(D91=0,0,E91/D91)</f>
        <v>9628.2179048577145</v>
      </c>
      <c r="G91" s="183"/>
      <c r="H91" s="201">
        <f>SUMIF(B30:B89,"Yes",H30:H89)</f>
        <v>7832015.9718428571</v>
      </c>
      <c r="I91" s="577">
        <f>IF(C91=0,0,H91/C91)</f>
        <v>0</v>
      </c>
      <c r="J91" s="183"/>
      <c r="K91" s="1166" t="str">
        <f>IF(C91=0,"Yes",IF(F91&gt;I91,"Yes",IF(V25="PCFP","Yes","No")))</f>
        <v>Yes</v>
      </c>
      <c r="L91" s="183"/>
      <c r="M91" s="761"/>
      <c r="N91" s="787"/>
      <c r="O91" s="757"/>
      <c r="P91" s="250"/>
      <c r="Q91" s="759"/>
      <c r="R91" s="757"/>
      <c r="S91" s="757"/>
      <c r="T91" s="757"/>
      <c r="U91" s="757"/>
      <c r="V91" s="759"/>
    </row>
    <row r="92" spans="1:22" ht="18.75" x14ac:dyDescent="0.45">
      <c r="A92" s="4" t="s">
        <v>722</v>
      </c>
      <c r="B92" s="40" t="str">
        <f t="shared" ref="B92:B96" si="22">IF(C92=0,"Yes","")</f>
        <v/>
      </c>
      <c r="C92" s="589">
        <f>SUM(C30:C89)</f>
        <v>57012.474131748568</v>
      </c>
      <c r="D92" s="589">
        <f>SUM(D30:D89)</f>
        <v>69003.49592143159</v>
      </c>
      <c r="E92" s="579">
        <f>SUM(E90:E91)</f>
        <v>669682914</v>
      </c>
      <c r="F92" s="115"/>
      <c r="G92" s="121"/>
      <c r="H92" s="586">
        <f>SUM(H30:H89)</f>
        <v>441638542.01804072</v>
      </c>
      <c r="I92" s="121"/>
      <c r="J92" s="13"/>
      <c r="K92" s="242"/>
      <c r="M92" s="247"/>
      <c r="N92" s="246"/>
      <c r="O92" s="313"/>
      <c r="P92" s="514"/>
      <c r="Q92" s="755"/>
      <c r="R92" s="244"/>
      <c r="S92" s="244"/>
      <c r="T92" s="244"/>
      <c r="U92" s="244"/>
      <c r="V92" s="244"/>
    </row>
    <row r="93" spans="1:22" x14ac:dyDescent="0.3">
      <c r="K93" s="242"/>
      <c r="O93" s="313"/>
      <c r="P93" s="514"/>
      <c r="Q93" s="755"/>
    </row>
    <row r="94" spans="1:22" x14ac:dyDescent="0.3">
      <c r="A94" s="4" t="s">
        <v>1259</v>
      </c>
      <c r="K94" s="242"/>
      <c r="O94" s="313"/>
      <c r="P94" s="514"/>
      <c r="Q94" s="755"/>
    </row>
    <row r="95" spans="1:22" x14ac:dyDescent="0.3">
      <c r="A95" s="683" t="str">
        <f>'1.2 Budgeted Enrollment YR1'!E96</f>
        <v>Davidson Academy</v>
      </c>
      <c r="B95" s="771" t="str">
        <f t="shared" si="22"/>
        <v/>
      </c>
      <c r="C95" s="772">
        <f>'1.4 FY 2020 Revenue Received'!J93</f>
        <v>143.645726495611</v>
      </c>
      <c r="D95" s="772">
        <f>'1.2 Budgeted Enrollment YR1'!G96</f>
        <v>162.04408445225002</v>
      </c>
      <c r="E95" s="773">
        <f>ROUND('2.8 Alloc of Residual Rev. YR1'!M99,0)</f>
        <v>1455319</v>
      </c>
      <c r="F95" s="774">
        <f>IF(D95=0,0,E95/D95)</f>
        <v>8981.0066496370182</v>
      </c>
      <c r="G95" s="307"/>
      <c r="H95" s="773">
        <f>ROUND('1.4 FY 2020 Revenue Received'!H93,0)</f>
        <v>1161407</v>
      </c>
      <c r="I95" s="774">
        <f>IF(D95=0,0,H95/D95)</f>
        <v>7167.2286213091293</v>
      </c>
      <c r="J95" s="307"/>
      <c r="K95" s="517" t="str">
        <f>IF(F95&gt;I95,"Yes",IF(V95="PCFP","Yes","No"))</f>
        <v>Yes</v>
      </c>
      <c r="L95" s="307"/>
      <c r="M95" s="776"/>
      <c r="N95" s="307"/>
      <c r="O95" s="777" t="str">
        <f>IF(M95&gt;H95,"Yes","Does Not Apply")</f>
        <v>Does Not Apply</v>
      </c>
      <c r="P95" s="778"/>
      <c r="Q95" s="779" t="str">
        <f>IF(O95&gt;K95,"Yes","Does Not Apply")</f>
        <v>Does Not Apply</v>
      </c>
      <c r="R95" s="747"/>
      <c r="S95" s="1046">
        <f>IF(K95="Yes",F95*D95,"")</f>
        <v>1455319</v>
      </c>
      <c r="T95" s="766" t="str">
        <f>IF(K95="No",I95*D95,"")</f>
        <v/>
      </c>
      <c r="U95" s="780"/>
      <c r="V95" s="781" t="str">
        <f>'1.1 Assumption Control YR1'!I53</f>
        <v>PCFP</v>
      </c>
    </row>
    <row r="96" spans="1:22" x14ac:dyDescent="0.3">
      <c r="A96" s="195">
        <f>'1.2 Budgeted Enrollment YR1'!E97</f>
        <v>0</v>
      </c>
      <c r="B96" s="782" t="str">
        <f t="shared" si="22"/>
        <v>Yes</v>
      </c>
      <c r="C96" s="764">
        <f>'1.4 FY 2020 Revenue Received'!J94</f>
        <v>0</v>
      </c>
      <c r="D96" s="764">
        <f>'1.2 Budgeted Enrollment YR1'!G97</f>
        <v>0</v>
      </c>
      <c r="E96" s="783">
        <f>'2.8 Alloc of Residual Rev. YR1'!M100</f>
        <v>0</v>
      </c>
      <c r="F96" s="577">
        <f>IF(D96=0,0,E96/D96)</f>
        <v>0</v>
      </c>
      <c r="G96" s="183"/>
      <c r="H96" s="783">
        <f>'1.4 FY 2020 Revenue Received'!H94</f>
        <v>0</v>
      </c>
      <c r="I96" s="577">
        <f>IF(D96=0,0,H96/D96)</f>
        <v>0</v>
      </c>
      <c r="J96" s="183"/>
      <c r="K96" s="1166" t="str">
        <f>IF(F96&gt;I96,"Yes",IF(V96="PCFP","Yes","No"))</f>
        <v>Yes</v>
      </c>
      <c r="L96" s="183"/>
      <c r="M96" s="784"/>
      <c r="N96" s="183"/>
      <c r="O96" s="757" t="str">
        <f>IF(M96&gt;H96,"Yes","Does Not Apply")</f>
        <v>Does Not Apply</v>
      </c>
      <c r="P96" s="250"/>
      <c r="Q96" s="759" t="str">
        <f>IF(O96&gt;K96,"Yes","Does Not Apply")</f>
        <v>Does Not Apply</v>
      </c>
      <c r="R96" s="449"/>
      <c r="S96" s="767">
        <f>IF(K96="Yes",F96*D96,"")</f>
        <v>0</v>
      </c>
      <c r="T96" s="768" t="str">
        <f>IF(K43="No",I43*D43,"")</f>
        <v/>
      </c>
      <c r="U96" s="785"/>
      <c r="V96" s="786" t="str">
        <f>V95</f>
        <v>PCFP</v>
      </c>
    </row>
    <row r="97" spans="2:22" s="4" customFormat="1" x14ac:dyDescent="0.3">
      <c r="B97" s="5"/>
      <c r="C97" s="769">
        <f t="shared" ref="C97:H97" si="23">SUM(C95:C96)</f>
        <v>143.645726495611</v>
      </c>
      <c r="D97" s="769">
        <f t="shared" si="23"/>
        <v>162.04408445225002</v>
      </c>
      <c r="E97" s="770">
        <f t="shared" si="23"/>
        <v>1455319</v>
      </c>
      <c r="F97" s="770"/>
      <c r="G97" s="770"/>
      <c r="H97" s="770">
        <f t="shared" si="23"/>
        <v>1161407</v>
      </c>
      <c r="I97" s="770"/>
      <c r="J97" s="770"/>
      <c r="K97" s="770"/>
      <c r="O97" s="5"/>
      <c r="P97" s="5"/>
      <c r="Q97" s="5"/>
      <c r="R97" s="5"/>
      <c r="S97" s="770">
        <f>SUM(S95:S96)</f>
        <v>1455319</v>
      </c>
      <c r="T97" s="770">
        <f>SUM(T95:T96)</f>
        <v>0</v>
      </c>
      <c r="U97" s="5"/>
      <c r="V97" s="5"/>
    </row>
  </sheetData>
  <sheetProtection algorithmName="SHA-512" hashValue="E6Bk2FCWJb3dZEX2SnlUdEg3YcZ6C7whUR7bOcdpsAKVbVoZDa2yFlFmZcckscNwOAnXCprTgNbMLLgkU1XG/A==" saltValue="plF9+3w1GzTyBU6hr+p66Q==" spinCount="100000" sheet="1" objects="1" scenarios="1"/>
  <mergeCells count="2">
    <mergeCell ref="E5:K5"/>
    <mergeCell ref="M5:Q5"/>
  </mergeCells>
  <phoneticPr fontId="79" type="noConversion"/>
  <conditionalFormatting sqref="Q28:R28 T28:V28 O8:O28 K8:K28 K30:K96 Q8:V27">
    <cfRule type="cellIs" dxfId="31" priority="15" operator="equal">
      <formula>"No"</formula>
    </cfRule>
    <cfRule type="cellIs" dxfId="30" priority="16" operator="equal">
      <formula>"Yes"</formula>
    </cfRule>
  </conditionalFormatting>
  <conditionalFormatting sqref="S28">
    <cfRule type="cellIs" dxfId="29" priority="4" operator="equal">
      <formula>"No"</formula>
    </cfRule>
    <cfRule type="cellIs" dxfId="28" priority="5" operator="equal">
      <formula>"Yes"</formula>
    </cfRule>
  </conditionalFormatting>
  <pageMargins left="0.7" right="0.7" top="0.75" bottom="0.75" header="0.3" footer="0.3"/>
  <pageSetup paperSize="3" scale="85" fitToHeight="0" orientation="landscape" r:id="rId1"/>
  <headerFooter>
    <oddHeader>&amp;R&amp;"Arial Narrow,Regular"&amp;10&amp;A
&amp;P</oddHeader>
    <oddFooter>&amp;L&amp;"Arial Narrow,Regular"&amp;1This is a draft document. It is intended for discussion purposes only.&amp;R&amp;G</oddFooter>
  </headerFooter>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F2C5D-4449-40AF-88D5-2C7AA78B20EF}">
  <sheetPr>
    <tabColor theme="3"/>
    <pageSetUpPr autoPageBreaks="0" fitToPage="1"/>
  </sheetPr>
  <dimension ref="A1:AB102"/>
  <sheetViews>
    <sheetView zoomScale="85" zoomScaleNormal="85" workbookViewId="0"/>
  </sheetViews>
  <sheetFormatPr defaultColWidth="9" defaultRowHeight="16.5" x14ac:dyDescent="0.3"/>
  <cols>
    <col min="1" max="1" width="7.28515625" style="10" customWidth="1"/>
    <col min="2" max="2" width="38.42578125" style="10" bestFit="1" customWidth="1"/>
    <col min="3" max="3" width="2.7109375" style="10" customWidth="1"/>
    <col min="4" max="4" width="19.140625" style="10" bestFit="1" customWidth="1"/>
    <col min="5" max="5" width="18.5703125" style="10" bestFit="1" customWidth="1"/>
    <col min="6" max="6" width="5.140625" style="4" customWidth="1"/>
    <col min="7" max="8" width="15.5703125" style="10" bestFit="1" customWidth="1"/>
    <col min="9" max="9" width="14.5703125" style="10" bestFit="1" customWidth="1"/>
    <col min="10" max="10" width="16.5703125" style="10" bestFit="1" customWidth="1"/>
    <col min="11" max="11" width="2.5703125" style="4" customWidth="1"/>
    <col min="12" max="12" width="16.5703125" style="10" bestFit="1" customWidth="1"/>
    <col min="13" max="13" width="15.28515625" style="10" bestFit="1" customWidth="1"/>
    <col min="14" max="14" width="14.5703125" style="10" bestFit="1" customWidth="1"/>
    <col min="15" max="15" width="16.5703125" style="10" bestFit="1" customWidth="1"/>
    <col min="16" max="16" width="2.42578125" style="4" customWidth="1"/>
    <col min="17" max="17" width="15.7109375" style="10" customWidth="1"/>
    <col min="18" max="18" width="2.7109375" style="4" customWidth="1"/>
    <col min="19" max="19" width="15.42578125" style="10" bestFit="1" customWidth="1"/>
    <col min="20" max="20" width="2.7109375" style="4" customWidth="1"/>
    <col min="21" max="21" width="15.7109375" style="175" bestFit="1" customWidth="1"/>
    <col min="22" max="22" width="14.140625" style="10" bestFit="1" customWidth="1"/>
    <col min="23" max="23" width="11" style="10" bestFit="1" customWidth="1"/>
    <col min="24" max="16384" width="9" style="10"/>
  </cols>
  <sheetData>
    <row r="1" spans="1:28" s="4" customFormat="1" x14ac:dyDescent="0.3">
      <c r="A1" s="4" t="s">
        <v>602</v>
      </c>
      <c r="U1" s="202"/>
    </row>
    <row r="2" spans="1:28" x14ac:dyDescent="0.3">
      <c r="A2" s="10" t="str">
        <f>CONCATENATE("Pupil Center Funding Plan | FY",'1.1 Assumption Control YR1'!D5)</f>
        <v>Pupil Center Funding Plan | FY2024</v>
      </c>
    </row>
    <row r="3" spans="1:28" x14ac:dyDescent="0.3">
      <c r="A3" s="10" t="s">
        <v>1179</v>
      </c>
    </row>
    <row r="4" spans="1:28" s="4" customFormat="1" x14ac:dyDescent="0.3">
      <c r="G4" s="17"/>
      <c r="H4" s="17"/>
      <c r="I4" s="17"/>
      <c r="J4" s="17"/>
      <c r="L4" s="17"/>
      <c r="M4" s="17"/>
      <c r="N4" s="17"/>
      <c r="O4" s="17"/>
      <c r="Q4" s="17"/>
      <c r="S4" s="17"/>
      <c r="U4" s="203"/>
      <c r="V4" s="17"/>
      <c r="W4" s="17"/>
      <c r="X4" s="17"/>
      <c r="AB4" s="16"/>
    </row>
    <row r="6" spans="1:28" s="4" customFormat="1" x14ac:dyDescent="0.3">
      <c r="G6" s="10"/>
      <c r="H6" s="10"/>
      <c r="I6" s="170"/>
      <c r="J6" s="170"/>
      <c r="L6" s="170"/>
      <c r="M6" s="170"/>
      <c r="N6" s="170"/>
      <c r="O6" s="170"/>
      <c r="Q6" s="170"/>
      <c r="S6" s="17"/>
      <c r="U6" s="202"/>
    </row>
    <row r="7" spans="1:28" s="4" customFormat="1" x14ac:dyDescent="0.3">
      <c r="D7" s="351" t="s">
        <v>1039</v>
      </c>
      <c r="E7" s="176" t="s">
        <v>745</v>
      </c>
      <c r="G7" s="177" t="s">
        <v>101</v>
      </c>
      <c r="H7" s="351"/>
      <c r="I7" s="366" t="s">
        <v>105</v>
      </c>
      <c r="J7" s="176" t="s">
        <v>0</v>
      </c>
      <c r="L7" s="176" t="s">
        <v>0</v>
      </c>
      <c r="M7" s="274" t="s">
        <v>0</v>
      </c>
      <c r="N7" s="176" t="s">
        <v>0</v>
      </c>
      <c r="O7" s="176" t="s">
        <v>0</v>
      </c>
      <c r="Q7" s="176" t="s">
        <v>0</v>
      </c>
      <c r="S7" s="176" t="s">
        <v>0</v>
      </c>
      <c r="U7" s="351" t="s">
        <v>1055</v>
      </c>
    </row>
    <row r="8" spans="1:28" s="4" customFormat="1" x14ac:dyDescent="0.3">
      <c r="D8" s="150" t="s">
        <v>1040</v>
      </c>
      <c r="E8" s="150" t="s">
        <v>737</v>
      </c>
      <c r="G8" s="123" t="s">
        <v>103</v>
      </c>
      <c r="H8" s="150" t="s">
        <v>20</v>
      </c>
      <c r="I8" s="17" t="s">
        <v>102</v>
      </c>
      <c r="J8" s="150" t="s">
        <v>867</v>
      </c>
      <c r="L8" s="150" t="s">
        <v>62</v>
      </c>
      <c r="M8" s="150" t="s">
        <v>992</v>
      </c>
      <c r="N8" s="150" t="s">
        <v>919</v>
      </c>
      <c r="O8" s="150" t="s">
        <v>895</v>
      </c>
      <c r="Q8" s="150" t="s">
        <v>1022</v>
      </c>
      <c r="S8" s="150" t="s">
        <v>106</v>
      </c>
      <c r="U8" s="150" t="s">
        <v>1056</v>
      </c>
    </row>
    <row r="9" spans="1:28" s="4" customFormat="1" x14ac:dyDescent="0.3">
      <c r="D9" s="150" t="s">
        <v>1041</v>
      </c>
      <c r="E9" s="150" t="s">
        <v>894</v>
      </c>
      <c r="G9" s="123" t="s">
        <v>894</v>
      </c>
      <c r="H9" s="150" t="s">
        <v>894</v>
      </c>
      <c r="I9" s="17" t="s">
        <v>894</v>
      </c>
      <c r="J9" s="150" t="s">
        <v>894</v>
      </c>
      <c r="L9" s="150" t="s">
        <v>88</v>
      </c>
      <c r="M9" s="150" t="s">
        <v>88</v>
      </c>
      <c r="N9" s="150" t="s">
        <v>88</v>
      </c>
      <c r="O9" s="150" t="s">
        <v>88</v>
      </c>
      <c r="Q9" s="150" t="s">
        <v>88</v>
      </c>
      <c r="S9" s="150" t="s">
        <v>88</v>
      </c>
      <c r="U9" s="150" t="s">
        <v>1057</v>
      </c>
    </row>
    <row r="10" spans="1:28" s="4" customFormat="1" x14ac:dyDescent="0.3">
      <c r="A10" s="427"/>
      <c r="B10" s="427"/>
      <c r="C10" s="303" t="s">
        <v>879</v>
      </c>
      <c r="D10" s="796"/>
      <c r="E10" s="797" t="s">
        <v>1702</v>
      </c>
      <c r="G10" s="797" t="s">
        <v>1060</v>
      </c>
      <c r="H10" s="426" t="s">
        <v>1060</v>
      </c>
      <c r="I10" s="798" t="s">
        <v>1060</v>
      </c>
      <c r="J10" s="799" t="s">
        <v>1879</v>
      </c>
      <c r="L10" s="799" t="s">
        <v>915</v>
      </c>
      <c r="M10" s="799" t="s">
        <v>915</v>
      </c>
      <c r="N10" s="799" t="s">
        <v>915</v>
      </c>
      <c r="O10" s="799" t="s">
        <v>1878</v>
      </c>
      <c r="Q10" s="799" t="s">
        <v>1453</v>
      </c>
      <c r="S10" s="799" t="s">
        <v>1884</v>
      </c>
      <c r="U10" s="1270" t="s">
        <v>1885</v>
      </c>
    </row>
    <row r="11" spans="1:28" x14ac:dyDescent="0.3">
      <c r="A11" s="4" t="s">
        <v>87</v>
      </c>
      <c r="D11" s="128"/>
      <c r="E11" s="128"/>
      <c r="G11" s="683"/>
      <c r="H11" s="748"/>
      <c r="I11" s="307"/>
      <c r="J11" s="748"/>
      <c r="L11" s="128"/>
      <c r="M11" s="128"/>
      <c r="N11" s="128"/>
      <c r="O11" s="128"/>
      <c r="Q11" s="128"/>
      <c r="S11" s="128"/>
      <c r="U11" s="795"/>
    </row>
    <row r="12" spans="1:28" x14ac:dyDescent="0.3">
      <c r="B12" s="10" t="str">
        <f>'1.2 Budgeted Enrollment YR1'!E9</f>
        <v>Carson City</v>
      </c>
      <c r="D12" s="574" t="str">
        <f>IF('2.9 PCFP Funding Comparison YR1'!K8="Yes","PCFP","FY 2020 Baseline")</f>
        <v>PCFP</v>
      </c>
      <c r="E12" s="559">
        <f>ROUND(IF(D12="PCFP",'2.8 Alloc of Residual Rev. YR1'!G14,('2.9 PCFP Funding Comparison YR1'!T8-SUM(J12,O12,Q12))),2)</f>
        <v>69471090.599999994</v>
      </c>
      <c r="F12" s="9"/>
      <c r="G12" s="565">
        <f>ROUND(IF(D12="PCFP",'2.8 Alloc of Residual Rev. YR1'!J14,('1.4 FY 2020 Revenue Received'!S8/2)+'1.4 FY 2020 Revenue Received'!T8),2)</f>
        <v>2905802.55</v>
      </c>
      <c r="H12" s="559">
        <f>ROUND(IF(D12="PCFP",'2.8 Alloc of Residual Rev. YR1'!K14,('1.4 FY 2020 Revenue Received'!S8/2)+'1.4 FY 2020 Revenue Received'!U8),2)</f>
        <v>908428.15</v>
      </c>
      <c r="I12" s="570">
        <f>ROUND(IF(D12="PCFP",'2.8 Alloc of Residual Rev. YR1'!L14,'1.4 FY 2020 Revenue Received'!V8),2)</f>
        <v>414922.2</v>
      </c>
      <c r="J12" s="559">
        <f>ROUND(SUM(G12:I12),2)</f>
        <v>4229152.9000000004</v>
      </c>
      <c r="K12" s="9"/>
      <c r="L12" s="559">
        <f>ROUND(IF(D12="PCFP",SUM('2.1 Auxiliary Services YR1'!D12:E12),'1.4 FY 2020 Revenue Received'!W8),2)</f>
        <v>2586477.39</v>
      </c>
      <c r="M12" s="559">
        <f>ROUND('2.1 Auxiliary Services YR1'!F12,2)</f>
        <v>0</v>
      </c>
      <c r="N12" s="559">
        <f>ROUND(IF(D12="PCFP",SUM('2.1 Auxiliary Services YR1'!G12:H12),'1.4 FY 2020 Revenue Received'!X8),2)</f>
        <v>416802.75</v>
      </c>
      <c r="O12" s="559">
        <f>ROUND(SUM(L12:N12),2)</f>
        <v>3003280.14</v>
      </c>
      <c r="P12" s="9"/>
      <c r="Q12" s="530">
        <f>ROUND(IF(D12="PCFP",'2.8 Alloc of Residual Rev. YR1'!I14,'1.4 FY 2020 Revenue Received'!Y8),2)</f>
        <v>6423599</v>
      </c>
      <c r="R12" s="9"/>
      <c r="S12" s="581">
        <f>ROUND(E12+J12+O12+Q12,2)</f>
        <v>83127122.640000001</v>
      </c>
      <c r="T12" s="9"/>
      <c r="U12" s="581">
        <f>S12-'2.9 PCFP Funding Comparison YR1'!H8</f>
        <v>10292946.640000001</v>
      </c>
      <c r="V12" s="175">
        <f>IF(D12="PCFP",'2.9 PCFP Funding Comparison YR1'!S8,'2.9 PCFP Funding Comparison YR1'!T8)-S12</f>
        <v>0</v>
      </c>
    </row>
    <row r="13" spans="1:28" x14ac:dyDescent="0.3">
      <c r="B13" s="10" t="str">
        <f>'1.2 Budgeted Enrollment YR1'!E10</f>
        <v>Churchill</v>
      </c>
      <c r="D13" s="574" t="str">
        <f>IF('2.9 PCFP Funding Comparison YR1'!K9="Yes","PCFP","FY 2020 Baseline")</f>
        <v>PCFP</v>
      </c>
      <c r="E13" s="559">
        <f>ROUND(IF(D13="PCFP",'2.8 Alloc of Residual Rev. YR1'!G15,('2.9 PCFP Funding Comparison YR1'!T9-SUM(J13,O13,Q13))),2)</f>
        <v>32467110.210000001</v>
      </c>
      <c r="F13" s="9"/>
      <c r="G13" s="565">
        <f>ROUND(IF(D13="PCFP",'2.8 Alloc of Residual Rev. YR1'!J15,('1.4 FY 2020 Revenue Received'!S9/2)+'1.4 FY 2020 Revenue Received'!T9),2)</f>
        <v>448600.95</v>
      </c>
      <c r="H13" s="559">
        <f>ROUND(IF(D13="PCFP",'2.8 Alloc of Residual Rev. YR1'!K15,('1.4 FY 2020 Revenue Received'!S9/2)+'1.4 FY 2020 Revenue Received'!U9),2)</f>
        <v>556372.94999999995</v>
      </c>
      <c r="I13" s="570">
        <f>ROUND(IF(D13="PCFP",'2.8 Alloc of Residual Rev. YR1'!L15,'1.4 FY 2020 Revenue Received'!V9),2)</f>
        <v>0</v>
      </c>
      <c r="J13" s="559">
        <f t="shared" ref="J13:J28" si="0">ROUND(SUM(G13:I13),2)</f>
        <v>1004973.9</v>
      </c>
      <c r="K13" s="9"/>
      <c r="L13" s="559">
        <f>ROUND(IF(D13="PCFP",SUM('2.1 Auxiliary Services YR1'!D13:E13),'1.4 FY 2020 Revenue Received'!W9),2)</f>
        <v>1654639.5</v>
      </c>
      <c r="M13" s="559">
        <f>ROUND('2.1 Auxiliary Services YR1'!F13,2)</f>
        <v>0</v>
      </c>
      <c r="N13" s="559">
        <f>ROUND(IF(D13="PCFP",SUM('2.1 Auxiliary Services YR1'!G13:H13),'1.4 FY 2020 Revenue Received'!X9),2)</f>
        <v>12500.12</v>
      </c>
      <c r="O13" s="559">
        <f t="shared" ref="O13:O28" si="1">ROUND(SUM(L13:N13),2)</f>
        <v>1667139.62</v>
      </c>
      <c r="P13" s="9"/>
      <c r="Q13" s="530">
        <f>ROUND(IF(D13="PCFP",'2.8 Alloc of Residual Rev. YR1'!I15,'1.4 FY 2020 Revenue Received'!Y9),2)</f>
        <v>1639107.16</v>
      </c>
      <c r="R13" s="9"/>
      <c r="S13" s="581">
        <f t="shared" ref="S13:S28" si="2">ROUND(E13+J13+O13+Q13,2)</f>
        <v>36778330.890000001</v>
      </c>
      <c r="T13" s="9"/>
      <c r="U13" s="581">
        <f>S13-'2.9 PCFP Funding Comparison YR1'!H9</f>
        <v>7385451.8900000006</v>
      </c>
      <c r="V13" s="175">
        <f>IF(D13="PCFP",'2.9 PCFP Funding Comparison YR1'!S9,'2.9 PCFP Funding Comparison YR1'!T9)-S13</f>
        <v>0</v>
      </c>
    </row>
    <row r="14" spans="1:28" x14ac:dyDescent="0.3">
      <c r="B14" s="10" t="str">
        <f>'1.2 Budgeted Enrollment YR1'!E11</f>
        <v>Clark</v>
      </c>
      <c r="D14" s="574" t="str">
        <f>IF('2.9 PCFP Funding Comparison YR1'!K10="Yes","PCFP","FY 2020 Baseline")</f>
        <v>PCFP</v>
      </c>
      <c r="E14" s="559">
        <f>ROUND(IF(D14="PCFP",'2.8 Alloc of Residual Rev. YR1'!G16,('2.9 PCFP Funding Comparison YR1'!T10-SUM(J14,O14,Q14))),2)</f>
        <v>2656608434.4299998</v>
      </c>
      <c r="F14" s="9"/>
      <c r="G14" s="565">
        <f>ROUND(IF(D14="PCFP",'2.8 Alloc of Residual Rev. YR1'!J16,('1.4 FY 2020 Revenue Received'!S10/2)+'1.4 FY 2020 Revenue Received'!T10),2)</f>
        <v>152087846.40000001</v>
      </c>
      <c r="H14" s="559">
        <f>ROUND(IF(D14="PCFP",'2.8 Alloc of Residual Rev. YR1'!K16,('1.4 FY 2020 Revenue Received'!S10/2)+'1.4 FY 2020 Revenue Received'!U10),2)</f>
        <v>165572817.90000001</v>
      </c>
      <c r="I14" s="570">
        <f>ROUND(IF(D14="PCFP",'2.8 Alloc of Residual Rev. YR1'!L16,'1.4 FY 2020 Revenue Received'!V10),2)</f>
        <v>4898237.4000000004</v>
      </c>
      <c r="J14" s="559">
        <f t="shared" si="0"/>
        <v>322558901.69999999</v>
      </c>
      <c r="K14" s="9"/>
      <c r="L14" s="559">
        <f>ROUND(IF(D14="PCFP",SUM('2.1 Auxiliary Services YR1'!D14:E14),'1.4 FY 2020 Revenue Received'!W10),2)</f>
        <v>140911845.43000001</v>
      </c>
      <c r="M14" s="559">
        <f>ROUND('2.1 Auxiliary Services YR1'!F14,2)</f>
        <v>0</v>
      </c>
      <c r="N14" s="559">
        <f>ROUND(IF(D14="PCFP",SUM('2.1 Auxiliary Services YR1'!G14:H14),'1.4 FY 2020 Revenue Received'!X10),2)</f>
        <v>0</v>
      </c>
      <c r="O14" s="559">
        <f t="shared" si="1"/>
        <v>140911845.43000001</v>
      </c>
      <c r="P14" s="9"/>
      <c r="Q14" s="530">
        <f>ROUND(IF(D14="PCFP",'2.8 Alloc of Residual Rev. YR1'!I16,'1.4 FY 2020 Revenue Received'!Y10),2)</f>
        <v>384538138</v>
      </c>
      <c r="R14" s="9"/>
      <c r="S14" s="581">
        <f t="shared" si="2"/>
        <v>3504617319.5599999</v>
      </c>
      <c r="T14" s="9"/>
      <c r="U14" s="581">
        <f>S14-'2.9 PCFP Funding Comparison YR1'!H10</f>
        <v>920129819.55999994</v>
      </c>
      <c r="V14" s="175">
        <f>IF(D14="PCFP",'2.9 PCFP Funding Comparison YR1'!S10,'2.9 PCFP Funding Comparison YR1'!T10)-S14</f>
        <v>0</v>
      </c>
    </row>
    <row r="15" spans="1:28" x14ac:dyDescent="0.3">
      <c r="B15" s="10" t="str">
        <f>'1.2 Budgeted Enrollment YR1'!E12</f>
        <v>Douglas</v>
      </c>
      <c r="D15" s="574" t="str">
        <f>IF('2.9 PCFP Funding Comparison YR1'!K11="Yes","PCFP","FY 2020 Baseline")</f>
        <v>PCFP</v>
      </c>
      <c r="E15" s="559">
        <f>ROUND(IF(D15="PCFP",'2.8 Alloc of Residual Rev. YR1'!G17,('2.9 PCFP Funding Comparison YR1'!T11-SUM(J15,O15,Q15))),2)</f>
        <v>52228202.829999998</v>
      </c>
      <c r="F15" s="9"/>
      <c r="G15" s="565">
        <f>ROUND(IF(D15="PCFP",'2.8 Alloc of Residual Rev. YR1'!J17,('1.4 FY 2020 Revenue Received'!S11/2)+'1.4 FY 2020 Revenue Received'!T11),2)</f>
        <v>683005.05</v>
      </c>
      <c r="H15" s="559">
        <f>ROUND(IF(D15="PCFP",'2.8 Alloc of Residual Rev. YR1'!K17,('1.4 FY 2020 Revenue Received'!S11/2)+'1.4 FY 2020 Revenue Received'!U11),2)</f>
        <v>537512.85</v>
      </c>
      <c r="I15" s="570">
        <f>ROUND(IF(D15="PCFP",'2.8 Alloc of Residual Rev. YR1'!L17,'1.4 FY 2020 Revenue Received'!V11),2)</f>
        <v>49575.12</v>
      </c>
      <c r="J15" s="559">
        <f t="shared" si="0"/>
        <v>1270093.02</v>
      </c>
      <c r="K15" s="9"/>
      <c r="L15" s="559">
        <f>ROUND(IF(D15="PCFP",SUM('2.1 Auxiliary Services YR1'!D15:E15),'1.4 FY 2020 Revenue Received'!W11),2)</f>
        <v>3889783.55</v>
      </c>
      <c r="M15" s="559">
        <f>ROUND('2.1 Auxiliary Services YR1'!F15,2)</f>
        <v>0</v>
      </c>
      <c r="N15" s="559">
        <f>ROUND(IF(D15="PCFP",SUM('2.1 Auxiliary Services YR1'!G15:H15),'1.4 FY 2020 Revenue Received'!X11),2)</f>
        <v>0</v>
      </c>
      <c r="O15" s="559">
        <f t="shared" si="1"/>
        <v>3889783.55</v>
      </c>
      <c r="P15" s="9"/>
      <c r="Q15" s="530">
        <f>ROUND(IF(D15="PCFP",'2.8 Alloc of Residual Rev. YR1'!I17,'1.4 FY 2020 Revenue Received'!Y11),2)</f>
        <v>4013804</v>
      </c>
      <c r="R15" s="9"/>
      <c r="S15" s="581">
        <f t="shared" si="2"/>
        <v>61401883.399999999</v>
      </c>
      <c r="T15" s="9"/>
      <c r="U15" s="581">
        <f>S15-'2.9 PCFP Funding Comparison YR1'!H11</f>
        <v>4655858.3999999985</v>
      </c>
      <c r="V15" s="175">
        <f>IF(D15="PCFP",'2.9 PCFP Funding Comparison YR1'!S11,'2.9 PCFP Funding Comparison YR1'!T11)-S15</f>
        <v>0</v>
      </c>
    </row>
    <row r="16" spans="1:28" x14ac:dyDescent="0.3">
      <c r="B16" s="10" t="str">
        <f>'1.2 Budgeted Enrollment YR1'!E13</f>
        <v>Elko</v>
      </c>
      <c r="D16" s="574" t="str">
        <f>IF('2.9 PCFP Funding Comparison YR1'!K12="Yes","PCFP","FY 2020 Baseline")</f>
        <v>PCFP</v>
      </c>
      <c r="E16" s="559">
        <f>ROUND(IF(D16="PCFP",'2.8 Alloc of Residual Rev. YR1'!G18,('2.9 PCFP Funding Comparison YR1'!T12-SUM(J16,O16,Q16))),2)</f>
        <v>108248034.16</v>
      </c>
      <c r="F16" s="9"/>
      <c r="G16" s="565">
        <f>ROUND(IF(D16="PCFP",'2.8 Alloc of Residual Rev. YR1'!J18,('1.4 FY 2020 Revenue Received'!S12/2)+'1.4 FY 2020 Revenue Received'!T12),2)</f>
        <v>2736061.65</v>
      </c>
      <c r="H16" s="559">
        <f>ROUND(IF(D16="PCFP",'2.8 Alloc of Residual Rev. YR1'!K18,('1.4 FY 2020 Revenue Received'!S12/2)+'1.4 FY 2020 Revenue Received'!U12),2)</f>
        <v>1983453.85</v>
      </c>
      <c r="I16" s="570">
        <f>ROUND(IF(D16="PCFP",'2.8 Alloc of Residual Rev. YR1'!L18,'1.4 FY 2020 Revenue Received'!V12),2)</f>
        <v>104538.84</v>
      </c>
      <c r="J16" s="559">
        <f t="shared" si="0"/>
        <v>4824054.34</v>
      </c>
      <c r="K16" s="9"/>
      <c r="L16" s="559">
        <f>ROUND(IF(D16="PCFP",SUM('2.1 Auxiliary Services YR1'!D16:E16),'1.4 FY 2020 Revenue Received'!W12),2)</f>
        <v>4707742.26</v>
      </c>
      <c r="M16" s="559">
        <f>ROUND('2.1 Auxiliary Services YR1'!F16,2)</f>
        <v>0</v>
      </c>
      <c r="N16" s="559">
        <f>ROUND(IF(D16="PCFP",SUM('2.1 Auxiliary Services YR1'!G16:H16),'1.4 FY 2020 Revenue Received'!X12),2)</f>
        <v>384179.53</v>
      </c>
      <c r="O16" s="559">
        <f t="shared" si="1"/>
        <v>5091921.79</v>
      </c>
      <c r="P16" s="9"/>
      <c r="Q16" s="530">
        <f>ROUND(IF(D16="PCFP",'2.8 Alloc of Residual Rev. YR1'!I18,'1.4 FY 2020 Revenue Received'!Y12),2)</f>
        <v>5053547</v>
      </c>
      <c r="R16" s="9"/>
      <c r="S16" s="581">
        <f t="shared" si="2"/>
        <v>123217557.29000001</v>
      </c>
      <c r="T16" s="9"/>
      <c r="U16" s="581">
        <f>S16-'2.9 PCFP Funding Comparison YR1'!H12</f>
        <v>20883611.290000007</v>
      </c>
      <c r="V16" s="175">
        <f>IF(D16="PCFP",'2.9 PCFP Funding Comparison YR1'!S12,'2.9 PCFP Funding Comparison YR1'!T12)-S16</f>
        <v>0</v>
      </c>
    </row>
    <row r="17" spans="1:23" x14ac:dyDescent="0.3">
      <c r="B17" s="10" t="str">
        <f>'1.2 Budgeted Enrollment YR1'!E14</f>
        <v>Esmeralda</v>
      </c>
      <c r="D17" s="574" t="str">
        <f>IF('2.9 PCFP Funding Comparison YR1'!K13="Yes","PCFP","FY 2020 Baseline")</f>
        <v>FY 2020 Baseline</v>
      </c>
      <c r="E17" s="559">
        <f>ROUND(IF(D17="PCFP",'2.8 Alloc of Residual Rev. YR1'!G19,('2.9 PCFP Funding Comparison YR1'!T13-SUM(J17,O17,Q17))),2)</f>
        <v>2416500.42</v>
      </c>
      <c r="F17" s="9"/>
      <c r="G17" s="565">
        <f>ROUND(IF(D17="PCFP",'2.8 Alloc of Residual Rev. YR1'!J19,('1.4 FY 2020 Revenue Received'!S13/2)+'1.4 FY 2020 Revenue Received'!T13),2)</f>
        <v>17430.310000000001</v>
      </c>
      <c r="H17" s="559">
        <f>ROUND(IF(D17="PCFP",'2.8 Alloc of Residual Rev. YR1'!K19,('1.4 FY 2020 Revenue Received'!S13/2)+'1.4 FY 2020 Revenue Received'!U13),2)</f>
        <v>8400</v>
      </c>
      <c r="I17" s="570">
        <f>ROUND(IF(D17="PCFP",'2.8 Alloc of Residual Rev. YR1'!L19,'1.4 FY 2020 Revenue Received'!V13),2)</f>
        <v>0</v>
      </c>
      <c r="J17" s="559">
        <f t="shared" si="0"/>
        <v>25830.31</v>
      </c>
      <c r="K17" s="9"/>
      <c r="L17" s="559">
        <f>ROUND(IF(D17="PCFP",SUM('2.1 Auxiliary Services YR1'!D17:E17),'1.4 FY 2020 Revenue Received'!W13),2)</f>
        <v>328549.58</v>
      </c>
      <c r="M17" s="559">
        <f>ROUND('2.1 Auxiliary Services YR1'!F17,2)</f>
        <v>0</v>
      </c>
      <c r="N17" s="559">
        <f>ROUND(IF(D17="PCFP",SUM('2.1 Auxiliary Services YR1'!G17:H17),'1.4 FY 2020 Revenue Received'!X13),2)</f>
        <v>49284</v>
      </c>
      <c r="O17" s="559">
        <f t="shared" si="1"/>
        <v>377833.58</v>
      </c>
      <c r="P17" s="9"/>
      <c r="Q17" s="530">
        <f>ROUND(IF(D17="PCFP",'2.8 Alloc of Residual Rev. YR1'!I19,'1.4 FY 2020 Revenue Received'!Y13),2)</f>
        <v>44620</v>
      </c>
      <c r="R17" s="9"/>
      <c r="S17" s="581">
        <f t="shared" si="2"/>
        <v>2864784.31</v>
      </c>
      <c r="T17" s="9"/>
      <c r="U17" s="581">
        <f>S17-'2.9 PCFP Funding Comparison YR1'!H13</f>
        <v>244856.31000000006</v>
      </c>
      <c r="V17" s="175">
        <f>IF(D17="PCFP",'2.9 PCFP Funding Comparison YR1'!S13,'2.9 PCFP Funding Comparison YR1'!T13)-S17</f>
        <v>0</v>
      </c>
    </row>
    <row r="18" spans="1:23" x14ac:dyDescent="0.3">
      <c r="B18" s="10" t="str">
        <f>'1.2 Budgeted Enrollment YR1'!E15</f>
        <v>Eureka</v>
      </c>
      <c r="D18" s="574" t="str">
        <f>IF('2.9 PCFP Funding Comparison YR1'!K14="Yes","PCFP","FY 2020 Baseline")</f>
        <v>FY 2020 Baseline</v>
      </c>
      <c r="E18" s="559">
        <f>ROUND(IF(D18="PCFP",'2.8 Alloc of Residual Rev. YR1'!G20,('2.9 PCFP Funding Comparison YR1'!T14-SUM(J18,O18,Q18))),2)</f>
        <v>11688263.02</v>
      </c>
      <c r="F18" s="9"/>
      <c r="G18" s="565">
        <f>ROUND(IF(D18="PCFP",'2.8 Alloc of Residual Rev. YR1'!J20,('1.4 FY 2020 Revenue Received'!S14/2)+'1.4 FY 2020 Revenue Received'!T14),2)</f>
        <v>10230.31</v>
      </c>
      <c r="H18" s="559">
        <f>ROUND(IF(D18="PCFP",'2.8 Alloc of Residual Rev. YR1'!K20,('1.4 FY 2020 Revenue Received'!S14/2)+'1.4 FY 2020 Revenue Received'!U14),2)</f>
        <v>1200</v>
      </c>
      <c r="I18" s="570">
        <f>ROUND(IF(D18="PCFP",'2.8 Alloc of Residual Rev. YR1'!L20,'1.4 FY 2020 Revenue Received'!V14),2)</f>
        <v>0</v>
      </c>
      <c r="J18" s="559">
        <f t="shared" si="0"/>
        <v>11430.31</v>
      </c>
      <c r="K18" s="9"/>
      <c r="L18" s="559">
        <f>ROUND(IF(D18="PCFP",SUM('2.1 Auxiliary Services YR1'!D18:E18),'1.4 FY 2020 Revenue Received'!W14),2)</f>
        <v>434259</v>
      </c>
      <c r="M18" s="559">
        <f>ROUND('2.1 Auxiliary Services YR1'!F18,2)</f>
        <v>0</v>
      </c>
      <c r="N18" s="559">
        <f>ROUND(IF(D18="PCFP",SUM('2.1 Auxiliary Services YR1'!G18:H18),'1.4 FY 2020 Revenue Received'!X14),2)</f>
        <v>399223</v>
      </c>
      <c r="O18" s="559">
        <f t="shared" si="1"/>
        <v>833482</v>
      </c>
      <c r="P18" s="9"/>
      <c r="Q18" s="530">
        <f>ROUND(IF(D18="PCFP",'2.8 Alloc of Residual Rev. YR1'!I20,'1.4 FY 2020 Revenue Received'!Y14),2)</f>
        <v>200000</v>
      </c>
      <c r="R18" s="9"/>
      <c r="S18" s="581">
        <f t="shared" si="2"/>
        <v>12733175.33</v>
      </c>
      <c r="T18" s="9"/>
      <c r="U18" s="581">
        <f>S18-'2.9 PCFP Funding Comparison YR1'!H14</f>
        <v>688480.33000000007</v>
      </c>
      <c r="V18" s="175">
        <f>IF(D18="PCFP",'2.9 PCFP Funding Comparison YR1'!S14,'2.9 PCFP Funding Comparison YR1'!T14)-S18</f>
        <v>0</v>
      </c>
    </row>
    <row r="19" spans="1:23" x14ac:dyDescent="0.3">
      <c r="B19" s="10" t="str">
        <f>'1.2 Budgeted Enrollment YR1'!E16</f>
        <v>Humboldt</v>
      </c>
      <c r="D19" s="574" t="str">
        <f>IF('2.9 PCFP Funding Comparison YR1'!K15="Yes","PCFP","FY 2020 Baseline")</f>
        <v>PCFP</v>
      </c>
      <c r="E19" s="559">
        <f>ROUND(IF(D19="PCFP",'2.8 Alloc of Residual Rev. YR1'!G21,('2.9 PCFP Funding Comparison YR1'!T15-SUM(J19,O19,Q19))),2)</f>
        <v>35000761.57</v>
      </c>
      <c r="F19" s="9"/>
      <c r="G19" s="565">
        <f>ROUND(IF(D19="PCFP",'2.8 Alloc of Residual Rev. YR1'!J21,('1.4 FY 2020 Revenue Received'!S15/2)+'1.4 FY 2020 Revenue Received'!T15),2)</f>
        <v>820414.35</v>
      </c>
      <c r="H19" s="559">
        <f>ROUND(IF(D19="PCFP",'2.8 Alloc of Residual Rev. YR1'!K21,('1.4 FY 2020 Revenue Received'!S15/2)+'1.4 FY 2020 Revenue Received'!U15),2)</f>
        <v>254611.35</v>
      </c>
      <c r="I19" s="570">
        <f>ROUND(IF(D19="PCFP",'2.8 Alloc of Residual Rev. YR1'!L21,'1.4 FY 2020 Revenue Received'!V15),2)</f>
        <v>0</v>
      </c>
      <c r="J19" s="559">
        <f t="shared" si="0"/>
        <v>1075025.7</v>
      </c>
      <c r="K19" s="9"/>
      <c r="L19" s="559">
        <f>ROUND(IF(D19="PCFP",SUM('2.1 Auxiliary Services YR1'!D19:E19),'1.4 FY 2020 Revenue Received'!W15),2)</f>
        <v>2017965.72</v>
      </c>
      <c r="M19" s="559">
        <f>ROUND('2.1 Auxiliary Services YR1'!F19,2)</f>
        <v>0</v>
      </c>
      <c r="N19" s="559">
        <f>ROUND(IF(D19="PCFP",SUM('2.1 Auxiliary Services YR1'!G19:H19),'1.4 FY 2020 Revenue Received'!X15),2)</f>
        <v>19090.5</v>
      </c>
      <c r="O19" s="559">
        <f t="shared" si="1"/>
        <v>2037056.22</v>
      </c>
      <c r="P19" s="9"/>
      <c r="Q19" s="530">
        <f>ROUND(IF(D19="PCFP",'2.8 Alloc of Residual Rev. YR1'!I21,'1.4 FY 2020 Revenue Received'!Y15),2)</f>
        <v>2358470</v>
      </c>
      <c r="R19" s="9"/>
      <c r="S19" s="581">
        <f t="shared" si="2"/>
        <v>40471313.490000002</v>
      </c>
      <c r="T19" s="9"/>
      <c r="U19" s="581">
        <f>S19-'2.9 PCFP Funding Comparison YR1'!H15</f>
        <v>2367822.4900000021</v>
      </c>
      <c r="V19" s="175">
        <f>IF(D19="PCFP",'2.9 PCFP Funding Comparison YR1'!S15,'2.9 PCFP Funding Comparison YR1'!T15)-S19</f>
        <v>0</v>
      </c>
    </row>
    <row r="20" spans="1:23" x14ac:dyDescent="0.3">
      <c r="B20" s="10" t="str">
        <f>'1.2 Budgeted Enrollment YR1'!E17</f>
        <v>Lander</v>
      </c>
      <c r="D20" s="574" t="str">
        <f>IF('2.9 PCFP Funding Comparison YR1'!K16="Yes","PCFP","FY 2020 Baseline")</f>
        <v>PCFP</v>
      </c>
      <c r="E20" s="559">
        <f>ROUND(IF(D20="PCFP",'2.8 Alloc of Residual Rev. YR1'!G22,('2.9 PCFP Funding Comparison YR1'!T16-SUM(J20,O20,Q20))),2)</f>
        <v>13392251.35</v>
      </c>
      <c r="F20" s="9"/>
      <c r="G20" s="565">
        <f>ROUND(IF(D20="PCFP",'2.8 Alloc of Residual Rev. YR1'!J22,('1.4 FY 2020 Revenue Received'!S16/2)+'1.4 FY 2020 Revenue Received'!T16),2)</f>
        <v>133367.85</v>
      </c>
      <c r="H20" s="559">
        <f>ROUND(IF(D20="PCFP",'2.8 Alloc of Residual Rev. YR1'!K22,('1.4 FY 2020 Revenue Received'!S16/2)+'1.4 FY 2020 Revenue Received'!U16),2)</f>
        <v>308048.3</v>
      </c>
      <c r="I20" s="570">
        <f>ROUND(IF(D20="PCFP",'2.8 Alloc of Residual Rev. YR1'!L22,'1.4 FY 2020 Revenue Received'!V16),2)</f>
        <v>0</v>
      </c>
      <c r="J20" s="559">
        <f t="shared" si="0"/>
        <v>441416.15</v>
      </c>
      <c r="K20" s="9"/>
      <c r="L20" s="559">
        <f>ROUND(IF(D20="PCFP",SUM('2.1 Auxiliary Services YR1'!D20:E20),'1.4 FY 2020 Revenue Received'!W16),2)</f>
        <v>413952.86</v>
      </c>
      <c r="M20" s="559">
        <f>ROUND('2.1 Auxiliary Services YR1'!F20,2)</f>
        <v>0</v>
      </c>
      <c r="N20" s="559">
        <f>ROUND(IF(D20="PCFP",SUM('2.1 Auxiliary Services YR1'!G20:H20),'1.4 FY 2020 Revenue Received'!X16),2)</f>
        <v>25000</v>
      </c>
      <c r="O20" s="559">
        <f t="shared" si="1"/>
        <v>438952.86</v>
      </c>
      <c r="P20" s="9"/>
      <c r="Q20" s="530">
        <f>ROUND(IF(D20="PCFP",'2.8 Alloc of Residual Rev. YR1'!I22,'1.4 FY 2020 Revenue Received'!Y16),2)</f>
        <v>1052995</v>
      </c>
      <c r="R20" s="9"/>
      <c r="S20" s="581">
        <f t="shared" si="2"/>
        <v>15325615.359999999</v>
      </c>
      <c r="T20" s="9"/>
      <c r="U20" s="581">
        <f>S20-'2.9 PCFP Funding Comparison YR1'!H16</f>
        <v>3497395.3599999994</v>
      </c>
      <c r="V20" s="175">
        <f>IF(D20="PCFP",'2.9 PCFP Funding Comparison YR1'!S16,'2.9 PCFP Funding Comparison YR1'!T16)-S20</f>
        <v>0</v>
      </c>
    </row>
    <row r="21" spans="1:23" x14ac:dyDescent="0.3">
      <c r="B21" s="10" t="str">
        <f>'1.2 Budgeted Enrollment YR1'!E18</f>
        <v>Lincoln</v>
      </c>
      <c r="D21" s="574" t="str">
        <f>IF('2.9 PCFP Funding Comparison YR1'!K17="Yes","PCFP","FY 2020 Baseline")</f>
        <v>PCFP</v>
      </c>
      <c r="E21" s="559">
        <f>ROUND(IF(D21="PCFP",'2.8 Alloc of Residual Rev. YR1'!G23,('2.9 PCFP Funding Comparison YR1'!T17-SUM(J21,O21,Q21))),2)</f>
        <v>14433995.210000001</v>
      </c>
      <c r="F21" s="9"/>
      <c r="G21" s="565">
        <f>ROUND(IF(D21="PCFP",'2.8 Alloc of Residual Rev. YR1'!J23,('1.4 FY 2020 Revenue Received'!S17/2)+'1.4 FY 2020 Revenue Received'!T17),2)</f>
        <v>24248.7</v>
      </c>
      <c r="H21" s="559">
        <f>ROUND(IF(D21="PCFP",'2.8 Alloc of Residual Rev. YR1'!K23,('1.4 FY 2020 Revenue Received'!S17/2)+'1.4 FY 2020 Revenue Received'!U17),2)</f>
        <v>135164.04999999999</v>
      </c>
      <c r="I21" s="570">
        <f>ROUND(IF(D21="PCFP",'2.8 Alloc of Residual Rev. YR1'!L23,'1.4 FY 2020 Revenue Received'!V17),2)</f>
        <v>0</v>
      </c>
      <c r="J21" s="559">
        <f t="shared" si="0"/>
        <v>159412.75</v>
      </c>
      <c r="K21" s="9"/>
      <c r="L21" s="559">
        <f>ROUND(IF(D21="PCFP",SUM('2.1 Auxiliary Services YR1'!D21:E21),'1.4 FY 2020 Revenue Received'!W17),2)</f>
        <v>623019.91</v>
      </c>
      <c r="M21" s="559">
        <f>ROUND('2.1 Auxiliary Services YR1'!F21,2)</f>
        <v>0</v>
      </c>
      <c r="N21" s="559">
        <f>ROUND(IF(D21="PCFP",SUM('2.1 Auxiliary Services YR1'!G21:H21),'1.4 FY 2020 Revenue Received'!X17),2)</f>
        <v>60319.5</v>
      </c>
      <c r="O21" s="559">
        <f t="shared" si="1"/>
        <v>683339.41</v>
      </c>
      <c r="P21" s="9"/>
      <c r="Q21" s="530">
        <f>ROUND(IF(D21="PCFP",'2.8 Alloc of Residual Rev. YR1'!I23,'1.4 FY 2020 Revenue Received'!Y17),2)</f>
        <v>327715</v>
      </c>
      <c r="R21" s="9"/>
      <c r="S21" s="581">
        <f t="shared" si="2"/>
        <v>15604462.369999999</v>
      </c>
      <c r="T21" s="9"/>
      <c r="U21" s="581">
        <f>S21-'2.9 PCFP Funding Comparison YR1'!H17</f>
        <v>2882725.3699999992</v>
      </c>
      <c r="V21" s="175">
        <f>IF(D21="PCFP",'2.9 PCFP Funding Comparison YR1'!S17,'2.9 PCFP Funding Comparison YR1'!T17)-S21</f>
        <v>0</v>
      </c>
    </row>
    <row r="22" spans="1:23" x14ac:dyDescent="0.3">
      <c r="B22" s="10" t="str">
        <f>'1.2 Budgeted Enrollment YR1'!E19</f>
        <v>Lyon</v>
      </c>
      <c r="D22" s="574" t="str">
        <f>IF('2.9 PCFP Funding Comparison YR1'!K18="Yes","PCFP","FY 2020 Baseline")</f>
        <v>PCFP</v>
      </c>
      <c r="E22" s="559">
        <f>ROUND(IF(D22="PCFP",'2.8 Alloc of Residual Rev. YR1'!G24,('2.9 PCFP Funding Comparison YR1'!T18-SUM(J22,O22,Q22))),2)</f>
        <v>99045116.359999999</v>
      </c>
      <c r="F22" s="9"/>
      <c r="G22" s="565">
        <f>ROUND(IF(D22="PCFP",'2.8 Alloc of Residual Rev. YR1'!J24,('1.4 FY 2020 Revenue Received'!S18/2)+'1.4 FY 2020 Revenue Received'!T18),2)</f>
        <v>1960103.25</v>
      </c>
      <c r="H22" s="559">
        <f>ROUND(IF(D22="PCFP",'2.8 Alloc of Residual Rev. YR1'!K24,('1.4 FY 2020 Revenue Received'!S18/2)+'1.4 FY 2020 Revenue Received'!U18),2)</f>
        <v>1653402.1</v>
      </c>
      <c r="I22" s="570">
        <f>ROUND(IF(D22="PCFP",'2.8 Alloc of Residual Rev. YR1'!L24,'1.4 FY 2020 Revenue Received'!V18),2)</f>
        <v>0</v>
      </c>
      <c r="J22" s="559">
        <f t="shared" si="0"/>
        <v>3613505.35</v>
      </c>
      <c r="K22" s="9"/>
      <c r="L22" s="559">
        <f>ROUND(IF(D22="PCFP",SUM('2.1 Auxiliary Services YR1'!D22:E22),'1.4 FY 2020 Revenue Received'!W18),2)</f>
        <v>5015867.67</v>
      </c>
      <c r="M22" s="559">
        <f>ROUND('2.1 Auxiliary Services YR1'!F22,2)</f>
        <v>0</v>
      </c>
      <c r="N22" s="559">
        <f>ROUND(IF(D22="PCFP",SUM('2.1 Auxiliary Services YR1'!G22:H22),'1.4 FY 2020 Revenue Received'!X18),2)</f>
        <v>0</v>
      </c>
      <c r="O22" s="559">
        <f t="shared" si="1"/>
        <v>5015867.67</v>
      </c>
      <c r="P22" s="9"/>
      <c r="Q22" s="530">
        <f>ROUND(IF(D22="PCFP",'2.8 Alloc of Residual Rev. YR1'!I24,'1.4 FY 2020 Revenue Received'!Y18),2)</f>
        <v>9582952</v>
      </c>
      <c r="R22" s="9"/>
      <c r="S22" s="581">
        <f t="shared" si="2"/>
        <v>117257441.38</v>
      </c>
      <c r="T22" s="9"/>
      <c r="U22" s="581">
        <f>S22-'2.9 PCFP Funding Comparison YR1'!H18</f>
        <v>32881318.379999995</v>
      </c>
      <c r="V22" s="175">
        <f>IF(D22="PCFP",'2.9 PCFP Funding Comparison YR1'!S18,'2.9 PCFP Funding Comparison YR1'!T18)-S22</f>
        <v>0</v>
      </c>
    </row>
    <row r="23" spans="1:23" x14ac:dyDescent="0.3">
      <c r="B23" s="10" t="str">
        <f>'1.2 Budgeted Enrollment YR1'!E20</f>
        <v>Mineral</v>
      </c>
      <c r="D23" s="574" t="str">
        <f>IF('2.9 PCFP Funding Comparison YR1'!K19="Yes","PCFP","FY 2020 Baseline")</f>
        <v>PCFP</v>
      </c>
      <c r="E23" s="559">
        <f>ROUND(IF(D23="PCFP",'2.8 Alloc of Residual Rev. YR1'!G25,('2.9 PCFP Funding Comparison YR1'!T19-SUM(J23,O23,Q23))),2)</f>
        <v>8777469.9800000004</v>
      </c>
      <c r="F23" s="9"/>
      <c r="G23" s="565">
        <f>ROUND(IF(D23="PCFP",'2.8 Alloc of Residual Rev. YR1'!J25,('1.4 FY 2020 Revenue Received'!S19/2)+'1.4 FY 2020 Revenue Received'!T19),2)</f>
        <v>137409.29999999999</v>
      </c>
      <c r="H23" s="559">
        <f>ROUND(IF(D23="PCFP",'2.8 Alloc of Residual Rev. YR1'!K25,('1.4 FY 2020 Revenue Received'!S19/2)+'1.4 FY 2020 Revenue Received'!U19),2)</f>
        <v>163454.20000000001</v>
      </c>
      <c r="I23" s="570">
        <f>ROUND(IF(D23="PCFP",'2.8 Alloc of Residual Rev. YR1'!L25,'1.4 FY 2020 Revenue Received'!V19),2)</f>
        <v>0</v>
      </c>
      <c r="J23" s="559">
        <f t="shared" si="0"/>
        <v>300863.5</v>
      </c>
      <c r="K23" s="9"/>
      <c r="L23" s="559">
        <f>ROUND(IF(D23="PCFP",SUM('2.1 Auxiliary Services YR1'!D23:E23),'1.4 FY 2020 Revenue Received'!W19),2)</f>
        <v>316048.27</v>
      </c>
      <c r="M23" s="559">
        <f>ROUND('2.1 Auxiliary Services YR1'!F23,2)</f>
        <v>0</v>
      </c>
      <c r="N23" s="559">
        <f>ROUND(IF(D23="PCFP",SUM('2.1 Auxiliary Services YR1'!G23:H23),'1.4 FY 2020 Revenue Received'!X19),2)</f>
        <v>159025</v>
      </c>
      <c r="O23" s="559">
        <f t="shared" si="1"/>
        <v>475073.27</v>
      </c>
      <c r="P23" s="9"/>
      <c r="Q23" s="530">
        <f>ROUND(IF(D23="PCFP",'2.8 Alloc of Residual Rev. YR1'!I25,'1.4 FY 2020 Revenue Received'!Y19),2)</f>
        <v>215665</v>
      </c>
      <c r="R23" s="9"/>
      <c r="S23" s="581">
        <f t="shared" si="2"/>
        <v>9769071.75</v>
      </c>
      <c r="T23" s="9"/>
      <c r="U23" s="581">
        <f>S23-'2.9 PCFP Funding Comparison YR1'!H19</f>
        <v>2247811.75</v>
      </c>
      <c r="V23" s="175">
        <f>IF(D23="PCFP",'2.9 PCFP Funding Comparison YR1'!S19,'2.9 PCFP Funding Comparison YR1'!T19)-S23</f>
        <v>0</v>
      </c>
    </row>
    <row r="24" spans="1:23" x14ac:dyDescent="0.3">
      <c r="B24" s="10" t="str">
        <f>'1.2 Budgeted Enrollment YR1'!E21</f>
        <v>Nye</v>
      </c>
      <c r="D24" s="574" t="str">
        <f>IF('2.9 PCFP Funding Comparison YR1'!K20="Yes","PCFP","FY 2020 Baseline")</f>
        <v>PCFP</v>
      </c>
      <c r="E24" s="559">
        <f>ROUND(IF(D24="PCFP",'2.8 Alloc of Residual Rev. YR1'!G26,('2.9 PCFP Funding Comparison YR1'!T20-SUM(J24,O24,Q24))),2)</f>
        <v>61343669.890000001</v>
      </c>
      <c r="F24" s="9"/>
      <c r="G24" s="565">
        <f>ROUND(IF(D24="PCFP",'2.8 Alloc of Residual Rev. YR1'!J26,('1.4 FY 2020 Revenue Received'!S20/2)+'1.4 FY 2020 Revenue Received'!T20),2)</f>
        <v>1309429.8</v>
      </c>
      <c r="H24" s="559">
        <f>ROUND(IF(D24="PCFP",'2.8 Alloc of Residual Rev. YR1'!K26,('1.4 FY 2020 Revenue Received'!S20/2)+'1.4 FY 2020 Revenue Received'!U20),2)</f>
        <v>1411364.15</v>
      </c>
      <c r="I24" s="570">
        <f>ROUND(IF(D24="PCFP",'2.8 Alloc of Residual Rev. YR1'!L26,'1.4 FY 2020 Revenue Received'!V20),2)</f>
        <v>0</v>
      </c>
      <c r="J24" s="559">
        <f t="shared" si="0"/>
        <v>2720793.95</v>
      </c>
      <c r="K24" s="9"/>
      <c r="L24" s="559">
        <f>ROUND(IF(D24="PCFP",SUM('2.1 Auxiliary Services YR1'!D24:E24),'1.4 FY 2020 Revenue Received'!W20),2)</f>
        <v>4268308.3</v>
      </c>
      <c r="M24" s="559">
        <f>ROUND('2.1 Auxiliary Services YR1'!F24,2)</f>
        <v>0</v>
      </c>
      <c r="N24" s="559">
        <f>ROUND(IF(D24="PCFP",SUM('2.1 Auxiliary Services YR1'!G24:H24),'1.4 FY 2020 Revenue Received'!X20),2)</f>
        <v>0</v>
      </c>
      <c r="O24" s="559">
        <f t="shared" si="1"/>
        <v>4268308.3</v>
      </c>
      <c r="P24" s="9"/>
      <c r="Q24" s="530">
        <f>ROUND(IF(D24="PCFP",'2.8 Alloc of Residual Rev. YR1'!I26,'1.4 FY 2020 Revenue Received'!Y20),2)</f>
        <v>8314944</v>
      </c>
      <c r="R24" s="9"/>
      <c r="S24" s="581">
        <f t="shared" si="2"/>
        <v>76647716.140000001</v>
      </c>
      <c r="T24" s="9"/>
      <c r="U24" s="581">
        <f>S24-'2.9 PCFP Funding Comparison YR1'!H20</f>
        <v>19039015.140000001</v>
      </c>
      <c r="V24" s="175">
        <f>IF(D24="PCFP",'2.9 PCFP Funding Comparison YR1'!S20,'2.9 PCFP Funding Comparison YR1'!T20)-S24</f>
        <v>0</v>
      </c>
    </row>
    <row r="25" spans="1:23" x14ac:dyDescent="0.3">
      <c r="B25" s="10" t="str">
        <f>'1.2 Budgeted Enrollment YR1'!E22</f>
        <v>Pershing</v>
      </c>
      <c r="D25" s="574" t="str">
        <f>IF('2.9 PCFP Funding Comparison YR1'!K21="Yes","PCFP","FY 2020 Baseline")</f>
        <v>PCFP</v>
      </c>
      <c r="E25" s="559">
        <f>ROUND(IF(D25="PCFP",'2.8 Alloc of Residual Rev. YR1'!G27,('2.9 PCFP Funding Comparison YR1'!T21-SUM(J25,O25,Q25))),2)</f>
        <v>9551173.6799999997</v>
      </c>
      <c r="F25" s="9"/>
      <c r="G25" s="565">
        <f>ROUND(IF(D25="PCFP",'2.8 Alloc of Residual Rev. YR1'!J27,('1.4 FY 2020 Revenue Received'!S21/2)+'1.4 FY 2020 Revenue Received'!T21),2)</f>
        <v>92953.35</v>
      </c>
      <c r="H25" s="559">
        <f>ROUND(IF(D25="PCFP",'2.8 Alloc of Residual Rev. YR1'!K27,('1.4 FY 2020 Revenue Received'!S21/2)+'1.4 FY 2020 Revenue Received'!U21),2)</f>
        <v>122590.65</v>
      </c>
      <c r="I25" s="570">
        <f>ROUND(IF(D25="PCFP",'2.8 Alloc of Residual Rev. YR1'!L27,'1.4 FY 2020 Revenue Received'!V21),2)</f>
        <v>0</v>
      </c>
      <c r="J25" s="559">
        <f t="shared" si="0"/>
        <v>215544</v>
      </c>
      <c r="K25" s="9"/>
      <c r="L25" s="559">
        <f>ROUND(IF(D25="PCFP",SUM('2.1 Auxiliary Services YR1'!D25:E25),'1.4 FY 2020 Revenue Received'!W21),2)</f>
        <v>800420.59</v>
      </c>
      <c r="M25" s="559">
        <f>ROUND('2.1 Auxiliary Services YR1'!F25,2)</f>
        <v>0</v>
      </c>
      <c r="N25" s="559">
        <f>ROUND(IF(D25="PCFP",SUM('2.1 Auxiliary Services YR1'!G25:H25),'1.4 FY 2020 Revenue Received'!X21),2)</f>
        <v>25224.75</v>
      </c>
      <c r="O25" s="559">
        <f t="shared" si="1"/>
        <v>825645.34</v>
      </c>
      <c r="P25" s="9"/>
      <c r="Q25" s="530">
        <f>ROUND(IF(D25="PCFP",'2.8 Alloc of Residual Rev. YR1'!I27,'1.4 FY 2020 Revenue Received'!Y21),2)</f>
        <v>456815</v>
      </c>
      <c r="R25" s="9"/>
      <c r="S25" s="581">
        <f t="shared" si="2"/>
        <v>11049178.02</v>
      </c>
      <c r="T25" s="9"/>
      <c r="U25" s="581">
        <f>S25-'2.9 PCFP Funding Comparison YR1'!H21</f>
        <v>1987768.0199999996</v>
      </c>
      <c r="V25" s="175">
        <f>IF(D25="PCFP",'2.9 PCFP Funding Comparison YR1'!S21,'2.9 PCFP Funding Comparison YR1'!T21)-S25</f>
        <v>0</v>
      </c>
    </row>
    <row r="26" spans="1:23" x14ac:dyDescent="0.3">
      <c r="B26" s="10" t="str">
        <f>'1.2 Budgeted Enrollment YR1'!E23</f>
        <v>Storey</v>
      </c>
      <c r="D26" s="574" t="str">
        <f>IF('2.9 PCFP Funding Comparison YR1'!K22="Yes","PCFP","FY 2020 Baseline")</f>
        <v>FY 2020 Baseline</v>
      </c>
      <c r="E26" s="559">
        <f>ROUND(IF(D26="PCFP",'2.8 Alloc of Residual Rev. YR1'!G28,('2.9 PCFP Funding Comparison YR1'!T22-SUM(J26,O26,Q26))),2)</f>
        <v>10086417.279999999</v>
      </c>
      <c r="F26" s="9"/>
      <c r="G26" s="565">
        <f>ROUND(IF(D26="PCFP",'2.8 Alloc of Residual Rev. YR1'!J28,('1.4 FY 2020 Revenue Received'!S22/2)+'1.4 FY 2020 Revenue Received'!T22),2)</f>
        <v>13800</v>
      </c>
      <c r="H26" s="559">
        <f>ROUND(IF(D26="PCFP",'2.8 Alloc of Residual Rev. YR1'!K28,('1.4 FY 2020 Revenue Received'!S22/2)+'1.4 FY 2020 Revenue Received'!U22),2)</f>
        <v>13800</v>
      </c>
      <c r="I26" s="570">
        <f>ROUND(IF(D26="PCFP",'2.8 Alloc of Residual Rev. YR1'!L28,'1.4 FY 2020 Revenue Received'!V22),2)</f>
        <v>0</v>
      </c>
      <c r="J26" s="559">
        <f t="shared" si="0"/>
        <v>27600</v>
      </c>
      <c r="K26" s="9"/>
      <c r="L26" s="559">
        <f>ROUND(IF(D26="PCFP",SUM('2.1 Auxiliary Services YR1'!D26:E26),'1.4 FY 2020 Revenue Received'!W22),2)</f>
        <v>547375</v>
      </c>
      <c r="M26" s="559">
        <f>ROUND('2.1 Auxiliary Services YR1'!F26,2)</f>
        <v>0</v>
      </c>
      <c r="N26" s="559">
        <f>ROUND(IF(D26="PCFP",SUM('2.1 Auxiliary Services YR1'!G26:H26),'1.4 FY 2020 Revenue Received'!X22),2)</f>
        <v>23002</v>
      </c>
      <c r="O26" s="559">
        <f t="shared" si="1"/>
        <v>570377</v>
      </c>
      <c r="P26" s="9"/>
      <c r="Q26" s="530">
        <f>ROUND(IF(D26="PCFP",'2.8 Alloc of Residual Rev. YR1'!I28,'1.4 FY 2020 Revenue Received'!Y22),2)</f>
        <v>55048</v>
      </c>
      <c r="R26" s="9"/>
      <c r="S26" s="581">
        <f t="shared" si="2"/>
        <v>10739442.279999999</v>
      </c>
      <c r="T26" s="9"/>
      <c r="U26" s="581">
        <f>S26-'2.9 PCFP Funding Comparison YR1'!H22</f>
        <v>-643780.72000000067</v>
      </c>
      <c r="V26" s="175">
        <f>IF(D26="PCFP",'2.9 PCFP Funding Comparison YR1'!S22,'2.9 PCFP Funding Comparison YR1'!T22)-S26</f>
        <v>0</v>
      </c>
      <c r="W26" s="11">
        <f>S26/'2.9 PCFP Funding Comparison YR1'!D22</f>
        <v>26000.064555497767</v>
      </c>
    </row>
    <row r="27" spans="1:23" x14ac:dyDescent="0.3">
      <c r="B27" s="10" t="str">
        <f>'1.2 Budgeted Enrollment YR1'!E24</f>
        <v>Washoe</v>
      </c>
      <c r="D27" s="574" t="str">
        <f>IF('2.9 PCFP Funding Comparison YR1'!K23="Yes","PCFP","FY 2020 Baseline")</f>
        <v>PCFP</v>
      </c>
      <c r="E27" s="559">
        <f>ROUND(IF(D27="PCFP",'2.8 Alloc of Residual Rev. YR1'!G29,('2.9 PCFP Funding Comparison YR1'!T23-SUM(J27,O27,Q27))),2)</f>
        <v>560613306.34000003</v>
      </c>
      <c r="F27" s="9"/>
      <c r="G27" s="565">
        <f>ROUND(IF(D27="PCFP",'2.8 Alloc of Residual Rev. YR1'!J29,('1.4 FY 2020 Revenue Received'!S23/2)+'1.4 FY 2020 Revenue Received'!T23),2)</f>
        <v>27182792.699999999</v>
      </c>
      <c r="H27" s="559">
        <f>ROUND(IF(D27="PCFP",'2.8 Alloc of Residual Rev. YR1'!K29,('1.4 FY 2020 Revenue Received'!S23/2)+'1.4 FY 2020 Revenue Received'!U23),2)</f>
        <v>15440135.199999999</v>
      </c>
      <c r="I27" s="570">
        <f>ROUND(IF(D27="PCFP",'2.8 Alloc of Residual Rev. YR1'!L29,'1.4 FY 2020 Revenue Received'!V23),2)</f>
        <v>1356849.48</v>
      </c>
      <c r="J27" s="559">
        <f t="shared" si="0"/>
        <v>43979777.380000003</v>
      </c>
      <c r="K27" s="9"/>
      <c r="L27" s="559">
        <f>ROUND(IF(D27="PCFP",SUM('2.1 Auxiliary Services YR1'!D27:E27),'1.4 FY 2020 Revenue Received'!W23),2)</f>
        <v>23740800.77</v>
      </c>
      <c r="M27" s="559">
        <f>ROUND('2.1 Auxiliary Services YR1'!F27,2)</f>
        <v>0</v>
      </c>
      <c r="N27" s="559">
        <f>ROUND(IF(D27="PCFP",SUM('2.1 Auxiliary Services YR1'!G27:H27),'1.4 FY 2020 Revenue Received'!X23),2)</f>
        <v>0</v>
      </c>
      <c r="O27" s="559">
        <f t="shared" si="1"/>
        <v>23740800.77</v>
      </c>
      <c r="P27" s="9"/>
      <c r="Q27" s="530">
        <f>ROUND(IF(D27="PCFP",'2.8 Alloc of Residual Rev. YR1'!I29,'1.4 FY 2020 Revenue Received'!Y23),2)</f>
        <v>44935310</v>
      </c>
      <c r="R27" s="9"/>
      <c r="S27" s="581">
        <f t="shared" si="2"/>
        <v>673269194.49000001</v>
      </c>
      <c r="T27" s="9"/>
      <c r="U27" s="581">
        <f>S27-'2.9 PCFP Funding Comparison YR1'!H23</f>
        <v>139382293.49000001</v>
      </c>
      <c r="V27" s="175">
        <f>IF(D27="PCFP",'2.9 PCFP Funding Comparison YR1'!S23,'2.9 PCFP Funding Comparison YR1'!T23)-S27</f>
        <v>0</v>
      </c>
    </row>
    <row r="28" spans="1:23" x14ac:dyDescent="0.3">
      <c r="B28" s="10" t="str">
        <f>'1.2 Budgeted Enrollment YR1'!E25</f>
        <v>White Pine</v>
      </c>
      <c r="D28" s="574" t="str">
        <f>IF('2.9 PCFP Funding Comparison YR1'!K24="Yes","PCFP","FY 2020 Baseline")</f>
        <v>PCFP</v>
      </c>
      <c r="E28" s="559">
        <f>ROUND(IF(D28="PCFP",'2.8 Alloc of Residual Rev. YR1'!G30,('2.9 PCFP Funding Comparison YR1'!T24-SUM(J28,O28,Q28))),2)</f>
        <v>17858323.579999998</v>
      </c>
      <c r="F28" s="9"/>
      <c r="G28" s="565">
        <f>ROUND(IF(D28="PCFP",'2.8 Alloc of Residual Rev. YR1'!J30,('1.4 FY 2020 Revenue Received'!S24/2)+'1.4 FY 2020 Revenue Received'!T24),2)</f>
        <v>60621.75</v>
      </c>
      <c r="H28" s="559">
        <f>ROUND(IF(D28="PCFP",'2.8 Alloc of Residual Rev. YR1'!K30,('1.4 FY 2020 Revenue Received'!S24/2)+'1.4 FY 2020 Revenue Received'!U24),2)</f>
        <v>342625.15</v>
      </c>
      <c r="I28" s="570">
        <f>ROUND(IF(D28="PCFP",'2.8 Alloc of Residual Rev. YR1'!L30,'1.4 FY 2020 Revenue Received'!V24),2)</f>
        <v>0</v>
      </c>
      <c r="J28" s="559">
        <f t="shared" si="0"/>
        <v>403246.9</v>
      </c>
      <c r="K28" s="9"/>
      <c r="L28" s="559">
        <f>ROUND(IF(D28="PCFP",SUM('2.1 Auxiliary Services YR1'!D28:E28),'1.4 FY 2020 Revenue Received'!W24),2)</f>
        <v>1218747.99</v>
      </c>
      <c r="M28" s="559">
        <f>ROUND('2.1 Auxiliary Services YR1'!F28,2)</f>
        <v>0</v>
      </c>
      <c r="N28" s="559">
        <f>ROUND(IF(D28="PCFP",SUM('2.1 Auxiliary Services YR1'!G28:H28),'1.4 FY 2020 Revenue Received'!X24),2)</f>
        <v>48795.18</v>
      </c>
      <c r="O28" s="559">
        <f t="shared" si="1"/>
        <v>1267543.17</v>
      </c>
      <c r="P28" s="9"/>
      <c r="Q28" s="530">
        <f>ROUND(IF(D28="PCFP",'2.8 Alloc of Residual Rev. YR1'!I30,'1.4 FY 2020 Revenue Received'!Y24),2)</f>
        <v>599616</v>
      </c>
      <c r="R28" s="9"/>
      <c r="S28" s="581">
        <f t="shared" si="2"/>
        <v>20128729.649999999</v>
      </c>
      <c r="T28" s="9"/>
      <c r="U28" s="581">
        <f>S28-'2.9 PCFP Funding Comparison YR1'!H24</f>
        <v>4898156.6499999985</v>
      </c>
      <c r="V28" s="175">
        <f>IF(D28="PCFP",'2.9 PCFP Funding Comparison YR1'!S24,'2.9 PCFP Funding Comparison YR1'!T24)-S28</f>
        <v>0</v>
      </c>
    </row>
    <row r="29" spans="1:23" x14ac:dyDescent="0.3">
      <c r="B29" s="10" t="str">
        <f>'1.2 Budgeted Enrollment YR1'!E26</f>
        <v>Charter Schools (Combined)</v>
      </c>
      <c r="D29" s="574" t="str">
        <f>IF('2.9 PCFP Funding Comparison YR1'!K25="Yes","PCFP","FY 2020 Baseline")</f>
        <v>PCFP</v>
      </c>
      <c r="E29" s="559">
        <f>E95</f>
        <v>621861600.87</v>
      </c>
      <c r="F29" s="9"/>
      <c r="G29" s="565">
        <f>G95</f>
        <v>22268390</v>
      </c>
      <c r="H29" s="559">
        <f>H95</f>
        <v>9587217.5000000019</v>
      </c>
      <c r="I29" s="565">
        <f>I95</f>
        <v>1182258.8400000001</v>
      </c>
      <c r="J29" s="565">
        <f>J95</f>
        <v>33037865.84</v>
      </c>
      <c r="K29" s="215"/>
      <c r="L29" s="559">
        <f>L95</f>
        <v>0</v>
      </c>
      <c r="M29" s="559">
        <f>M95</f>
        <v>0</v>
      </c>
      <c r="N29" s="559">
        <f>N95</f>
        <v>0</v>
      </c>
      <c r="O29" s="559">
        <f>O95</f>
        <v>0</v>
      </c>
      <c r="P29" s="9"/>
      <c r="Q29" s="530">
        <f>Q95</f>
        <v>14783450.18</v>
      </c>
      <c r="R29" s="9"/>
      <c r="S29" s="581">
        <f>ROUND(E29+J29+O29+Q29,2)</f>
        <v>669682916.88999999</v>
      </c>
      <c r="T29" s="9"/>
      <c r="U29" s="581">
        <f>S29-'2.9 PCFP Funding Comparison YR1'!H25</f>
        <v>235876390.88999999</v>
      </c>
      <c r="V29" s="175">
        <f>IF(D29="PCFP",'2.9 PCFP Funding Comparison YR1'!S25,'2.9 PCFP Funding Comparison YR1'!T25)-S29</f>
        <v>0</v>
      </c>
    </row>
    <row r="30" spans="1:23" x14ac:dyDescent="0.3">
      <c r="A30" s="183"/>
      <c r="B30" s="183" t="str">
        <f>'1.2 Budgeted Enrollment YR1'!E27</f>
        <v>University Schools</v>
      </c>
      <c r="C30" s="183"/>
      <c r="D30" s="576" t="str">
        <f>IF('2.9 PCFP Funding Comparison YR1'!K26="Yes","PCFP","FY 2020 Baseline")</f>
        <v>PCFP</v>
      </c>
      <c r="E30" s="559">
        <f>E100</f>
        <v>1455319</v>
      </c>
      <c r="F30" s="9"/>
      <c r="G30" s="565">
        <f>G100</f>
        <v>0</v>
      </c>
      <c r="H30" s="559">
        <f>H100</f>
        <v>0</v>
      </c>
      <c r="I30" s="561">
        <f>I100</f>
        <v>0</v>
      </c>
      <c r="J30" s="561">
        <f>J100</f>
        <v>0</v>
      </c>
      <c r="K30" s="9"/>
      <c r="L30" s="559">
        <f>L100</f>
        <v>0</v>
      </c>
      <c r="M30" s="559">
        <f>M100</f>
        <v>0</v>
      </c>
      <c r="N30" s="559">
        <f>N100</f>
        <v>0</v>
      </c>
      <c r="O30" s="559">
        <f>O100</f>
        <v>0</v>
      </c>
      <c r="P30" s="9"/>
      <c r="Q30" s="530">
        <f>Q100</f>
        <v>0</v>
      </c>
      <c r="R30" s="9"/>
      <c r="S30" s="581">
        <f>ROUND(E30+J30+O30+Q30,2)</f>
        <v>1455319</v>
      </c>
      <c r="T30" s="9"/>
      <c r="U30" s="578">
        <f>S30-'2.9 PCFP Funding Comparison YR1'!H26</f>
        <v>293912</v>
      </c>
      <c r="V30" s="175">
        <f>IF(D30="PCFP",'2.9 PCFP Funding Comparison YR1'!S26,'2.9 PCFP Funding Comparison YR1'!T26)-S30</f>
        <v>0</v>
      </c>
    </row>
    <row r="31" spans="1:23" x14ac:dyDescent="0.3">
      <c r="A31" s="4"/>
      <c r="B31" s="4" t="s">
        <v>89</v>
      </c>
      <c r="C31" s="4"/>
      <c r="D31" s="4"/>
      <c r="E31" s="647">
        <f>SUM(E12:E30)</f>
        <v>4386547040.7799997</v>
      </c>
      <c r="F31" s="9"/>
      <c r="G31" s="567">
        <f>SUM(G12:G30)</f>
        <v>212892508.27000001</v>
      </c>
      <c r="H31" s="564">
        <f>SUM(H12:H30)</f>
        <v>199000598.34999999</v>
      </c>
      <c r="I31" s="568">
        <f>SUM(I12:I30)</f>
        <v>8006381.8800000008</v>
      </c>
      <c r="J31" s="564">
        <f>SUM(J12:J30)</f>
        <v>419899487.99999988</v>
      </c>
      <c r="K31" s="9"/>
      <c r="L31" s="564">
        <f>SUM(L12:L30)</f>
        <v>193475803.79000005</v>
      </c>
      <c r="M31" s="564">
        <f>SUM(M12:M30)</f>
        <v>0</v>
      </c>
      <c r="N31" s="564">
        <f>SUM(N12:N30)</f>
        <v>1622446.3299999998</v>
      </c>
      <c r="O31" s="564">
        <f>SUM(O12:O30)</f>
        <v>195098250.12000003</v>
      </c>
      <c r="P31" s="9"/>
      <c r="Q31" s="564">
        <f>SUM(Q12:Q30)</f>
        <v>484595795.34000003</v>
      </c>
      <c r="R31" s="9"/>
      <c r="S31" s="562">
        <f>SUM(S12:S30)</f>
        <v>5486140574.2399998</v>
      </c>
      <c r="T31" s="9"/>
    </row>
    <row r="32" spans="1:23" x14ac:dyDescent="0.3">
      <c r="B32" s="263"/>
      <c r="C32" s="262"/>
      <c r="D32" s="262"/>
      <c r="E32" s="398"/>
      <c r="F32" s="734"/>
      <c r="G32" s="396"/>
      <c r="H32" s="397"/>
      <c r="I32" s="397"/>
      <c r="J32" s="398"/>
      <c r="K32" s="734"/>
      <c r="L32" s="398"/>
      <c r="M32" s="398"/>
      <c r="N32" s="398"/>
      <c r="O32" s="398"/>
      <c r="P32" s="734"/>
      <c r="Q32" s="398"/>
      <c r="R32" s="734"/>
      <c r="S32" s="1476">
        <f>S31-'2.9 PCFP Funding Comparison YR1'!T28</f>
        <v>0</v>
      </c>
      <c r="U32" s="1264">
        <f>'1.3 Budgeted Revenues YR1'!C35-'3.1a Initial Allocations YR1'!S31</f>
        <v>-9218764.7591619492</v>
      </c>
      <c r="V32" s="10" t="s">
        <v>1065</v>
      </c>
    </row>
    <row r="33" spans="1:22" x14ac:dyDescent="0.3">
      <c r="A33" s="225"/>
      <c r="B33" s="226"/>
      <c r="C33" s="227" t="s">
        <v>879</v>
      </c>
      <c r="D33" s="796"/>
      <c r="E33" s="1056" t="s">
        <v>896</v>
      </c>
      <c r="F33" s="734"/>
      <c r="G33" s="1057" t="s">
        <v>1060</v>
      </c>
      <c r="H33" s="1058" t="s">
        <v>1060</v>
      </c>
      <c r="I33" s="1058" t="s">
        <v>1060</v>
      </c>
      <c r="J33" s="1059" t="s">
        <v>912</v>
      </c>
      <c r="K33" s="734"/>
      <c r="L33" s="1059"/>
      <c r="M33" s="1059"/>
      <c r="N33" s="1059"/>
      <c r="O33" s="1059" t="s">
        <v>938</v>
      </c>
      <c r="P33" s="734"/>
      <c r="Q33" s="1059" t="s">
        <v>1021</v>
      </c>
      <c r="R33" s="734"/>
      <c r="S33" s="1060" t="s">
        <v>913</v>
      </c>
      <c r="U33" s="558">
        <f>U32/S31</f>
        <v>-1.6803734126770956E-3</v>
      </c>
      <c r="V33" s="10" t="s">
        <v>1066</v>
      </c>
    </row>
    <row r="34" spans="1:22" x14ac:dyDescent="0.3">
      <c r="A34" s="4" t="s">
        <v>740</v>
      </c>
      <c r="D34" s="128"/>
      <c r="E34" s="1061"/>
      <c r="F34" s="734"/>
      <c r="G34" s="1062"/>
      <c r="H34" s="1063"/>
      <c r="I34" s="15"/>
      <c r="J34" s="1061"/>
      <c r="K34" s="734"/>
      <c r="L34" s="1061"/>
      <c r="M34" s="1061"/>
      <c r="N34" s="1061"/>
      <c r="O34" s="1061"/>
      <c r="P34" s="734"/>
      <c r="Q34" s="1061"/>
      <c r="R34" s="734"/>
      <c r="S34" s="1061"/>
      <c r="U34" s="582">
        <f>1+U33</f>
        <v>0.99831962658732287</v>
      </c>
      <c r="V34" s="10" t="s">
        <v>1068</v>
      </c>
    </row>
    <row r="35" spans="1:22" x14ac:dyDescent="0.3">
      <c r="A35" s="4"/>
      <c r="B35" s="10" t="str">
        <f>'1.2 Budgeted Enrollment YR1'!E32</f>
        <v>100 Academy Of Excellence</v>
      </c>
      <c r="D35" s="128" t="str">
        <f>IF('2.9 PCFP Funding Comparison YR1'!$K$25="Yes","PCFP","FY 2020 Baseline")</f>
        <v>PCFP</v>
      </c>
      <c r="E35" s="559">
        <f>ROUND(IF(D35="PCFP",'2.8 Alloc of Residual Rev. YR1'!G36,'1.4 FY 2020 Revenue Received'!Z30),2)</f>
        <v>2849784.87</v>
      </c>
      <c r="F35" s="9"/>
      <c r="G35" s="559">
        <f>ROUND(IF(D35="PCFP",'2.8 Alloc of Residual Rev. YR1'!J36,('1.4 FY 2020 Revenue Received'!S30)+'1.4 FY 2020 Revenue Received'!T30),2)</f>
        <v>121243.5</v>
      </c>
      <c r="H35" s="559">
        <f>ROUND(IF(D35="PCFP",'2.8 Alloc of Residual Rev. YR1'!K36,('1.4 FY 2020 Revenue Received'!S30)+'1.4 FY 2020 Revenue Received'!U30),2)</f>
        <v>506079.35</v>
      </c>
      <c r="I35" s="595">
        <f>ROUND(IF(D35="PCFP",'2.8 Alloc of Residual Rev. YR1'!L36,'1.4 FY 2020 Revenue Received'!V30),2)</f>
        <v>0</v>
      </c>
      <c r="J35" s="581">
        <f>SUM(G35:I35)</f>
        <v>627322.85</v>
      </c>
      <c r="K35" s="9"/>
      <c r="L35" s="130">
        <v>0</v>
      </c>
      <c r="M35" s="130">
        <v>0</v>
      </c>
      <c r="N35" s="130">
        <v>0</v>
      </c>
      <c r="O35" s="559">
        <f>SUM(L35:N35)</f>
        <v>0</v>
      </c>
      <c r="P35" s="9"/>
      <c r="Q35" s="530">
        <f>ROUND(IF(D35="PCFP",'2.8 Alloc of Residual Rev. YR1'!I36,'1.4 FY 2020 Revenue Received'!Y30),2)</f>
        <v>129964</v>
      </c>
      <c r="R35" s="9"/>
      <c r="S35" s="559">
        <f t="shared" ref="S35:S66" si="3">E35+J35+O35+Q35</f>
        <v>3607071.72</v>
      </c>
    </row>
    <row r="36" spans="1:22" x14ac:dyDescent="0.3">
      <c r="A36" s="4"/>
      <c r="B36" s="10" t="str">
        <f>'1.2 Budgeted Enrollment YR1'!E33</f>
        <v>Academy For Career Education</v>
      </c>
      <c r="D36" s="128" t="str">
        <f>IF('2.9 PCFP Funding Comparison YR1'!$K$25="Yes","PCFP","FY 2020 Baseline")</f>
        <v>PCFP</v>
      </c>
      <c r="E36" s="559">
        <f>ROUND(IF(D36="PCFP",'2.8 Alloc of Residual Rev. YR1'!G37,'1.4 FY 2020 Revenue Received'!Z31),2)</f>
        <v>2094071.38</v>
      </c>
      <c r="F36" s="9"/>
      <c r="G36" s="559">
        <f>ROUND(IF(D36="PCFP",'2.8 Alloc of Residual Rev. YR1'!J37,('1.4 FY 2020 Revenue Received'!S31)+'1.4 FY 2020 Revenue Received'!T31),2)</f>
        <v>88911.9</v>
      </c>
      <c r="H36" s="559">
        <f>ROUND(IF(D36="PCFP",'2.8 Alloc of Residual Rev. YR1'!K37,('1.4 FY 2020 Revenue Received'!S31)+'1.4 FY 2020 Revenue Received'!U31),2)</f>
        <v>6286.7</v>
      </c>
      <c r="I36" s="595">
        <f>ROUND(IF(D36="PCFP",'2.8 Alloc of Residual Rev. YR1'!L37,'1.4 FY 2020 Revenue Received'!V31),2)</f>
        <v>0</v>
      </c>
      <c r="J36" s="581">
        <f t="shared" ref="J36:J94" si="4">SUM(G36:I36)</f>
        <v>95198.599999999991</v>
      </c>
      <c r="K36" s="9"/>
      <c r="L36" s="130">
        <v>0</v>
      </c>
      <c r="M36" s="130">
        <v>0</v>
      </c>
      <c r="N36" s="130">
        <v>0</v>
      </c>
      <c r="O36" s="559">
        <f t="shared" ref="O36:O43" si="5">SUM(L36:N36)</f>
        <v>0</v>
      </c>
      <c r="P36" s="9"/>
      <c r="Q36" s="530">
        <f>ROUND(IF(D36="PCFP",'2.8 Alloc of Residual Rev. YR1'!I37,'1.4 FY 2020 Revenue Received'!Y31),2)</f>
        <v>95195</v>
      </c>
      <c r="R36" s="9"/>
      <c r="S36" s="559">
        <f t="shared" si="3"/>
        <v>2284464.98</v>
      </c>
    </row>
    <row r="37" spans="1:22" x14ac:dyDescent="0.3">
      <c r="A37" s="4"/>
      <c r="B37" s="10" t="str">
        <f>'1.2 Budgeted Enrollment YR1'!E34</f>
        <v xml:space="preserve">Alpine Academy </v>
      </c>
      <c r="D37" s="128" t="str">
        <f>IF('2.9 PCFP Funding Comparison YR1'!$K$25="Yes","PCFP","FY 2020 Baseline")</f>
        <v>PCFP</v>
      </c>
      <c r="E37" s="559">
        <f>ROUND(IF(D37="PCFP",'2.8 Alloc of Residual Rev. YR1'!G38,'1.4 FY 2020 Revenue Received'!Z32),2)</f>
        <v>1327528.26</v>
      </c>
      <c r="F37" s="9"/>
      <c r="G37" s="559">
        <f>ROUND(IF(D37="PCFP",'2.8 Alloc of Residual Rev. YR1'!J38,('1.4 FY 2020 Revenue Received'!S32)+'1.4 FY 2020 Revenue Received'!T32),2)</f>
        <v>0</v>
      </c>
      <c r="H37" s="559">
        <f>ROUND(IF(D37="PCFP",'2.8 Alloc of Residual Rev. YR1'!K38,('1.4 FY 2020 Revenue Received'!S32)+'1.4 FY 2020 Revenue Received'!U32),2)</f>
        <v>15716.75</v>
      </c>
      <c r="I37" s="595">
        <f>ROUND(IF(D37="PCFP",'2.8 Alloc of Residual Rev. YR1'!L38,'1.4 FY 2020 Revenue Received'!V32),2)</f>
        <v>0</v>
      </c>
      <c r="J37" s="581">
        <f t="shared" si="4"/>
        <v>15716.75</v>
      </c>
      <c r="K37" s="9"/>
      <c r="L37" s="130">
        <v>0</v>
      </c>
      <c r="M37" s="130">
        <v>0</v>
      </c>
      <c r="N37" s="130">
        <v>0</v>
      </c>
      <c r="O37" s="559">
        <f t="shared" si="5"/>
        <v>0</v>
      </c>
      <c r="P37" s="9"/>
      <c r="Q37" s="530">
        <f>ROUND(IF(D37="PCFP",'2.8 Alloc of Residual Rev. YR1'!I38,'1.4 FY 2020 Revenue Received'!Y32),2)</f>
        <v>79475</v>
      </c>
      <c r="R37" s="9"/>
      <c r="S37" s="559">
        <f t="shared" si="3"/>
        <v>1422720.01</v>
      </c>
    </row>
    <row r="38" spans="1:22" x14ac:dyDescent="0.3">
      <c r="A38" s="4"/>
      <c r="B38" s="10" t="str">
        <f>'1.2 Budgeted Enrollment YR1'!E35</f>
        <v xml:space="preserve">Amplus (Formerly American Preparatory Academy) </v>
      </c>
      <c r="D38" s="128" t="str">
        <f>IF('2.9 PCFP Funding Comparison YR1'!$K$25="Yes","PCFP","FY 2020 Baseline")</f>
        <v>PCFP</v>
      </c>
      <c r="E38" s="559">
        <f>ROUND(IF(D38="PCFP",'2.8 Alloc of Residual Rev. YR1'!G39,'1.4 FY 2020 Revenue Received'!Z33),2)</f>
        <v>20366306.48</v>
      </c>
      <c r="F38" s="9"/>
      <c r="G38" s="559">
        <f>ROUND(IF(D38="PCFP",'2.8 Alloc of Residual Rev. YR1'!J39,('1.4 FY 2020 Revenue Received'!S33)+'1.4 FY 2020 Revenue Received'!T33),2)</f>
        <v>703212.3</v>
      </c>
      <c r="H38" s="559">
        <f>ROUND(IF(D38="PCFP",'2.8 Alloc of Residual Rev. YR1'!K39,('1.4 FY 2020 Revenue Received'!S33)+'1.4 FY 2020 Revenue Received'!U33),2)</f>
        <v>122590.65</v>
      </c>
      <c r="I38" s="595">
        <f>ROUND(IF(D38="PCFP",'2.8 Alloc of Residual Rev. YR1'!L39,'1.4 FY 2020 Revenue Received'!V33),2)</f>
        <v>43108.800000000003</v>
      </c>
      <c r="J38" s="581">
        <f t="shared" si="4"/>
        <v>868911.75000000012</v>
      </c>
      <c r="K38" s="9"/>
      <c r="L38" s="130">
        <v>0</v>
      </c>
      <c r="M38" s="130">
        <v>0</v>
      </c>
      <c r="N38" s="130">
        <v>0</v>
      </c>
      <c r="O38" s="559">
        <f t="shared" si="5"/>
        <v>0</v>
      </c>
      <c r="P38" s="9"/>
      <c r="Q38" s="530">
        <f>ROUND(IF(D38="PCFP",'2.8 Alloc of Residual Rev. YR1'!I39,'1.4 FY 2020 Revenue Received'!Y33),2)</f>
        <v>23584</v>
      </c>
      <c r="R38" s="9"/>
      <c r="S38" s="559">
        <f t="shared" si="3"/>
        <v>21258802.23</v>
      </c>
    </row>
    <row r="39" spans="1:22" x14ac:dyDescent="0.3">
      <c r="A39" s="4"/>
      <c r="B39" s="10" t="str">
        <f>'1.2 Budgeted Enrollment YR1'!E36</f>
        <v>Bailey Charter School</v>
      </c>
      <c r="D39" s="128" t="str">
        <f>IF('2.9 PCFP Funding Comparison YR1'!$K$25="Yes","PCFP","FY 2020 Baseline")</f>
        <v>PCFP</v>
      </c>
      <c r="E39" s="559">
        <f>ROUND(IF(D39="PCFP",'2.8 Alloc of Residual Rev. YR1'!G40,'1.4 FY 2020 Revenue Received'!Z34),2)</f>
        <v>1574634.9</v>
      </c>
      <c r="F39" s="9"/>
      <c r="G39" s="559">
        <f>ROUND(IF(D39="PCFP",'2.8 Alloc of Residual Rev. YR1'!J40,('1.4 FY 2020 Revenue Received'!S34)+'1.4 FY 2020 Revenue Received'!T34),2)</f>
        <v>303108.75</v>
      </c>
      <c r="H39" s="559">
        <f>ROUND(IF(D39="PCFP",'2.8 Alloc of Residual Rev. YR1'!K40,('1.4 FY 2020 Revenue Received'!S34)+'1.4 FY 2020 Revenue Received'!U34),2)</f>
        <v>116303.95</v>
      </c>
      <c r="I39" s="595">
        <f>ROUND(IF(D39="PCFP",'2.8 Alloc of Residual Rev. YR1'!L40,'1.4 FY 2020 Revenue Received'!V34),2)</f>
        <v>0</v>
      </c>
      <c r="J39" s="581">
        <f t="shared" si="4"/>
        <v>419412.7</v>
      </c>
      <c r="K39" s="9"/>
      <c r="L39" s="130">
        <v>0</v>
      </c>
      <c r="M39" s="130">
        <v>0</v>
      </c>
      <c r="N39" s="130">
        <v>0</v>
      </c>
      <c r="O39" s="559">
        <f t="shared" si="5"/>
        <v>0</v>
      </c>
      <c r="P39" s="9"/>
      <c r="Q39" s="530">
        <f>ROUND(IF(D39="PCFP",'2.8 Alloc of Residual Rev. YR1'!I40,'1.4 FY 2020 Revenue Received'!Y34),2)</f>
        <v>67769</v>
      </c>
      <c r="R39" s="9"/>
      <c r="S39" s="559">
        <f t="shared" si="3"/>
        <v>2061816.5999999999</v>
      </c>
    </row>
    <row r="40" spans="1:22" x14ac:dyDescent="0.3">
      <c r="A40" s="4"/>
      <c r="B40" s="10" t="str">
        <f>'1.2 Budgeted Enrollment YR1'!E37</f>
        <v>Battle Born Academy</v>
      </c>
      <c r="D40" s="128" t="str">
        <f>IF('2.9 PCFP Funding Comparison YR1'!$K$25="Yes","PCFP","FY 2020 Baseline")</f>
        <v>PCFP</v>
      </c>
      <c r="E40" s="559">
        <f>ROUND(IF(D40="PCFP",'2.8 Alloc of Residual Rev. YR1'!G41,'1.4 FY 2020 Revenue Received'!Z35),2)</f>
        <v>1187027.74</v>
      </c>
      <c r="F40" s="9"/>
      <c r="G40" s="559">
        <f>ROUND(IF(D40="PCFP",'2.8 Alloc of Residual Rev. YR1'!J41,('1.4 FY 2020 Revenue Received'!S35)+'1.4 FY 2020 Revenue Received'!T35),2)</f>
        <v>226321.2</v>
      </c>
      <c r="H40" s="559">
        <f>ROUND(IF(D40="PCFP",'2.8 Alloc of Residual Rev. YR1'!K41,('1.4 FY 2020 Revenue Received'!S35)+'1.4 FY 2020 Revenue Received'!U35),2)</f>
        <v>0</v>
      </c>
      <c r="I40" s="595">
        <f>ROUND(IF(D40="PCFP",'2.8 Alloc of Residual Rev. YR1'!L41,'1.4 FY 2020 Revenue Received'!V35),2)</f>
        <v>0</v>
      </c>
      <c r="J40" s="581">
        <f t="shared" si="4"/>
        <v>226321.2</v>
      </c>
      <c r="K40" s="9"/>
      <c r="L40" s="130">
        <v>0</v>
      </c>
      <c r="M40" s="130">
        <v>0</v>
      </c>
      <c r="N40" s="130">
        <v>0</v>
      </c>
      <c r="O40" s="559">
        <f t="shared" si="5"/>
        <v>0</v>
      </c>
      <c r="P40" s="9"/>
      <c r="Q40" s="530">
        <f>ROUND(IF(D40="PCFP",'2.8 Alloc of Residual Rev. YR1'!I41,'1.4 FY 2020 Revenue Received'!Y35),2)</f>
        <v>0</v>
      </c>
      <c r="R40" s="9"/>
      <c r="S40" s="559">
        <f t="shared" si="3"/>
        <v>1413348.94</v>
      </c>
    </row>
    <row r="41" spans="1:22" x14ac:dyDescent="0.3">
      <c r="A41" s="4"/>
      <c r="B41" s="10" t="str">
        <f>'1.2 Budgeted Enrollment YR1'!E38</f>
        <v>Beacon Academy</v>
      </c>
      <c r="D41" s="128" t="str">
        <f>IF('2.9 PCFP Funding Comparison YR1'!$K$25="Yes","PCFP","FY 2020 Baseline")</f>
        <v>PCFP</v>
      </c>
      <c r="E41" s="559">
        <f>ROUND(IF(D41="PCFP",'2.8 Alloc of Residual Rev. YR1'!G42,'1.4 FY 2020 Revenue Received'!Z36),2)</f>
        <v>5399459.4199999999</v>
      </c>
      <c r="F41" s="9"/>
      <c r="G41" s="559">
        <f>ROUND(IF(D41="PCFP",'2.8 Alloc of Residual Rev. YR1'!J42,('1.4 FY 2020 Revenue Received'!S36)+'1.4 FY 2020 Revenue Received'!T36),2)</f>
        <v>226321.2</v>
      </c>
      <c r="H41" s="559">
        <f>ROUND(IF(D41="PCFP",'2.8 Alloc of Residual Rev. YR1'!K42,('1.4 FY 2020 Revenue Received'!S36)+'1.4 FY 2020 Revenue Received'!U36),2)</f>
        <v>528082.80000000005</v>
      </c>
      <c r="I41" s="595">
        <f>ROUND(IF(D41="PCFP",'2.8 Alloc of Residual Rev. YR1'!L42,'1.4 FY 2020 Revenue Received'!V36),2)</f>
        <v>0</v>
      </c>
      <c r="J41" s="581">
        <f t="shared" si="4"/>
        <v>754404</v>
      </c>
      <c r="K41" s="9"/>
      <c r="L41" s="130">
        <v>0</v>
      </c>
      <c r="M41" s="130">
        <v>0</v>
      </c>
      <c r="N41" s="130">
        <v>0</v>
      </c>
      <c r="O41" s="559">
        <f t="shared" si="5"/>
        <v>0</v>
      </c>
      <c r="P41" s="9"/>
      <c r="Q41" s="530">
        <f>ROUND(IF(D41="PCFP",'2.8 Alloc of Residual Rev. YR1'!I42,'1.4 FY 2020 Revenue Received'!Y36),2)</f>
        <v>275857</v>
      </c>
      <c r="R41" s="9"/>
      <c r="S41" s="559">
        <f t="shared" si="3"/>
        <v>6429720.4199999999</v>
      </c>
    </row>
    <row r="42" spans="1:22" x14ac:dyDescent="0.3">
      <c r="A42" s="4"/>
      <c r="B42" s="10" t="str">
        <f>'1.2 Budgeted Enrollment YR1'!E39</f>
        <v>Cactus Park</v>
      </c>
      <c r="D42" s="128" t="str">
        <f>IF('2.9 PCFP Funding Comparison YR1'!$K$25="Yes","PCFP","FY 2020 Baseline")</f>
        <v>PCFP</v>
      </c>
      <c r="E42" s="559">
        <f>ROUND(IF(D42="PCFP",'2.8 Alloc of Residual Rev. YR1'!G43,'1.4 FY 2020 Revenue Received'!Z37),2)</f>
        <v>974705.17</v>
      </c>
      <c r="F42" s="9"/>
      <c r="G42" s="559">
        <f>ROUND(IF(D42="PCFP",'2.8 Alloc of Residual Rev. YR1'!J43,('1.4 FY 2020 Revenue Received'!S37)+'1.4 FY 2020 Revenue Received'!T37),2)</f>
        <v>88911.9</v>
      </c>
      <c r="H42" s="559">
        <f>ROUND(IF(D42="PCFP",'2.8 Alloc of Residual Rev. YR1'!K43,('1.4 FY 2020 Revenue Received'!S37)+'1.4 FY 2020 Revenue Received'!U37),2)</f>
        <v>0</v>
      </c>
      <c r="I42" s="595">
        <f>ROUND(IF(D42="PCFP",'2.8 Alloc of Residual Rev. YR1'!L43,'1.4 FY 2020 Revenue Received'!V37),2)</f>
        <v>0</v>
      </c>
      <c r="J42" s="581">
        <f t="shared" si="4"/>
        <v>88911.9</v>
      </c>
      <c r="K42" s="9"/>
      <c r="L42" s="130">
        <v>0</v>
      </c>
      <c r="M42" s="130">
        <v>0</v>
      </c>
      <c r="N42" s="130">
        <v>0</v>
      </c>
      <c r="O42" s="559">
        <f t="shared" si="5"/>
        <v>0</v>
      </c>
      <c r="P42" s="9"/>
      <c r="Q42" s="530">
        <f>ROUND(IF(D42="PCFP",'2.8 Alloc of Residual Rev. YR1'!I43,'1.4 FY 2020 Revenue Received'!Y37),2)</f>
        <v>0</v>
      </c>
      <c r="R42" s="9"/>
      <c r="S42" s="559">
        <f t="shared" si="3"/>
        <v>1063617.07</v>
      </c>
    </row>
    <row r="43" spans="1:22" x14ac:dyDescent="0.3">
      <c r="A43" s="4"/>
      <c r="B43" s="10" t="str">
        <f>'1.2 Budgeted Enrollment YR1'!E40</f>
        <v>Carson Montessori</v>
      </c>
      <c r="D43" s="128" t="str">
        <f>IF('2.9 PCFP Funding Comparison YR1'!$K$25="Yes","PCFP","FY 2020 Baseline")</f>
        <v>PCFP</v>
      </c>
      <c r="E43" s="559">
        <f>ROUND(IF(D43="PCFP",'2.8 Alloc of Residual Rev. YR1'!G44,'1.4 FY 2020 Revenue Received'!Z38),2)</f>
        <v>2762096.3</v>
      </c>
      <c r="F43" s="9"/>
      <c r="G43" s="559">
        <f>ROUND(IF(D43="PCFP",'2.8 Alloc of Residual Rev. YR1'!J44,('1.4 FY 2020 Revenue Received'!S38)+'1.4 FY 2020 Revenue Received'!T38),2)</f>
        <v>36373.050000000003</v>
      </c>
      <c r="H43" s="559">
        <f>ROUND(IF(D43="PCFP",'2.8 Alloc of Residual Rev. YR1'!K44,('1.4 FY 2020 Revenue Received'!S38)+'1.4 FY 2020 Revenue Received'!U38),2)</f>
        <v>9430.0499999999993</v>
      </c>
      <c r="I43" s="595">
        <f>ROUND(IF(D43="PCFP",'2.8 Alloc of Residual Rev. YR1'!L44,'1.4 FY 2020 Revenue Received'!V38),2)</f>
        <v>0</v>
      </c>
      <c r="J43" s="581">
        <f t="shared" si="4"/>
        <v>45803.100000000006</v>
      </c>
      <c r="K43" s="9"/>
      <c r="L43" s="130">
        <v>0</v>
      </c>
      <c r="M43" s="130">
        <v>0</v>
      </c>
      <c r="N43" s="130">
        <v>0</v>
      </c>
      <c r="O43" s="559">
        <f t="shared" si="5"/>
        <v>0</v>
      </c>
      <c r="P43" s="9"/>
      <c r="Q43" s="530">
        <f>ROUND(IF(D43="PCFP",'2.8 Alloc of Residual Rev. YR1'!I44,'1.4 FY 2020 Revenue Received'!Y38),2)</f>
        <v>144597</v>
      </c>
      <c r="R43" s="9"/>
      <c r="S43" s="559">
        <f t="shared" si="3"/>
        <v>2952496.4</v>
      </c>
    </row>
    <row r="44" spans="1:22" x14ac:dyDescent="0.3">
      <c r="A44" s="4"/>
      <c r="B44" s="10" t="str">
        <f>'1.2 Budgeted Enrollment YR1'!E41</f>
        <v>CIVICA Nevada Career &amp; Collegiate Academy</v>
      </c>
      <c r="D44" s="128" t="str">
        <f>IF('2.9 PCFP Funding Comparison YR1'!$K$25="Yes","PCFP","FY 2020 Baseline")</f>
        <v>PCFP</v>
      </c>
      <c r="E44" s="559">
        <f>ROUND(IF(D44="PCFP",'2.8 Alloc of Residual Rev. YR1'!G45,'1.4 FY 2020 Revenue Received'!Z39),2)</f>
        <v>6879969.8700000001</v>
      </c>
      <c r="F44" s="9"/>
      <c r="G44" s="559">
        <f>ROUND(IF(D44="PCFP",'2.8 Alloc of Residual Rev. YR1'!J45,('1.4 FY 2020 Revenue Received'!S39)+'1.4 FY 2020 Revenue Received'!T39),2)</f>
        <v>973989.45</v>
      </c>
      <c r="H44" s="559">
        <f>ROUND(IF(D44="PCFP",'2.8 Alloc of Residual Rev. YR1'!K45,('1.4 FY 2020 Revenue Received'!S39)+'1.4 FY 2020 Revenue Received'!U39),2)</f>
        <v>154024.15</v>
      </c>
      <c r="I44" s="595">
        <f>ROUND(IF(D44="PCFP",'2.8 Alloc of Residual Rev. YR1'!L45,'1.4 FY 2020 Revenue Received'!V39),2)</f>
        <v>0</v>
      </c>
      <c r="J44" s="581">
        <f t="shared" si="4"/>
        <v>1128013.5999999999</v>
      </c>
      <c r="K44" s="9"/>
      <c r="L44" s="130">
        <v>0</v>
      </c>
      <c r="M44" s="130">
        <v>0</v>
      </c>
      <c r="N44" s="130">
        <v>0</v>
      </c>
      <c r="O44" s="559">
        <f t="shared" ref="O44:O93" si="6">SUM(L44:N44)</f>
        <v>0</v>
      </c>
      <c r="P44" s="9"/>
      <c r="Q44" s="530">
        <f>ROUND(IF(D44="PCFP",'2.8 Alloc of Residual Rev. YR1'!I45,'1.4 FY 2020 Revenue Received'!Y39),2)</f>
        <v>258073</v>
      </c>
      <c r="R44" s="9"/>
      <c r="S44" s="559">
        <f t="shared" si="3"/>
        <v>8266056.4699999997</v>
      </c>
    </row>
    <row r="45" spans="1:22" x14ac:dyDescent="0.3">
      <c r="A45" s="4"/>
      <c r="B45" s="10" t="str">
        <f>'1.2 Budgeted Enrollment YR1'!E42</f>
        <v>Coral Academy of Science Las Vegas</v>
      </c>
      <c r="D45" s="128" t="str">
        <f>IF('2.9 PCFP Funding Comparison YR1'!$K$25="Yes","PCFP","FY 2020 Baseline")</f>
        <v>PCFP</v>
      </c>
      <c r="E45" s="559">
        <f>ROUND(IF(D45="PCFP",'2.8 Alloc of Residual Rev. YR1'!G46,'1.4 FY 2020 Revenue Received'!Z40),2)</f>
        <v>46489966.460000001</v>
      </c>
      <c r="F45" s="9"/>
      <c r="G45" s="559">
        <f>ROUND(IF(D45="PCFP",'2.8 Alloc of Residual Rev. YR1'!J46,('1.4 FY 2020 Revenue Received'!S40)+'1.4 FY 2020 Revenue Received'!T40),2)</f>
        <v>876994.65</v>
      </c>
      <c r="H45" s="559">
        <f>ROUND(IF(D45="PCFP",'2.8 Alloc of Residual Rev. YR1'!K46,('1.4 FY 2020 Revenue Received'!S40)+'1.4 FY 2020 Revenue Received'!U40),2)</f>
        <v>91157.15</v>
      </c>
      <c r="I45" s="595">
        <f>ROUND(IF(D45="PCFP",'2.8 Alloc of Residual Rev. YR1'!L46,'1.4 FY 2020 Revenue Received'!V40),2)</f>
        <v>24787.56</v>
      </c>
      <c r="J45" s="581">
        <f t="shared" si="4"/>
        <v>992939.3600000001</v>
      </c>
      <c r="K45" s="9"/>
      <c r="L45" s="130">
        <v>0</v>
      </c>
      <c r="M45" s="130">
        <v>0</v>
      </c>
      <c r="N45" s="130">
        <v>0</v>
      </c>
      <c r="O45" s="559">
        <f t="shared" si="6"/>
        <v>0</v>
      </c>
      <c r="P45" s="9"/>
      <c r="Q45" s="530">
        <f>ROUND(IF(D45="PCFP",'2.8 Alloc of Residual Rev. YR1'!I46,'1.4 FY 2020 Revenue Received'!Y40),2)</f>
        <v>621925</v>
      </c>
      <c r="R45" s="9"/>
      <c r="S45" s="559">
        <f t="shared" si="3"/>
        <v>48104830.82</v>
      </c>
    </row>
    <row r="46" spans="1:22" x14ac:dyDescent="0.3">
      <c r="A46" s="4"/>
      <c r="B46" s="10" t="str">
        <f>'1.2 Budgeted Enrollment YR1'!E43</f>
        <v>Coral Academy Washoe</v>
      </c>
      <c r="D46" s="128" t="str">
        <f>IF('2.9 PCFP Funding Comparison YR1'!$K$25="Yes","PCFP","FY 2020 Baseline")</f>
        <v>PCFP</v>
      </c>
      <c r="E46" s="559">
        <f>ROUND(IF(D46="PCFP",'2.8 Alloc of Residual Rev. YR1'!G47,'1.4 FY 2020 Revenue Received'!Z41),2)</f>
        <v>15834090.140000001</v>
      </c>
      <c r="F46" s="9"/>
      <c r="G46" s="559">
        <f>ROUND(IF(D46="PCFP",'2.8 Alloc of Residual Rev. YR1'!J47,('1.4 FY 2020 Revenue Received'!S41)+'1.4 FY 2020 Revenue Received'!T41),2)</f>
        <v>517305.59999999998</v>
      </c>
      <c r="H46" s="559">
        <f>ROUND(IF(D46="PCFP",'2.8 Alloc of Residual Rev. YR1'!K47,('1.4 FY 2020 Revenue Received'!S41)+'1.4 FY 2020 Revenue Received'!U41),2)</f>
        <v>132020.70000000001</v>
      </c>
      <c r="I46" s="595">
        <f>ROUND(IF(D46="PCFP",'2.8 Alloc of Residual Rev. YR1'!L47,'1.4 FY 2020 Revenue Received'!V41),2)</f>
        <v>4310.88</v>
      </c>
      <c r="J46" s="581">
        <f t="shared" si="4"/>
        <v>653637.18000000005</v>
      </c>
      <c r="K46" s="9"/>
      <c r="L46" s="130">
        <v>0</v>
      </c>
      <c r="M46" s="130">
        <v>0</v>
      </c>
      <c r="N46" s="130">
        <v>0</v>
      </c>
      <c r="O46" s="559">
        <f t="shared" si="6"/>
        <v>0</v>
      </c>
      <c r="P46" s="9"/>
      <c r="Q46" s="530">
        <f>ROUND(IF(D46="PCFP",'2.8 Alloc of Residual Rev. YR1'!I47,'1.4 FY 2020 Revenue Received'!Y41),2)</f>
        <v>230064</v>
      </c>
      <c r="R46" s="9"/>
      <c r="S46" s="559">
        <f t="shared" si="3"/>
        <v>16717791.32</v>
      </c>
    </row>
    <row r="47" spans="1:22" x14ac:dyDescent="0.3">
      <c r="B47" s="10" t="str">
        <f>'1.2 Budgeted Enrollment YR1'!E44</f>
        <v>Delta Academy</v>
      </c>
      <c r="D47" s="128" t="str">
        <f>IF('2.9 PCFP Funding Comparison YR1'!$K$25="Yes","PCFP","FY 2020 Baseline")</f>
        <v>PCFP</v>
      </c>
      <c r="E47" s="559">
        <f>ROUND(IF(D47="PCFP",'2.8 Alloc of Residual Rev. YR1'!G48,'1.4 FY 2020 Revenue Received'!Z42),2)</f>
        <v>11308570.92</v>
      </c>
      <c r="F47" s="9"/>
      <c r="G47" s="559">
        <f>ROUND(IF(D47="PCFP",'2.8 Alloc of Residual Rev. YR1'!J48,('1.4 FY 2020 Revenue Received'!S42)+'1.4 FY 2020 Revenue Received'!T42),2)</f>
        <v>408186.45</v>
      </c>
      <c r="H47" s="559">
        <f>ROUND(IF(D47="PCFP",'2.8 Alloc of Residual Rev. YR1'!K48,('1.4 FY 2020 Revenue Received'!S42)+'1.4 FY 2020 Revenue Received'!U42),2)</f>
        <v>1043592.2</v>
      </c>
      <c r="I47" s="595">
        <f>ROUND(IF(D47="PCFP",'2.8 Alloc of Residual Rev. YR1'!L48,'1.4 FY 2020 Revenue Received'!V42),2)</f>
        <v>0</v>
      </c>
      <c r="J47" s="581">
        <f t="shared" si="4"/>
        <v>1451778.65</v>
      </c>
      <c r="K47" s="9"/>
      <c r="L47" s="130">
        <v>0</v>
      </c>
      <c r="M47" s="130">
        <v>0</v>
      </c>
      <c r="N47" s="130">
        <v>0</v>
      </c>
      <c r="O47" s="559">
        <f t="shared" si="6"/>
        <v>0</v>
      </c>
      <c r="P47" s="9"/>
      <c r="Q47" s="530">
        <f>ROUND(IF(D47="PCFP",'2.8 Alloc of Residual Rev. YR1'!I48,'1.4 FY 2020 Revenue Received'!Y42),2)</f>
        <v>315441</v>
      </c>
      <c r="R47" s="9"/>
      <c r="S47" s="559">
        <f t="shared" si="3"/>
        <v>13075790.57</v>
      </c>
    </row>
    <row r="48" spans="1:22" x14ac:dyDescent="0.3">
      <c r="A48" s="4"/>
      <c r="B48" s="10" t="str">
        <f>'1.2 Budgeted Enrollment YR1'!E45</f>
        <v>Democracy Prep</v>
      </c>
      <c r="D48" s="128" t="str">
        <f>IF('2.9 PCFP Funding Comparison YR1'!$K$25="Yes","PCFP","FY 2020 Baseline")</f>
        <v>PCFP</v>
      </c>
      <c r="E48" s="559">
        <f>ROUND(IF(D48="PCFP",'2.8 Alloc of Residual Rev. YR1'!G49,'1.4 FY 2020 Revenue Received'!Z43),2)</f>
        <v>10807015.73</v>
      </c>
      <c r="F48" s="9"/>
      <c r="G48" s="559">
        <f>ROUND(IF(D48="PCFP",'2.8 Alloc of Residual Rev. YR1'!J49,('1.4 FY 2020 Revenue Received'!S43)+'1.4 FY 2020 Revenue Received'!T43),2)</f>
        <v>436476.6</v>
      </c>
      <c r="H48" s="559">
        <f>ROUND(IF(D48="PCFP",'2.8 Alloc of Residual Rev. YR1'!K49,('1.4 FY 2020 Revenue Received'!S43)+'1.4 FY 2020 Revenue Received'!U43),2)</f>
        <v>609809.9</v>
      </c>
      <c r="I48" s="595">
        <f>ROUND(IF(D48="PCFP",'2.8 Alloc of Residual Rev. YR1'!L49,'1.4 FY 2020 Revenue Received'!V43),2)</f>
        <v>0</v>
      </c>
      <c r="J48" s="581">
        <f t="shared" si="4"/>
        <v>1046286.5</v>
      </c>
      <c r="K48" s="9"/>
      <c r="L48" s="130">
        <v>0</v>
      </c>
      <c r="M48" s="130">
        <v>0</v>
      </c>
      <c r="N48" s="130">
        <v>0</v>
      </c>
      <c r="O48" s="559">
        <f t="shared" si="6"/>
        <v>0</v>
      </c>
      <c r="P48" s="9"/>
      <c r="Q48" s="530">
        <f>ROUND(IF(D48="PCFP",'2.8 Alloc of Residual Rev. YR1'!I49,'1.4 FY 2020 Revenue Received'!Y43),2)</f>
        <v>0</v>
      </c>
      <c r="R48" s="9"/>
      <c r="S48" s="559">
        <f t="shared" si="3"/>
        <v>11853302.23</v>
      </c>
    </row>
    <row r="49" spans="1:19" x14ac:dyDescent="0.3">
      <c r="A49" s="4"/>
      <c r="B49" s="10" t="str">
        <f>'1.2 Budgeted Enrollment YR1'!E46</f>
        <v>Discovery Charter</v>
      </c>
      <c r="D49" s="128" t="str">
        <f>IF('2.9 PCFP Funding Comparison YR1'!$K$25="Yes","PCFP","FY 2020 Baseline")</f>
        <v>PCFP</v>
      </c>
      <c r="E49" s="559">
        <f>ROUND(IF(D49="PCFP",'2.8 Alloc of Residual Rev. YR1'!G50,'1.4 FY 2020 Revenue Received'!Z44),2)</f>
        <v>4420542.3</v>
      </c>
      <c r="F49" s="9"/>
      <c r="G49" s="559">
        <f>ROUND(IF(D49="PCFP",'2.8 Alloc of Residual Rev. YR1'!J50,('1.4 FY 2020 Revenue Received'!S44)+'1.4 FY 2020 Revenue Received'!T44),2)</f>
        <v>92953.35</v>
      </c>
      <c r="H49" s="559">
        <f>ROUND(IF(D49="PCFP",'2.8 Alloc of Residual Rev. YR1'!K50,('1.4 FY 2020 Revenue Received'!S44)+'1.4 FY 2020 Revenue Received'!U44),2)</f>
        <v>28290.15</v>
      </c>
      <c r="I49" s="595">
        <f>ROUND(IF(D49="PCFP",'2.8 Alloc of Residual Rev. YR1'!L50,'1.4 FY 2020 Revenue Received'!V44),2)</f>
        <v>46341.96</v>
      </c>
      <c r="J49" s="581">
        <f t="shared" si="4"/>
        <v>167585.46</v>
      </c>
      <c r="K49" s="9"/>
      <c r="L49" s="130">
        <v>0</v>
      </c>
      <c r="M49" s="130">
        <v>0</v>
      </c>
      <c r="N49" s="130">
        <v>0</v>
      </c>
      <c r="O49" s="559">
        <f t="shared" si="6"/>
        <v>0</v>
      </c>
      <c r="P49" s="9"/>
      <c r="Q49" s="530">
        <f>ROUND(IF(D49="PCFP",'2.8 Alloc of Residual Rev. YR1'!I50,'1.4 FY 2020 Revenue Received'!Y44),2)</f>
        <v>18495</v>
      </c>
      <c r="R49" s="9"/>
      <c r="S49" s="559">
        <f t="shared" si="3"/>
        <v>4606622.76</v>
      </c>
    </row>
    <row r="50" spans="1:19" x14ac:dyDescent="0.3">
      <c r="A50" s="4"/>
      <c r="B50" s="10" t="str">
        <f>'1.2 Budgeted Enrollment YR1'!E47</f>
        <v>Doral Academy</v>
      </c>
      <c r="D50" s="128" t="str">
        <f>IF('2.9 PCFP Funding Comparison YR1'!$K$25="Yes","PCFP","FY 2020 Baseline")</f>
        <v>PCFP</v>
      </c>
      <c r="E50" s="559">
        <f>ROUND(IF(D50="PCFP",'2.8 Alloc of Residual Rev. YR1'!G51,'1.4 FY 2020 Revenue Received'!Z45),2)</f>
        <v>56401946.310000002</v>
      </c>
      <c r="F50" s="9"/>
      <c r="G50" s="559">
        <f>ROUND(IF(D50="PCFP",'2.8 Alloc of Residual Rev. YR1'!J51,('1.4 FY 2020 Revenue Received'!S45)+'1.4 FY 2020 Revenue Received'!T45),2)</f>
        <v>901243.35</v>
      </c>
      <c r="H50" s="559">
        <f>ROUND(IF(D50="PCFP",'2.8 Alloc of Residual Rev. YR1'!K51,('1.4 FY 2020 Revenue Received'!S45)+'1.4 FY 2020 Revenue Received'!U45),2)</f>
        <v>116303.95</v>
      </c>
      <c r="I50" s="595">
        <f>ROUND(IF(D50="PCFP",'2.8 Alloc of Residual Rev. YR1'!L51,'1.4 FY 2020 Revenue Received'!V45),2)</f>
        <v>363191.64</v>
      </c>
      <c r="J50" s="581">
        <f t="shared" si="4"/>
        <v>1380738.94</v>
      </c>
      <c r="K50" s="9"/>
      <c r="L50" s="130">
        <v>0</v>
      </c>
      <c r="M50" s="130">
        <v>0</v>
      </c>
      <c r="N50" s="130">
        <v>0</v>
      </c>
      <c r="O50" s="559">
        <f t="shared" si="6"/>
        <v>0</v>
      </c>
      <c r="P50" s="9"/>
      <c r="Q50" s="530">
        <f>ROUND(IF(D50="PCFP",'2.8 Alloc of Residual Rev. YR1'!I51,'1.4 FY 2020 Revenue Received'!Y45),2)</f>
        <v>1947565</v>
      </c>
      <c r="R50" s="9"/>
      <c r="S50" s="559">
        <f t="shared" si="3"/>
        <v>59730250.25</v>
      </c>
    </row>
    <row r="51" spans="1:19" x14ac:dyDescent="0.3">
      <c r="A51" s="4"/>
      <c r="B51" s="10" t="str">
        <f>'1.2 Budgeted Enrollment YR1'!E48</f>
        <v>Doral Academy of Northern Nevada</v>
      </c>
      <c r="D51" s="128" t="str">
        <f>IF('2.9 PCFP Funding Comparison YR1'!$K$25="Yes","PCFP","FY 2020 Baseline")</f>
        <v>PCFP</v>
      </c>
      <c r="E51" s="559">
        <f>ROUND(IF(D51="PCFP",'2.8 Alloc of Residual Rev. YR1'!G52,'1.4 FY 2020 Revenue Received'!Z46),2)</f>
        <v>8598584.8100000005</v>
      </c>
      <c r="F51" s="9"/>
      <c r="G51" s="559">
        <f>ROUND(IF(D51="PCFP",'2.8 Alloc of Residual Rev. YR1'!J52,('1.4 FY 2020 Revenue Received'!S46)+'1.4 FY 2020 Revenue Received'!T46),2)</f>
        <v>8082.9</v>
      </c>
      <c r="H51" s="559">
        <f>ROUND(IF(D51="PCFP",'2.8 Alloc of Residual Rev. YR1'!K52,('1.4 FY 2020 Revenue Received'!S46)+'1.4 FY 2020 Revenue Received'!U46),2)</f>
        <v>0</v>
      </c>
      <c r="I51" s="595">
        <f>ROUND(IF(D51="PCFP",'2.8 Alloc of Residual Rev. YR1'!L52,'1.4 FY 2020 Revenue Received'!V46),2)</f>
        <v>70051.8</v>
      </c>
      <c r="J51" s="581">
        <f t="shared" si="4"/>
        <v>78134.7</v>
      </c>
      <c r="K51" s="9"/>
      <c r="L51" s="130">
        <v>0</v>
      </c>
      <c r="M51" s="130">
        <v>0</v>
      </c>
      <c r="N51" s="130">
        <v>0</v>
      </c>
      <c r="O51" s="559">
        <f t="shared" si="6"/>
        <v>0</v>
      </c>
      <c r="P51" s="9"/>
      <c r="Q51" s="530">
        <f>ROUND(IF(D51="PCFP",'2.8 Alloc of Residual Rev. YR1'!I52,'1.4 FY 2020 Revenue Received'!Y46),2)</f>
        <v>85193</v>
      </c>
      <c r="R51" s="9"/>
      <c r="S51" s="559">
        <f t="shared" si="3"/>
        <v>8761912.5099999998</v>
      </c>
    </row>
    <row r="52" spans="1:19" x14ac:dyDescent="0.3">
      <c r="A52" s="4"/>
      <c r="B52" s="10" t="str">
        <f>'1.2 Budgeted Enrollment YR1'!E49</f>
        <v>Eagle Charter School</v>
      </c>
      <c r="D52" s="128" t="str">
        <f>IF('2.9 PCFP Funding Comparison YR1'!$K$25="Yes","PCFP","FY 2020 Baseline")</f>
        <v>PCFP</v>
      </c>
      <c r="E52" s="559">
        <f>ROUND(IF(D52="PCFP",'2.8 Alloc of Residual Rev. YR1'!G53,'1.4 FY 2020 Revenue Received'!Z47),2)</f>
        <v>4849743.58</v>
      </c>
      <c r="F52" s="9"/>
      <c r="G52" s="559">
        <f>ROUND(IF(D52="PCFP",'2.8 Alloc of Residual Rev. YR1'!J53,('1.4 FY 2020 Revenue Received'!S47)+'1.4 FY 2020 Revenue Received'!T47),2)</f>
        <v>0</v>
      </c>
      <c r="H52" s="559">
        <f>ROUND(IF(D52="PCFP",'2.8 Alloc of Residual Rev. YR1'!K53,('1.4 FY 2020 Revenue Received'!S47)+'1.4 FY 2020 Revenue Received'!U47),2)</f>
        <v>0</v>
      </c>
      <c r="I52" s="595">
        <f>ROUND(IF(D52="PCFP",'2.8 Alloc of Residual Rev. YR1'!L53,'1.4 FY 2020 Revenue Received'!V47),2)</f>
        <v>0</v>
      </c>
      <c r="J52" s="581">
        <f t="shared" si="4"/>
        <v>0</v>
      </c>
      <c r="K52" s="9"/>
      <c r="L52" s="130">
        <v>0</v>
      </c>
      <c r="M52" s="130">
        <v>0</v>
      </c>
      <c r="N52" s="130">
        <v>0</v>
      </c>
      <c r="O52" s="559">
        <f t="shared" si="6"/>
        <v>0</v>
      </c>
      <c r="P52" s="9"/>
      <c r="Q52" s="530">
        <f>ROUND(IF(D52="PCFP",'2.8 Alloc of Residual Rev. YR1'!I53,'1.4 FY 2020 Revenue Received'!Y47),2)</f>
        <v>0</v>
      </c>
      <c r="R52" s="9"/>
      <c r="S52" s="559">
        <f t="shared" si="3"/>
        <v>4849743.58</v>
      </c>
    </row>
    <row r="53" spans="1:19" x14ac:dyDescent="0.3">
      <c r="A53" s="4"/>
      <c r="B53" s="10" t="str">
        <f>'1.2 Budgeted Enrollment YR1'!E50</f>
        <v>Elko Institute for Academic Achievement</v>
      </c>
      <c r="D53" s="128" t="str">
        <f>IF('2.9 PCFP Funding Comparison YR1'!$K$25="Yes","PCFP","FY 2020 Baseline")</f>
        <v>PCFP</v>
      </c>
      <c r="E53" s="559">
        <f>ROUND(IF(D53="PCFP",'2.8 Alloc of Residual Rev. YR1'!G54,'1.4 FY 2020 Revenue Received'!Z48),2)</f>
        <v>1910496.7</v>
      </c>
      <c r="F53" s="9"/>
      <c r="G53" s="559">
        <f>ROUND(IF(D53="PCFP",'2.8 Alloc of Residual Rev. YR1'!J54,('1.4 FY 2020 Revenue Received'!S48)+'1.4 FY 2020 Revenue Received'!T48),2)</f>
        <v>8082.9</v>
      </c>
      <c r="H53" s="559">
        <f>ROUND(IF(D53="PCFP",'2.8 Alloc of Residual Rev. YR1'!K54,('1.4 FY 2020 Revenue Received'!S48)+'1.4 FY 2020 Revenue Received'!U48),2)</f>
        <v>15716.75</v>
      </c>
      <c r="I53" s="595">
        <f>ROUND(IF(D53="PCFP",'2.8 Alloc of Residual Rev. YR1'!L54,'1.4 FY 2020 Revenue Received'!V48),2)</f>
        <v>0</v>
      </c>
      <c r="J53" s="581">
        <f t="shared" si="4"/>
        <v>23799.65</v>
      </c>
      <c r="K53" s="9"/>
      <c r="L53" s="130">
        <v>0</v>
      </c>
      <c r="M53" s="130">
        <v>0</v>
      </c>
      <c r="N53" s="130">
        <v>0</v>
      </c>
      <c r="O53" s="559">
        <f t="shared" si="6"/>
        <v>0</v>
      </c>
      <c r="P53" s="9"/>
      <c r="Q53" s="530">
        <f>ROUND(IF(D53="PCFP",'2.8 Alloc of Residual Rev. YR1'!I54,'1.4 FY 2020 Revenue Received'!Y48),2)</f>
        <v>38988</v>
      </c>
      <c r="R53" s="9"/>
      <c r="S53" s="559">
        <f t="shared" si="3"/>
        <v>1973284.3499999999</v>
      </c>
    </row>
    <row r="54" spans="1:19" x14ac:dyDescent="0.3">
      <c r="A54" s="4"/>
      <c r="B54" s="10" t="str">
        <f>'1.2 Budgeted Enrollment YR1'!E51</f>
        <v>enCompass Academy</v>
      </c>
      <c r="D54" s="128" t="str">
        <f>IF('2.9 PCFP Funding Comparison YR1'!$K$25="Yes","PCFP","FY 2020 Baseline")</f>
        <v>PCFP</v>
      </c>
      <c r="E54" s="559">
        <f>ROUND(IF(D54="PCFP",'2.8 Alloc of Residual Rev. YR1'!G55,'1.4 FY 2020 Revenue Received'!Z49),2)</f>
        <v>1031682.5</v>
      </c>
      <c r="F54" s="9"/>
      <c r="G54" s="559">
        <f>ROUND(IF(D54="PCFP",'2.8 Alloc of Residual Rev. YR1'!J55,('1.4 FY 2020 Revenue Received'!S49)+'1.4 FY 2020 Revenue Received'!T49),2)</f>
        <v>24248.7</v>
      </c>
      <c r="H54" s="559">
        <f>ROUND(IF(D54="PCFP",'2.8 Alloc of Residual Rev. YR1'!K55,('1.4 FY 2020 Revenue Received'!S49)+'1.4 FY 2020 Revenue Received'!U49),2)</f>
        <v>62867</v>
      </c>
      <c r="I54" s="595">
        <f>ROUND(IF(D54="PCFP",'2.8 Alloc of Residual Rev. YR1'!L55,'1.4 FY 2020 Revenue Received'!V49),2)</f>
        <v>0</v>
      </c>
      <c r="J54" s="581">
        <f t="shared" si="4"/>
        <v>87115.7</v>
      </c>
      <c r="K54" s="9"/>
      <c r="L54" s="130">
        <v>0</v>
      </c>
      <c r="M54" s="130">
        <v>0</v>
      </c>
      <c r="N54" s="130">
        <v>0</v>
      </c>
      <c r="O54" s="559">
        <f t="shared" si="6"/>
        <v>0</v>
      </c>
      <c r="P54" s="9"/>
      <c r="Q54" s="530">
        <f>ROUND(IF(D54="PCFP",'2.8 Alloc of Residual Rev. YR1'!I55,'1.4 FY 2020 Revenue Received'!Y49),2)</f>
        <v>72695</v>
      </c>
      <c r="R54" s="9"/>
      <c r="S54" s="559">
        <f t="shared" si="3"/>
        <v>1191493.2</v>
      </c>
    </row>
    <row r="55" spans="1:19" x14ac:dyDescent="0.3">
      <c r="A55" s="4"/>
      <c r="B55" s="10" t="str">
        <f>'1.2 Budgeted Enrollment YR1'!E52</f>
        <v>Equipo Academy</v>
      </c>
      <c r="D55" s="128" t="str">
        <f>IF('2.9 PCFP Funding Comparison YR1'!$K$25="Yes","PCFP","FY 2020 Baseline")</f>
        <v>PCFP</v>
      </c>
      <c r="E55" s="559">
        <f>ROUND(IF(D55="PCFP",'2.8 Alloc of Residual Rev. YR1'!G56,'1.4 FY 2020 Revenue Received'!Z50),2)</f>
        <v>7176906.5</v>
      </c>
      <c r="F55" s="9"/>
      <c r="G55" s="559">
        <f>ROUND(IF(D55="PCFP",'2.8 Alloc of Residual Rev. YR1'!J56,('1.4 FY 2020 Revenue Received'!S50)+'1.4 FY 2020 Revenue Received'!T50),2)</f>
        <v>678963.6</v>
      </c>
      <c r="H55" s="559">
        <f>ROUND(IF(D55="PCFP",'2.8 Alloc of Residual Rev. YR1'!K56,('1.4 FY 2020 Revenue Received'!S50)+'1.4 FY 2020 Revenue Received'!U50),2)</f>
        <v>91157.15</v>
      </c>
      <c r="I55" s="595">
        <f>ROUND(IF(D55="PCFP",'2.8 Alloc of Residual Rev. YR1'!L56,'1.4 FY 2020 Revenue Received'!V50),2)</f>
        <v>0</v>
      </c>
      <c r="J55" s="581">
        <f t="shared" si="4"/>
        <v>770120.75</v>
      </c>
      <c r="K55" s="9"/>
      <c r="L55" s="130">
        <v>0</v>
      </c>
      <c r="M55" s="130">
        <v>0</v>
      </c>
      <c r="N55" s="130">
        <v>0</v>
      </c>
      <c r="O55" s="559">
        <f t="shared" si="6"/>
        <v>0</v>
      </c>
      <c r="P55" s="9"/>
      <c r="Q55" s="530">
        <f>ROUND(IF(D55="PCFP",'2.8 Alloc of Residual Rev. YR1'!I56,'1.4 FY 2020 Revenue Received'!Y50),2)</f>
        <v>97416.04</v>
      </c>
      <c r="R55" s="9"/>
      <c r="S55" s="559">
        <f t="shared" si="3"/>
        <v>8044443.29</v>
      </c>
    </row>
    <row r="56" spans="1:19" x14ac:dyDescent="0.3">
      <c r="A56" s="4"/>
      <c r="B56" s="10" t="str">
        <f>'1.2 Budgeted Enrollment YR1'!E53</f>
        <v>Explore Academy</v>
      </c>
      <c r="D56" s="128" t="str">
        <f>IF('2.9 PCFP Funding Comparison YR1'!$K$25="Yes","PCFP","FY 2020 Baseline")</f>
        <v>PCFP</v>
      </c>
      <c r="E56" s="559">
        <f>ROUND(IF(D56="PCFP",'2.8 Alloc of Residual Rev. YR1'!G57,'1.4 FY 2020 Revenue Received'!Z51),2)</f>
        <v>2467381.2000000002</v>
      </c>
      <c r="F56" s="9"/>
      <c r="G56" s="559">
        <f>ROUND(IF(D56="PCFP",'2.8 Alloc of Residual Rev. YR1'!J57,('1.4 FY 2020 Revenue Received'!S51)+'1.4 FY 2020 Revenue Received'!T51),2)</f>
        <v>44455.95</v>
      </c>
      <c r="H56" s="559">
        <f>ROUND(IF(D56="PCFP",'2.8 Alloc of Residual Rev. YR1'!K57,('1.4 FY 2020 Revenue Received'!S51)+'1.4 FY 2020 Revenue Received'!U51),2)</f>
        <v>6286.7</v>
      </c>
      <c r="I56" s="595">
        <f>ROUND(IF(D56="PCFP",'2.8 Alloc of Residual Rev. YR1'!L57,'1.4 FY 2020 Revenue Received'!V51),2)</f>
        <v>0</v>
      </c>
      <c r="J56" s="581">
        <f t="shared" si="4"/>
        <v>50742.649999999994</v>
      </c>
      <c r="K56" s="9"/>
      <c r="L56" s="130">
        <v>0</v>
      </c>
      <c r="M56" s="130">
        <v>0</v>
      </c>
      <c r="N56" s="130">
        <v>0</v>
      </c>
      <c r="O56" s="559">
        <f t="shared" si="6"/>
        <v>0</v>
      </c>
      <c r="P56" s="9"/>
      <c r="Q56" s="530">
        <f>ROUND(IF(D56="PCFP",'2.8 Alloc of Residual Rev. YR1'!I57,'1.4 FY 2020 Revenue Received'!Y51),2)</f>
        <v>0</v>
      </c>
      <c r="R56" s="9"/>
      <c r="S56" s="559">
        <f t="shared" si="3"/>
        <v>2518123.85</v>
      </c>
    </row>
    <row r="57" spans="1:19" x14ac:dyDescent="0.3">
      <c r="A57" s="4"/>
      <c r="B57" s="10" t="str">
        <f>'1.2 Budgeted Enrollment YR1'!E54</f>
        <v>Explore Knowledge Academy</v>
      </c>
      <c r="D57" s="128" t="str">
        <f>IF('2.9 PCFP Funding Comparison YR1'!$K$25="Yes","PCFP","FY 2020 Baseline")</f>
        <v>PCFP</v>
      </c>
      <c r="E57" s="559">
        <f>ROUND(IF(D57="PCFP",'2.8 Alloc of Residual Rev. YR1'!G58,'1.4 FY 2020 Revenue Received'!Z52),2)</f>
        <v>6033606.3300000001</v>
      </c>
      <c r="F57" s="9"/>
      <c r="G57" s="559">
        <f>ROUND(IF(D57="PCFP",'2.8 Alloc of Residual Rev. YR1'!J58,('1.4 FY 2020 Revenue Received'!S52)+'1.4 FY 2020 Revenue Received'!T52),2)</f>
        <v>238445.55</v>
      </c>
      <c r="H57" s="559">
        <f>ROUND(IF(D57="PCFP",'2.8 Alloc of Residual Rev. YR1'!K58,('1.4 FY 2020 Revenue Received'!S52)+'1.4 FY 2020 Revenue Received'!U52),2)</f>
        <v>138307.4</v>
      </c>
      <c r="I57" s="595">
        <f>ROUND(IF(D57="PCFP",'2.8 Alloc of Residual Rev. YR1'!L58,'1.4 FY 2020 Revenue Received'!V52),2)</f>
        <v>0</v>
      </c>
      <c r="J57" s="581">
        <f t="shared" si="4"/>
        <v>376752.94999999995</v>
      </c>
      <c r="K57" s="9"/>
      <c r="L57" s="130">
        <v>0</v>
      </c>
      <c r="M57" s="130">
        <v>0</v>
      </c>
      <c r="N57" s="130">
        <v>0</v>
      </c>
      <c r="O57" s="559">
        <f t="shared" si="6"/>
        <v>0</v>
      </c>
      <c r="P57" s="9"/>
      <c r="Q57" s="530">
        <f>ROUND(IF(D57="PCFP",'2.8 Alloc of Residual Rev. YR1'!I58,'1.4 FY 2020 Revenue Received'!Y52),2)</f>
        <v>179352</v>
      </c>
      <c r="R57" s="9"/>
      <c r="S57" s="559">
        <f t="shared" si="3"/>
        <v>6589711.2800000003</v>
      </c>
    </row>
    <row r="58" spans="1:19" x14ac:dyDescent="0.3">
      <c r="A58" s="4"/>
      <c r="B58" s="10" t="str">
        <f>'1.2 Budgeted Enrollment YR1'!E55</f>
        <v>Founders Academy of Las Vegas</v>
      </c>
      <c r="D58" s="128" t="str">
        <f>IF('2.9 PCFP Funding Comparison YR1'!$K$25="Yes","PCFP","FY 2020 Baseline")</f>
        <v>PCFP</v>
      </c>
      <c r="E58" s="559">
        <f>ROUND(IF(D58="PCFP",'2.8 Alloc of Residual Rev. YR1'!G59,'1.4 FY 2020 Revenue Received'!Z53),2)</f>
        <v>8462937.3499999996</v>
      </c>
      <c r="F58" s="9"/>
      <c r="G58" s="559">
        <f>ROUND(IF(D58="PCFP",'2.8 Alloc of Residual Rev. YR1'!J59,('1.4 FY 2020 Revenue Received'!S53)+'1.4 FY 2020 Revenue Received'!T53),2)</f>
        <v>230362.65</v>
      </c>
      <c r="H58" s="559">
        <f>ROUND(IF(D58="PCFP",'2.8 Alloc of Residual Rev. YR1'!K59,('1.4 FY 2020 Revenue Received'!S53)+'1.4 FY 2020 Revenue Received'!U53),2)</f>
        <v>72297.05</v>
      </c>
      <c r="I58" s="595">
        <f>ROUND(IF(D58="PCFP",'2.8 Alloc of Residual Rev. YR1'!L59,'1.4 FY 2020 Revenue Received'!V53),2)</f>
        <v>0</v>
      </c>
      <c r="J58" s="581">
        <f t="shared" si="4"/>
        <v>302659.7</v>
      </c>
      <c r="K58" s="9"/>
      <c r="L58" s="130">
        <v>0</v>
      </c>
      <c r="M58" s="130">
        <v>0</v>
      </c>
      <c r="N58" s="130">
        <v>0</v>
      </c>
      <c r="O58" s="559">
        <f t="shared" si="6"/>
        <v>0</v>
      </c>
      <c r="P58" s="9"/>
      <c r="Q58" s="530">
        <f>ROUND(IF(D58="PCFP",'2.8 Alloc of Residual Rev. YR1'!I59,'1.4 FY 2020 Revenue Received'!Y53),2)</f>
        <v>111805</v>
      </c>
      <c r="R58" s="9"/>
      <c r="S58" s="559">
        <f t="shared" si="3"/>
        <v>8877402.0499999989</v>
      </c>
    </row>
    <row r="59" spans="1:19" x14ac:dyDescent="0.3">
      <c r="A59" s="4"/>
      <c r="B59" s="10" t="str">
        <f>'1.2 Budgeted Enrollment YR1'!E56</f>
        <v>Freedom Classical Academy</v>
      </c>
      <c r="D59" s="128" t="str">
        <f>IF('2.9 PCFP Funding Comparison YR1'!$K$25="Yes","PCFP","FY 2020 Baseline")</f>
        <v>PCFP</v>
      </c>
      <c r="E59" s="559">
        <f>ROUND(IF(D59="PCFP",'2.8 Alloc of Residual Rev. YR1'!G60,'1.4 FY 2020 Revenue Received'!Z54),2)</f>
        <v>9384731.9199999999</v>
      </c>
      <c r="F59" s="9"/>
      <c r="G59" s="559">
        <f>ROUND(IF(D59="PCFP",'2.8 Alloc of Residual Rev. YR1'!J60,('1.4 FY 2020 Revenue Received'!S54)+'1.4 FY 2020 Revenue Received'!T54),2)</f>
        <v>335440.34999999998</v>
      </c>
      <c r="H59" s="559">
        <f>ROUND(IF(D59="PCFP",'2.8 Alloc of Residual Rev. YR1'!K60,('1.4 FY 2020 Revenue Received'!S54)+'1.4 FY 2020 Revenue Received'!U54),2)</f>
        <v>150880.79999999999</v>
      </c>
      <c r="I59" s="595">
        <f>ROUND(IF(D59="PCFP",'2.8 Alloc of Residual Rev. YR1'!L60,'1.4 FY 2020 Revenue Received'!V54),2)</f>
        <v>0</v>
      </c>
      <c r="J59" s="581">
        <f t="shared" si="4"/>
        <v>486321.14999999997</v>
      </c>
      <c r="K59" s="9"/>
      <c r="L59" s="130">
        <v>0</v>
      </c>
      <c r="M59" s="130">
        <v>0</v>
      </c>
      <c r="N59" s="130">
        <v>0</v>
      </c>
      <c r="O59" s="559">
        <f t="shared" si="6"/>
        <v>0</v>
      </c>
      <c r="P59" s="9"/>
      <c r="Q59" s="530">
        <f>ROUND(IF(D59="PCFP",'2.8 Alloc of Residual Rev. YR1'!I60,'1.4 FY 2020 Revenue Received'!Y54),2)</f>
        <v>301886</v>
      </c>
      <c r="R59" s="9"/>
      <c r="S59" s="559">
        <f t="shared" si="3"/>
        <v>10172939.07</v>
      </c>
    </row>
    <row r="60" spans="1:19" x14ac:dyDescent="0.3">
      <c r="A60" s="4"/>
      <c r="B60" s="10" t="str">
        <f>'1.2 Budgeted Enrollment YR1'!E57</f>
        <v>Futuro Academy Elementary</v>
      </c>
      <c r="D60" s="128" t="str">
        <f>IF('2.9 PCFP Funding Comparison YR1'!$K$25="Yes","PCFP","FY 2020 Baseline")</f>
        <v>PCFP</v>
      </c>
      <c r="E60" s="559">
        <f>ROUND(IF(D60="PCFP",'2.8 Alloc of Residual Rev. YR1'!G61,'1.4 FY 2020 Revenue Received'!Z55),2)</f>
        <v>4164557.93</v>
      </c>
      <c r="F60" s="9"/>
      <c r="G60" s="559">
        <f>ROUND(IF(D60="PCFP",'2.8 Alloc of Residual Rev. YR1'!J61,('1.4 FY 2020 Revenue Received'!S55)+'1.4 FY 2020 Revenue Received'!T55),2)</f>
        <v>759792.6</v>
      </c>
      <c r="H60" s="559">
        <f>ROUND(IF(D60="PCFP",'2.8 Alloc of Residual Rev. YR1'!K61,('1.4 FY 2020 Revenue Received'!S55)+'1.4 FY 2020 Revenue Received'!U55),2)</f>
        <v>125734</v>
      </c>
      <c r="I60" s="595">
        <f>ROUND(IF(D60="PCFP",'2.8 Alloc of Residual Rev. YR1'!L61,'1.4 FY 2020 Revenue Received'!V55),2)</f>
        <v>0</v>
      </c>
      <c r="J60" s="581">
        <f t="shared" si="4"/>
        <v>885526.6</v>
      </c>
      <c r="K60" s="9"/>
      <c r="L60" s="130">
        <v>0</v>
      </c>
      <c r="M60" s="130">
        <v>0</v>
      </c>
      <c r="N60" s="130">
        <v>0</v>
      </c>
      <c r="O60" s="559">
        <f t="shared" si="6"/>
        <v>0</v>
      </c>
      <c r="P60" s="9"/>
      <c r="Q60" s="530">
        <f>ROUND(IF(D60="PCFP",'2.8 Alloc of Residual Rev. YR1'!I61,'1.4 FY 2020 Revenue Received'!Y55),2)</f>
        <v>252643</v>
      </c>
      <c r="R60" s="9"/>
      <c r="S60" s="559">
        <f t="shared" si="3"/>
        <v>5302727.53</v>
      </c>
    </row>
    <row r="61" spans="1:19" x14ac:dyDescent="0.3">
      <c r="A61" s="4"/>
      <c r="B61" s="10" t="str">
        <f>'1.2 Budgeted Enrollment YR1'!E58</f>
        <v>Girls Athletic Leadership Schools</v>
      </c>
      <c r="D61" s="128" t="str">
        <f>IF('2.9 PCFP Funding Comparison YR1'!$K$25="Yes","PCFP","FY 2020 Baseline")</f>
        <v>PCFP</v>
      </c>
      <c r="E61" s="559">
        <f>ROUND(IF(D61="PCFP",'2.8 Alloc of Residual Rev. YR1'!G62,'1.4 FY 2020 Revenue Received'!Z56),2)</f>
        <v>0</v>
      </c>
      <c r="F61" s="9"/>
      <c r="G61" s="559">
        <f>ROUND(IF(D61="PCFP",'2.8 Alloc of Residual Rev. YR1'!J62,('1.4 FY 2020 Revenue Received'!S56)+'1.4 FY 2020 Revenue Received'!T56),2)</f>
        <v>0</v>
      </c>
      <c r="H61" s="559">
        <f>ROUND(IF(D61="PCFP",'2.8 Alloc of Residual Rev. YR1'!K62,('1.4 FY 2020 Revenue Received'!S56)+'1.4 FY 2020 Revenue Received'!U56),2)</f>
        <v>0</v>
      </c>
      <c r="I61" s="595">
        <f>ROUND(IF(D61="PCFP",'2.8 Alloc of Residual Rev. YR1'!L62,'1.4 FY 2020 Revenue Received'!V56),2)</f>
        <v>0</v>
      </c>
      <c r="J61" s="581">
        <f t="shared" si="4"/>
        <v>0</v>
      </c>
      <c r="K61" s="9"/>
      <c r="L61" s="130">
        <v>0</v>
      </c>
      <c r="M61" s="130">
        <v>0</v>
      </c>
      <c r="N61" s="130">
        <v>0</v>
      </c>
      <c r="O61" s="559">
        <f t="shared" si="6"/>
        <v>0</v>
      </c>
      <c r="P61" s="9"/>
      <c r="Q61" s="530">
        <f>ROUND(IF(D61="PCFP",'2.8 Alloc of Residual Rev. YR1'!I62,'1.4 FY 2020 Revenue Received'!Y56),2)</f>
        <v>0</v>
      </c>
      <c r="R61" s="9"/>
      <c r="S61" s="559">
        <f t="shared" si="3"/>
        <v>0</v>
      </c>
    </row>
    <row r="62" spans="1:19" x14ac:dyDescent="0.3">
      <c r="A62" s="4"/>
      <c r="B62" s="10" t="str">
        <f>'1.2 Budgeted Enrollment YR1'!E59</f>
        <v>High Desert Montessori</v>
      </c>
      <c r="D62" s="128" t="str">
        <f>IF('2.9 PCFP Funding Comparison YR1'!$K$25="Yes","PCFP","FY 2020 Baseline")</f>
        <v>PCFP</v>
      </c>
      <c r="E62" s="559">
        <f>ROUND(IF(D62="PCFP",'2.8 Alloc of Residual Rev. YR1'!G63,'1.4 FY 2020 Revenue Received'!Z57),2)</f>
        <v>3523520.77</v>
      </c>
      <c r="F62" s="9"/>
      <c r="G62" s="559">
        <f>ROUND(IF(D62="PCFP",'2.8 Alloc of Residual Rev. YR1'!J63,('1.4 FY 2020 Revenue Received'!S57)+'1.4 FY 2020 Revenue Received'!T57),2)</f>
        <v>96994.8</v>
      </c>
      <c r="H62" s="559">
        <f>ROUND(IF(D62="PCFP",'2.8 Alloc of Residual Rev. YR1'!K63,('1.4 FY 2020 Revenue Received'!S57)+'1.4 FY 2020 Revenue Received'!U57),2)</f>
        <v>34576.85</v>
      </c>
      <c r="I62" s="595">
        <f>ROUND(IF(D62="PCFP",'2.8 Alloc of Residual Rev. YR1'!L63,'1.4 FY 2020 Revenue Received'!V57),2)</f>
        <v>0</v>
      </c>
      <c r="J62" s="581">
        <f t="shared" si="4"/>
        <v>131571.65</v>
      </c>
      <c r="K62" s="9"/>
      <c r="L62" s="130">
        <v>0</v>
      </c>
      <c r="M62" s="130">
        <v>0</v>
      </c>
      <c r="N62" s="130">
        <v>0</v>
      </c>
      <c r="O62" s="559">
        <f t="shared" si="6"/>
        <v>0</v>
      </c>
      <c r="P62" s="9"/>
      <c r="Q62" s="530">
        <f>ROUND(IF(D62="PCFP",'2.8 Alloc of Residual Rev. YR1'!I63,'1.4 FY 2020 Revenue Received'!Y57),2)</f>
        <v>164199</v>
      </c>
      <c r="R62" s="9"/>
      <c r="S62" s="559">
        <f t="shared" si="3"/>
        <v>3819291.42</v>
      </c>
    </row>
    <row r="63" spans="1:19" x14ac:dyDescent="0.3">
      <c r="A63" s="4"/>
      <c r="B63" s="10" t="str">
        <f>'1.2 Budgeted Enrollment YR1'!E60</f>
        <v>Honors Academy of Literature</v>
      </c>
      <c r="D63" s="128" t="str">
        <f>IF('2.9 PCFP Funding Comparison YR1'!$K$25="Yes","PCFP","FY 2020 Baseline")</f>
        <v>PCFP</v>
      </c>
      <c r="E63" s="559">
        <f>ROUND(IF(D63="PCFP",'2.8 Alloc of Residual Rev. YR1'!G64,'1.4 FY 2020 Revenue Received'!Z58),2)</f>
        <v>1944965.94</v>
      </c>
      <c r="F63" s="9"/>
      <c r="G63" s="559">
        <f>ROUND(IF(D63="PCFP",'2.8 Alloc of Residual Rev. YR1'!J64,('1.4 FY 2020 Revenue Received'!S58)+'1.4 FY 2020 Revenue Received'!T58),2)</f>
        <v>16165.8</v>
      </c>
      <c r="H63" s="559">
        <f>ROUND(IF(D63="PCFP",'2.8 Alloc of Residual Rev. YR1'!K64,('1.4 FY 2020 Revenue Received'!S58)+'1.4 FY 2020 Revenue Received'!U58),2)</f>
        <v>9430.0499999999993</v>
      </c>
      <c r="I63" s="595">
        <f>ROUND(IF(D63="PCFP",'2.8 Alloc of Residual Rev. YR1'!L64,'1.4 FY 2020 Revenue Received'!V58),2)</f>
        <v>0</v>
      </c>
      <c r="J63" s="581">
        <f t="shared" si="4"/>
        <v>25595.85</v>
      </c>
      <c r="K63" s="9"/>
      <c r="L63" s="130">
        <v>0</v>
      </c>
      <c r="M63" s="130">
        <v>0</v>
      </c>
      <c r="N63" s="130">
        <v>0</v>
      </c>
      <c r="O63" s="559">
        <f t="shared" si="6"/>
        <v>0</v>
      </c>
      <c r="P63" s="9"/>
      <c r="Q63" s="530">
        <f>ROUND(IF(D63="PCFP",'2.8 Alloc of Residual Rev. YR1'!I64,'1.4 FY 2020 Revenue Received'!Y58),2)</f>
        <v>27349</v>
      </c>
      <c r="R63" s="9"/>
      <c r="S63" s="559">
        <f t="shared" si="3"/>
        <v>1997910.79</v>
      </c>
    </row>
    <row r="64" spans="1:19" x14ac:dyDescent="0.3">
      <c r="A64" s="4"/>
      <c r="B64" s="10" t="str">
        <f>'1.2 Budgeted Enrollment YR1'!E61</f>
        <v>Imagine School Mountain View</v>
      </c>
      <c r="D64" s="128" t="str">
        <f>IF('2.9 PCFP Funding Comparison YR1'!$K$25="Yes","PCFP","FY 2020 Baseline")</f>
        <v>PCFP</v>
      </c>
      <c r="E64" s="559">
        <f>ROUND(IF(D64="PCFP",'2.8 Alloc of Residual Rev. YR1'!G65,'1.4 FY 2020 Revenue Received'!Z59),2)</f>
        <v>6029652.1299999999</v>
      </c>
      <c r="F64" s="9"/>
      <c r="G64" s="559">
        <f>ROUND(IF(D64="PCFP",'2.8 Alloc of Residual Rev. YR1'!J65,('1.4 FY 2020 Revenue Received'!S59)+'1.4 FY 2020 Revenue Received'!T59),2)</f>
        <v>282901.5</v>
      </c>
      <c r="H64" s="559">
        <f>ROUND(IF(D64="PCFP",'2.8 Alloc of Residual Rev. YR1'!K65,('1.4 FY 2020 Revenue Received'!S59)+'1.4 FY 2020 Revenue Received'!U59),2)</f>
        <v>6286.7</v>
      </c>
      <c r="I64" s="595">
        <f>ROUND(IF(D64="PCFP",'2.8 Alloc of Residual Rev. YR1'!L65,'1.4 FY 2020 Revenue Received'!V59),2)</f>
        <v>0</v>
      </c>
      <c r="J64" s="581">
        <f t="shared" si="4"/>
        <v>289188.2</v>
      </c>
      <c r="K64" s="9"/>
      <c r="L64" s="130">
        <v>0</v>
      </c>
      <c r="M64" s="130">
        <v>0</v>
      </c>
      <c r="N64" s="130">
        <v>0</v>
      </c>
      <c r="O64" s="559">
        <f t="shared" si="6"/>
        <v>0</v>
      </c>
      <c r="P64" s="9"/>
      <c r="Q64" s="530">
        <f>ROUND(IF(D64="PCFP",'2.8 Alloc of Residual Rev. YR1'!I65,'1.4 FY 2020 Revenue Received'!Y59),2)</f>
        <v>170299.9</v>
      </c>
      <c r="R64" s="9"/>
      <c r="S64" s="559">
        <f t="shared" si="3"/>
        <v>6489140.2300000004</v>
      </c>
    </row>
    <row r="65" spans="1:19" x14ac:dyDescent="0.3">
      <c r="A65" s="4"/>
      <c r="B65" s="10" t="str">
        <f>'1.2 Budgeted Enrollment YR1'!E62</f>
        <v>Innovations Int'l Charter</v>
      </c>
      <c r="D65" s="128" t="str">
        <f>IF('2.9 PCFP Funding Comparison YR1'!$K$25="Yes","PCFP","FY 2020 Baseline")</f>
        <v>PCFP</v>
      </c>
      <c r="E65" s="559">
        <f>ROUND(IF(D65="PCFP",'2.8 Alloc of Residual Rev. YR1'!G66,'1.4 FY 2020 Revenue Received'!Z60),2)</f>
        <v>6619834.5099999998</v>
      </c>
      <c r="F65" s="9"/>
      <c r="G65" s="559">
        <f>ROUND(IF(D65="PCFP",'2.8 Alloc of Residual Rev. YR1'!J66,('1.4 FY 2020 Revenue Received'!S60)+'1.4 FY 2020 Revenue Received'!T60),2)</f>
        <v>763834.05</v>
      </c>
      <c r="H65" s="559">
        <f>ROUND(IF(D65="PCFP",'2.8 Alloc of Residual Rev. YR1'!K66,('1.4 FY 2020 Revenue Received'!S60)+'1.4 FY 2020 Revenue Received'!U60),2)</f>
        <v>550086.25</v>
      </c>
      <c r="I65" s="595">
        <f>ROUND(IF(D65="PCFP",'2.8 Alloc of Residual Rev. YR1'!L66,'1.4 FY 2020 Revenue Received'!V60),2)</f>
        <v>0</v>
      </c>
      <c r="J65" s="581">
        <f t="shared" si="4"/>
        <v>1313920.3</v>
      </c>
      <c r="K65" s="9"/>
      <c r="L65" s="130">
        <v>0</v>
      </c>
      <c r="M65" s="130">
        <v>0</v>
      </c>
      <c r="N65" s="130">
        <v>0</v>
      </c>
      <c r="O65" s="559">
        <f t="shared" si="6"/>
        <v>0</v>
      </c>
      <c r="P65" s="9"/>
      <c r="Q65" s="530">
        <f>ROUND(IF(D65="PCFP",'2.8 Alloc of Residual Rev. YR1'!I66,'1.4 FY 2020 Revenue Received'!Y60),2)</f>
        <v>0</v>
      </c>
      <c r="R65" s="9"/>
      <c r="S65" s="559">
        <f t="shared" si="3"/>
        <v>7933754.8099999996</v>
      </c>
    </row>
    <row r="66" spans="1:19" x14ac:dyDescent="0.3">
      <c r="A66" s="4"/>
      <c r="B66" s="10" t="str">
        <f>'1.2 Budgeted Enrollment YR1'!E63</f>
        <v>Leadership Academy of Nevada</v>
      </c>
      <c r="D66" s="128" t="str">
        <f>IF('2.9 PCFP Funding Comparison YR1'!$K$25="Yes","PCFP","FY 2020 Baseline")</f>
        <v>PCFP</v>
      </c>
      <c r="E66" s="559">
        <f>ROUND(IF(D66="PCFP",'2.8 Alloc of Residual Rev. YR1'!G67,'1.4 FY 2020 Revenue Received'!Z61),2)</f>
        <v>2403673.71</v>
      </c>
      <c r="F66" s="9"/>
      <c r="G66" s="559">
        <f>ROUND(IF(D66="PCFP",'2.8 Alloc of Residual Rev. YR1'!J67,('1.4 FY 2020 Revenue Received'!S61)+'1.4 FY 2020 Revenue Received'!T61),2)</f>
        <v>4041.45</v>
      </c>
      <c r="H66" s="559">
        <f>ROUND(IF(D66="PCFP",'2.8 Alloc of Residual Rev. YR1'!K67,('1.4 FY 2020 Revenue Received'!S61)+'1.4 FY 2020 Revenue Received'!U61),2)</f>
        <v>47150.25</v>
      </c>
      <c r="I66" s="595">
        <f>ROUND(IF(D66="PCFP",'2.8 Alloc of Residual Rev. YR1'!L67,'1.4 FY 2020 Revenue Received'!V61),2)</f>
        <v>0</v>
      </c>
      <c r="J66" s="581">
        <f t="shared" si="4"/>
        <v>51191.7</v>
      </c>
      <c r="K66" s="9"/>
      <c r="L66" s="130">
        <v>0</v>
      </c>
      <c r="M66" s="130">
        <v>0</v>
      </c>
      <c r="N66" s="130">
        <v>0</v>
      </c>
      <c r="O66" s="559">
        <f t="shared" si="6"/>
        <v>0</v>
      </c>
      <c r="P66" s="9"/>
      <c r="Q66" s="530">
        <f>ROUND(IF(D66="PCFP",'2.8 Alloc of Residual Rev. YR1'!I67,'1.4 FY 2020 Revenue Received'!Y61),2)</f>
        <v>0</v>
      </c>
      <c r="R66" s="9"/>
      <c r="S66" s="559">
        <f t="shared" si="3"/>
        <v>2454865.41</v>
      </c>
    </row>
    <row r="67" spans="1:19" x14ac:dyDescent="0.3">
      <c r="A67" s="4"/>
      <c r="B67" s="10" t="str">
        <f>'1.2 Budgeted Enrollment YR1'!E64</f>
        <v>Learning Bridge</v>
      </c>
      <c r="D67" s="128" t="str">
        <f>IF('2.9 PCFP Funding Comparison YR1'!$K$25="Yes","PCFP","FY 2020 Baseline")</f>
        <v>PCFP</v>
      </c>
      <c r="E67" s="559">
        <f>ROUND(IF(D67="PCFP",'2.8 Alloc of Residual Rev. YR1'!G68,'1.4 FY 2020 Revenue Received'!Z62),2)</f>
        <v>2278292.11</v>
      </c>
      <c r="F67" s="9"/>
      <c r="G67" s="559">
        <f>ROUND(IF(D67="PCFP",'2.8 Alloc of Residual Rev. YR1'!J68,('1.4 FY 2020 Revenue Received'!S62)+'1.4 FY 2020 Revenue Received'!T62),2)</f>
        <v>8082.9</v>
      </c>
      <c r="H67" s="559">
        <f>ROUND(IF(D67="PCFP",'2.8 Alloc of Residual Rev. YR1'!K68,('1.4 FY 2020 Revenue Received'!S62)+'1.4 FY 2020 Revenue Received'!U62),2)</f>
        <v>0</v>
      </c>
      <c r="I67" s="595">
        <f>ROUND(IF(D67="PCFP",'2.8 Alloc of Residual Rev. YR1'!L68,'1.4 FY 2020 Revenue Received'!V62),2)</f>
        <v>0</v>
      </c>
      <c r="J67" s="581">
        <f t="shared" si="4"/>
        <v>8082.9</v>
      </c>
      <c r="K67" s="9"/>
      <c r="L67" s="130">
        <v>0</v>
      </c>
      <c r="M67" s="130">
        <v>0</v>
      </c>
      <c r="N67" s="130">
        <v>0</v>
      </c>
      <c r="O67" s="559">
        <f t="shared" si="6"/>
        <v>0</v>
      </c>
      <c r="P67" s="9"/>
      <c r="Q67" s="530">
        <f>ROUND(IF(D67="PCFP",'2.8 Alloc of Residual Rev. YR1'!I68,'1.4 FY 2020 Revenue Received'!Y62),2)</f>
        <v>0</v>
      </c>
      <c r="R67" s="9"/>
      <c r="S67" s="559">
        <f t="shared" ref="S67:S94" si="7">E67+J67+O67+Q67</f>
        <v>2286375.0099999998</v>
      </c>
    </row>
    <row r="68" spans="1:19" x14ac:dyDescent="0.3">
      <c r="A68" s="4"/>
      <c r="B68" s="10" t="str">
        <f>'1.2 Budgeted Enrollment YR1'!E65</f>
        <v>Legacy Traditional Schools</v>
      </c>
      <c r="D68" s="128" t="str">
        <f>IF('2.9 PCFP Funding Comparison YR1'!$K$25="Yes","PCFP","FY 2020 Baseline")</f>
        <v>PCFP</v>
      </c>
      <c r="E68" s="559">
        <f>ROUND(IF(D68="PCFP",'2.8 Alloc of Residual Rev. YR1'!G69,'1.4 FY 2020 Revenue Received'!Z63),2)</f>
        <v>36053032.619999997</v>
      </c>
      <c r="F68" s="9"/>
      <c r="G68" s="559">
        <f>ROUND(IF(D68="PCFP",'2.8 Alloc of Residual Rev. YR1'!J69,('1.4 FY 2020 Revenue Received'!S63)+'1.4 FY 2020 Revenue Received'!T63),2)</f>
        <v>1066942.8</v>
      </c>
      <c r="H68" s="559">
        <f>ROUND(IF(D68="PCFP",'2.8 Alloc of Residual Rev. YR1'!K69,('1.4 FY 2020 Revenue Received'!S63)+'1.4 FY 2020 Revenue Received'!U63),2)</f>
        <v>496649.3</v>
      </c>
      <c r="I68" s="595">
        <f>ROUND(IF(D68="PCFP",'2.8 Alloc of Residual Rev. YR1'!L69,'1.4 FY 2020 Revenue Received'!V63),2)</f>
        <v>192911.88</v>
      </c>
      <c r="J68" s="581">
        <f t="shared" si="4"/>
        <v>1756503.98</v>
      </c>
      <c r="K68" s="9"/>
      <c r="L68" s="130">
        <v>0</v>
      </c>
      <c r="M68" s="130">
        <v>0</v>
      </c>
      <c r="N68" s="130">
        <v>0</v>
      </c>
      <c r="O68" s="559">
        <f t="shared" si="6"/>
        <v>0</v>
      </c>
      <c r="P68" s="9"/>
      <c r="Q68" s="530">
        <f>ROUND(IF(D68="PCFP",'2.8 Alloc of Residual Rev. YR1'!I69,'1.4 FY 2020 Revenue Received'!Y63),2)</f>
        <v>0</v>
      </c>
      <c r="R68" s="9"/>
      <c r="S68" s="559">
        <f t="shared" si="7"/>
        <v>37809536.599999994</v>
      </c>
    </row>
    <row r="69" spans="1:19" x14ac:dyDescent="0.3">
      <c r="A69" s="4"/>
      <c r="B69" s="10" t="str">
        <f>'1.2 Budgeted Enrollment YR1'!E66</f>
        <v>Mariposa Dual Language Academy</v>
      </c>
      <c r="D69" s="128" t="str">
        <f>IF('2.9 PCFP Funding Comparison YR1'!$K$25="Yes","PCFP","FY 2020 Baseline")</f>
        <v>PCFP</v>
      </c>
      <c r="E69" s="559">
        <f>ROUND(IF(D69="PCFP",'2.8 Alloc of Residual Rev. YR1'!G70,'1.4 FY 2020 Revenue Received'!Z64),2)</f>
        <v>1438418.73</v>
      </c>
      <c r="F69" s="9"/>
      <c r="G69" s="559">
        <f>ROUND(IF(D69="PCFP",'2.8 Alloc of Residual Rev. YR1'!J70,('1.4 FY 2020 Revenue Received'!S64)+'1.4 FY 2020 Revenue Received'!T64),2)</f>
        <v>141450.75</v>
      </c>
      <c r="H69" s="559">
        <f>ROUND(IF(D69="PCFP",'2.8 Alloc of Residual Rev. YR1'!K70,('1.4 FY 2020 Revenue Received'!S64)+'1.4 FY 2020 Revenue Received'!U64),2)</f>
        <v>3143.35</v>
      </c>
      <c r="I69" s="595">
        <f>ROUND(IF(D69="PCFP",'2.8 Alloc of Residual Rev. YR1'!L70,'1.4 FY 2020 Revenue Received'!V64),2)</f>
        <v>0</v>
      </c>
      <c r="J69" s="581">
        <f t="shared" si="4"/>
        <v>144594.1</v>
      </c>
      <c r="K69" s="9"/>
      <c r="L69" s="130">
        <v>0</v>
      </c>
      <c r="M69" s="130">
        <v>0</v>
      </c>
      <c r="N69" s="130">
        <v>0</v>
      </c>
      <c r="O69" s="559">
        <f t="shared" si="6"/>
        <v>0</v>
      </c>
      <c r="P69" s="9"/>
      <c r="Q69" s="530">
        <f>ROUND(IF(D69="PCFP",'2.8 Alloc of Residual Rev. YR1'!I70,'1.4 FY 2020 Revenue Received'!Y64),2)</f>
        <v>128848</v>
      </c>
      <c r="R69" s="9"/>
      <c r="S69" s="559">
        <f t="shared" si="7"/>
        <v>1711860.83</v>
      </c>
    </row>
    <row r="70" spans="1:19" x14ac:dyDescent="0.3">
      <c r="A70" s="4"/>
      <c r="B70" s="10" t="str">
        <f>'1.2 Budgeted Enrollment YR1'!E67</f>
        <v>Mater Academy</v>
      </c>
      <c r="D70" s="128" t="str">
        <f>IF('2.9 PCFP Funding Comparison YR1'!$K$25="Yes","PCFP","FY 2020 Baseline")</f>
        <v>PCFP</v>
      </c>
      <c r="E70" s="559">
        <f>ROUND(IF(D70="PCFP",'2.8 Alloc of Residual Rev. YR1'!G71,'1.4 FY 2020 Revenue Received'!Z65),2)</f>
        <v>35541866.979999997</v>
      </c>
      <c r="F70" s="9"/>
      <c r="G70" s="559">
        <f>ROUND(IF(D70="PCFP",'2.8 Alloc of Residual Rev. YR1'!J71,('1.4 FY 2020 Revenue Received'!S65)+'1.4 FY 2020 Revenue Received'!T65),2)</f>
        <v>5548910.8499999996</v>
      </c>
      <c r="H70" s="559">
        <f>ROUND(IF(D70="PCFP",'2.8 Alloc of Residual Rev. YR1'!K71,('1.4 FY 2020 Revenue Received'!S65)+'1.4 FY 2020 Revenue Received'!U65),2)</f>
        <v>141450.75</v>
      </c>
      <c r="I70" s="595">
        <f>ROUND(IF(D70="PCFP",'2.8 Alloc of Residual Rev. YR1'!L71,'1.4 FY 2020 Revenue Received'!V65),2)</f>
        <v>0</v>
      </c>
      <c r="J70" s="581">
        <f t="shared" si="4"/>
        <v>5690361.5999999996</v>
      </c>
      <c r="K70" s="9"/>
      <c r="L70" s="130">
        <v>0</v>
      </c>
      <c r="M70" s="130">
        <v>0</v>
      </c>
      <c r="N70" s="130">
        <v>0</v>
      </c>
      <c r="O70" s="559">
        <f t="shared" si="6"/>
        <v>0</v>
      </c>
      <c r="P70" s="9"/>
      <c r="Q70" s="530">
        <f>ROUND(IF(D70="PCFP",'2.8 Alloc of Residual Rev. YR1'!I71,'1.4 FY 2020 Revenue Received'!Y65),2)</f>
        <v>681469.72</v>
      </c>
      <c r="R70" s="9"/>
      <c r="S70" s="559">
        <f t="shared" si="7"/>
        <v>41913698.299999997</v>
      </c>
    </row>
    <row r="71" spans="1:19" x14ac:dyDescent="0.3">
      <c r="A71" s="4"/>
      <c r="B71" s="10" t="str">
        <f>'1.2 Budgeted Enrollment YR1'!E68</f>
        <v>Mater Academy of Northern Nevada</v>
      </c>
      <c r="D71" s="128" t="str">
        <f>IF('2.9 PCFP Funding Comparison YR1'!$K$25="Yes","PCFP","FY 2020 Baseline")</f>
        <v>PCFP</v>
      </c>
      <c r="E71" s="559">
        <f>ROUND(IF(D71="PCFP",'2.8 Alloc of Residual Rev. YR1'!G72,'1.4 FY 2020 Revenue Received'!Z66),2)</f>
        <v>4413942.82</v>
      </c>
      <c r="F71" s="9"/>
      <c r="G71" s="559">
        <f>ROUND(IF(D71="PCFP",'2.8 Alloc of Residual Rev. YR1'!J72,('1.4 FY 2020 Revenue Received'!S66)+'1.4 FY 2020 Revenue Received'!T66),2)</f>
        <v>614300.4</v>
      </c>
      <c r="H71" s="559">
        <f>ROUND(IF(D71="PCFP",'2.8 Alloc of Residual Rev. YR1'!K72,('1.4 FY 2020 Revenue Received'!S66)+'1.4 FY 2020 Revenue Received'!U66),2)</f>
        <v>12573.4</v>
      </c>
      <c r="I71" s="595">
        <f>ROUND(IF(D71="PCFP",'2.8 Alloc of Residual Rev. YR1'!L72,'1.4 FY 2020 Revenue Received'!V66),2)</f>
        <v>0</v>
      </c>
      <c r="J71" s="581">
        <f t="shared" si="4"/>
        <v>626873.80000000005</v>
      </c>
      <c r="K71" s="9"/>
      <c r="L71" s="130">
        <v>0</v>
      </c>
      <c r="M71" s="130">
        <v>0</v>
      </c>
      <c r="N71" s="130">
        <v>0</v>
      </c>
      <c r="O71" s="559">
        <f t="shared" si="6"/>
        <v>0</v>
      </c>
      <c r="P71" s="9"/>
      <c r="Q71" s="530">
        <f>ROUND(IF(D71="PCFP",'2.8 Alloc of Residual Rev. YR1'!I72,'1.4 FY 2020 Revenue Received'!Y66),2)</f>
        <v>53953</v>
      </c>
      <c r="R71" s="9"/>
      <c r="S71" s="559">
        <f t="shared" si="7"/>
        <v>5094769.62</v>
      </c>
    </row>
    <row r="72" spans="1:19" x14ac:dyDescent="0.3">
      <c r="A72" s="4"/>
      <c r="B72" s="10" t="str">
        <f>'1.2 Budgeted Enrollment YR1'!E69</f>
        <v>Nevada Connections Academy</v>
      </c>
      <c r="D72" s="128" t="str">
        <f>IF('2.9 PCFP Funding Comparison YR1'!$K$25="Yes","PCFP","FY 2020 Baseline")</f>
        <v>PCFP</v>
      </c>
      <c r="E72" s="559">
        <f>ROUND(IF(D72="PCFP",'2.8 Alloc of Residual Rev. YR1'!G73,'1.4 FY 2020 Revenue Received'!Z67),2)</f>
        <v>9573223.5</v>
      </c>
      <c r="F72" s="9"/>
      <c r="G72" s="559">
        <f>ROUND(IF(D72="PCFP",'2.8 Alloc of Residual Rev. YR1'!J73,('1.4 FY 2020 Revenue Received'!S67)+'1.4 FY 2020 Revenue Received'!T67),2)</f>
        <v>96994.8</v>
      </c>
      <c r="H72" s="559">
        <f>ROUND(IF(D72="PCFP",'2.8 Alloc of Residual Rev. YR1'!K73,('1.4 FY 2020 Revenue Received'!S67)+'1.4 FY 2020 Revenue Received'!U67),2)</f>
        <v>88013.8</v>
      </c>
      <c r="I72" s="595">
        <f>ROUND(IF(D72="PCFP",'2.8 Alloc of Residual Rev. YR1'!L73,'1.4 FY 2020 Revenue Received'!V67),2)</f>
        <v>0</v>
      </c>
      <c r="J72" s="581">
        <f t="shared" si="4"/>
        <v>185008.6</v>
      </c>
      <c r="K72" s="9"/>
      <c r="L72" s="130">
        <v>0</v>
      </c>
      <c r="M72" s="130">
        <v>0</v>
      </c>
      <c r="N72" s="130">
        <v>0</v>
      </c>
      <c r="O72" s="559">
        <f t="shared" si="6"/>
        <v>0</v>
      </c>
      <c r="P72" s="9"/>
      <c r="Q72" s="530">
        <f>ROUND(IF(D72="PCFP",'2.8 Alloc of Residual Rev. YR1'!I73,'1.4 FY 2020 Revenue Received'!Y67),2)</f>
        <v>0</v>
      </c>
      <c r="R72" s="9"/>
      <c r="S72" s="559">
        <f t="shared" si="7"/>
        <v>9758232.0999999996</v>
      </c>
    </row>
    <row r="73" spans="1:19" x14ac:dyDescent="0.3">
      <c r="A73" s="4"/>
      <c r="B73" s="10" t="str">
        <f>'1.2 Budgeted Enrollment YR1'!E70</f>
        <v>Nevada Prep</v>
      </c>
      <c r="D73" s="128" t="str">
        <f>IF('2.9 PCFP Funding Comparison YR1'!$K$25="Yes","PCFP","FY 2020 Baseline")</f>
        <v>PCFP</v>
      </c>
      <c r="E73" s="559">
        <f>ROUND(IF(D73="PCFP",'2.8 Alloc of Residual Rev. YR1'!G74,'1.4 FY 2020 Revenue Received'!Z68),2)</f>
        <v>2526684.41</v>
      </c>
      <c r="F73" s="9"/>
      <c r="G73" s="559">
        <f>ROUND(IF(D73="PCFP",'2.8 Alloc of Residual Rev. YR1'!J74,('1.4 FY 2020 Revenue Received'!S68)+'1.4 FY 2020 Revenue Received'!T68),2)</f>
        <v>274818.59999999998</v>
      </c>
      <c r="H73" s="559">
        <f>ROUND(IF(D73="PCFP",'2.8 Alloc of Residual Rev. YR1'!K74,('1.4 FY 2020 Revenue Received'!S68)+'1.4 FY 2020 Revenue Received'!U68),2)</f>
        <v>37720.199999999997</v>
      </c>
      <c r="I73" s="595">
        <f>ROUND(IF(D73="PCFP",'2.8 Alloc of Residual Rev. YR1'!L74,'1.4 FY 2020 Revenue Received'!V68),2)</f>
        <v>0</v>
      </c>
      <c r="J73" s="581">
        <f t="shared" si="4"/>
        <v>312538.8</v>
      </c>
      <c r="K73" s="9"/>
      <c r="L73" s="130">
        <v>0</v>
      </c>
      <c r="M73" s="130">
        <v>0</v>
      </c>
      <c r="N73" s="130">
        <v>0</v>
      </c>
      <c r="O73" s="559">
        <f t="shared" si="6"/>
        <v>0</v>
      </c>
      <c r="P73" s="9"/>
      <c r="Q73" s="530">
        <f>ROUND(IF(D73="PCFP",'2.8 Alloc of Residual Rev. YR1'!I74,'1.4 FY 2020 Revenue Received'!Y68),2)</f>
        <v>106176</v>
      </c>
      <c r="R73" s="9"/>
      <c r="S73" s="559">
        <f t="shared" si="7"/>
        <v>2945399.21</v>
      </c>
    </row>
    <row r="74" spans="1:19" x14ac:dyDescent="0.3">
      <c r="A74" s="4"/>
      <c r="B74" s="10" t="str">
        <f>'1.2 Budgeted Enrollment YR1'!E71</f>
        <v xml:space="preserve">Nevada Rise </v>
      </c>
      <c r="D74" s="128" t="str">
        <f>IF('2.9 PCFP Funding Comparison YR1'!$K$25="Yes","PCFP","FY 2020 Baseline")</f>
        <v>PCFP</v>
      </c>
      <c r="E74" s="559">
        <f>ROUND(IF(D74="PCFP",'2.8 Alloc of Residual Rev. YR1'!G75,'1.4 FY 2020 Revenue Received'!Z69),2)</f>
        <v>4112481.17</v>
      </c>
      <c r="F74" s="9"/>
      <c r="G74" s="559">
        <f>ROUND(IF(D74="PCFP",'2.8 Alloc of Residual Rev. YR1'!J75,('1.4 FY 2020 Revenue Received'!S69)+'1.4 FY 2020 Revenue Received'!T69),2)</f>
        <v>295025.84999999998</v>
      </c>
      <c r="H74" s="559">
        <f>ROUND(IF(D74="PCFP",'2.8 Alloc of Residual Rev. YR1'!K75,('1.4 FY 2020 Revenue Received'!S69)+'1.4 FY 2020 Revenue Received'!U69),2)</f>
        <v>210604.45</v>
      </c>
      <c r="I74" s="595">
        <f>ROUND(IF(D74="PCFP",'2.8 Alloc of Residual Rev. YR1'!L75,'1.4 FY 2020 Revenue Received'!V69),2)</f>
        <v>0</v>
      </c>
      <c r="J74" s="581">
        <f t="shared" si="4"/>
        <v>505630.3</v>
      </c>
      <c r="K74" s="9"/>
      <c r="L74" s="130">
        <v>0</v>
      </c>
      <c r="M74" s="130">
        <v>0</v>
      </c>
      <c r="N74" s="130">
        <v>0</v>
      </c>
      <c r="O74" s="559">
        <f t="shared" si="6"/>
        <v>0</v>
      </c>
      <c r="P74" s="9"/>
      <c r="Q74" s="530">
        <f>ROUND(IF(D74="PCFP",'2.8 Alloc of Residual Rev. YR1'!I75,'1.4 FY 2020 Revenue Received'!Y69),2)</f>
        <v>164728</v>
      </c>
      <c r="R74" s="9"/>
      <c r="S74" s="559">
        <f t="shared" si="7"/>
        <v>4782839.47</v>
      </c>
    </row>
    <row r="75" spans="1:19" x14ac:dyDescent="0.3">
      <c r="A75" s="4"/>
      <c r="B75" s="10" t="str">
        <f>'1.2 Budgeted Enrollment YR1'!E72</f>
        <v>Nevada State High School</v>
      </c>
      <c r="D75" s="128" t="str">
        <f>IF('2.9 PCFP Funding Comparison YR1'!$K$25="Yes","PCFP","FY 2020 Baseline")</f>
        <v>PCFP</v>
      </c>
      <c r="E75" s="559">
        <f>ROUND(IF(D75="PCFP",'2.8 Alloc of Residual Rev. YR1'!G76,'1.4 FY 2020 Revenue Received'!Z70),2)</f>
        <v>8831176.8100000005</v>
      </c>
      <c r="F75" s="9"/>
      <c r="G75" s="559">
        <f>ROUND(IF(D75="PCFP",'2.8 Alloc of Residual Rev. YR1'!J76,('1.4 FY 2020 Revenue Received'!S70)+'1.4 FY 2020 Revenue Received'!T70),2)</f>
        <v>177823.8</v>
      </c>
      <c r="H75" s="559">
        <f>ROUND(IF(D75="PCFP",'2.8 Alloc of Residual Rev. YR1'!K76,('1.4 FY 2020 Revenue Received'!S70)+'1.4 FY 2020 Revenue Received'!U70),2)</f>
        <v>3143.35</v>
      </c>
      <c r="I75" s="595">
        <f>ROUND(IF(D75="PCFP",'2.8 Alloc of Residual Rev. YR1'!L76,'1.4 FY 2020 Revenue Received'!V70),2)</f>
        <v>0</v>
      </c>
      <c r="J75" s="581">
        <f t="shared" si="4"/>
        <v>180967.15</v>
      </c>
      <c r="K75" s="9"/>
      <c r="L75" s="130">
        <v>0</v>
      </c>
      <c r="M75" s="130">
        <v>0</v>
      </c>
      <c r="N75" s="130">
        <v>0</v>
      </c>
      <c r="O75" s="559">
        <f t="shared" si="6"/>
        <v>0</v>
      </c>
      <c r="P75" s="9"/>
      <c r="Q75" s="530">
        <f>ROUND(IF(D75="PCFP",'2.8 Alloc of Residual Rev. YR1'!I76,'1.4 FY 2020 Revenue Received'!Y70),2)</f>
        <v>0</v>
      </c>
      <c r="R75" s="9"/>
      <c r="S75" s="559">
        <f t="shared" si="7"/>
        <v>9012143.9600000009</v>
      </c>
    </row>
    <row r="76" spans="1:19" x14ac:dyDescent="0.3">
      <c r="A76" s="4"/>
      <c r="B76" s="10" t="str">
        <f>'1.2 Budgeted Enrollment YR1'!E73</f>
        <v>Nevada State High School-Meadowwood</v>
      </c>
      <c r="D76" s="128" t="str">
        <f>IF('2.9 PCFP Funding Comparison YR1'!$K$25="Yes","PCFP","FY 2020 Baseline")</f>
        <v>PCFP</v>
      </c>
      <c r="E76" s="559">
        <f>ROUND(IF(D76="PCFP",'2.8 Alloc of Residual Rev. YR1'!G77,'1.4 FY 2020 Revenue Received'!Z71),2)</f>
        <v>285788.31</v>
      </c>
      <c r="F76" s="9"/>
      <c r="G76" s="559">
        <f>ROUND(IF(D76="PCFP",'2.8 Alloc of Residual Rev. YR1'!J77,('1.4 FY 2020 Revenue Received'!S71)+'1.4 FY 2020 Revenue Received'!T71),2)</f>
        <v>0</v>
      </c>
      <c r="H76" s="559">
        <f>ROUND(IF(D76="PCFP",'2.8 Alloc of Residual Rev. YR1'!K77,('1.4 FY 2020 Revenue Received'!S71)+'1.4 FY 2020 Revenue Received'!U71),2)</f>
        <v>0</v>
      </c>
      <c r="I76" s="595">
        <f>ROUND(IF(D76="PCFP",'2.8 Alloc of Residual Rev. YR1'!L77,'1.4 FY 2020 Revenue Received'!V71),2)</f>
        <v>0</v>
      </c>
      <c r="J76" s="581">
        <f t="shared" si="4"/>
        <v>0</v>
      </c>
      <c r="K76" s="9"/>
      <c r="L76" s="130">
        <v>0</v>
      </c>
      <c r="M76" s="130">
        <v>0</v>
      </c>
      <c r="N76" s="130">
        <v>0</v>
      </c>
      <c r="O76" s="559">
        <f t="shared" si="6"/>
        <v>0</v>
      </c>
      <c r="P76" s="9"/>
      <c r="Q76" s="530">
        <f>ROUND(IF(D76="PCFP",'2.8 Alloc of Residual Rev. YR1'!I77,'1.4 FY 2020 Revenue Received'!Y71),2)</f>
        <v>0</v>
      </c>
      <c r="R76" s="9"/>
      <c r="S76" s="559">
        <f t="shared" si="7"/>
        <v>285788.31</v>
      </c>
    </row>
    <row r="77" spans="1:19" x14ac:dyDescent="0.3">
      <c r="A77" s="4"/>
      <c r="B77" s="10" t="str">
        <f>'1.2 Budgeted Enrollment YR1'!E74</f>
        <v>Nevada Virtual Academy</v>
      </c>
      <c r="D77" s="128" t="str">
        <f>IF('2.9 PCFP Funding Comparison YR1'!$K$25="Yes","PCFP","FY 2020 Baseline")</f>
        <v>PCFP</v>
      </c>
      <c r="E77" s="559">
        <f>ROUND(IF(D77="PCFP",'2.8 Alloc of Residual Rev. YR1'!G78,'1.4 FY 2020 Revenue Received'!Z72),2)</f>
        <v>19384566.68</v>
      </c>
      <c r="F77" s="9"/>
      <c r="G77" s="559">
        <f>ROUND(IF(D77="PCFP",'2.8 Alloc of Residual Rev. YR1'!J78,('1.4 FY 2020 Revenue Received'!S72)+'1.4 FY 2020 Revenue Received'!T72),2)</f>
        <v>339481.8</v>
      </c>
      <c r="H77" s="559">
        <f>ROUND(IF(D77="PCFP",'2.8 Alloc of Residual Rev. YR1'!K78,('1.4 FY 2020 Revenue Received'!S72)+'1.4 FY 2020 Revenue Received'!U72),2)</f>
        <v>502936</v>
      </c>
      <c r="I77" s="595">
        <f>ROUND(IF(D77="PCFP",'2.8 Alloc of Residual Rev. YR1'!L78,'1.4 FY 2020 Revenue Received'!V72),2)</f>
        <v>0</v>
      </c>
      <c r="J77" s="581">
        <f t="shared" si="4"/>
        <v>842417.8</v>
      </c>
      <c r="K77" s="9"/>
      <c r="L77" s="130">
        <v>0</v>
      </c>
      <c r="M77" s="130">
        <v>0</v>
      </c>
      <c r="N77" s="130">
        <v>0</v>
      </c>
      <c r="O77" s="559">
        <f t="shared" si="6"/>
        <v>0</v>
      </c>
      <c r="P77" s="9"/>
      <c r="Q77" s="530">
        <f>ROUND(IF(D77="PCFP",'2.8 Alloc of Residual Rev. YR1'!I78,'1.4 FY 2020 Revenue Received'!Y72),2)</f>
        <v>0</v>
      </c>
      <c r="R77" s="9"/>
      <c r="S77" s="559">
        <f t="shared" si="7"/>
        <v>20226984.48</v>
      </c>
    </row>
    <row r="78" spans="1:19" x14ac:dyDescent="0.3">
      <c r="A78" s="4"/>
      <c r="B78" s="10" t="str">
        <f>'1.2 Budgeted Enrollment YR1'!E75</f>
        <v>Oasis Academy</v>
      </c>
      <c r="D78" s="128" t="str">
        <f>IF('2.9 PCFP Funding Comparison YR1'!$K$25="Yes","PCFP","FY 2020 Baseline")</f>
        <v>PCFP</v>
      </c>
      <c r="E78" s="559">
        <f>ROUND(IF(D78="PCFP",'2.8 Alloc of Residual Rev. YR1'!G79,'1.4 FY 2020 Revenue Received'!Z73),2)</f>
        <v>7469933.3099999996</v>
      </c>
      <c r="F78" s="9"/>
      <c r="G78" s="559">
        <f>ROUND(IF(D78="PCFP",'2.8 Alloc of Residual Rev. YR1'!J79,('1.4 FY 2020 Revenue Received'!S73)+'1.4 FY 2020 Revenue Received'!T73),2)</f>
        <v>113160.6</v>
      </c>
      <c r="H78" s="559">
        <f>ROUND(IF(D78="PCFP",'2.8 Alloc of Residual Rev. YR1'!K79,('1.4 FY 2020 Revenue Received'!S73)+'1.4 FY 2020 Revenue Received'!U73),2)</f>
        <v>9430.0499999999993</v>
      </c>
      <c r="I78" s="595">
        <f>ROUND(IF(D78="PCFP",'2.8 Alloc of Residual Rev. YR1'!L79,'1.4 FY 2020 Revenue Received'!V73),2)</f>
        <v>0</v>
      </c>
      <c r="J78" s="581">
        <f t="shared" si="4"/>
        <v>122590.65000000001</v>
      </c>
      <c r="K78" s="9"/>
      <c r="L78" s="130">
        <v>0</v>
      </c>
      <c r="M78" s="130">
        <v>0</v>
      </c>
      <c r="N78" s="130">
        <v>0</v>
      </c>
      <c r="O78" s="559">
        <f t="shared" si="6"/>
        <v>0</v>
      </c>
      <c r="P78" s="9"/>
      <c r="Q78" s="530">
        <f>ROUND(IF(D78="PCFP",'2.8 Alloc of Residual Rev. YR1'!I79,'1.4 FY 2020 Revenue Received'!Y73),2)</f>
        <v>303879</v>
      </c>
      <c r="R78" s="9"/>
      <c r="S78" s="559">
        <f t="shared" si="7"/>
        <v>7896402.96</v>
      </c>
    </row>
    <row r="79" spans="1:19" x14ac:dyDescent="0.3">
      <c r="A79" s="4"/>
      <c r="B79" s="10" t="str">
        <f>'1.2 Budgeted Enrollment YR1'!E76</f>
        <v>Odyssey Charter Schools</v>
      </c>
      <c r="D79" s="128" t="str">
        <f>IF('2.9 PCFP Funding Comparison YR1'!$K$25="Yes","PCFP","FY 2020 Baseline")</f>
        <v>PCFP</v>
      </c>
      <c r="E79" s="559">
        <f>ROUND(IF(D79="PCFP",'2.8 Alloc of Residual Rev. YR1'!G80,'1.4 FY 2020 Revenue Received'!Z74),2)</f>
        <v>20882905.579999998</v>
      </c>
      <c r="F79" s="9"/>
      <c r="G79" s="559">
        <f>ROUND(IF(D79="PCFP",'2.8 Alloc of Residual Rev. YR1'!J80,('1.4 FY 2020 Revenue Received'!S74)+'1.4 FY 2020 Revenue Received'!T74),2)</f>
        <v>404145</v>
      </c>
      <c r="H79" s="559">
        <f>ROUND(IF(D79="PCFP",'2.8 Alloc of Residual Rev. YR1'!K80,('1.4 FY 2020 Revenue Received'!S74)+'1.4 FY 2020 Revenue Received'!U74),2)</f>
        <v>864421.25</v>
      </c>
      <c r="I79" s="595">
        <f>ROUND(IF(D79="PCFP",'2.8 Alloc of Residual Rev. YR1'!L80,'1.4 FY 2020 Revenue Received'!V74),2)</f>
        <v>0</v>
      </c>
      <c r="J79" s="581">
        <f t="shared" si="4"/>
        <v>1268566.25</v>
      </c>
      <c r="K79" s="9"/>
      <c r="L79" s="130">
        <v>0</v>
      </c>
      <c r="M79" s="130">
        <v>0</v>
      </c>
      <c r="N79" s="130">
        <v>0</v>
      </c>
      <c r="O79" s="559">
        <f t="shared" si="6"/>
        <v>0</v>
      </c>
      <c r="P79" s="9"/>
      <c r="Q79" s="530">
        <f>ROUND(IF(D79="PCFP",'2.8 Alloc of Residual Rev. YR1'!I80,'1.4 FY 2020 Revenue Received'!Y74),2)</f>
        <v>2209616</v>
      </c>
      <c r="R79" s="9"/>
      <c r="S79" s="559">
        <f t="shared" si="7"/>
        <v>24361087.829999998</v>
      </c>
    </row>
    <row r="80" spans="1:19" x14ac:dyDescent="0.3">
      <c r="A80" s="4"/>
      <c r="B80" s="10" t="str">
        <f>'1.2 Budgeted Enrollment YR1'!E77</f>
        <v>Pinecrest Academy of Northern Nevada</v>
      </c>
      <c r="D80" s="128" t="str">
        <f>IF('2.9 PCFP Funding Comparison YR1'!$K$25="Yes","PCFP","FY 2020 Baseline")</f>
        <v>PCFP</v>
      </c>
      <c r="E80" s="559">
        <f>ROUND(IF(D80="PCFP",'2.8 Alloc of Residual Rev. YR1'!G81,'1.4 FY 2020 Revenue Received'!Z75),2)</f>
        <v>8325164.4699999997</v>
      </c>
      <c r="F80" s="9"/>
      <c r="G80" s="559">
        <f>ROUND(IF(D80="PCFP",'2.8 Alloc of Residual Rev. YR1'!J81,('1.4 FY 2020 Revenue Received'!S75)+'1.4 FY 2020 Revenue Received'!T75),2)</f>
        <v>72746.100000000006</v>
      </c>
      <c r="H80" s="559">
        <f>ROUND(IF(D80="PCFP",'2.8 Alloc of Residual Rev. YR1'!K81,('1.4 FY 2020 Revenue Received'!S75)+'1.4 FY 2020 Revenue Received'!U75),2)</f>
        <v>0</v>
      </c>
      <c r="I80" s="595">
        <f>ROUND(IF(D80="PCFP",'2.8 Alloc of Residual Rev. YR1'!L81,'1.4 FY 2020 Revenue Received'!V75),2)</f>
        <v>36642.480000000003</v>
      </c>
      <c r="J80" s="581">
        <f t="shared" si="4"/>
        <v>109388.58000000002</v>
      </c>
      <c r="K80" s="9"/>
      <c r="L80" s="130">
        <v>0</v>
      </c>
      <c r="M80" s="130">
        <v>0</v>
      </c>
      <c r="N80" s="130">
        <v>0</v>
      </c>
      <c r="O80" s="559">
        <f t="shared" si="6"/>
        <v>0</v>
      </c>
      <c r="P80" s="9"/>
      <c r="Q80" s="530">
        <f>ROUND(IF(D80="PCFP",'2.8 Alloc of Residual Rev. YR1'!I81,'1.4 FY 2020 Revenue Received'!Y75),2)</f>
        <v>144137</v>
      </c>
      <c r="R80" s="9"/>
      <c r="S80" s="559">
        <f t="shared" si="7"/>
        <v>8578690.0499999989</v>
      </c>
    </row>
    <row r="81" spans="1:21" x14ac:dyDescent="0.3">
      <c r="A81" s="4"/>
      <c r="B81" s="10" t="str">
        <f>'1.2 Budgeted Enrollment YR1'!E78</f>
        <v>Pinecrest Academy of Nevada</v>
      </c>
      <c r="D81" s="128" t="str">
        <f>IF('2.9 PCFP Funding Comparison YR1'!$K$25="Yes","PCFP","FY 2020 Baseline")</f>
        <v>PCFP</v>
      </c>
      <c r="E81" s="559">
        <f>ROUND(IF(D81="PCFP",'2.8 Alloc of Residual Rev. YR1'!G82,'1.4 FY 2020 Revenue Received'!Z76),2)</f>
        <v>66517331.009999998</v>
      </c>
      <c r="F81" s="9"/>
      <c r="G81" s="559">
        <f>ROUND(IF(D81="PCFP",'2.8 Alloc of Residual Rev. YR1'!J82,('1.4 FY 2020 Revenue Received'!S76)+'1.4 FY 2020 Revenue Received'!T76),2)</f>
        <v>646632</v>
      </c>
      <c r="H81" s="559">
        <f>ROUND(IF(D81="PCFP",'2.8 Alloc of Residual Rev. YR1'!K82,('1.4 FY 2020 Revenue Received'!S76)+'1.4 FY 2020 Revenue Received'!U76),2)</f>
        <v>638100.05000000005</v>
      </c>
      <c r="I81" s="595">
        <f>ROUND(IF(D81="PCFP",'2.8 Alloc of Residual Rev. YR1'!L82,'1.4 FY 2020 Revenue Received'!V76),2)</f>
        <v>279129.48</v>
      </c>
      <c r="J81" s="581">
        <f t="shared" si="4"/>
        <v>1563861.53</v>
      </c>
      <c r="K81" s="9"/>
      <c r="L81" s="130">
        <v>0</v>
      </c>
      <c r="M81" s="130">
        <v>0</v>
      </c>
      <c r="N81" s="130">
        <v>0</v>
      </c>
      <c r="O81" s="559">
        <f t="shared" si="6"/>
        <v>0</v>
      </c>
      <c r="P81" s="9"/>
      <c r="Q81" s="530">
        <f>ROUND(IF(D81="PCFP",'2.8 Alloc of Residual Rev. YR1'!I82,'1.4 FY 2020 Revenue Received'!Y76),2)</f>
        <v>1251037</v>
      </c>
      <c r="R81" s="9"/>
      <c r="S81" s="559">
        <f t="shared" si="7"/>
        <v>69332229.539999992</v>
      </c>
    </row>
    <row r="82" spans="1:21" x14ac:dyDescent="0.3">
      <c r="A82" s="4"/>
      <c r="B82" s="10" t="str">
        <f>'1.2 Budgeted Enrollment YR1'!E79</f>
        <v>Quest Academy</v>
      </c>
      <c r="D82" s="128" t="str">
        <f>IF('2.9 PCFP Funding Comparison YR1'!$K$25="Yes","PCFP","FY 2020 Baseline")</f>
        <v>PCFP</v>
      </c>
      <c r="E82" s="559">
        <f>ROUND(IF(D82="PCFP",'2.8 Alloc of Residual Rev. YR1'!G83,'1.4 FY 2020 Revenue Received'!Z77),2)</f>
        <v>3905566.23</v>
      </c>
      <c r="F82" s="9"/>
      <c r="G82" s="559">
        <f>ROUND(IF(D82="PCFP",'2.8 Alloc of Residual Rev. YR1'!J83,('1.4 FY 2020 Revenue Received'!S77)+'1.4 FY 2020 Revenue Received'!T77),2)</f>
        <v>137409.29999999999</v>
      </c>
      <c r="H82" s="559">
        <f>ROUND(IF(D82="PCFP",'2.8 Alloc of Residual Rev. YR1'!K83,('1.4 FY 2020 Revenue Received'!S77)+'1.4 FY 2020 Revenue Received'!U77),2)</f>
        <v>132020.70000000001</v>
      </c>
      <c r="I82" s="595">
        <f>ROUND(IF(D82="PCFP",'2.8 Alloc of Residual Rev. YR1'!L83,'1.4 FY 2020 Revenue Received'!V77),2)</f>
        <v>0</v>
      </c>
      <c r="J82" s="581">
        <f t="shared" si="4"/>
        <v>269430</v>
      </c>
      <c r="K82" s="9"/>
      <c r="L82" s="130">
        <v>0</v>
      </c>
      <c r="M82" s="130">
        <v>0</v>
      </c>
      <c r="N82" s="130">
        <v>0</v>
      </c>
      <c r="O82" s="559">
        <f t="shared" si="6"/>
        <v>0</v>
      </c>
      <c r="P82" s="9"/>
      <c r="Q82" s="530">
        <f>ROUND(IF(D82="PCFP",'2.8 Alloc of Residual Rev. YR1'!I83,'1.4 FY 2020 Revenue Received'!Y77),2)</f>
        <v>46281</v>
      </c>
      <c r="R82" s="9"/>
      <c r="S82" s="559">
        <f t="shared" si="7"/>
        <v>4221277.2300000004</v>
      </c>
    </row>
    <row r="83" spans="1:21" x14ac:dyDescent="0.3">
      <c r="A83" s="4"/>
      <c r="B83" s="10" t="str">
        <f>'1.2 Budgeted Enrollment YR1'!E80</f>
        <v>Rainbow Dreams Academy</v>
      </c>
      <c r="D83" s="128" t="str">
        <f>IF('2.9 PCFP Funding Comparison YR1'!$K$25="Yes","PCFP","FY 2020 Baseline")</f>
        <v>PCFP</v>
      </c>
      <c r="E83" s="559">
        <f>ROUND(IF(D83="PCFP",'2.8 Alloc of Residual Rev. YR1'!G84,'1.4 FY 2020 Revenue Received'!Z78),2)</f>
        <v>630783.72</v>
      </c>
      <c r="F83" s="9"/>
      <c r="G83" s="559">
        <f>ROUND(IF(D83="PCFP",'2.8 Alloc of Residual Rev. YR1'!J84,('1.4 FY 2020 Revenue Received'!S78)+'1.4 FY 2020 Revenue Received'!T78),2)</f>
        <v>32331.599999999999</v>
      </c>
      <c r="H83" s="559">
        <f>ROUND(IF(D83="PCFP",'2.8 Alloc of Residual Rev. YR1'!K84,('1.4 FY 2020 Revenue Received'!S78)+'1.4 FY 2020 Revenue Received'!U78),2)</f>
        <v>106873.9</v>
      </c>
      <c r="I83" s="595">
        <f>ROUND(IF(D83="PCFP",'2.8 Alloc of Residual Rev. YR1'!L84,'1.4 FY 2020 Revenue Received'!V78),2)</f>
        <v>0</v>
      </c>
      <c r="J83" s="581">
        <f t="shared" si="4"/>
        <v>139205.5</v>
      </c>
      <c r="K83" s="9"/>
      <c r="L83" s="130">
        <v>0</v>
      </c>
      <c r="M83" s="130">
        <v>0</v>
      </c>
      <c r="N83" s="130">
        <v>0</v>
      </c>
      <c r="O83" s="559">
        <f t="shared" si="6"/>
        <v>0</v>
      </c>
      <c r="P83" s="9"/>
      <c r="Q83" s="530">
        <f>ROUND(IF(D83="PCFP",'2.8 Alloc of Residual Rev. YR1'!I84,'1.4 FY 2020 Revenue Received'!Y78),2)</f>
        <v>40702</v>
      </c>
      <c r="R83" s="9"/>
      <c r="S83" s="559">
        <f t="shared" si="7"/>
        <v>810691.22</v>
      </c>
    </row>
    <row r="84" spans="1:21" x14ac:dyDescent="0.3">
      <c r="A84" s="4"/>
      <c r="B84" s="10" t="str">
        <f>'1.2 Budgeted Enrollment YR1'!E81</f>
        <v>Rooted Charter School</v>
      </c>
      <c r="D84" s="128" t="str">
        <f>IF('2.9 PCFP Funding Comparison YR1'!$K$25="Yes","PCFP","FY 2020 Baseline")</f>
        <v>PCFP</v>
      </c>
      <c r="E84" s="559">
        <f>ROUND(IF(D84="PCFP",'2.8 Alloc of Residual Rev. YR1'!G85,'1.4 FY 2020 Revenue Received'!Z79),2)</f>
        <v>1616581.19</v>
      </c>
      <c r="F84" s="9"/>
      <c r="G84" s="559">
        <f>ROUND(IF(D84="PCFP",'2.8 Alloc of Residual Rev. YR1'!J85,('1.4 FY 2020 Revenue Received'!S79)+'1.4 FY 2020 Revenue Received'!T79),2)</f>
        <v>0</v>
      </c>
      <c r="H84" s="559">
        <f>ROUND(IF(D84="PCFP",'2.8 Alloc of Residual Rev. YR1'!K85,('1.4 FY 2020 Revenue Received'!S79)+'1.4 FY 2020 Revenue Received'!U79),2)</f>
        <v>0</v>
      </c>
      <c r="I84" s="595">
        <f>ROUND(IF(D84="PCFP",'2.8 Alloc of Residual Rev. YR1'!L85,'1.4 FY 2020 Revenue Received'!V79),2)</f>
        <v>0</v>
      </c>
      <c r="J84" s="581">
        <f t="shared" ref="J84" si="8">SUM(G84:I84)</f>
        <v>0</v>
      </c>
      <c r="K84" s="9"/>
      <c r="L84" s="130">
        <v>0</v>
      </c>
      <c r="M84" s="130">
        <v>0</v>
      </c>
      <c r="N84" s="130">
        <v>0</v>
      </c>
      <c r="O84" s="559">
        <f t="shared" ref="O84" si="9">SUM(L84:N84)</f>
        <v>0</v>
      </c>
      <c r="P84" s="9"/>
      <c r="Q84" s="530">
        <f>ROUND(IF(D84="PCFP",'2.8 Alloc of Residual Rev. YR1'!I85,'1.4 FY 2020 Revenue Received'!Y79),2)</f>
        <v>0</v>
      </c>
      <c r="R84" s="9"/>
      <c r="S84" s="559">
        <f t="shared" ref="S84" si="10">E84+J84+O84+Q84</f>
        <v>1616581.19</v>
      </c>
    </row>
    <row r="85" spans="1:21" x14ac:dyDescent="0.3">
      <c r="A85" s="4"/>
      <c r="B85" s="10" t="str">
        <f>'1.2 Budgeted Enrollment YR1'!E82</f>
        <v>Sage Collegiate Academy</v>
      </c>
      <c r="D85" s="128" t="str">
        <f>IF('2.9 PCFP Funding Comparison YR1'!$K$25="Yes","PCFP","FY 2020 Baseline")</f>
        <v>PCFP</v>
      </c>
      <c r="E85" s="559">
        <f>ROUND(IF(D85="PCFP",'2.8 Alloc of Residual Rev. YR1'!G86,'1.4 FY 2020 Revenue Received'!Z80),2)</f>
        <v>1786125.16</v>
      </c>
      <c r="F85" s="9"/>
      <c r="G85" s="559">
        <f>ROUND(IF(D85="PCFP",'2.8 Alloc of Residual Rev. YR1'!J86,('1.4 FY 2020 Revenue Received'!S80)+'1.4 FY 2020 Revenue Received'!T80),2)</f>
        <v>72746.100000000006</v>
      </c>
      <c r="H85" s="559">
        <f>ROUND(IF(D85="PCFP",'2.8 Alloc of Residual Rev. YR1'!K86,('1.4 FY 2020 Revenue Received'!S80)+'1.4 FY 2020 Revenue Received'!U80),2)</f>
        <v>0</v>
      </c>
      <c r="I85" s="595">
        <f>ROUND(IF(D85="PCFP",'2.8 Alloc of Residual Rev. YR1'!L86,'1.4 FY 2020 Revenue Received'!V80),2)</f>
        <v>0</v>
      </c>
      <c r="J85" s="581">
        <f t="shared" si="4"/>
        <v>72746.100000000006</v>
      </c>
      <c r="K85" s="9"/>
      <c r="L85" s="130">
        <v>0</v>
      </c>
      <c r="M85" s="130">
        <v>0</v>
      </c>
      <c r="N85" s="130">
        <v>0</v>
      </c>
      <c r="O85" s="559">
        <f t="shared" si="6"/>
        <v>0</v>
      </c>
      <c r="P85" s="9"/>
      <c r="Q85" s="530">
        <f>ROUND(IF(D85="PCFP",'2.8 Alloc of Residual Rev. YR1'!I86,'1.4 FY 2020 Revenue Received'!Y80),2)</f>
        <v>0</v>
      </c>
      <c r="R85" s="9"/>
      <c r="S85" s="559">
        <f t="shared" si="7"/>
        <v>1858871.26</v>
      </c>
    </row>
    <row r="86" spans="1:21" x14ac:dyDescent="0.3">
      <c r="A86" s="4"/>
      <c r="B86" s="10" t="str">
        <f>'1.2 Budgeted Enrollment YR1'!E83</f>
        <v>Sierra Nevada Academy Charter</v>
      </c>
      <c r="D86" s="128" t="str">
        <f>IF('2.9 PCFP Funding Comparison YR1'!$K$25="Yes","PCFP","FY 2020 Baseline")</f>
        <v>PCFP</v>
      </c>
      <c r="E86" s="559">
        <f>ROUND(IF(D86="PCFP",'2.8 Alloc of Residual Rev. YR1'!G87,'1.4 FY 2020 Revenue Received'!Z81),2)</f>
        <v>3139305.99</v>
      </c>
      <c r="F86" s="9"/>
      <c r="G86" s="559">
        <f>ROUND(IF(D86="PCFP",'2.8 Alloc of Residual Rev. YR1'!J87,('1.4 FY 2020 Revenue Received'!S81)+'1.4 FY 2020 Revenue Received'!T81),2)</f>
        <v>80829</v>
      </c>
      <c r="H86" s="559">
        <f>ROUND(IF(D86="PCFP",'2.8 Alloc of Residual Rev. YR1'!K87,('1.4 FY 2020 Revenue Received'!S81)+'1.4 FY 2020 Revenue Received'!U81),2)</f>
        <v>100587.2</v>
      </c>
      <c r="I86" s="595">
        <f>ROUND(IF(D86="PCFP",'2.8 Alloc of Residual Rev. YR1'!L87,'1.4 FY 2020 Revenue Received'!V81),2)</f>
        <v>0</v>
      </c>
      <c r="J86" s="581">
        <f t="shared" si="4"/>
        <v>181416.2</v>
      </c>
      <c r="K86" s="9"/>
      <c r="L86" s="130">
        <v>0</v>
      </c>
      <c r="M86" s="130">
        <v>0</v>
      </c>
      <c r="N86" s="130">
        <v>0</v>
      </c>
      <c r="O86" s="559">
        <f t="shared" si="6"/>
        <v>0</v>
      </c>
      <c r="P86" s="9"/>
      <c r="Q86" s="530">
        <f>ROUND(IF(D86="PCFP",'2.8 Alloc of Residual Rev. YR1'!I87,'1.4 FY 2020 Revenue Received'!Y81),2)</f>
        <v>119278</v>
      </c>
      <c r="R86" s="9"/>
      <c r="S86" s="559">
        <f t="shared" si="7"/>
        <v>3440000.1900000004</v>
      </c>
    </row>
    <row r="87" spans="1:21" x14ac:dyDescent="0.3">
      <c r="A87" s="4"/>
      <c r="B87" s="10" t="str">
        <f>'1.2 Budgeted Enrollment YR1'!E84</f>
        <v>Signature Preparatory</v>
      </c>
      <c r="D87" s="128" t="str">
        <f>IF('2.9 PCFP Funding Comparison YR1'!$K$25="Yes","PCFP","FY 2020 Baseline")</f>
        <v>PCFP</v>
      </c>
      <c r="E87" s="559">
        <f>ROUND(IF(D87="PCFP",'2.8 Alloc of Residual Rev. YR1'!G88,'1.4 FY 2020 Revenue Received'!Z82),2)</f>
        <v>8744585.6899999995</v>
      </c>
      <c r="F87" s="9"/>
      <c r="G87" s="559">
        <f>ROUND(IF(D87="PCFP",'2.8 Alloc of Residual Rev. YR1'!J88,('1.4 FY 2020 Revenue Received'!S82)+'1.4 FY 2020 Revenue Received'!T82),2)</f>
        <v>303108.75</v>
      </c>
      <c r="H87" s="559">
        <f>ROUND(IF(D87="PCFP",'2.8 Alloc of Residual Rev. YR1'!K88,('1.4 FY 2020 Revenue Received'!S82)+'1.4 FY 2020 Revenue Received'!U82),2)</f>
        <v>15716.75</v>
      </c>
      <c r="I87" s="595">
        <f>ROUND(IF(D87="PCFP",'2.8 Alloc of Residual Rev. YR1'!L88,'1.4 FY 2020 Revenue Received'!V82),2)</f>
        <v>0</v>
      </c>
      <c r="J87" s="581">
        <f t="shared" si="4"/>
        <v>318825.5</v>
      </c>
      <c r="K87" s="9"/>
      <c r="L87" s="130">
        <v>0</v>
      </c>
      <c r="M87" s="130">
        <v>0</v>
      </c>
      <c r="N87" s="130">
        <v>0</v>
      </c>
      <c r="O87" s="559">
        <f t="shared" si="6"/>
        <v>0</v>
      </c>
      <c r="P87" s="9"/>
      <c r="Q87" s="530">
        <f>ROUND(IF(D87="PCFP",'2.8 Alloc of Residual Rev. YR1'!I88,'1.4 FY 2020 Revenue Received'!Y82),2)</f>
        <v>291137.52</v>
      </c>
      <c r="R87" s="9"/>
      <c r="S87" s="559">
        <f t="shared" si="7"/>
        <v>9354548.709999999</v>
      </c>
    </row>
    <row r="88" spans="1:21" x14ac:dyDescent="0.3">
      <c r="A88" s="4"/>
      <c r="B88" s="10" t="str">
        <f>'1.2 Budgeted Enrollment YR1'!E85</f>
        <v>Silver Sands Montessori</v>
      </c>
      <c r="D88" s="128" t="str">
        <f>IF('2.9 PCFP Funding Comparison YR1'!$K$25="Yes","PCFP","FY 2020 Baseline")</f>
        <v>PCFP</v>
      </c>
      <c r="E88" s="559">
        <f>ROUND(IF(D88="PCFP",'2.8 Alloc of Residual Rev. YR1'!G89,'1.4 FY 2020 Revenue Received'!Z83),2)</f>
        <v>2156766.2400000002</v>
      </c>
      <c r="F88" s="9"/>
      <c r="G88" s="559">
        <f>ROUND(IF(D88="PCFP",'2.8 Alloc of Residual Rev. YR1'!J89,('1.4 FY 2020 Revenue Received'!S83)+'1.4 FY 2020 Revenue Received'!T83),2)</f>
        <v>44455.95</v>
      </c>
      <c r="H88" s="559">
        <f>ROUND(IF(D88="PCFP",'2.8 Alloc of Residual Rev. YR1'!K89,('1.4 FY 2020 Revenue Received'!S83)+'1.4 FY 2020 Revenue Received'!U83),2)</f>
        <v>37720.199999999997</v>
      </c>
      <c r="I88" s="595">
        <f>ROUND(IF(D88="PCFP",'2.8 Alloc of Residual Rev. YR1'!L89,'1.4 FY 2020 Revenue Received'!V83),2)</f>
        <v>0</v>
      </c>
      <c r="J88" s="581">
        <f t="shared" si="4"/>
        <v>82176.149999999994</v>
      </c>
      <c r="K88" s="9"/>
      <c r="L88" s="130">
        <v>0</v>
      </c>
      <c r="M88" s="130">
        <v>0</v>
      </c>
      <c r="N88" s="130">
        <v>0</v>
      </c>
      <c r="O88" s="559">
        <f t="shared" si="6"/>
        <v>0</v>
      </c>
      <c r="P88" s="9"/>
      <c r="Q88" s="530">
        <f>ROUND(IF(D88="PCFP",'2.8 Alloc of Residual Rev. YR1'!I89,'1.4 FY 2020 Revenue Received'!Y83),2)</f>
        <v>0</v>
      </c>
      <c r="R88" s="9"/>
      <c r="S88" s="559">
        <f t="shared" si="7"/>
        <v>2238942.39</v>
      </c>
    </row>
    <row r="89" spans="1:21" x14ac:dyDescent="0.3">
      <c r="A89" s="4"/>
      <c r="B89" s="10" t="str">
        <f>'1.2 Budgeted Enrollment YR1'!E86</f>
        <v>Somerset Academy</v>
      </c>
      <c r="D89" s="128" t="str">
        <f>IF('2.9 PCFP Funding Comparison YR1'!$K$25="Yes","PCFP","FY 2020 Baseline")</f>
        <v>PCFP</v>
      </c>
      <c r="E89" s="559">
        <f>ROUND(IF(D89="PCFP",'2.8 Alloc of Residual Rev. YR1'!G90,'1.4 FY 2020 Revenue Received'!Z84),2)</f>
        <v>85015736.049999997</v>
      </c>
      <c r="F89" s="9"/>
      <c r="G89" s="559">
        <f>ROUND(IF(D89="PCFP",'2.8 Alloc of Residual Rev. YR1'!J90,('1.4 FY 2020 Revenue Received'!S84)+'1.4 FY 2020 Revenue Received'!T84),2)</f>
        <v>1382175.9</v>
      </c>
      <c r="H89" s="559">
        <f>ROUND(IF(D89="PCFP",'2.8 Alloc of Residual Rev. YR1'!K90,('1.4 FY 2020 Revenue Received'!S84)+'1.4 FY 2020 Revenue Received'!U84),2)</f>
        <v>949291.7</v>
      </c>
      <c r="I89" s="595">
        <f>ROUND(IF(D89="PCFP",'2.8 Alloc of Residual Rev. YR1'!L90,'1.4 FY 2020 Revenue Received'!V84),2)</f>
        <v>121782.36</v>
      </c>
      <c r="J89" s="581">
        <f t="shared" si="4"/>
        <v>2453249.9599999995</v>
      </c>
      <c r="K89" s="9"/>
      <c r="L89" s="130">
        <v>0</v>
      </c>
      <c r="M89" s="130">
        <v>0</v>
      </c>
      <c r="N89" s="130">
        <v>0</v>
      </c>
      <c r="O89" s="559">
        <f t="shared" si="6"/>
        <v>0</v>
      </c>
      <c r="P89" s="9"/>
      <c r="Q89" s="530">
        <f>ROUND(IF(D89="PCFP",'2.8 Alloc of Residual Rev. YR1'!I90,'1.4 FY 2020 Revenue Received'!Y84),2)</f>
        <v>2722399</v>
      </c>
      <c r="R89" s="9"/>
      <c r="S89" s="559">
        <f t="shared" si="7"/>
        <v>90191385.00999999</v>
      </c>
    </row>
    <row r="90" spans="1:21" x14ac:dyDescent="0.3">
      <c r="A90" s="4"/>
      <c r="B90" s="10" t="str">
        <f>'1.2 Budgeted Enrollment YR1'!E87</f>
        <v>Southern Nevada Trade High School</v>
      </c>
      <c r="D90" s="128" t="str">
        <f>IF('2.9 PCFP Funding Comparison YR1'!$K$25="Yes","PCFP","FY 2020 Baseline")</f>
        <v>PCFP</v>
      </c>
      <c r="E90" s="559">
        <f>ROUND(IF(D90="PCFP",'2.8 Alloc of Residual Rev. YR1'!G91,'1.4 FY 2020 Revenue Received'!Z85),2)</f>
        <v>1796201.33</v>
      </c>
      <c r="F90" s="9"/>
      <c r="G90" s="559">
        <f>ROUND(IF(D90="PCFP",'2.8 Alloc of Residual Rev. YR1'!J91,('1.4 FY 2020 Revenue Received'!S85)+'1.4 FY 2020 Revenue Received'!T85),2)</f>
        <v>0</v>
      </c>
      <c r="H90" s="559">
        <f>ROUND(IF(D90="PCFP",'2.8 Alloc of Residual Rev. YR1'!K91,('1.4 FY 2020 Revenue Received'!S85)+'1.4 FY 2020 Revenue Received'!U85),2)</f>
        <v>0</v>
      </c>
      <c r="I90" s="595">
        <f>ROUND(IF(D90="PCFP",'2.8 Alloc of Residual Rev. YR1'!L91,'1.4 FY 2020 Revenue Received'!V85),2)</f>
        <v>0</v>
      </c>
      <c r="J90" s="581">
        <f t="shared" ref="J90" si="11">SUM(G90:I90)</f>
        <v>0</v>
      </c>
      <c r="K90" s="9"/>
      <c r="L90" s="130">
        <v>0</v>
      </c>
      <c r="M90" s="130">
        <v>0</v>
      </c>
      <c r="N90" s="130">
        <v>0</v>
      </c>
      <c r="O90" s="559">
        <f t="shared" ref="O90" si="12">SUM(L90:N90)</f>
        <v>0</v>
      </c>
      <c r="P90" s="9"/>
      <c r="Q90" s="530">
        <f>ROUND(IF(D90="PCFP",'2.8 Alloc of Residual Rev. YR1'!I91,'1.4 FY 2020 Revenue Received'!Y85),2)</f>
        <v>0</v>
      </c>
      <c r="R90" s="9"/>
      <c r="S90" s="559">
        <f t="shared" ref="S90" si="13">E90+J90+O90+Q90</f>
        <v>1796201.33</v>
      </c>
    </row>
    <row r="91" spans="1:21" x14ac:dyDescent="0.3">
      <c r="A91" s="4"/>
      <c r="B91" s="10" t="str">
        <f>'1.2 Budgeted Enrollment YR1'!E88</f>
        <v>Sports Leadership and Management Academy</v>
      </c>
      <c r="D91" s="128" t="str">
        <f>IF('2.9 PCFP Funding Comparison YR1'!$K$25="Yes","PCFP","FY 2020 Baseline")</f>
        <v>PCFP</v>
      </c>
      <c r="E91" s="559">
        <f>ROUND(IF(D91="PCFP",'2.8 Alloc of Residual Rev. YR1'!G92,'1.4 FY 2020 Revenue Received'!Z86),2)</f>
        <v>16042107.960000001</v>
      </c>
      <c r="F91" s="9"/>
      <c r="G91" s="559">
        <f>ROUND(IF(D91="PCFP",'2.8 Alloc of Residual Rev. YR1'!J92,('1.4 FY 2020 Revenue Received'!S86)+'1.4 FY 2020 Revenue Received'!T86),2)</f>
        <v>654714.9</v>
      </c>
      <c r="H91" s="559">
        <f>ROUND(IF(D91="PCFP",'2.8 Alloc of Residual Rev. YR1'!K92,('1.4 FY 2020 Revenue Received'!S86)+'1.4 FY 2020 Revenue Received'!U86),2)</f>
        <v>389775.4</v>
      </c>
      <c r="I91" s="595">
        <f>ROUND(IF(D91="PCFP",'2.8 Alloc of Residual Rev. YR1'!L92,'1.4 FY 2020 Revenue Received'!V86),2)</f>
        <v>0</v>
      </c>
      <c r="J91" s="581">
        <f t="shared" si="4"/>
        <v>1044490.3</v>
      </c>
      <c r="K91" s="9"/>
      <c r="L91" s="130">
        <v>0</v>
      </c>
      <c r="M91" s="130">
        <v>0</v>
      </c>
      <c r="N91" s="130">
        <v>0</v>
      </c>
      <c r="O91" s="559">
        <f t="shared" si="6"/>
        <v>0</v>
      </c>
      <c r="P91" s="9"/>
      <c r="Q91" s="530">
        <f>ROUND(IF(D91="PCFP",'2.8 Alloc of Residual Rev. YR1'!I92,'1.4 FY 2020 Revenue Received'!Y86),2)</f>
        <v>761730</v>
      </c>
      <c r="R91" s="9"/>
      <c r="S91" s="559">
        <f t="shared" si="7"/>
        <v>17848328.260000002</v>
      </c>
    </row>
    <row r="92" spans="1:21" x14ac:dyDescent="0.3">
      <c r="A92" s="4"/>
      <c r="B92" s="10" t="str">
        <f>'1.2 Budgeted Enrollment YR1'!E89</f>
        <v>Strong Start Academy</v>
      </c>
      <c r="D92" s="128" t="str">
        <f>IF('2.9 PCFP Funding Comparison YR1'!$K$25="Yes","PCFP","FY 2020 Baseline")</f>
        <v>PCFP</v>
      </c>
      <c r="E92" s="559">
        <f>ROUND(IF(D92="PCFP",'2.8 Alloc of Residual Rev. YR1'!G93,'1.4 FY 2020 Revenue Received'!Z87),2)</f>
        <v>724141.67</v>
      </c>
      <c r="F92" s="9"/>
      <c r="G92" s="559">
        <f>ROUND(IF(D92="PCFP",'2.8 Alloc of Residual Rev. YR1'!J93,('1.4 FY 2020 Revenue Received'!S87)+'1.4 FY 2020 Revenue Received'!T87),2)</f>
        <v>64663.199999999997</v>
      </c>
      <c r="H92" s="559">
        <f>ROUND(IF(D92="PCFP",'2.8 Alloc of Residual Rev. YR1'!K93,('1.4 FY 2020 Revenue Received'!S87)+'1.4 FY 2020 Revenue Received'!U87),2)</f>
        <v>0</v>
      </c>
      <c r="I92" s="595">
        <f>ROUND(IF(D92="PCFP",'2.8 Alloc of Residual Rev. YR1'!L93,'1.4 FY 2020 Revenue Received'!V87),2)</f>
        <v>0</v>
      </c>
      <c r="J92" s="581">
        <f t="shared" si="4"/>
        <v>64663.199999999997</v>
      </c>
      <c r="K92" s="9"/>
      <c r="L92" s="130">
        <v>0</v>
      </c>
      <c r="M92" s="130">
        <v>0</v>
      </c>
      <c r="N92" s="130">
        <v>0</v>
      </c>
      <c r="O92" s="559">
        <f t="shared" si="6"/>
        <v>0</v>
      </c>
      <c r="P92" s="9"/>
      <c r="Q92" s="530">
        <f>ROUND(IF(D92="PCFP",'2.8 Alloc of Residual Rev. YR1'!I93,'1.4 FY 2020 Revenue Received'!Y87),2)</f>
        <v>0</v>
      </c>
      <c r="R92" s="9"/>
      <c r="S92" s="559">
        <f t="shared" si="7"/>
        <v>788804.87</v>
      </c>
    </row>
    <row r="93" spans="1:21" x14ac:dyDescent="0.3">
      <c r="A93" s="4"/>
      <c r="B93" s="10" t="str">
        <f>'1.2 Budgeted Enrollment YR1'!E90</f>
        <v>TEACH Las Vegas</v>
      </c>
      <c r="D93" s="128" t="str">
        <f>IF('2.9 PCFP Funding Comparison YR1'!$K$25="Yes","PCFP","FY 2020 Baseline")</f>
        <v>PCFP</v>
      </c>
      <c r="E93" s="559">
        <f>ROUND(IF(D93="PCFP",'2.8 Alloc of Residual Rev. YR1'!G94,'1.4 FY 2020 Revenue Received'!Z88),2)</f>
        <v>2882758.46</v>
      </c>
      <c r="F93" s="9"/>
      <c r="G93" s="559">
        <f>ROUND(IF(D93="PCFP",'2.8 Alloc of Residual Rev. YR1'!J94,('1.4 FY 2020 Revenue Received'!S88)+'1.4 FY 2020 Revenue Received'!T88),2)</f>
        <v>181865.25</v>
      </c>
      <c r="H93" s="559">
        <f>ROUND(IF(D93="PCFP",'2.8 Alloc of Residual Rev. YR1'!K94,('1.4 FY 2020 Revenue Received'!S88)+'1.4 FY 2020 Revenue Received'!U88),2)</f>
        <v>56580.3</v>
      </c>
      <c r="I93" s="595">
        <f>ROUND(IF(D93="PCFP",'2.8 Alloc of Residual Rev. YR1'!L94,'1.4 FY 2020 Revenue Received'!V88),2)</f>
        <v>0</v>
      </c>
      <c r="J93" s="581">
        <f t="shared" si="4"/>
        <v>238445.55</v>
      </c>
      <c r="K93" s="9"/>
      <c r="L93" s="130">
        <v>0</v>
      </c>
      <c r="M93" s="130">
        <v>0</v>
      </c>
      <c r="N93" s="130">
        <v>0</v>
      </c>
      <c r="O93" s="559">
        <f t="shared" si="6"/>
        <v>0</v>
      </c>
      <c r="P93" s="9"/>
      <c r="Q93" s="530">
        <f>ROUND(IF(D93="PCFP",'2.8 Alloc of Residual Rev. YR1'!I94,'1.4 FY 2020 Revenue Received'!Y88),2)</f>
        <v>48249</v>
      </c>
      <c r="R93" s="9"/>
      <c r="S93" s="559">
        <f t="shared" si="7"/>
        <v>3169453.01</v>
      </c>
    </row>
    <row r="94" spans="1:21" x14ac:dyDescent="0.3">
      <c r="A94" s="181"/>
      <c r="B94" s="183" t="str">
        <f>'1.2 Budgeted Enrollment YR1'!E91</f>
        <v>Young Women's Leadership Academy</v>
      </c>
      <c r="C94" s="168"/>
      <c r="D94" s="196" t="str">
        <f>IF('2.9 PCFP Funding Comparison YR1'!$K$25="Yes","PCFP","FY 2020 Baseline")</f>
        <v>PCFP</v>
      </c>
      <c r="E94" s="561">
        <f>ROUND(IF(D94="PCFP",'2.8 Alloc of Residual Rev. YR1'!G95,'1.4 FY 2020 Revenue Received'!Z89),2)</f>
        <v>506140.54</v>
      </c>
      <c r="F94" s="9"/>
      <c r="G94" s="559">
        <f>ROUND(IF(D94="PCFP",'2.8 Alloc of Residual Rev. YR1'!J95,('1.4 FY 2020 Revenue Received'!S89)+'1.4 FY 2020 Revenue Received'!T89),2)</f>
        <v>20207.25</v>
      </c>
      <c r="H94" s="561">
        <f>ROUND(IF(D94="PCFP",'2.8 Alloc of Residual Rev. YR1'!K95,('1.4 FY 2020 Revenue Received'!S89)+'1.4 FY 2020 Revenue Received'!U89),2)</f>
        <v>0</v>
      </c>
      <c r="I94" s="596">
        <f>ROUND(IF(D94="PCFP",'2.8 Alloc of Residual Rev. YR1'!L95,'1.4 FY 2020 Revenue Received'!V89),2)</f>
        <v>0</v>
      </c>
      <c r="J94" s="578">
        <f t="shared" si="4"/>
        <v>20207.25</v>
      </c>
      <c r="K94" s="9"/>
      <c r="L94" s="223">
        <v>0</v>
      </c>
      <c r="M94" s="223">
        <v>0</v>
      </c>
      <c r="N94" s="223">
        <v>0</v>
      </c>
      <c r="O94" s="561">
        <f>SUM(L94:N94)</f>
        <v>0</v>
      </c>
      <c r="P94" s="9"/>
      <c r="Q94" s="547">
        <f>ROUND(IF(D94="PCFP",'2.8 Alloc of Residual Rev. YR1'!I95,'1.4 FY 2020 Revenue Received'!Y89),2)</f>
        <v>0</v>
      </c>
      <c r="R94" s="9"/>
      <c r="S94" s="559">
        <f t="shared" si="7"/>
        <v>526347.79</v>
      </c>
    </row>
    <row r="95" spans="1:21" s="4" customFormat="1" x14ac:dyDescent="0.3">
      <c r="B95" s="4" t="str">
        <f>'1.2 Budgeted Enrollment YR1'!E98</f>
        <v>Total University Schools</v>
      </c>
      <c r="E95" s="564">
        <f>ROUND(SUM(E35:E94),2)</f>
        <v>621861600.87</v>
      </c>
      <c r="F95" s="9"/>
      <c r="G95" s="571">
        <f>ROUND(SUM(G35:G94),0)</f>
        <v>22268390</v>
      </c>
      <c r="H95" s="572">
        <f>SUM(H35:H94)</f>
        <v>9587217.5000000019</v>
      </c>
      <c r="I95" s="572">
        <f>SUM(I35:I94)</f>
        <v>1182258.8400000001</v>
      </c>
      <c r="J95" s="563">
        <f>SUM(J35:J94)</f>
        <v>33037865.84</v>
      </c>
      <c r="K95" s="9"/>
      <c r="L95" s="149">
        <f>SUM(L35:L94)</f>
        <v>0</v>
      </c>
      <c r="M95" s="149">
        <f>SUM(M35:M94)</f>
        <v>0</v>
      </c>
      <c r="N95" s="149">
        <f>SUM(N35:N94)</f>
        <v>0</v>
      </c>
      <c r="O95" s="563">
        <f>SUM(O35:O94)</f>
        <v>0</v>
      </c>
      <c r="P95" s="9"/>
      <c r="Q95" s="562">
        <f>SUM(Q35:Q94)</f>
        <v>14783450.18</v>
      </c>
      <c r="R95" s="9"/>
      <c r="S95" s="562">
        <f>SUM(S35:S94)</f>
        <v>669682916.8900001</v>
      </c>
      <c r="U95" s="202"/>
    </row>
    <row r="96" spans="1:21" ht="15.75" customHeight="1" x14ac:dyDescent="0.3">
      <c r="E96" s="12">
        <f>E95-E29</f>
        <v>0</v>
      </c>
      <c r="F96" s="12"/>
      <c r="G96" s="12">
        <f>G95-G29</f>
        <v>0</v>
      </c>
      <c r="H96" s="12">
        <f>H95-H29</f>
        <v>0</v>
      </c>
      <c r="I96" s="12">
        <f>I95-I29</f>
        <v>0</v>
      </c>
      <c r="J96" s="12">
        <f>J95-J29</f>
        <v>0</v>
      </c>
      <c r="K96" s="9"/>
      <c r="L96" s="12">
        <f>L95-L29</f>
        <v>0</v>
      </c>
      <c r="M96" s="12">
        <f>M95-M29</f>
        <v>0</v>
      </c>
      <c r="N96" s="12">
        <f>N95-N29</f>
        <v>0</v>
      </c>
      <c r="O96" s="12">
        <f>O95-O29</f>
        <v>0</v>
      </c>
      <c r="P96" s="9"/>
      <c r="Q96" s="12">
        <f>Q95-Q29</f>
        <v>0</v>
      </c>
      <c r="R96" s="9"/>
      <c r="S96" s="12">
        <f>S95-S29</f>
        <v>0</v>
      </c>
    </row>
    <row r="97" spans="1:21" ht="15.75" customHeight="1" x14ac:dyDescent="0.3">
      <c r="A97" s="4" t="s">
        <v>1259</v>
      </c>
      <c r="E97" s="15"/>
      <c r="F97" s="15"/>
      <c r="G97" s="685"/>
      <c r="H97" s="685"/>
      <c r="I97" s="685"/>
      <c r="J97" s="685"/>
      <c r="K97" s="734"/>
      <c r="L97" s="685"/>
      <c r="M97" s="685"/>
      <c r="N97" s="685"/>
      <c r="O97" s="685"/>
      <c r="P97" s="734"/>
      <c r="Q97" s="685"/>
      <c r="R97" s="734"/>
      <c r="S97" s="685"/>
    </row>
    <row r="98" spans="1:21" x14ac:dyDescent="0.3">
      <c r="A98" s="4"/>
      <c r="B98" s="683" t="str">
        <f>'1.2 Budgeted Enrollment YR1'!E96</f>
        <v>Davidson Academy</v>
      </c>
      <c r="C98" s="307"/>
      <c r="D98" s="671" t="str">
        <f>IF('2.9 PCFP Funding Comparison YR1'!$K$25="Yes","PCFP","FY 2020 Baseline")</f>
        <v>PCFP</v>
      </c>
      <c r="E98" s="560">
        <f>ROUND(IF(D98="PCFP",'2.8 Alloc of Residual Rev. YR1'!G99,'1.4 FY 2020 Revenue Received'!Z92),2)</f>
        <v>1455319</v>
      </c>
      <c r="F98" s="9"/>
      <c r="G98" s="565">
        <f>IF(D98="PCFP",'2.8 Alloc of Residual Rev. YR1'!J99,('1.4 FY 2020 Revenue Received'!S93*0.5)+'1.4 FY 2020 Revenue Received'!T93)</f>
        <v>0</v>
      </c>
      <c r="H98" s="570">
        <f>IF(D98="PCFP",'2.8 Alloc of Residual Rev. YR1'!K99,('1.4 FY 2020 Revenue Received'!S93*0.5)+'1.4 FY 2020 Revenue Received'!U93)</f>
        <v>0</v>
      </c>
      <c r="I98" s="570">
        <f>IF(D98="PCFP",'2.8 Alloc of Residual Rev. YR1'!L99,'1.4 FY 2020 Revenue Received'!V93)</f>
        <v>0</v>
      </c>
      <c r="J98" s="581">
        <f>SUM(G98:I98)</f>
        <v>0</v>
      </c>
      <c r="K98" s="9"/>
      <c r="L98" s="130">
        <v>0</v>
      </c>
      <c r="M98" s="130">
        <v>0</v>
      </c>
      <c r="N98" s="130">
        <v>0</v>
      </c>
      <c r="O98" s="559">
        <f>SUM(L98:N98)</f>
        <v>0</v>
      </c>
      <c r="P98" s="9"/>
      <c r="Q98" s="530">
        <f>IF(D98="PCFP",'2.8 Alloc of Residual Rev. YR1'!I99,'1.4 FY 2020 Revenue Received'!Y93)</f>
        <v>0</v>
      </c>
      <c r="R98" s="9"/>
      <c r="S98" s="559">
        <f>E98+J98+O98+Q98</f>
        <v>1455319</v>
      </c>
    </row>
    <row r="99" spans="1:21" x14ac:dyDescent="0.3">
      <c r="A99" s="4"/>
      <c r="B99" s="195">
        <f>'1.2 Budgeted Enrollment YR1'!E97</f>
        <v>0</v>
      </c>
      <c r="C99" s="183"/>
      <c r="D99" s="168" t="str">
        <f>IF('2.9 PCFP Funding Comparison YR1'!$K$25="Yes","PCFP","FY 2020 Baseline")</f>
        <v>PCFP</v>
      </c>
      <c r="E99" s="561">
        <f>IF(D99="PCFP",'2.8 Alloc of Residual Rev. YR1'!G100,'1.4 FY 2020 Revenue Received'!Z93)</f>
        <v>0</v>
      </c>
      <c r="F99" s="9"/>
      <c r="G99" s="566">
        <f>IF(D99="PCFP",'2.8 Alloc of Residual Rev. YR1'!J100,('1.4 FY 2020 Revenue Received'!S94*0.5)+'1.4 FY 2020 Revenue Received'!T94)</f>
        <v>0</v>
      </c>
      <c r="H99" s="577">
        <f>IF(D99="PCFP",'2.8 Alloc of Residual Rev. YR1'!K100,('1.4 FY 2020 Revenue Received'!S94*0.5)+'1.4 FY 2020 Revenue Received'!U94)</f>
        <v>0</v>
      </c>
      <c r="I99" s="577">
        <f>IF(D99="PCFP",'2.8 Alloc of Residual Rev. YR1'!L100,'1.4 FY 2020 Revenue Received'!V94)</f>
        <v>0</v>
      </c>
      <c r="J99" s="578">
        <f>SUM(G99:I99)</f>
        <v>0</v>
      </c>
      <c r="K99" s="9"/>
      <c r="L99" s="223">
        <v>0</v>
      </c>
      <c r="M99" s="223">
        <v>0</v>
      </c>
      <c r="N99" s="223">
        <v>0</v>
      </c>
      <c r="O99" s="561">
        <f>SUM(L99:N99)</f>
        <v>0</v>
      </c>
      <c r="P99" s="9"/>
      <c r="Q99" s="530">
        <f>'2.2 Spec Ed Local YR1'!J93</f>
        <v>0</v>
      </c>
      <c r="R99" s="9"/>
      <c r="S99" s="559">
        <f>O99+J99+E99+Q99</f>
        <v>0</v>
      </c>
    </row>
    <row r="100" spans="1:21" s="4" customFormat="1" x14ac:dyDescent="0.3">
      <c r="B100" s="4" t="str">
        <f>'1.2 Budgeted Enrollment YR1'!E102</f>
        <v>Al Seeliger Elementary</v>
      </c>
      <c r="E100" s="573">
        <f>SUM(E98:E99)</f>
        <v>1455319</v>
      </c>
      <c r="F100" s="9"/>
      <c r="G100" s="571">
        <f>SUM(G98:G99)</f>
        <v>0</v>
      </c>
      <c r="H100" s="572">
        <f>SUM(H98:H99)</f>
        <v>0</v>
      </c>
      <c r="I100" s="572">
        <f>SUM(I98:I99)</f>
        <v>0</v>
      </c>
      <c r="J100" s="563">
        <f>SUM(J98:J99)</f>
        <v>0</v>
      </c>
      <c r="K100" s="9"/>
      <c r="L100" s="149">
        <f>SUM(L98:L99)</f>
        <v>0</v>
      </c>
      <c r="M100" s="149">
        <f>SUM(M98:M99)</f>
        <v>0</v>
      </c>
      <c r="N100" s="149">
        <f>SUM(N98:N99)</f>
        <v>0</v>
      </c>
      <c r="O100" s="563">
        <f>SUM(O98:O99)</f>
        <v>0</v>
      </c>
      <c r="P100" s="9"/>
      <c r="Q100" s="562">
        <f>SUM(Q98:Q99)</f>
        <v>0</v>
      </c>
      <c r="R100" s="9"/>
      <c r="S100" s="562">
        <f>SUM(S98:S99)</f>
        <v>1455319</v>
      </c>
      <c r="U100" s="202"/>
    </row>
    <row r="102" spans="1:21" x14ac:dyDescent="0.3">
      <c r="E102" s="280"/>
      <c r="F102" s="280"/>
      <c r="G102" s="280"/>
      <c r="H102" s="280"/>
      <c r="I102" s="280"/>
      <c r="J102" s="280"/>
      <c r="K102" s="280"/>
      <c r="L102" s="280"/>
      <c r="M102" s="280"/>
      <c r="N102" s="280"/>
      <c r="O102" s="280"/>
      <c r="P102" s="280"/>
      <c r="Q102" s="280"/>
      <c r="R102" s="280"/>
      <c r="S102" s="280"/>
    </row>
  </sheetData>
  <sheetProtection algorithmName="SHA-512" hashValue="UU3OWE15C+J+917jdDQgZTpmYSwDT4BYz2acnPz5kHia+LeBY8RYcungQ/bp61zh/wEYSgKcKgwQc6TeNt/VqQ==" saltValue="DcP4nRtj0vAw6Q1ABbYHgg==" spinCount="100000" sheet="1" objects="1" scenarios="1"/>
  <pageMargins left="0.7" right="0.7" top="0.75" bottom="0.75" header="0.3" footer="0.3"/>
  <pageSetup paperSize="3" scale="71" fitToHeight="0" orientation="landscape" r:id="rId1"/>
  <headerFooter>
    <oddHeader>&amp;R&amp;"Arial Narrow,Regular"&amp;10&amp;A
&amp;P</oddHeader>
  </headerFooter>
  <rowBreaks count="2" manualBreakCount="2">
    <brk id="32" max="16383" man="1"/>
    <brk id="80" max="15"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73DB4-5B97-4F53-80AA-371CD334A947}">
  <sheetPr>
    <tabColor theme="3"/>
    <pageSetUpPr autoPageBreaks="0" fitToPage="1"/>
  </sheetPr>
  <dimension ref="A1:AC99"/>
  <sheetViews>
    <sheetView tabSelected="1" zoomScale="85" zoomScaleNormal="85" workbookViewId="0"/>
  </sheetViews>
  <sheetFormatPr defaultColWidth="9" defaultRowHeight="16.5" x14ac:dyDescent="0.3"/>
  <cols>
    <col min="1" max="1" width="7.140625" style="10" customWidth="1"/>
    <col min="2" max="2" width="38.42578125" style="10" bestFit="1" customWidth="1"/>
    <col min="3" max="3" width="2.7109375" style="10" customWidth="1"/>
    <col min="4" max="4" width="19.140625" style="10" hidden="1" customWidth="1"/>
    <col min="5" max="5" width="15" style="10" bestFit="1" customWidth="1"/>
    <col min="6" max="6" width="16.85546875" style="10" bestFit="1" customWidth="1"/>
    <col min="7" max="7" width="10.7109375" style="10" bestFit="1" customWidth="1"/>
    <col min="8" max="8" width="2.7109375" style="4" customWidth="1"/>
    <col min="9" max="9" width="13.140625" style="10" bestFit="1" customWidth="1"/>
    <col min="10" max="10" width="20.140625" style="10" bestFit="1" customWidth="1"/>
    <col min="11" max="11" width="12" style="10" bestFit="1" customWidth="1"/>
    <col min="12" max="12" width="13.140625" style="10" bestFit="1" customWidth="1"/>
    <col min="13" max="13" width="2.5703125" style="4" customWidth="1"/>
    <col min="14" max="15" width="14.140625" style="10" bestFit="1" customWidth="1"/>
    <col min="16" max="16" width="13.5703125" style="10" customWidth="1"/>
    <col min="17" max="17" width="13.140625" style="10" bestFit="1" customWidth="1"/>
    <col min="18" max="18" width="2.42578125" style="10" customWidth="1"/>
    <col min="19" max="19" width="13.42578125" style="10" bestFit="1" customWidth="1"/>
    <col min="20" max="20" width="2.7109375" style="4" customWidth="1"/>
    <col min="21" max="21" width="18" style="10" bestFit="1" customWidth="1"/>
    <col min="22" max="22" width="2.7109375" style="10" customWidth="1"/>
    <col min="23" max="23" width="13.42578125" style="10" bestFit="1" customWidth="1"/>
    <col min="24" max="24" width="3.5703125" style="10" customWidth="1"/>
    <col min="25" max="25" width="20.85546875" style="10" bestFit="1" customWidth="1"/>
    <col min="26" max="26" width="14" style="10" customWidth="1"/>
    <col min="27" max="27" width="15" style="10" bestFit="1" customWidth="1"/>
    <col min="28" max="28" width="12.5703125" style="10" bestFit="1" customWidth="1"/>
    <col min="29" max="16384" width="9" style="10"/>
  </cols>
  <sheetData>
    <row r="1" spans="1:29" s="4" customFormat="1" x14ac:dyDescent="0.3">
      <c r="A1" s="4" t="s">
        <v>602</v>
      </c>
      <c r="J1" s="13" t="s">
        <v>1423</v>
      </c>
      <c r="K1" s="28">
        <v>1</v>
      </c>
    </row>
    <row r="2" spans="1:29" ht="17.25" thickBot="1" x14ac:dyDescent="0.35">
      <c r="A2" s="10" t="str">
        <f>CONCATENATE("Pupil Center Funding Plan | FY",'1.1 Assumption Control YR1'!D5)</f>
        <v>Pupil Center Funding Plan | FY2024</v>
      </c>
      <c r="J2" s="13" t="s">
        <v>1033</v>
      </c>
      <c r="K2" s="316">
        <f>'3.1a Initial Allocations YR1'!U33</f>
        <v>-1.6803734126770956E-3</v>
      </c>
    </row>
    <row r="3" spans="1:29" ht="17.25" thickBot="1" x14ac:dyDescent="0.35">
      <c r="A3" s="10" t="s">
        <v>1158</v>
      </c>
      <c r="J3" s="13" t="s">
        <v>1034</v>
      </c>
      <c r="K3" s="317">
        <f>SUM(K1:K2)</f>
        <v>0.99831962658732287</v>
      </c>
    </row>
    <row r="4" spans="1:29" x14ac:dyDescent="0.3">
      <c r="W4" s="352"/>
    </row>
    <row r="5" spans="1:29" s="4" customFormat="1" ht="18.75" x14ac:dyDescent="0.3">
      <c r="A5" s="332"/>
      <c r="B5" s="170"/>
      <c r="C5" s="170"/>
      <c r="D5" s="170"/>
      <c r="E5" s="1433" t="s">
        <v>1383</v>
      </c>
      <c r="F5" s="1433" t="s">
        <v>1378</v>
      </c>
      <c r="G5" s="1192"/>
      <c r="H5" s="1193"/>
      <c r="I5" s="1434" t="s">
        <v>1379</v>
      </c>
      <c r="J5" s="1434" t="s">
        <v>1380</v>
      </c>
      <c r="K5" s="1434" t="s">
        <v>1381</v>
      </c>
      <c r="L5" s="1192"/>
      <c r="M5" s="1193"/>
      <c r="N5" s="1434" t="s">
        <v>1382</v>
      </c>
      <c r="O5" s="1192"/>
      <c r="P5" s="1434" t="s">
        <v>1384</v>
      </c>
      <c r="Q5" s="1192"/>
      <c r="R5" s="1192"/>
      <c r="S5" s="1434" t="s">
        <v>1385</v>
      </c>
      <c r="T5" s="1193"/>
      <c r="U5" s="1194"/>
      <c r="V5" s="170"/>
      <c r="W5" s="170"/>
    </row>
    <row r="6" spans="1:29" s="4" customFormat="1" x14ac:dyDescent="0.3">
      <c r="A6" s="443"/>
      <c r="B6" s="434"/>
      <c r="C6" s="434"/>
      <c r="D6" s="375" t="s">
        <v>1039</v>
      </c>
      <c r="E6" s="305">
        <f>'1.1 Assumption Control YR1'!D5</f>
        <v>2024</v>
      </c>
      <c r="F6" s="351" t="s">
        <v>745</v>
      </c>
      <c r="G6" s="351">
        <f>E6</f>
        <v>2024</v>
      </c>
      <c r="I6" s="375" t="s">
        <v>101</v>
      </c>
      <c r="J6" s="366"/>
      <c r="K6" s="366" t="s">
        <v>105</v>
      </c>
      <c r="L6" s="351" t="s">
        <v>0</v>
      </c>
      <c r="N6" s="351" t="s">
        <v>0</v>
      </c>
      <c r="O6" s="351" t="s">
        <v>1045</v>
      </c>
      <c r="P6" s="351" t="s">
        <v>0</v>
      </c>
      <c r="Q6" s="351" t="s">
        <v>0</v>
      </c>
      <c r="R6" s="366"/>
      <c r="S6" s="351" t="s">
        <v>0</v>
      </c>
      <c r="U6" s="351" t="s">
        <v>0</v>
      </c>
      <c r="V6" s="366"/>
      <c r="W6" s="351" t="s">
        <v>1043</v>
      </c>
      <c r="Y6" s="351" t="s">
        <v>1058</v>
      </c>
      <c r="Z6" s="351" t="s">
        <v>1055</v>
      </c>
      <c r="AA6" s="444" t="s">
        <v>1363</v>
      </c>
      <c r="AB6" s="1309" t="s">
        <v>1055</v>
      </c>
    </row>
    <row r="7" spans="1:29" s="4" customFormat="1" x14ac:dyDescent="0.3">
      <c r="A7" s="212"/>
      <c r="D7" s="123" t="s">
        <v>1040</v>
      </c>
      <c r="E7" s="124" t="s">
        <v>1113</v>
      </c>
      <c r="F7" s="150" t="s">
        <v>737</v>
      </c>
      <c r="G7" s="150" t="s">
        <v>1035</v>
      </c>
      <c r="I7" s="123" t="s">
        <v>103</v>
      </c>
      <c r="J7" s="17" t="s">
        <v>20</v>
      </c>
      <c r="K7" s="17" t="s">
        <v>102</v>
      </c>
      <c r="L7" s="150" t="s">
        <v>867</v>
      </c>
      <c r="N7" s="150" t="s">
        <v>62</v>
      </c>
      <c r="O7" s="150" t="s">
        <v>62</v>
      </c>
      <c r="P7" s="150" t="s">
        <v>919</v>
      </c>
      <c r="Q7" s="150" t="s">
        <v>895</v>
      </c>
      <c r="R7" s="17"/>
      <c r="S7" s="150" t="s">
        <v>1022</v>
      </c>
      <c r="U7" s="150" t="s">
        <v>106</v>
      </c>
      <c r="V7" s="17"/>
      <c r="W7" s="150" t="s">
        <v>1044</v>
      </c>
      <c r="Y7" s="349" t="s">
        <v>956</v>
      </c>
      <c r="Z7" s="150" t="s">
        <v>1056</v>
      </c>
      <c r="AA7" s="182" t="s">
        <v>1364</v>
      </c>
      <c r="AB7" s="523" t="s">
        <v>1462</v>
      </c>
    </row>
    <row r="8" spans="1:29" s="4" customFormat="1" x14ac:dyDescent="0.3">
      <c r="A8" s="212"/>
      <c r="D8" s="123" t="s">
        <v>1041</v>
      </c>
      <c r="E8" s="124" t="s">
        <v>1047</v>
      </c>
      <c r="F8" s="150" t="s">
        <v>894</v>
      </c>
      <c r="G8" s="150" t="s">
        <v>78</v>
      </c>
      <c r="I8" s="123" t="s">
        <v>894</v>
      </c>
      <c r="J8" s="17" t="s">
        <v>894</v>
      </c>
      <c r="K8" s="17" t="s">
        <v>894</v>
      </c>
      <c r="L8" s="150" t="s">
        <v>894</v>
      </c>
      <c r="N8" s="150" t="s">
        <v>88</v>
      </c>
      <c r="O8" s="150" t="s">
        <v>88</v>
      </c>
      <c r="P8" s="150" t="s">
        <v>88</v>
      </c>
      <c r="Q8" s="150" t="s">
        <v>88</v>
      </c>
      <c r="R8" s="17"/>
      <c r="S8" s="150" t="s">
        <v>88</v>
      </c>
      <c r="U8" s="150" t="s">
        <v>88</v>
      </c>
      <c r="V8" s="17"/>
      <c r="W8" s="150" t="s">
        <v>914</v>
      </c>
      <c r="Y8" s="150" t="s">
        <v>1047</v>
      </c>
      <c r="Z8" s="150" t="s">
        <v>1057</v>
      </c>
      <c r="AA8" s="182" t="s">
        <v>1115</v>
      </c>
      <c r="AB8" s="523" t="s">
        <v>1463</v>
      </c>
    </row>
    <row r="9" spans="1:29" s="4" customFormat="1" x14ac:dyDescent="0.3">
      <c r="A9" s="425"/>
      <c r="B9" s="427"/>
      <c r="C9" s="303" t="s">
        <v>879</v>
      </c>
      <c r="D9" s="303"/>
      <c r="E9" s="303"/>
      <c r="F9" s="426" t="s">
        <v>1061</v>
      </c>
      <c r="G9" s="426" t="s">
        <v>1062</v>
      </c>
      <c r="I9" s="426" t="s">
        <v>1061</v>
      </c>
      <c r="J9" s="426" t="s">
        <v>1061</v>
      </c>
      <c r="K9" s="426" t="s">
        <v>1061</v>
      </c>
      <c r="L9" s="426" t="s">
        <v>1061</v>
      </c>
      <c r="N9" s="426" t="s">
        <v>1061</v>
      </c>
      <c r="O9" s="426" t="s">
        <v>1061</v>
      </c>
      <c r="P9" s="426" t="s">
        <v>1061</v>
      </c>
      <c r="Q9" s="426" t="s">
        <v>1061</v>
      </c>
      <c r="R9" s="279"/>
      <c r="S9" s="426" t="s">
        <v>1061</v>
      </c>
      <c r="U9" s="799" t="s">
        <v>1120</v>
      </c>
      <c r="V9" s="279"/>
      <c r="W9" s="799" t="s">
        <v>1121</v>
      </c>
      <c r="Y9" s="749"/>
      <c r="Z9" s="1165" t="s">
        <v>957</v>
      </c>
      <c r="AA9" s="749" t="s">
        <v>1365</v>
      </c>
      <c r="AB9" s="1338" t="s">
        <v>1464</v>
      </c>
    </row>
    <row r="10" spans="1:29" x14ac:dyDescent="0.3">
      <c r="A10" s="212" t="s">
        <v>87</v>
      </c>
      <c r="F10" s="128"/>
      <c r="G10" s="128"/>
      <c r="I10" s="132"/>
      <c r="L10" s="128"/>
      <c r="N10" s="128"/>
      <c r="O10" s="128"/>
      <c r="P10" s="128"/>
      <c r="Q10" s="128"/>
      <c r="S10" s="128"/>
      <c r="U10" s="128"/>
      <c r="W10" s="128"/>
      <c r="Y10" s="128"/>
      <c r="Z10" s="350"/>
      <c r="AA10" s="128"/>
      <c r="AB10" s="128"/>
    </row>
    <row r="11" spans="1:29" x14ac:dyDescent="0.3">
      <c r="A11" s="132"/>
      <c r="B11" s="10" t="str">
        <f>'1.2 Budgeted Enrollment YR1'!E9</f>
        <v>Carson City</v>
      </c>
      <c r="D11" s="10" t="str">
        <f>IF('2.9 PCFP Funding Comparison YR1'!K8="Yes","PCFP","Hold Harmless")</f>
        <v>PCFP</v>
      </c>
      <c r="E11" s="741" t="str">
        <f>'3.1a Initial Allocations YR1'!D12</f>
        <v>PCFP</v>
      </c>
      <c r="F11" s="559">
        <f>ROUND(('3.1a Initial Allocations YR1'!E12)*'3.1b Allocation Adj. YR1 '!$K$3,2)</f>
        <v>69354353.230000004</v>
      </c>
      <c r="G11" s="559">
        <f>ROUND(F11/'2.9 PCFP Funding Comparison YR1'!D8,0)</f>
        <v>9632</v>
      </c>
      <c r="H11" s="9"/>
      <c r="I11" s="565">
        <f>ROUND(('3.1a Initial Allocations YR1'!G12*'3.1b Allocation Adj. YR1 '!$K$3),2)</f>
        <v>2900919.72</v>
      </c>
      <c r="J11" s="559">
        <f>ROUND('3.1a Initial Allocations YR1'!H12*'3.1b Allocation Adj. YR1 '!$K$3,2)</f>
        <v>906901.65</v>
      </c>
      <c r="K11" s="559">
        <f>ROUND('3.1a Initial Allocations YR1'!I12*'3.1b Allocation Adj. YR1 '!$K$3,2)</f>
        <v>414224.98</v>
      </c>
      <c r="L11" s="559">
        <f>ROUND(SUM(I11:K11),2)</f>
        <v>4222046.3499999996</v>
      </c>
      <c r="M11" s="9"/>
      <c r="N11" s="559">
        <f>ROUND('3.1a Initial Allocations YR1'!L12*'3.1b Allocation Adj. YR1 '!$K$3,2)</f>
        <v>2582131.14</v>
      </c>
      <c r="O11" s="559">
        <f>ROUND('3.1a Initial Allocations YR1'!M12*'3.1b Allocation Adj. YR1 '!$K$3,2)</f>
        <v>0</v>
      </c>
      <c r="P11" s="559">
        <f>ROUND('3.1a Initial Allocations YR1'!N12*'3.1b Allocation Adj. YR1 '!$K$3,0)</f>
        <v>416102</v>
      </c>
      <c r="Q11" s="559">
        <f>ROUND('3.1a Initial Allocations YR1'!O12*'3.1b Allocation Adj. YR1 '!$K$3,2)</f>
        <v>2998233.51</v>
      </c>
      <c r="R11" s="115"/>
      <c r="S11" s="559">
        <f>ROUND('3.1a Initial Allocations YR1'!Q12*'3.1b Allocation Adj. YR1 '!$K$3,2)</f>
        <v>6412804.96</v>
      </c>
      <c r="T11" s="9"/>
      <c r="U11" s="581">
        <f>ROUND(F11+L11+Q11+S11,2)</f>
        <v>82987438.049999997</v>
      </c>
      <c r="V11" s="12"/>
      <c r="W11" s="130">
        <f>ROUND(U11/'2.9 PCFP Funding Comparison YR1'!D8,0)</f>
        <v>11526</v>
      </c>
      <c r="X11" s="280"/>
      <c r="Y11" s="128" t="str">
        <f>'2.9 PCFP Funding Comparison YR1'!V8</f>
        <v>FY 2020 Baseline</v>
      </c>
      <c r="Z11" s="1480">
        <f>U11-'2.9 PCFP Funding Comparison YR1'!H8</f>
        <v>10153262.049999997</v>
      </c>
      <c r="AA11" s="1260" t="str">
        <f>IF('2.9 PCFP Funding Comparison YR1'!K8="Yes","PCFP","FY 2020 Baseline")</f>
        <v>PCFP</v>
      </c>
      <c r="AB11" s="1482">
        <f>U11-'Biennial Comparison'!C7</f>
        <v>11013029.23581773</v>
      </c>
      <c r="AC11" s="12"/>
    </row>
    <row r="12" spans="1:29" x14ac:dyDescent="0.3">
      <c r="A12" s="132"/>
      <c r="B12" s="10" t="str">
        <f>'1.2 Budgeted Enrollment YR1'!E10</f>
        <v>Churchill</v>
      </c>
      <c r="D12" s="10" t="str">
        <f>IF('2.9 PCFP Funding Comparison YR1'!K9="Yes","PCFP","Hold Harmless")</f>
        <v>PCFP</v>
      </c>
      <c r="E12" s="741" t="str">
        <f>'3.1a Initial Allocations YR1'!D13</f>
        <v>PCFP</v>
      </c>
      <c r="F12" s="559">
        <f>ROUND(('3.1a Initial Allocations YR1'!E13)*'3.1b Allocation Adj. YR1 '!$K$3,2)</f>
        <v>32412553.34</v>
      </c>
      <c r="G12" s="559">
        <f>ROUND(F12/'2.9 PCFP Funding Comparison YR1'!D9,0)</f>
        <v>10157</v>
      </c>
      <c r="H12" s="9"/>
      <c r="I12" s="565">
        <f>ROUND(('3.1a Initial Allocations YR1'!G13*'3.1b Allocation Adj. YR1 '!$K$3),2)</f>
        <v>447847.13</v>
      </c>
      <c r="J12" s="559">
        <f>ROUND('3.1a Initial Allocations YR1'!H13*'3.1b Allocation Adj. YR1 '!$K$3,2)</f>
        <v>555438.04</v>
      </c>
      <c r="K12" s="559">
        <f>ROUND('3.1a Initial Allocations YR1'!I13*'3.1b Allocation Adj. YR1 '!$K$3,2)</f>
        <v>0</v>
      </c>
      <c r="L12" s="559">
        <f t="shared" ref="L12:L27" si="0">ROUND(SUM(I12:K12),2)</f>
        <v>1003285.17</v>
      </c>
      <c r="M12" s="9"/>
      <c r="N12" s="559">
        <f>ROUND('3.1a Initial Allocations YR1'!L13*'3.1b Allocation Adj. YR1 '!$K$3,2)</f>
        <v>1651859.09</v>
      </c>
      <c r="O12" s="559">
        <f>ROUND('3.1a Initial Allocations YR1'!M13*'3.1b Allocation Adj. YR1 '!$K$3,2)</f>
        <v>0</v>
      </c>
      <c r="P12" s="559">
        <f>ROUND('3.1a Initial Allocations YR1'!N13*'3.1b Allocation Adj. YR1 '!$K$3,0)</f>
        <v>12479</v>
      </c>
      <c r="Q12" s="559">
        <f>ROUND('3.1a Initial Allocations YR1'!O13*'3.1b Allocation Adj. YR1 '!$K$3,2)</f>
        <v>1664338.2</v>
      </c>
      <c r="R12" s="115"/>
      <c r="S12" s="559">
        <f>ROUND('3.1a Initial Allocations YR1'!Q13*'3.1b Allocation Adj. YR1 '!$K$3,2)</f>
        <v>1636352.85</v>
      </c>
      <c r="T12" s="9"/>
      <c r="U12" s="581">
        <f t="shared" ref="U12:U27" si="1">ROUND(F12+L12+Q12+S12,2)</f>
        <v>36716529.560000002</v>
      </c>
      <c r="V12" s="12"/>
      <c r="W12" s="130">
        <f>ROUND(U12/'2.9 PCFP Funding Comparison YR1'!D9,0)</f>
        <v>11506</v>
      </c>
      <c r="X12" s="280"/>
      <c r="Y12" s="128" t="str">
        <f>'2.9 PCFP Funding Comparison YR1'!V9</f>
        <v>PCFP</v>
      </c>
      <c r="Z12" s="1480">
        <f>U12-'2.9 PCFP Funding Comparison YR1'!H9</f>
        <v>7323650.5600000024</v>
      </c>
      <c r="AA12" s="1260" t="str">
        <f>IF('2.9 PCFP Funding Comparison YR1'!K9="Yes","PCFP","FY 2020 Baseline")</f>
        <v>PCFP</v>
      </c>
      <c r="AB12" s="1482">
        <f>U12-'Biennial Comparison'!C8</f>
        <v>5658061.8400339186</v>
      </c>
      <c r="AC12" s="12"/>
    </row>
    <row r="13" spans="1:29" x14ac:dyDescent="0.3">
      <c r="A13" s="132"/>
      <c r="B13" s="10" t="str">
        <f>'1.2 Budgeted Enrollment YR1'!E11</f>
        <v>Clark</v>
      </c>
      <c r="D13" s="10" t="str">
        <f>IF('2.9 PCFP Funding Comparison YR1'!K10="Yes","PCFP","Hold Harmless")</f>
        <v>PCFP</v>
      </c>
      <c r="E13" s="741" t="str">
        <f>'3.1a Initial Allocations YR1'!D14</f>
        <v>PCFP</v>
      </c>
      <c r="F13" s="559">
        <f>ROUND(('3.1a Initial Allocations YR1'!E14)*'3.1b Allocation Adj. YR1 '!$K$3,2)</f>
        <v>2652144340.25</v>
      </c>
      <c r="G13" s="559">
        <f>ROUND(F13/'2.9 PCFP Funding Comparison YR1'!D10,0)</f>
        <v>9045</v>
      </c>
      <c r="H13" s="9"/>
      <c r="I13" s="565">
        <f>ROUND(('3.1a Initial Allocations YR1'!G14*'3.1b Allocation Adj. YR1 '!$K$3),2)</f>
        <v>151832282.03</v>
      </c>
      <c r="J13" s="559">
        <f>ROUND('3.1a Initial Allocations YR1'!H14*'3.1b Allocation Adj. YR1 '!$K$3,2)</f>
        <v>165294593.74000001</v>
      </c>
      <c r="K13" s="559">
        <f>ROUND('3.1a Initial Allocations YR1'!I14*'3.1b Allocation Adj. YR1 '!$K$3,2)</f>
        <v>4890006.53</v>
      </c>
      <c r="L13" s="559">
        <f t="shared" si="0"/>
        <v>322016882.30000001</v>
      </c>
      <c r="M13" s="9"/>
      <c r="N13" s="559">
        <f>ROUND('3.1a Initial Allocations YR1'!L14*'3.1b Allocation Adj. YR1 '!$K$3,2)</f>
        <v>140675060.91</v>
      </c>
      <c r="O13" s="559">
        <f>ROUND('3.1a Initial Allocations YR1'!M14*'3.1b Allocation Adj. YR1 '!$K$3,2)</f>
        <v>0</v>
      </c>
      <c r="P13" s="559">
        <f>ROUND('3.1a Initial Allocations YR1'!N14*'3.1b Allocation Adj. YR1 '!$K$3,0)</f>
        <v>0</v>
      </c>
      <c r="Q13" s="559">
        <f>ROUND('3.1a Initial Allocations YR1'!O14*'3.1b Allocation Adj. YR1 '!$K$3,2)</f>
        <v>140675060.91</v>
      </c>
      <c r="R13" s="115"/>
      <c r="S13" s="559">
        <f>ROUND('3.1a Initial Allocations YR1'!Q14*'3.1b Allocation Adj. YR1 '!$K$3,2)</f>
        <v>383891970.33999997</v>
      </c>
      <c r="T13" s="9"/>
      <c r="U13" s="581">
        <f>ROUNDDOWN(F13+L13+Q13+S13,0)</f>
        <v>3498728253</v>
      </c>
      <c r="V13" s="12"/>
      <c r="W13" s="130">
        <f>ROUND(U13/'2.9 PCFP Funding Comparison YR1'!D10,0)</f>
        <v>11933</v>
      </c>
      <c r="X13" s="280"/>
      <c r="Y13" s="128" t="str">
        <f>'2.9 PCFP Funding Comparison YR1'!V10</f>
        <v>PCFP</v>
      </c>
      <c r="Z13" s="1480">
        <f>U13-'2.9 PCFP Funding Comparison YR1'!H10</f>
        <v>914240753</v>
      </c>
      <c r="AA13" s="1260" t="str">
        <f>IF('2.9 PCFP Funding Comparison YR1'!K10="Yes","PCFP","FY 2020 Baseline")</f>
        <v>PCFP</v>
      </c>
      <c r="AB13" s="1482">
        <f>U13-'Biennial Comparison'!C9</f>
        <v>613947355.3060236</v>
      </c>
      <c r="AC13" s="12"/>
    </row>
    <row r="14" spans="1:29" x14ac:dyDescent="0.3">
      <c r="A14" s="132"/>
      <c r="B14" s="10" t="str">
        <f>'1.2 Budgeted Enrollment YR1'!E12</f>
        <v>Douglas</v>
      </c>
      <c r="D14" s="10" t="str">
        <f>IF('2.9 PCFP Funding Comparison YR1'!K11="Yes","PCFP","Hold Harmless")</f>
        <v>PCFP</v>
      </c>
      <c r="E14" s="741" t="str">
        <f>'3.1a Initial Allocations YR1'!D15</f>
        <v>PCFP</v>
      </c>
      <c r="F14" s="559">
        <f>ROUND(('3.1a Initial Allocations YR1'!E15)*'3.1b Allocation Adj. YR1 '!$K$3,2)</f>
        <v>52140439.950000003</v>
      </c>
      <c r="G14" s="559">
        <f>ROUND(F14/'2.9 PCFP Funding Comparison YR1'!D11,0)</f>
        <v>10094</v>
      </c>
      <c r="H14" s="9"/>
      <c r="I14" s="565">
        <f>ROUND(('3.1a Initial Allocations YR1'!G15*'3.1b Allocation Adj. YR1 '!$K$3),2)</f>
        <v>681857.35</v>
      </c>
      <c r="J14" s="559">
        <f>ROUND('3.1a Initial Allocations YR1'!H15*'3.1b Allocation Adj. YR1 '!$K$3,2)</f>
        <v>536609.63</v>
      </c>
      <c r="K14" s="559">
        <f>ROUND('3.1a Initial Allocations YR1'!I15*'3.1b Allocation Adj. YR1 '!$K$3,2)</f>
        <v>49491.82</v>
      </c>
      <c r="L14" s="559">
        <f t="shared" si="0"/>
        <v>1267958.8</v>
      </c>
      <c r="M14" s="9"/>
      <c r="N14" s="559">
        <f>ROUND('3.1a Initial Allocations YR1'!L15*'3.1b Allocation Adj. YR1 '!$K$3,2)</f>
        <v>3883247.26</v>
      </c>
      <c r="O14" s="559">
        <f>ROUND('3.1a Initial Allocations YR1'!M15*'3.1b Allocation Adj. YR1 '!$K$3,2)</f>
        <v>0</v>
      </c>
      <c r="P14" s="559">
        <f>ROUND('3.1a Initial Allocations YR1'!N15*'3.1b Allocation Adj. YR1 '!$K$3,0)</f>
        <v>0</v>
      </c>
      <c r="Q14" s="559">
        <f>ROUND('3.1a Initial Allocations YR1'!O15*'3.1b Allocation Adj. YR1 '!$K$3,2)</f>
        <v>3883247.26</v>
      </c>
      <c r="R14" s="115"/>
      <c r="S14" s="559">
        <f>ROUND('3.1a Initial Allocations YR1'!Q15*'3.1b Allocation Adj. YR1 '!$K$3,2)</f>
        <v>4007059.31</v>
      </c>
      <c r="T14" s="9"/>
      <c r="U14" s="581">
        <f t="shared" si="1"/>
        <v>61298705.32</v>
      </c>
      <c r="V14" s="12"/>
      <c r="W14" s="130">
        <f>ROUND(U14/'2.9 PCFP Funding Comparison YR1'!D11,0)</f>
        <v>11867</v>
      </c>
      <c r="X14" s="280"/>
      <c r="Y14" s="128" t="str">
        <f>'2.9 PCFP Funding Comparison YR1'!V11</f>
        <v>FY 2020 Baseline</v>
      </c>
      <c r="Z14" s="1480">
        <f>U14-'2.9 PCFP Funding Comparison YR1'!H11</f>
        <v>4552680.32</v>
      </c>
      <c r="AA14" s="1260" t="str">
        <f>IF('2.9 PCFP Funding Comparison YR1'!K11="Yes","PCFP","FY 2020 Baseline")</f>
        <v>PCFP</v>
      </c>
      <c r="AB14" s="1482">
        <f>U14-'Biennial Comparison'!C10</f>
        <v>3694685.9906231239</v>
      </c>
      <c r="AC14" s="12"/>
    </row>
    <row r="15" spans="1:29" x14ac:dyDescent="0.3">
      <c r="A15" s="132"/>
      <c r="B15" s="10" t="str">
        <f>'1.2 Budgeted Enrollment YR1'!E13</f>
        <v>Elko</v>
      </c>
      <c r="D15" s="10" t="str">
        <f>IF('2.9 PCFP Funding Comparison YR1'!K12="Yes","PCFP","Hold Harmless")</f>
        <v>PCFP</v>
      </c>
      <c r="E15" s="741" t="str">
        <f>'3.1a Initial Allocations YR1'!D16</f>
        <v>PCFP</v>
      </c>
      <c r="F15" s="559">
        <f>ROUND(('3.1a Initial Allocations YR1'!E16)*'3.1b Allocation Adj. YR1 '!$K$3,2)</f>
        <v>108066137.04000001</v>
      </c>
      <c r="G15" s="559">
        <f>ROUND(F15/'2.9 PCFP Funding Comparison YR1'!D12,0)</f>
        <v>11017</v>
      </c>
      <c r="H15" s="9"/>
      <c r="I15" s="565">
        <f>ROUND(('3.1a Initial Allocations YR1'!G16*'3.1b Allocation Adj. YR1 '!$K$3),2)</f>
        <v>2731464.04</v>
      </c>
      <c r="J15" s="559">
        <f>ROUND('3.1a Initial Allocations YR1'!H16*'3.1b Allocation Adj. YR1 '!$K$3,2)</f>
        <v>1980120.91</v>
      </c>
      <c r="K15" s="559">
        <f>ROUND('3.1a Initial Allocations YR1'!I16*'3.1b Allocation Adj. YR1 '!$K$3,2)</f>
        <v>104363.18</v>
      </c>
      <c r="L15" s="559">
        <f t="shared" si="0"/>
        <v>4815948.13</v>
      </c>
      <c r="M15" s="9"/>
      <c r="N15" s="559">
        <f>ROUND('3.1a Initial Allocations YR1'!L16*'3.1b Allocation Adj. YR1 '!$K$3,2)</f>
        <v>4699831.5</v>
      </c>
      <c r="O15" s="559">
        <f>ROUND('3.1a Initial Allocations YR1'!M16*'3.1b Allocation Adj. YR1 '!$K$3,2)</f>
        <v>0</v>
      </c>
      <c r="P15" s="559">
        <f>ROUND('3.1a Initial Allocations YR1'!N16*'3.1b Allocation Adj. YR1 '!$K$3,0)</f>
        <v>383534</v>
      </c>
      <c r="Q15" s="559">
        <f>ROUND('3.1a Initial Allocations YR1'!O16*'3.1b Allocation Adj. YR1 '!$K$3,2)</f>
        <v>5083365.46</v>
      </c>
      <c r="R15" s="115"/>
      <c r="S15" s="559">
        <f>ROUND('3.1a Initial Allocations YR1'!Q16*'3.1b Allocation Adj. YR1 '!$K$3,2)</f>
        <v>5045055.1500000004</v>
      </c>
      <c r="T15" s="9"/>
      <c r="U15" s="581">
        <f t="shared" si="1"/>
        <v>123010505.78</v>
      </c>
      <c r="V15" s="12"/>
      <c r="W15" s="130">
        <f>ROUND(U15/'2.9 PCFP Funding Comparison YR1'!D12,0)</f>
        <v>12541</v>
      </c>
      <c r="X15" s="280"/>
      <c r="Y15" s="128" t="str">
        <f>'2.9 PCFP Funding Comparison YR1'!V12</f>
        <v>FY 2020 Baseline</v>
      </c>
      <c r="Z15" s="1480">
        <f>U15-'2.9 PCFP Funding Comparison YR1'!H12</f>
        <v>20676559.780000001</v>
      </c>
      <c r="AA15" s="1260" t="str">
        <f>IF('2.9 PCFP Funding Comparison YR1'!K12="Yes","PCFP","FY 2020 Baseline")</f>
        <v>PCFP</v>
      </c>
      <c r="AB15" s="1482">
        <f>U15-'Biennial Comparison'!C11</f>
        <v>20853195.132724598</v>
      </c>
      <c r="AC15" s="12"/>
    </row>
    <row r="16" spans="1:29" x14ac:dyDescent="0.3">
      <c r="A16" s="132"/>
      <c r="B16" s="10" t="str">
        <f>'1.2 Budgeted Enrollment YR1'!E14</f>
        <v>Esmeralda</v>
      </c>
      <c r="D16" s="10" t="str">
        <f>IF('2.9 PCFP Funding Comparison YR1'!K13="Yes","PCFP","Hold Harmless")</f>
        <v>Hold Harmless</v>
      </c>
      <c r="E16" s="741" t="str">
        <f>'3.1a Initial Allocations YR1'!D17</f>
        <v>FY 2020 Baseline</v>
      </c>
      <c r="F16" s="559">
        <f>ROUND(('3.1a Initial Allocations YR1'!E17)*'3.1b Allocation Adj. YR1 '!$K$3,2)</f>
        <v>2412439.7999999998</v>
      </c>
      <c r="G16" s="559">
        <f>ROUND(F16/'2.9 PCFP Funding Comparison YR1'!D13,0)</f>
        <v>31203</v>
      </c>
      <c r="H16" s="9"/>
      <c r="I16" s="565">
        <f>ROUND(('3.1a Initial Allocations YR1'!G17*'3.1b Allocation Adj. YR1 '!$K$3),2)</f>
        <v>17401.02</v>
      </c>
      <c r="J16" s="559">
        <f>ROUND('3.1a Initial Allocations YR1'!H17*'3.1b Allocation Adj. YR1 '!$K$3,2)</f>
        <v>8385.8799999999992</v>
      </c>
      <c r="K16" s="559">
        <f>ROUND('3.1a Initial Allocations YR1'!I17*'3.1b Allocation Adj. YR1 '!$K$3,2)</f>
        <v>0</v>
      </c>
      <c r="L16" s="559">
        <f t="shared" si="0"/>
        <v>25786.9</v>
      </c>
      <c r="M16" s="9"/>
      <c r="N16" s="559">
        <f>ROUND('3.1a Initial Allocations YR1'!L17*'3.1b Allocation Adj. YR1 '!$K$3,2)</f>
        <v>327997.49</v>
      </c>
      <c r="O16" s="559">
        <f>ROUND('3.1a Initial Allocations YR1'!M17*'3.1b Allocation Adj. YR1 '!$K$3,2)</f>
        <v>0</v>
      </c>
      <c r="P16" s="559">
        <f>ROUND('3.1a Initial Allocations YR1'!N17*'3.1b Allocation Adj. YR1 '!$K$3,0)</f>
        <v>49201</v>
      </c>
      <c r="Q16" s="559">
        <f>ROUND('3.1a Initial Allocations YR1'!O17*'3.1b Allocation Adj. YR1 '!$K$3,2)</f>
        <v>377198.68</v>
      </c>
      <c r="R16" s="115"/>
      <c r="S16" s="559">
        <f>ROUND('3.1a Initial Allocations YR1'!Q17*'3.1b Allocation Adj. YR1 '!$K$3,2)</f>
        <v>44545.02</v>
      </c>
      <c r="T16" s="9"/>
      <c r="U16" s="581">
        <f t="shared" si="1"/>
        <v>2859970.4</v>
      </c>
      <c r="V16" s="12"/>
      <c r="W16" s="130">
        <f>ROUND(U16/'2.9 PCFP Funding Comparison YR1'!D13,0)</f>
        <v>36991</v>
      </c>
      <c r="X16" s="280"/>
      <c r="Y16" s="128" t="str">
        <f>'2.9 PCFP Funding Comparison YR1'!V13</f>
        <v>FY 2020 Baseline</v>
      </c>
      <c r="Z16" s="1480">
        <f>U16-'2.9 PCFP Funding Comparison YR1'!H13</f>
        <v>240042.39999999991</v>
      </c>
      <c r="AA16" s="1260" t="str">
        <f>IF('2.9 PCFP Funding Comparison YR1'!K13="Yes","PCFP","FY 2020 Baseline")</f>
        <v>FY 2020 Baseline</v>
      </c>
      <c r="AB16" s="1482">
        <f>U16-'Biennial Comparison'!C12</f>
        <v>292103.40005141636</v>
      </c>
      <c r="AC16" s="12"/>
    </row>
    <row r="17" spans="1:29" x14ac:dyDescent="0.3">
      <c r="A17" s="132"/>
      <c r="B17" s="10" t="str">
        <f>'1.2 Budgeted Enrollment YR1'!E15</f>
        <v>Eureka</v>
      </c>
      <c r="D17" s="10" t="str">
        <f>IF('2.9 PCFP Funding Comparison YR1'!K14="Yes","PCFP","Hold Harmless")</f>
        <v>Hold Harmless</v>
      </c>
      <c r="E17" s="741" t="str">
        <f>'3.1a Initial Allocations YR1'!D18</f>
        <v>FY 2020 Baseline</v>
      </c>
      <c r="F17" s="559">
        <f>ROUND(('3.1a Initial Allocations YR1'!E18)*'3.1b Allocation Adj. YR1 '!$K$3,2)</f>
        <v>11668622.369999999</v>
      </c>
      <c r="G17" s="559">
        <f>ROUND(F17/'2.9 PCFP Funding Comparison YR1'!D14,0)</f>
        <v>36047</v>
      </c>
      <c r="H17" s="9"/>
      <c r="I17" s="565">
        <f>ROUND(('3.1a Initial Allocations YR1'!G18*'3.1b Allocation Adj. YR1 '!$K$3),2)</f>
        <v>10213.120000000001</v>
      </c>
      <c r="J17" s="559">
        <f>ROUND('3.1a Initial Allocations YR1'!H18*'3.1b Allocation Adj. YR1 '!$K$3,2)</f>
        <v>1197.98</v>
      </c>
      <c r="K17" s="559">
        <f>ROUND('3.1a Initial Allocations YR1'!I18*'3.1b Allocation Adj. YR1 '!$K$3,2)</f>
        <v>0</v>
      </c>
      <c r="L17" s="559">
        <f t="shared" si="0"/>
        <v>11411.1</v>
      </c>
      <c r="M17" s="9"/>
      <c r="N17" s="559">
        <f>ROUND('3.1a Initial Allocations YR1'!L18*'3.1b Allocation Adj. YR1 '!$K$3,2)</f>
        <v>433529.28</v>
      </c>
      <c r="O17" s="559">
        <f>ROUND('3.1a Initial Allocations YR1'!M18*'3.1b Allocation Adj. YR1 '!$K$3,2)</f>
        <v>0</v>
      </c>
      <c r="P17" s="559">
        <f>ROUND('3.1a Initial Allocations YR1'!N18*'3.1b Allocation Adj. YR1 '!$K$3,0)</f>
        <v>398552</v>
      </c>
      <c r="Q17" s="559">
        <f>ROUND('3.1a Initial Allocations YR1'!O18*'3.1b Allocation Adj. YR1 '!$K$3,2)</f>
        <v>832081.44</v>
      </c>
      <c r="R17" s="115"/>
      <c r="S17" s="559">
        <f>ROUND('3.1a Initial Allocations YR1'!Q18*'3.1b Allocation Adj. YR1 '!$K$3,2)</f>
        <v>199663.93</v>
      </c>
      <c r="T17" s="9"/>
      <c r="U17" s="581">
        <f t="shared" si="1"/>
        <v>12711778.84</v>
      </c>
      <c r="V17" s="12"/>
      <c r="W17" s="130">
        <f>ROUND(U17/'2.9 PCFP Funding Comparison YR1'!D14,0)</f>
        <v>39270</v>
      </c>
      <c r="X17" s="280"/>
      <c r="Y17" s="128" t="str">
        <f>'2.9 PCFP Funding Comparison YR1'!V14</f>
        <v>FY 2020 Baseline</v>
      </c>
      <c r="Z17" s="1480">
        <f>U17-'2.9 PCFP Funding Comparison YR1'!H14</f>
        <v>667083.83999999985</v>
      </c>
      <c r="AA17" s="1260" t="str">
        <f>IF('2.9 PCFP Funding Comparison YR1'!K14="Yes","PCFP","FY 2020 Baseline")</f>
        <v>FY 2020 Baseline</v>
      </c>
      <c r="AB17" s="1482">
        <f>U17-'Biennial Comparison'!C13</f>
        <v>740042.09336560965</v>
      </c>
      <c r="AC17" s="12"/>
    </row>
    <row r="18" spans="1:29" x14ac:dyDescent="0.3">
      <c r="A18" s="132"/>
      <c r="B18" s="10" t="str">
        <f>'1.2 Budgeted Enrollment YR1'!E16</f>
        <v>Humboldt</v>
      </c>
      <c r="D18" s="10" t="str">
        <f>IF('2.9 PCFP Funding Comparison YR1'!K15="Yes","PCFP","Hold Harmless")</f>
        <v>PCFP</v>
      </c>
      <c r="E18" s="741" t="str">
        <f>'3.1a Initial Allocations YR1'!D19</f>
        <v>PCFP</v>
      </c>
      <c r="F18" s="559">
        <f>ROUND(('3.1a Initial Allocations YR1'!E19)*'3.1b Allocation Adj. YR1 '!$K$3,2)</f>
        <v>34941947.219999999</v>
      </c>
      <c r="G18" s="559">
        <f>ROUND(F18/'2.9 PCFP Funding Comparison YR1'!D15,0)</f>
        <v>10979</v>
      </c>
      <c r="H18" s="9"/>
      <c r="I18" s="565">
        <f>ROUND(('3.1a Initial Allocations YR1'!G19*'3.1b Allocation Adj. YR1 '!$K$3),2)</f>
        <v>819035.75</v>
      </c>
      <c r="J18" s="559">
        <f>ROUND('3.1a Initial Allocations YR1'!H19*'3.1b Allocation Adj. YR1 '!$K$3,2)</f>
        <v>254183.51</v>
      </c>
      <c r="K18" s="559">
        <f>ROUND('3.1a Initial Allocations YR1'!I19*'3.1b Allocation Adj. YR1 '!$K$3,2)</f>
        <v>0</v>
      </c>
      <c r="L18" s="559">
        <f t="shared" si="0"/>
        <v>1073219.26</v>
      </c>
      <c r="M18" s="9"/>
      <c r="N18" s="559">
        <f>ROUND('3.1a Initial Allocations YR1'!L19*'3.1b Allocation Adj. YR1 '!$K$3,2)</f>
        <v>2014574.78</v>
      </c>
      <c r="O18" s="559">
        <f>ROUND('3.1a Initial Allocations YR1'!M19*'3.1b Allocation Adj. YR1 '!$K$3,2)</f>
        <v>0</v>
      </c>
      <c r="P18" s="559">
        <f>ROUND('3.1a Initial Allocations YR1'!N19*'3.1b Allocation Adj. YR1 '!$K$3,0)</f>
        <v>19058</v>
      </c>
      <c r="Q18" s="559">
        <f>ROUND('3.1a Initial Allocations YR1'!O19*'3.1b Allocation Adj. YR1 '!$K$3,2)</f>
        <v>2033633.2</v>
      </c>
      <c r="R18" s="115"/>
      <c r="S18" s="559">
        <f>ROUND('3.1a Initial Allocations YR1'!Q19*'3.1b Allocation Adj. YR1 '!$K$3,2)</f>
        <v>2354506.89</v>
      </c>
      <c r="T18" s="9"/>
      <c r="U18" s="581">
        <f t="shared" si="1"/>
        <v>40403306.57</v>
      </c>
      <c r="V18" s="12"/>
      <c r="W18" s="130">
        <f>ROUND(U18/'2.9 PCFP Funding Comparison YR1'!D15,0)</f>
        <v>12695</v>
      </c>
      <c r="X18" s="280"/>
      <c r="Y18" s="128" t="str">
        <f>'2.9 PCFP Funding Comparison YR1'!V15</f>
        <v>FY 2020 Baseline</v>
      </c>
      <c r="Z18" s="1480">
        <f>U18-'2.9 PCFP Funding Comparison YR1'!H15</f>
        <v>2299815.5700000003</v>
      </c>
      <c r="AA18" s="1260" t="str">
        <f>IF('2.9 PCFP Funding Comparison YR1'!K15="Yes","PCFP","FY 2020 Baseline")</f>
        <v>PCFP</v>
      </c>
      <c r="AB18" s="1482">
        <f>U18-'Biennial Comparison'!C14</f>
        <v>3481238.7408133969</v>
      </c>
      <c r="AC18" s="12"/>
    </row>
    <row r="19" spans="1:29" x14ac:dyDescent="0.3">
      <c r="A19" s="132"/>
      <c r="B19" s="10" t="str">
        <f>'1.2 Budgeted Enrollment YR1'!E17</f>
        <v>Lander</v>
      </c>
      <c r="D19" s="10" t="str">
        <f>IF('2.9 PCFP Funding Comparison YR1'!K16="Yes","PCFP","Hold Harmless")</f>
        <v>PCFP</v>
      </c>
      <c r="E19" s="741" t="str">
        <f>'3.1a Initial Allocations YR1'!D20</f>
        <v>PCFP</v>
      </c>
      <c r="F19" s="559">
        <f>ROUND(('3.1a Initial Allocations YR1'!E20)*'3.1b Allocation Adj. YR1 '!$K$3,2)</f>
        <v>13369747.369999999</v>
      </c>
      <c r="G19" s="559">
        <f>ROUND(F19/'2.9 PCFP Funding Comparison YR1'!D16,0)</f>
        <v>13331</v>
      </c>
      <c r="H19" s="9"/>
      <c r="I19" s="565">
        <f>ROUND(('3.1a Initial Allocations YR1'!G20*'3.1b Allocation Adj. YR1 '!$K$3),2)</f>
        <v>133143.74</v>
      </c>
      <c r="J19" s="559">
        <f>ROUND('3.1a Initial Allocations YR1'!H20*'3.1b Allocation Adj. YR1 '!$K$3,2)</f>
        <v>307530.65999999997</v>
      </c>
      <c r="K19" s="559">
        <f>ROUND('3.1a Initial Allocations YR1'!I20*'3.1b Allocation Adj. YR1 '!$K$3,2)</f>
        <v>0</v>
      </c>
      <c r="L19" s="559">
        <f t="shared" si="0"/>
        <v>440674.4</v>
      </c>
      <c r="M19" s="9"/>
      <c r="N19" s="559">
        <f>ROUND('3.1a Initial Allocations YR1'!L20*'3.1b Allocation Adj. YR1 '!$K$3,2)</f>
        <v>413257.26</v>
      </c>
      <c r="O19" s="559">
        <f>ROUND('3.1a Initial Allocations YR1'!M20*'3.1b Allocation Adj. YR1 '!$K$3,2)</f>
        <v>0</v>
      </c>
      <c r="P19" s="559">
        <f>ROUND('3.1a Initial Allocations YR1'!N20*'3.1b Allocation Adj. YR1 '!$K$3,0)</f>
        <v>24958</v>
      </c>
      <c r="Q19" s="559">
        <f>ROUND('3.1a Initial Allocations YR1'!O20*'3.1b Allocation Adj. YR1 '!$K$3,2)</f>
        <v>438215.26</v>
      </c>
      <c r="R19" s="115"/>
      <c r="S19" s="559">
        <f>ROUND('3.1a Initial Allocations YR1'!Q20*'3.1b Allocation Adj. YR1 '!$K$3,2)</f>
        <v>1051225.58</v>
      </c>
      <c r="T19" s="9"/>
      <c r="U19" s="581">
        <f t="shared" si="1"/>
        <v>15299862.609999999</v>
      </c>
      <c r="V19" s="12"/>
      <c r="W19" s="130">
        <f>ROUND(U19/'2.9 PCFP Funding Comparison YR1'!D16,0)</f>
        <v>15256</v>
      </c>
      <c r="X19" s="280"/>
      <c r="Y19" s="128" t="str">
        <f>'2.9 PCFP Funding Comparison YR1'!V16</f>
        <v>PCFP</v>
      </c>
      <c r="Z19" s="1480">
        <f>U19-'2.9 PCFP Funding Comparison YR1'!H16</f>
        <v>3471642.6099999994</v>
      </c>
      <c r="AA19" s="1260" t="str">
        <f>IF('2.9 PCFP Funding Comparison YR1'!K16="Yes","PCFP","FY 2020 Baseline")</f>
        <v>PCFP</v>
      </c>
      <c r="AB19" s="1482">
        <f>U19-'Biennial Comparison'!C15</f>
        <v>3086244.0262352154</v>
      </c>
      <c r="AC19" s="12"/>
    </row>
    <row r="20" spans="1:29" x14ac:dyDescent="0.3">
      <c r="A20" s="132"/>
      <c r="B20" s="10" t="str">
        <f>'1.2 Budgeted Enrollment YR1'!E18</f>
        <v>Lincoln</v>
      </c>
      <c r="D20" s="10" t="str">
        <f>IF('2.9 PCFP Funding Comparison YR1'!K17="Yes","PCFP","Hold Harmless")</f>
        <v>PCFP</v>
      </c>
      <c r="E20" s="741" t="str">
        <f>'3.1a Initial Allocations YR1'!D21</f>
        <v>PCFP</v>
      </c>
      <c r="F20" s="559">
        <f>ROUND(('3.1a Initial Allocations YR1'!E21)*'3.1b Allocation Adj. YR1 '!$K$3,2)</f>
        <v>14409740.710000001</v>
      </c>
      <c r="G20" s="559">
        <f>ROUND(F20/'2.9 PCFP Funding Comparison YR1'!D17,0)</f>
        <v>16319</v>
      </c>
      <c r="H20" s="9"/>
      <c r="I20" s="565">
        <f>ROUND(('3.1a Initial Allocations YR1'!G21*'3.1b Allocation Adj. YR1 '!$K$3),2)</f>
        <v>24207.95</v>
      </c>
      <c r="J20" s="559">
        <f>ROUND('3.1a Initial Allocations YR1'!H21*'3.1b Allocation Adj. YR1 '!$K$3,2)</f>
        <v>134936.92000000001</v>
      </c>
      <c r="K20" s="559">
        <f>ROUND('3.1a Initial Allocations YR1'!I21*'3.1b Allocation Adj. YR1 '!$K$3,2)</f>
        <v>0</v>
      </c>
      <c r="L20" s="559">
        <f t="shared" si="0"/>
        <v>159144.87</v>
      </c>
      <c r="M20" s="9"/>
      <c r="N20" s="559">
        <f>ROUND('3.1a Initial Allocations YR1'!L21*'3.1b Allocation Adj. YR1 '!$K$3,2)</f>
        <v>621973</v>
      </c>
      <c r="O20" s="559">
        <f>ROUND('3.1a Initial Allocations YR1'!M21*'3.1b Allocation Adj. YR1 '!$K$3,2)</f>
        <v>0</v>
      </c>
      <c r="P20" s="559">
        <f>ROUND('3.1a Initial Allocations YR1'!N21*'3.1b Allocation Adj. YR1 '!$K$3,0)</f>
        <v>60218</v>
      </c>
      <c r="Q20" s="559">
        <f>ROUND('3.1a Initial Allocations YR1'!O21*'3.1b Allocation Adj. YR1 '!$K$3,2)</f>
        <v>682191.14</v>
      </c>
      <c r="R20" s="115"/>
      <c r="S20" s="559">
        <f>ROUND('3.1a Initial Allocations YR1'!Q21*'3.1b Allocation Adj. YR1 '!$K$3,2)</f>
        <v>327164.32</v>
      </c>
      <c r="T20" s="9"/>
      <c r="U20" s="581">
        <f t="shared" si="1"/>
        <v>15578241.039999999</v>
      </c>
      <c r="V20" s="12"/>
      <c r="W20" s="130">
        <f>ROUND(U20/'2.9 PCFP Funding Comparison YR1'!D17,0)</f>
        <v>17642</v>
      </c>
      <c r="X20" s="280"/>
      <c r="Y20" s="128" t="str">
        <f>'2.9 PCFP Funding Comparison YR1'!V17</f>
        <v>FY 2020 Baseline</v>
      </c>
      <c r="Z20" s="1480">
        <f>U20-'2.9 PCFP Funding Comparison YR1'!H17</f>
        <v>2856504.0399999991</v>
      </c>
      <c r="AA20" s="1260" t="str">
        <f>IF('2.9 PCFP Funding Comparison YR1'!K17="Yes","PCFP","FY 2020 Baseline")</f>
        <v>PCFP</v>
      </c>
      <c r="AB20" s="1482">
        <f>U20-'Biennial Comparison'!C16</f>
        <v>2960734.9412485175</v>
      </c>
      <c r="AC20" s="12"/>
    </row>
    <row r="21" spans="1:29" x14ac:dyDescent="0.3">
      <c r="A21" s="132"/>
      <c r="B21" s="10" t="str">
        <f>'1.2 Budgeted Enrollment YR1'!E19</f>
        <v>Lyon</v>
      </c>
      <c r="D21" s="10" t="str">
        <f>IF('2.9 PCFP Funding Comparison YR1'!K18="Yes","PCFP","Hold Harmless")</f>
        <v>PCFP</v>
      </c>
      <c r="E21" s="741" t="str">
        <f>'3.1a Initial Allocations YR1'!D22</f>
        <v>PCFP</v>
      </c>
      <c r="F21" s="559">
        <f>ROUND(('3.1a Initial Allocations YR1'!E22)*'3.1b Allocation Adj. YR1 '!$K$3,2)</f>
        <v>98878683.579999998</v>
      </c>
      <c r="G21" s="559">
        <f>ROUND(F21/'2.9 PCFP Funding Comparison YR1'!D18,0)</f>
        <v>10943</v>
      </c>
      <c r="H21" s="9"/>
      <c r="I21" s="565">
        <f>ROUND(('3.1a Initial Allocations YR1'!G22*'3.1b Allocation Adj. YR1 '!$K$3),2)</f>
        <v>1956809.54</v>
      </c>
      <c r="J21" s="559">
        <f>ROUND('3.1a Initial Allocations YR1'!H22*'3.1b Allocation Adj. YR1 '!$K$3,2)</f>
        <v>1650623.77</v>
      </c>
      <c r="K21" s="559">
        <f>ROUND('3.1a Initial Allocations YR1'!I22*'3.1b Allocation Adj. YR1 '!$K$3,2)</f>
        <v>0</v>
      </c>
      <c r="L21" s="559">
        <f t="shared" si="0"/>
        <v>3607433.31</v>
      </c>
      <c r="M21" s="9"/>
      <c r="N21" s="559">
        <f>ROUND('3.1a Initial Allocations YR1'!L22*'3.1b Allocation Adj. YR1 '!$K$3,2)</f>
        <v>5007439.1399999997</v>
      </c>
      <c r="O21" s="559">
        <f>ROUND('3.1a Initial Allocations YR1'!M22*'3.1b Allocation Adj. YR1 '!$K$3,2)</f>
        <v>0</v>
      </c>
      <c r="P21" s="559">
        <f>ROUND('3.1a Initial Allocations YR1'!N22*'3.1b Allocation Adj. YR1 '!$K$3,0)</f>
        <v>0</v>
      </c>
      <c r="Q21" s="559">
        <f>ROUND('3.1a Initial Allocations YR1'!O22*'3.1b Allocation Adj. YR1 '!$K$3,2)</f>
        <v>5007439.1399999997</v>
      </c>
      <c r="R21" s="115"/>
      <c r="S21" s="559">
        <f>ROUND('3.1a Initial Allocations YR1'!Q22*'3.1b Allocation Adj. YR1 '!$K$3,2)</f>
        <v>9566849.0600000005</v>
      </c>
      <c r="T21" s="9"/>
      <c r="U21" s="581">
        <f t="shared" si="1"/>
        <v>117060405.09</v>
      </c>
      <c r="V21" s="12"/>
      <c r="W21" s="130">
        <f>ROUND(U21/'2.9 PCFP Funding Comparison YR1'!D18,0)</f>
        <v>12955</v>
      </c>
      <c r="X21" s="280"/>
      <c r="Y21" s="128" t="str">
        <f>'2.9 PCFP Funding Comparison YR1'!V18</f>
        <v>PCFP</v>
      </c>
      <c r="Z21" s="1480">
        <f>U21-'2.9 PCFP Funding Comparison YR1'!H18</f>
        <v>32684282.090000004</v>
      </c>
      <c r="AA21" s="1260" t="str">
        <f>IF('2.9 PCFP Funding Comparison YR1'!K18="Yes","PCFP","FY 2020 Baseline")</f>
        <v>PCFP</v>
      </c>
      <c r="AB21" s="1482">
        <f>U21-'Biennial Comparison'!C17</f>
        <v>24662926.597377852</v>
      </c>
      <c r="AC21" s="12"/>
    </row>
    <row r="22" spans="1:29" x14ac:dyDescent="0.3">
      <c r="A22" s="132"/>
      <c r="B22" s="10" t="str">
        <f>'1.2 Budgeted Enrollment YR1'!E20</f>
        <v>Mineral</v>
      </c>
      <c r="D22" s="10" t="str">
        <f>IF('2.9 PCFP Funding Comparison YR1'!K19="Yes","PCFP","Hold Harmless")</f>
        <v>PCFP</v>
      </c>
      <c r="E22" s="741" t="str">
        <f>'3.1a Initial Allocations YR1'!D23</f>
        <v>PCFP</v>
      </c>
      <c r="F22" s="559">
        <f>ROUND(('3.1a Initial Allocations YR1'!E23)*'3.1b Allocation Adj. YR1 '!$K$3,2)</f>
        <v>8762720.5500000007</v>
      </c>
      <c r="G22" s="559">
        <f>ROUND(F22/'2.9 PCFP Funding Comparison YR1'!D19,0)</f>
        <v>15443</v>
      </c>
      <c r="H22" s="9"/>
      <c r="I22" s="565">
        <f>ROUND(('3.1a Initial Allocations YR1'!G23*'3.1b Allocation Adj. YR1 '!$K$3),2)</f>
        <v>137178.4</v>
      </c>
      <c r="J22" s="559">
        <f>ROUND('3.1a Initial Allocations YR1'!H23*'3.1b Allocation Adj. YR1 '!$K$3,2)</f>
        <v>163179.54</v>
      </c>
      <c r="K22" s="559">
        <f>ROUND('3.1a Initial Allocations YR1'!I23*'3.1b Allocation Adj. YR1 '!$K$3,2)</f>
        <v>0</v>
      </c>
      <c r="L22" s="559">
        <f t="shared" si="0"/>
        <v>300357.94</v>
      </c>
      <c r="M22" s="9"/>
      <c r="N22" s="559">
        <f>ROUND('3.1a Initial Allocations YR1'!L23*'3.1b Allocation Adj. YR1 '!$K$3,2)</f>
        <v>315517.19</v>
      </c>
      <c r="O22" s="559">
        <f>ROUND('3.1a Initial Allocations YR1'!M23*'3.1b Allocation Adj. YR1 '!$K$3,2)</f>
        <v>0</v>
      </c>
      <c r="P22" s="559">
        <f>ROUND('3.1a Initial Allocations YR1'!N23*'3.1b Allocation Adj. YR1 '!$K$3,0)</f>
        <v>158758</v>
      </c>
      <c r="Q22" s="559">
        <f>ROUND('3.1a Initial Allocations YR1'!O23*'3.1b Allocation Adj. YR1 '!$K$3,2)</f>
        <v>474274.97</v>
      </c>
      <c r="R22" s="115"/>
      <c r="S22" s="559">
        <f>ROUND('3.1a Initial Allocations YR1'!Q23*'3.1b Allocation Adj. YR1 '!$K$3,2)</f>
        <v>215302.6</v>
      </c>
      <c r="T22" s="9"/>
      <c r="U22" s="581">
        <f t="shared" si="1"/>
        <v>9752656.0600000005</v>
      </c>
      <c r="V22" s="12"/>
      <c r="W22" s="130">
        <f>ROUND(U22/'2.9 PCFP Funding Comparison YR1'!D19,0)</f>
        <v>17187</v>
      </c>
      <c r="X22" s="280"/>
      <c r="Y22" s="128" t="str">
        <f>'2.9 PCFP Funding Comparison YR1'!V19</f>
        <v>PCFP</v>
      </c>
      <c r="Z22" s="1480">
        <f>U22-'2.9 PCFP Funding Comparison YR1'!H19</f>
        <v>2231396.0600000005</v>
      </c>
      <c r="AA22" s="1260" t="str">
        <f>IF('2.9 PCFP Funding Comparison YR1'!K19="Yes","PCFP","FY 2020 Baseline")</f>
        <v>PCFP</v>
      </c>
      <c r="AB22" s="1482">
        <f>U22-'Biennial Comparison'!C18</f>
        <v>2036709.8580731805</v>
      </c>
      <c r="AC22" s="12"/>
    </row>
    <row r="23" spans="1:29" x14ac:dyDescent="0.3">
      <c r="A23" s="132"/>
      <c r="B23" s="10" t="str">
        <f>'1.2 Budgeted Enrollment YR1'!E21</f>
        <v>Nye</v>
      </c>
      <c r="D23" s="10" t="str">
        <f>IF('2.9 PCFP Funding Comparison YR1'!K20="Yes","PCFP","Hold Harmless")</f>
        <v>PCFP</v>
      </c>
      <c r="E23" s="741" t="str">
        <f>'3.1a Initial Allocations YR1'!D24</f>
        <v>PCFP</v>
      </c>
      <c r="F23" s="559">
        <f>ROUND(('3.1a Initial Allocations YR1'!E24)*'3.1b Allocation Adj. YR1 '!$K$3,2)</f>
        <v>61240589.619999997</v>
      </c>
      <c r="G23" s="559">
        <f>ROUND(F23/'2.9 PCFP Funding Comparison YR1'!D20,0)</f>
        <v>10957</v>
      </c>
      <c r="H23" s="9"/>
      <c r="I23" s="565">
        <f>ROUND(('3.1a Initial Allocations YR1'!G24*'3.1b Allocation Adj. YR1 '!$K$3),2)</f>
        <v>1307229.47</v>
      </c>
      <c r="J23" s="559">
        <f>ROUND('3.1a Initial Allocations YR1'!H24*'3.1b Allocation Adj. YR1 '!$K$3,2)</f>
        <v>1408992.53</v>
      </c>
      <c r="K23" s="559">
        <f>ROUND('3.1a Initial Allocations YR1'!I24*'3.1b Allocation Adj. YR1 '!$K$3,2)</f>
        <v>0</v>
      </c>
      <c r="L23" s="559">
        <f t="shared" si="0"/>
        <v>2716222</v>
      </c>
      <c r="M23" s="9"/>
      <c r="N23" s="559">
        <f>ROUND('3.1a Initial Allocations YR1'!L24*'3.1b Allocation Adj. YR1 '!$K$3,2)</f>
        <v>4261135.95</v>
      </c>
      <c r="O23" s="559">
        <f>ROUND('3.1a Initial Allocations YR1'!M24*'3.1b Allocation Adj. YR1 '!$K$3,2)</f>
        <v>0</v>
      </c>
      <c r="P23" s="559">
        <f>ROUND('3.1a Initial Allocations YR1'!N24*'3.1b Allocation Adj. YR1 '!$K$3,0)</f>
        <v>0</v>
      </c>
      <c r="Q23" s="559">
        <f>ROUND('3.1a Initial Allocations YR1'!O24*'3.1b Allocation Adj. YR1 '!$K$3,2)</f>
        <v>4261135.95</v>
      </c>
      <c r="R23" s="115"/>
      <c r="S23" s="559">
        <f>ROUND('3.1a Initial Allocations YR1'!Q24*'3.1b Allocation Adj. YR1 '!$K$3,2)</f>
        <v>8300971.79</v>
      </c>
      <c r="T23" s="9"/>
      <c r="U23" s="581">
        <f t="shared" si="1"/>
        <v>76518919.359999999</v>
      </c>
      <c r="V23" s="12"/>
      <c r="W23" s="130">
        <f>ROUND(U23/'2.9 PCFP Funding Comparison YR1'!D20,0)</f>
        <v>13691</v>
      </c>
      <c r="X23" s="280"/>
      <c r="Y23" s="128" t="str">
        <f>'2.9 PCFP Funding Comparison YR1'!V20</f>
        <v>PCFP</v>
      </c>
      <c r="Z23" s="1480">
        <f>U23-'2.9 PCFP Funding Comparison YR1'!H20</f>
        <v>18910218.359999999</v>
      </c>
      <c r="AA23" s="1260" t="str">
        <f>IF('2.9 PCFP Funding Comparison YR1'!K20="Yes","PCFP","FY 2020 Baseline")</f>
        <v>PCFP</v>
      </c>
      <c r="AB23" s="1482">
        <f>U23-'Biennial Comparison'!C19</f>
        <v>16110910.619723119</v>
      </c>
      <c r="AC23" s="12"/>
    </row>
    <row r="24" spans="1:29" x14ac:dyDescent="0.3">
      <c r="A24" s="132"/>
      <c r="B24" s="10" t="str">
        <f>'1.2 Budgeted Enrollment YR1'!E22</f>
        <v>Pershing</v>
      </c>
      <c r="D24" s="10" t="str">
        <f>IF('2.9 PCFP Funding Comparison YR1'!K21="Yes","PCFP","Hold Harmless")</f>
        <v>PCFP</v>
      </c>
      <c r="E24" s="741" t="str">
        <f>'3.1a Initial Allocations YR1'!D25</f>
        <v>PCFP</v>
      </c>
      <c r="F24" s="559">
        <f>ROUND(('3.1a Initial Allocations YR1'!E25)*'3.1b Allocation Adj. YR1 '!$K$3,2)</f>
        <v>9535124.1400000006</v>
      </c>
      <c r="G24" s="559">
        <f>ROUND(F24/'2.9 PCFP Funding Comparison YR1'!D21,0)</f>
        <v>14444</v>
      </c>
      <c r="H24" s="9"/>
      <c r="I24" s="565">
        <f>ROUND(('3.1a Initial Allocations YR1'!G25*'3.1b Allocation Adj. YR1 '!$K$3),2)</f>
        <v>92797.15</v>
      </c>
      <c r="J24" s="559">
        <f>ROUND('3.1a Initial Allocations YR1'!H25*'3.1b Allocation Adj. YR1 '!$K$3,2)</f>
        <v>122384.65</v>
      </c>
      <c r="K24" s="559">
        <f>ROUND('3.1a Initial Allocations YR1'!I25*'3.1b Allocation Adj. YR1 '!$K$3,2)</f>
        <v>0</v>
      </c>
      <c r="L24" s="559">
        <f t="shared" si="0"/>
        <v>215181.8</v>
      </c>
      <c r="M24" s="9"/>
      <c r="N24" s="559">
        <f>ROUND('3.1a Initial Allocations YR1'!L25*'3.1b Allocation Adj. YR1 '!$K$3,2)</f>
        <v>799075.58</v>
      </c>
      <c r="O24" s="559">
        <f>ROUND('3.1a Initial Allocations YR1'!M25*'3.1b Allocation Adj. YR1 '!$K$3,2)</f>
        <v>0</v>
      </c>
      <c r="P24" s="559">
        <f>ROUND('3.1a Initial Allocations YR1'!N25*'3.1b Allocation Adj. YR1 '!$K$3,0)</f>
        <v>25182</v>
      </c>
      <c r="Q24" s="559">
        <f>ROUND('3.1a Initial Allocations YR1'!O25*'3.1b Allocation Adj. YR1 '!$K$3,2)</f>
        <v>824257.95</v>
      </c>
      <c r="R24" s="115"/>
      <c r="S24" s="559">
        <f>ROUND('3.1a Initial Allocations YR1'!Q25*'3.1b Allocation Adj. YR1 '!$K$3,2)</f>
        <v>456047.38</v>
      </c>
      <c r="T24" s="9"/>
      <c r="U24" s="581">
        <f t="shared" si="1"/>
        <v>11030611.27</v>
      </c>
      <c r="V24" s="12"/>
      <c r="W24" s="130">
        <f>ROUND(U24/'2.9 PCFP Funding Comparison YR1'!D21,0)</f>
        <v>16709</v>
      </c>
      <c r="X24" s="280"/>
      <c r="Y24" s="128" t="str">
        <f>'2.9 PCFP Funding Comparison YR1'!V21</f>
        <v>FY 2020 Baseline</v>
      </c>
      <c r="Z24" s="1480">
        <f>U24-'2.9 PCFP Funding Comparison YR1'!H21</f>
        <v>1969201.2699999996</v>
      </c>
      <c r="AA24" s="1260" t="str">
        <f>IF('2.9 PCFP Funding Comparison YR1'!K21="Yes","PCFP","FY 2020 Baseline")</f>
        <v>PCFP</v>
      </c>
      <c r="AB24" s="1482">
        <f>U24-'Biennial Comparison'!C20</f>
        <v>1962201.7974799704</v>
      </c>
      <c r="AC24" s="12"/>
    </row>
    <row r="25" spans="1:29" x14ac:dyDescent="0.3">
      <c r="A25" s="132"/>
      <c r="B25" s="10" t="str">
        <f>'1.2 Budgeted Enrollment YR1'!E23</f>
        <v>Storey</v>
      </c>
      <c r="D25" s="10" t="str">
        <f>IF('2.9 PCFP Funding Comparison YR1'!K22="Yes","PCFP","Hold Harmless")</f>
        <v>Hold Harmless</v>
      </c>
      <c r="E25" s="741" t="str">
        <f>'3.1a Initial Allocations YR1'!D26</f>
        <v>FY 2020 Baseline</v>
      </c>
      <c r="F25" s="559">
        <f>ROUND(('3.1a Initial Allocations YR1'!E26)*'3.1b Allocation Adj. YR1 '!$K$3,2)</f>
        <v>10069468.33</v>
      </c>
      <c r="G25" s="559">
        <f>ROUND(F25/'2.9 PCFP Funding Comparison YR1'!D22,0)</f>
        <v>24378</v>
      </c>
      <c r="H25" s="9"/>
      <c r="I25" s="565">
        <f>ROUND(('3.1a Initial Allocations YR1'!G26*'3.1b Allocation Adj. YR1 '!$K$3),2)</f>
        <v>13776.81</v>
      </c>
      <c r="J25" s="559">
        <f>ROUND('3.1a Initial Allocations YR1'!H26*'3.1b Allocation Adj. YR1 '!$K$3,2)</f>
        <v>13776.81</v>
      </c>
      <c r="K25" s="559">
        <f>ROUND('3.1a Initial Allocations YR1'!I26*'3.1b Allocation Adj. YR1 '!$K$3,2)</f>
        <v>0</v>
      </c>
      <c r="L25" s="559">
        <f t="shared" si="0"/>
        <v>27553.62</v>
      </c>
      <c r="M25" s="9"/>
      <c r="N25" s="559">
        <f>ROUND('3.1a Initial Allocations YR1'!L26*'3.1b Allocation Adj. YR1 '!$K$3,2)</f>
        <v>546455.21</v>
      </c>
      <c r="O25" s="559">
        <f>ROUND('3.1a Initial Allocations YR1'!M26*'3.1b Allocation Adj. YR1 '!$K$3,2)</f>
        <v>0</v>
      </c>
      <c r="P25" s="559">
        <f>ROUND('3.1a Initial Allocations YR1'!N26*'3.1b Allocation Adj. YR1 '!$K$3,0)</f>
        <v>22963</v>
      </c>
      <c r="Q25" s="559">
        <f>ROUND('3.1a Initial Allocations YR1'!O26*'3.1b Allocation Adj. YR1 '!$K$3,2)</f>
        <v>569418.55000000005</v>
      </c>
      <c r="R25" s="115"/>
      <c r="S25" s="559">
        <f>ROUND('3.1a Initial Allocations YR1'!Q26*'3.1b Allocation Adj. YR1 '!$K$3,2)</f>
        <v>54955.5</v>
      </c>
      <c r="T25" s="9"/>
      <c r="U25" s="581">
        <f t="shared" si="1"/>
        <v>10721396</v>
      </c>
      <c r="V25" s="12"/>
      <c r="W25" s="130">
        <f>ROUND(U25/'2.9 PCFP Funding Comparison YR1'!D22,0)</f>
        <v>25956</v>
      </c>
      <c r="X25" s="280"/>
      <c r="Y25" s="128" t="str">
        <f>'2.9 PCFP Funding Comparison YR1'!V22</f>
        <v>FY 2020 Baseline</v>
      </c>
      <c r="Z25" s="1480">
        <f>U25-'2.9 PCFP Funding Comparison YR1'!H22</f>
        <v>-661827</v>
      </c>
      <c r="AA25" s="1260" t="str">
        <f>IF('2.9 PCFP Funding Comparison YR1'!K22="Yes","PCFP","FY 2020 Baseline")</f>
        <v>FY 2020 Baseline</v>
      </c>
      <c r="AB25" s="1482">
        <f>U25-'Biennial Comparison'!C21</f>
        <v>-592875.58813632838</v>
      </c>
      <c r="AC25" s="12"/>
    </row>
    <row r="26" spans="1:29" x14ac:dyDescent="0.3">
      <c r="A26" s="132"/>
      <c r="B26" s="10" t="str">
        <f>'1.2 Budgeted Enrollment YR1'!E24</f>
        <v>Washoe</v>
      </c>
      <c r="D26" s="10" t="str">
        <f>IF('2.9 PCFP Funding Comparison YR1'!K23="Yes","PCFP","Hold Harmless")</f>
        <v>PCFP</v>
      </c>
      <c r="E26" s="741" t="str">
        <f>'3.1a Initial Allocations YR1'!D27</f>
        <v>PCFP</v>
      </c>
      <c r="F26" s="559">
        <f>ROUND(('3.1a Initial Allocations YR1'!E27)*'3.1b Allocation Adj. YR1 '!$K$3,2)</f>
        <v>559671266.64999998</v>
      </c>
      <c r="G26" s="559">
        <f>ROUND(F26/'2.9 PCFP Funding Comparison YR1'!D23,0)</f>
        <v>9243</v>
      </c>
      <c r="H26" s="9"/>
      <c r="I26" s="565">
        <f>ROUND(('3.1a Initial Allocations YR1'!G27*'3.1b Allocation Adj. YR1 '!$K$3),2)</f>
        <v>27137115.460000001</v>
      </c>
      <c r="J26" s="559">
        <f>ROUND('3.1a Initial Allocations YR1'!H27*'3.1b Allocation Adj. YR1 '!$K$3,2)</f>
        <v>15414190.01</v>
      </c>
      <c r="K26" s="559">
        <f>ROUND('3.1a Initial Allocations YR1'!I27*'3.1b Allocation Adj. YR1 '!$K$3,2)</f>
        <v>1354569.47</v>
      </c>
      <c r="L26" s="559">
        <f t="shared" si="0"/>
        <v>43905874.939999998</v>
      </c>
      <c r="M26" s="9"/>
      <c r="N26" s="559">
        <f>ROUND('3.1a Initial Allocations YR1'!L27*'3.1b Allocation Adj. YR1 '!$K$3,2)</f>
        <v>23700907.359999999</v>
      </c>
      <c r="O26" s="559">
        <f>ROUND('3.1a Initial Allocations YR1'!M27*'3.1b Allocation Adj. YR1 '!$K$3,2)</f>
        <v>0</v>
      </c>
      <c r="P26" s="559">
        <f>ROUND('3.1a Initial Allocations YR1'!N27*'3.1b Allocation Adj. YR1 '!$K$3,0)</f>
        <v>0</v>
      </c>
      <c r="Q26" s="559">
        <f>ROUND('3.1a Initial Allocations YR1'!O27*'3.1b Allocation Adj. YR1 '!$K$3,2)</f>
        <v>23700907.359999999</v>
      </c>
      <c r="R26" s="115"/>
      <c r="S26" s="559">
        <f>ROUND('3.1a Initial Allocations YR1'!Q27*'3.1b Allocation Adj. YR1 '!$K$3,2)</f>
        <v>44859801.899999999</v>
      </c>
      <c r="T26" s="9"/>
      <c r="U26" s="581">
        <f t="shared" si="1"/>
        <v>672137850.85000002</v>
      </c>
      <c r="V26" s="12"/>
      <c r="W26" s="130">
        <f>ROUND(U26/'2.9 PCFP Funding Comparison YR1'!D23,0)</f>
        <v>11101</v>
      </c>
      <c r="X26" s="280"/>
      <c r="Y26" s="128" t="str">
        <f>'2.9 PCFP Funding Comparison YR1'!V23</f>
        <v>PCFP</v>
      </c>
      <c r="Z26" s="1480">
        <f>U26-'2.9 PCFP Funding Comparison YR1'!H23</f>
        <v>138250949.85000002</v>
      </c>
      <c r="AA26" s="1260" t="str">
        <f>IF('2.9 PCFP Funding Comparison YR1'!K23="Yes","PCFP","FY 2020 Baseline")</f>
        <v>PCFP</v>
      </c>
      <c r="AB26" s="1482">
        <f>U26-'Biennial Comparison'!C22</f>
        <v>121643052.23395598</v>
      </c>
      <c r="AC26" s="12"/>
    </row>
    <row r="27" spans="1:29" x14ac:dyDescent="0.3">
      <c r="A27" s="132"/>
      <c r="B27" s="10" t="str">
        <f>'1.2 Budgeted Enrollment YR1'!E25</f>
        <v>White Pine</v>
      </c>
      <c r="D27" s="10" t="str">
        <f>IF('2.9 PCFP Funding Comparison YR1'!K23="Yes","PCFP","Hold Harmless")</f>
        <v>PCFP</v>
      </c>
      <c r="E27" s="741" t="str">
        <f>'3.1a Initial Allocations YR1'!D28</f>
        <v>PCFP</v>
      </c>
      <c r="F27" s="559">
        <f>ROUND(('3.1a Initial Allocations YR1'!E28)*'3.1b Allocation Adj. YR1 '!$K$3,2)</f>
        <v>17828314.93</v>
      </c>
      <c r="G27" s="559">
        <f>ROUND(F27/'2.9 PCFP Funding Comparison YR1'!D24,0)</f>
        <v>14156</v>
      </c>
      <c r="H27" s="9"/>
      <c r="I27" s="565">
        <f>ROUND(('3.1a Initial Allocations YR1'!G28*'3.1b Allocation Adj. YR1 '!$K$3),2)</f>
        <v>60519.88</v>
      </c>
      <c r="J27" s="559">
        <f>ROUND('3.1a Initial Allocations YR1'!H28*'3.1b Allocation Adj. YR1 '!$K$3,2)</f>
        <v>342049.41</v>
      </c>
      <c r="K27" s="559">
        <f>ROUND('3.1a Initial Allocations YR1'!I28*'3.1b Allocation Adj. YR1 '!$K$3,2)</f>
        <v>0</v>
      </c>
      <c r="L27" s="559">
        <f t="shared" si="0"/>
        <v>402569.29</v>
      </c>
      <c r="M27" s="9"/>
      <c r="N27" s="559">
        <f>ROUND('3.1a Initial Allocations YR1'!L28*'3.1b Allocation Adj. YR1 '!$K$3,2)</f>
        <v>1216700.04</v>
      </c>
      <c r="O27" s="559">
        <f>ROUND('3.1a Initial Allocations YR1'!M28*'3.1b Allocation Adj. YR1 '!$K$3,2)</f>
        <v>0</v>
      </c>
      <c r="P27" s="559">
        <f>ROUND('3.1a Initial Allocations YR1'!N28*'3.1b Allocation Adj. YR1 '!$K$3,0)</f>
        <v>48713</v>
      </c>
      <c r="Q27" s="559">
        <f>ROUND('3.1a Initial Allocations YR1'!O28*'3.1b Allocation Adj. YR1 '!$K$3,2)</f>
        <v>1265413.22</v>
      </c>
      <c r="R27" s="115"/>
      <c r="S27" s="559">
        <f>ROUND('3.1a Initial Allocations YR1'!Q28*'3.1b Allocation Adj. YR1 '!$K$3,2)</f>
        <v>598608.42000000004</v>
      </c>
      <c r="T27" s="9"/>
      <c r="U27" s="581">
        <f t="shared" si="1"/>
        <v>20094905.859999999</v>
      </c>
      <c r="V27" s="12"/>
      <c r="W27" s="130">
        <f>ROUND(U27/'2.9 PCFP Funding Comparison YR1'!D24,0)</f>
        <v>15956</v>
      </c>
      <c r="X27" s="280"/>
      <c r="Y27" s="128" t="str">
        <f>'2.9 PCFP Funding Comparison YR1'!V24</f>
        <v>PCFP</v>
      </c>
      <c r="Z27" s="1480">
        <f>U27-'2.9 PCFP Funding Comparison YR1'!H24</f>
        <v>4864332.8599999994</v>
      </c>
      <c r="AA27" s="1260" t="str">
        <f>IF('2.9 PCFP Funding Comparison YR1'!K24="Yes","PCFP","FY 2020 Baseline")</f>
        <v>PCFP</v>
      </c>
      <c r="AB27" s="1482">
        <f>U27-'Biennial Comparison'!C23</f>
        <v>4113988.6750211827</v>
      </c>
      <c r="AC27" s="12"/>
    </row>
    <row r="28" spans="1:29" x14ac:dyDescent="0.3">
      <c r="A28" s="132"/>
      <c r="B28" s="10" t="str">
        <f>'1.2 Budgeted Enrollment YR1'!E26</f>
        <v>Charter Schools (Combined)</v>
      </c>
      <c r="D28" s="10" t="str">
        <f>IF('2.9 PCFP Funding Comparison YR1'!K24="Yes","PCFP","Hold Harmless")</f>
        <v>PCFP</v>
      </c>
      <c r="E28" s="741" t="str">
        <f>'3.1a Initial Allocations YR1'!D29</f>
        <v>PCFP</v>
      </c>
      <c r="F28" s="559">
        <f>F94</f>
        <v>620816641.21999979</v>
      </c>
      <c r="G28" s="559">
        <f>G94</f>
        <v>0</v>
      </c>
      <c r="H28" s="9"/>
      <c r="I28" s="565">
        <f>I94</f>
        <v>22230970.27</v>
      </c>
      <c r="J28" s="559">
        <f>J94</f>
        <v>9571107.4000000004</v>
      </c>
      <c r="K28" s="559">
        <f>K94</f>
        <v>1180272.22</v>
      </c>
      <c r="L28" s="559">
        <f>L94</f>
        <v>32982349.870000001</v>
      </c>
      <c r="M28" s="9"/>
      <c r="N28" s="559">
        <f>N94</f>
        <v>0</v>
      </c>
      <c r="O28" s="559">
        <f>O94</f>
        <v>0</v>
      </c>
      <c r="P28" s="559">
        <f>P94</f>
        <v>0</v>
      </c>
      <c r="Q28" s="559">
        <f>Q94</f>
        <v>0</v>
      </c>
      <c r="R28" s="115"/>
      <c r="S28" s="559">
        <f>S94</f>
        <v>14758608.460000001</v>
      </c>
      <c r="T28" s="9"/>
      <c r="U28" s="581">
        <f>U94</f>
        <v>668557599.54999983</v>
      </c>
      <c r="V28" s="12"/>
      <c r="W28" s="130">
        <f>ROUND(U28/'2.9 PCFP Funding Comparison YR1'!D25,0)</f>
        <v>9689</v>
      </c>
      <c r="X28" s="280"/>
      <c r="Y28" s="128" t="str">
        <f>'2.9 PCFP Funding Comparison YR1'!V25</f>
        <v>PCFP</v>
      </c>
      <c r="Z28" s="1480">
        <f>U28-'2.9 PCFP Funding Comparison YR1'!H25</f>
        <v>234751073.54999983</v>
      </c>
      <c r="AA28" s="1260" t="str">
        <f>IF('2.9 PCFP Funding Comparison YR1'!K25="Yes","PCFP","FY 2020 Baseline")</f>
        <v>PCFP</v>
      </c>
      <c r="AB28" s="1482">
        <f>U28-'Biennial Comparison'!C24</f>
        <v>177670098.28884035</v>
      </c>
      <c r="AC28" s="12"/>
    </row>
    <row r="29" spans="1:29" x14ac:dyDescent="0.3">
      <c r="A29" s="195"/>
      <c r="B29" s="183" t="str">
        <f>'1.2 Budgeted Enrollment YR1'!E27</f>
        <v>University Schools</v>
      </c>
      <c r="C29" s="183"/>
      <c r="D29" s="183" t="str">
        <f>IF('2.9 PCFP Funding Comparison YR1'!K25="Yes","PCFP","Hold Harmless")</f>
        <v>PCFP</v>
      </c>
      <c r="E29" s="741" t="str">
        <f>'3.1a Initial Allocations YR1'!D30</f>
        <v>PCFP</v>
      </c>
      <c r="F29" s="559">
        <f>F99</f>
        <v>1452873.52</v>
      </c>
      <c r="G29" s="561">
        <f>G99</f>
        <v>8966</v>
      </c>
      <c r="H29" s="9"/>
      <c r="I29" s="565">
        <f>I99</f>
        <v>0</v>
      </c>
      <c r="J29" s="559">
        <f>J99</f>
        <v>0</v>
      </c>
      <c r="K29" s="559">
        <f>K99</f>
        <v>0</v>
      </c>
      <c r="L29" s="559">
        <f>L99</f>
        <v>0</v>
      </c>
      <c r="M29" s="9"/>
      <c r="N29" s="559">
        <f>N99</f>
        <v>0</v>
      </c>
      <c r="O29" s="559">
        <f>O99</f>
        <v>0</v>
      </c>
      <c r="P29" s="559">
        <f>P99</f>
        <v>0</v>
      </c>
      <c r="Q29" s="559">
        <f>Q99</f>
        <v>0</v>
      </c>
      <c r="R29" s="115"/>
      <c r="S29" s="559">
        <f>S99</f>
        <v>0</v>
      </c>
      <c r="T29" s="9"/>
      <c r="U29" s="581">
        <f>U99</f>
        <v>1452873.52</v>
      </c>
      <c r="V29" s="12"/>
      <c r="W29" s="130">
        <f>ROUND(U29/'2.9 PCFP Funding Comparison YR1'!D26,0)</f>
        <v>8966</v>
      </c>
      <c r="X29" s="280"/>
      <c r="Y29" s="196" t="str">
        <f>'2.9 PCFP Funding Comparison YR1'!V26</f>
        <v>PCFP</v>
      </c>
      <c r="Z29" s="1481">
        <f>U29-'2.9 PCFP Funding Comparison YR1'!H26</f>
        <v>291466.52</v>
      </c>
      <c r="AA29" s="1261" t="str">
        <f>IF('2.9 PCFP Funding Comparison YR1'!K26="Yes","PCFP","FY 2020 Baseline")</f>
        <v>PCFP</v>
      </c>
      <c r="AB29" s="1483">
        <f>U29-'Biennial Comparison'!C25</f>
        <v>223825.54072744353</v>
      </c>
      <c r="AC29" s="12"/>
    </row>
    <row r="30" spans="1:29" x14ac:dyDescent="0.3">
      <c r="A30" s="425"/>
      <c r="B30" s="427" t="s">
        <v>89</v>
      </c>
      <c r="C30" s="427"/>
      <c r="D30" s="427"/>
      <c r="E30" s="427"/>
      <c r="F30" s="1432">
        <f>ROUND(SUM(F11:F29),2)</f>
        <v>4379176003.8199997</v>
      </c>
      <c r="G30" s="1158">
        <f>ROUND(F30/'2.9 PCFP Funding Comparison YR1'!D27,0)</f>
        <v>9292</v>
      </c>
      <c r="H30" s="9"/>
      <c r="I30" s="1436">
        <f>ROUND(SUM(I11:I29),0)</f>
        <v>212534769</v>
      </c>
      <c r="J30" s="1432">
        <f>ROUND(SUM(J11:J29),0)</f>
        <v>198666203</v>
      </c>
      <c r="K30" s="1435">
        <f>ROUND(SUM(K11:K29),0)</f>
        <v>7992928</v>
      </c>
      <c r="L30" s="564">
        <f>ROUND(SUM(L11:L29),0)</f>
        <v>419193900</v>
      </c>
      <c r="M30" s="9"/>
      <c r="N30" s="1432">
        <f>ROUND(SUM(N11:N29),0)</f>
        <v>193150692</v>
      </c>
      <c r="O30" s="564">
        <f>ROUND(SUM(O11:O29),0)</f>
        <v>0</v>
      </c>
      <c r="P30" s="1432">
        <f>ROUND(SUM(P11:P29),0)</f>
        <v>1619718</v>
      </c>
      <c r="Q30" s="564">
        <f>ROUND(SUM(Q11:Q29),0)</f>
        <v>194770412</v>
      </c>
      <c r="R30" s="428"/>
      <c r="S30" s="1432">
        <f>ROUND(SUM(S11:S29),0)</f>
        <v>483781493</v>
      </c>
      <c r="T30" s="9"/>
      <c r="U30" s="564">
        <f>ROUND(SUM(U11:U29),0)</f>
        <v>5476921809</v>
      </c>
      <c r="V30" s="1159"/>
      <c r="W30" s="429">
        <f>ROUND(U30/'2.9 PCFP Funding Comparison YR1'!D27,0)</f>
        <v>11621</v>
      </c>
      <c r="Z30" s="1484">
        <f>SUM(Z11:Z29)</f>
        <v>1399773087.73</v>
      </c>
      <c r="AA30" s="4"/>
      <c r="AB30" s="1484">
        <f>SUM(AB11:AB29)</f>
        <v>1013557528.7300001</v>
      </c>
    </row>
    <row r="31" spans="1:29" x14ac:dyDescent="0.3">
      <c r="B31" s="263"/>
      <c r="C31" s="262"/>
      <c r="D31" s="262"/>
      <c r="E31" s="262"/>
      <c r="F31" s="516"/>
      <c r="G31" s="516"/>
      <c r="H31" s="9"/>
      <c r="I31" s="1160"/>
      <c r="J31" s="1161"/>
      <c r="K31" s="1161"/>
      <c r="L31" s="516"/>
      <c r="M31" s="9"/>
      <c r="N31" s="516"/>
      <c r="O31" s="516"/>
      <c r="P31" s="516"/>
      <c r="Q31" s="516"/>
      <c r="R31" s="1161"/>
      <c r="S31" s="516"/>
      <c r="T31" s="9"/>
      <c r="U31" s="1162">
        <f>U30-'1.3 Budgeted Revenues YR1'!C35</f>
        <v>-0.48083782196044922</v>
      </c>
      <c r="V31" s="1163"/>
      <c r="W31" s="12"/>
      <c r="Y31" s="552">
        <f>U30-'3.1a Initial Allocations YR1'!S31</f>
        <v>-9218765.2399997711</v>
      </c>
      <c r="Z31" s="280" t="s">
        <v>1067</v>
      </c>
    </row>
    <row r="32" spans="1:29" x14ac:dyDescent="0.3">
      <c r="A32" s="425"/>
      <c r="B32" s="430"/>
      <c r="C32" s="303" t="s">
        <v>879</v>
      </c>
      <c r="D32" s="303"/>
      <c r="E32" s="303"/>
      <c r="F32" s="1064" t="s">
        <v>1061</v>
      </c>
      <c r="G32" s="1064" t="s">
        <v>1062</v>
      </c>
      <c r="H32" s="734"/>
      <c r="I32" s="1056" t="s">
        <v>1061</v>
      </c>
      <c r="J32" s="1056" t="s">
        <v>1061</v>
      </c>
      <c r="K32" s="1065" t="s">
        <v>1061</v>
      </c>
      <c r="L32" s="1056" t="s">
        <v>1061</v>
      </c>
      <c r="M32" s="734"/>
      <c r="N32" s="1056" t="s">
        <v>1061</v>
      </c>
      <c r="O32" s="1056" t="s">
        <v>1061</v>
      </c>
      <c r="P32" s="1056" t="s">
        <v>1061</v>
      </c>
      <c r="Q32" s="1056" t="s">
        <v>1061</v>
      </c>
      <c r="R32" s="1066"/>
      <c r="S32" s="1056" t="s">
        <v>1061</v>
      </c>
      <c r="T32" s="734"/>
      <c r="U32" s="1060"/>
      <c r="V32" s="1066"/>
      <c r="W32" s="1067"/>
      <c r="X32" s="316"/>
      <c r="Y32" s="558">
        <f>(U30-'1.3 Budgeted Revenues YR1'!C35)/U30</f>
        <v>-8.7793442873387062E-11</v>
      </c>
      <c r="Z32" s="10" t="s">
        <v>1063</v>
      </c>
    </row>
    <row r="33" spans="1:26" x14ac:dyDescent="0.3">
      <c r="A33" s="4" t="s">
        <v>740</v>
      </c>
      <c r="B33" s="132"/>
      <c r="F33" s="194"/>
      <c r="G33" s="194"/>
      <c r="H33" s="734"/>
      <c r="I33" s="1061"/>
      <c r="J33" s="1061"/>
      <c r="K33" s="15"/>
      <c r="L33" s="1061"/>
      <c r="M33" s="734"/>
      <c r="N33" s="1061"/>
      <c r="O33" s="1061"/>
      <c r="P33" s="1061"/>
      <c r="Q33" s="1061"/>
      <c r="R33" s="15"/>
      <c r="S33" s="1061"/>
      <c r="T33" s="734"/>
      <c r="U33" s="1061"/>
      <c r="V33" s="15"/>
      <c r="W33" s="1063"/>
      <c r="X33" s="321"/>
    </row>
    <row r="34" spans="1:26" x14ac:dyDescent="0.3">
      <c r="A34" s="4"/>
      <c r="B34" s="132" t="str">
        <f>'1.2 Budgeted Enrollment YR1'!E32</f>
        <v>100 Academy Of Excellence</v>
      </c>
      <c r="D34" s="10" t="str">
        <f>$D$29</f>
        <v>PCFP</v>
      </c>
      <c r="E34" s="10" t="str">
        <f>$E$28</f>
        <v>PCFP</v>
      </c>
      <c r="F34" s="559">
        <f>ROUND('3.1a Initial Allocations YR1'!E35*$K$3,2)</f>
        <v>2844996.17</v>
      </c>
      <c r="G34" s="559">
        <f>ROUND(IF(F34=0,0,F34/'2.9 PCFP Funding Comparison YR1'!D30),0)</f>
        <v>8966</v>
      </c>
      <c r="H34" s="9"/>
      <c r="I34" s="559">
        <f>ROUND('3.1a Initial Allocations YR1'!G35*'3.1b Allocation Adj. YR1 '!$K$3,2)</f>
        <v>121039.77</v>
      </c>
      <c r="J34" s="559">
        <f>ROUND('3.1a Initial Allocations YR1'!H35*'3.1b Allocation Adj. YR1 '!$K$3,2)</f>
        <v>505228.95</v>
      </c>
      <c r="K34" s="595">
        <f>ROUND('3.1a Initial Allocations YR1'!I35*'3.1b Allocation Adj. YR1 '!$K$3,2)</f>
        <v>0</v>
      </c>
      <c r="L34" s="559">
        <f>ROUND('3.1a Initial Allocations YR1'!J35*'3.1b Allocation Adj. YR1 '!$K$3,2)</f>
        <v>626268.71</v>
      </c>
      <c r="M34" s="9"/>
      <c r="N34" s="130">
        <v>0</v>
      </c>
      <c r="O34" s="130">
        <v>0</v>
      </c>
      <c r="P34" s="130">
        <v>0</v>
      </c>
      <c r="Q34" s="559">
        <f>SUM(N34:P34)</f>
        <v>0</v>
      </c>
      <c r="R34" s="115"/>
      <c r="S34" s="559">
        <f>ROUND('3.1a Initial Allocations YR1'!Q35*'3.1b Allocation Adj. YR1 '!$K$3,2)</f>
        <v>129745.61</v>
      </c>
      <c r="T34" s="9"/>
      <c r="U34" s="559">
        <f>ROUND(Q34+L34+F34+S34,2)</f>
        <v>3601010.49</v>
      </c>
      <c r="V34" s="115"/>
      <c r="W34" s="559">
        <f>IF(F34=0,0,IF(U34=0,0,U34/'2.9 PCFP Funding Comparison YR1'!D30))</f>
        <v>11348.470346152273</v>
      </c>
      <c r="X34" s="321"/>
    </row>
    <row r="35" spans="1:26" x14ac:dyDescent="0.3">
      <c r="A35" s="4"/>
      <c r="B35" s="132" t="str">
        <f>'1.2 Budgeted Enrollment YR1'!E33</f>
        <v>Academy For Career Education</v>
      </c>
      <c r="D35" s="10" t="str">
        <f t="shared" ref="D35:D92" si="2">$D$29</f>
        <v>PCFP</v>
      </c>
      <c r="E35" s="10" t="str">
        <f t="shared" ref="E35:E92" si="3">$E$28</f>
        <v>PCFP</v>
      </c>
      <c r="F35" s="559">
        <f>ROUND('3.1a Initial Allocations YR1'!E36*$K$3,2)</f>
        <v>2090552.56</v>
      </c>
      <c r="G35" s="559">
        <f>ROUND(IF(F35=0,0,F35/'2.9 PCFP Funding Comparison YR1'!D31),0)</f>
        <v>8966</v>
      </c>
      <c r="H35" s="9"/>
      <c r="I35" s="559">
        <f>ROUND('3.1a Initial Allocations YR1'!G36*'3.1b Allocation Adj. YR1 '!$K$3,2)</f>
        <v>88762.49</v>
      </c>
      <c r="J35" s="559">
        <f>ROUND('3.1a Initial Allocations YR1'!H36*'3.1b Allocation Adj. YR1 '!$K$3,2)</f>
        <v>6276.14</v>
      </c>
      <c r="K35" s="595">
        <f>ROUND('3.1a Initial Allocations YR1'!I36*'3.1b Allocation Adj. YR1 '!$K$3,2)</f>
        <v>0</v>
      </c>
      <c r="L35" s="559">
        <f>ROUND('3.1a Initial Allocations YR1'!J36*'3.1b Allocation Adj. YR1 '!$K$3,2)</f>
        <v>95038.63</v>
      </c>
      <c r="M35" s="9"/>
      <c r="N35" s="130">
        <v>0</v>
      </c>
      <c r="O35" s="130">
        <v>0</v>
      </c>
      <c r="P35" s="130">
        <v>0</v>
      </c>
      <c r="Q35" s="559">
        <f t="shared" ref="Q35:Q92" si="4">SUM(N35:P35)</f>
        <v>0</v>
      </c>
      <c r="R35" s="115"/>
      <c r="S35" s="559">
        <f>ROUND('3.1a Initial Allocations YR1'!Q36*'3.1b Allocation Adj. YR1 '!$K$3,2)</f>
        <v>95035.04</v>
      </c>
      <c r="T35" s="9"/>
      <c r="U35" s="559">
        <f t="shared" ref="U35:U93" si="5">ROUND(Q35+L35+F35+S35,2)</f>
        <v>2280626.23</v>
      </c>
      <c r="V35" s="115"/>
      <c r="W35" s="559">
        <f>IF(F35=0,0,IF(U35=0,0,U35/'2.9 PCFP Funding Comparison YR1'!D31))</f>
        <v>9781.0988935422574</v>
      </c>
      <c r="Z35" s="15"/>
    </row>
    <row r="36" spans="1:26" x14ac:dyDescent="0.3">
      <c r="A36" s="4"/>
      <c r="B36" s="132" t="str">
        <f>'1.2 Budgeted Enrollment YR1'!E34</f>
        <v xml:space="preserve">Alpine Academy </v>
      </c>
      <c r="D36" s="10" t="str">
        <f t="shared" si="2"/>
        <v>PCFP</v>
      </c>
      <c r="E36" s="10" t="str">
        <f t="shared" si="3"/>
        <v>PCFP</v>
      </c>
      <c r="F36" s="559">
        <f>ROUND('3.1a Initial Allocations YR1'!E37*$K$3,2)</f>
        <v>1325297.52</v>
      </c>
      <c r="G36" s="559">
        <f>ROUND(IF(F36=0,0,F36/'2.9 PCFP Funding Comparison YR1'!D32),0)</f>
        <v>8966</v>
      </c>
      <c r="H36" s="9"/>
      <c r="I36" s="559">
        <f>ROUND('3.1a Initial Allocations YR1'!G37*'3.1b Allocation Adj. YR1 '!$K$3,2)</f>
        <v>0</v>
      </c>
      <c r="J36" s="559">
        <f>ROUND('3.1a Initial Allocations YR1'!H37*'3.1b Allocation Adj. YR1 '!$K$3,2)</f>
        <v>15690.34</v>
      </c>
      <c r="K36" s="595">
        <f>ROUND('3.1a Initial Allocations YR1'!I37*'3.1b Allocation Adj. YR1 '!$K$3,2)</f>
        <v>0</v>
      </c>
      <c r="L36" s="559">
        <f>ROUND('3.1a Initial Allocations YR1'!J37*'3.1b Allocation Adj. YR1 '!$K$3,2)</f>
        <v>15690.34</v>
      </c>
      <c r="M36" s="9"/>
      <c r="N36" s="130">
        <v>0</v>
      </c>
      <c r="O36" s="130">
        <v>0</v>
      </c>
      <c r="P36" s="130">
        <v>0</v>
      </c>
      <c r="Q36" s="559">
        <f t="shared" si="4"/>
        <v>0</v>
      </c>
      <c r="R36" s="115"/>
      <c r="S36" s="559">
        <f>ROUND('3.1a Initial Allocations YR1'!Q37*'3.1b Allocation Adj. YR1 '!$K$3,2)</f>
        <v>79341.45</v>
      </c>
      <c r="T36" s="9"/>
      <c r="U36" s="559">
        <f t="shared" si="5"/>
        <v>1420329.31</v>
      </c>
      <c r="V36" s="115"/>
      <c r="W36" s="559">
        <f>IF(F36=0,0,IF(U36=0,0,U36/'2.9 PCFP Funding Comparison YR1'!D32))</f>
        <v>9608.8251759773484</v>
      </c>
    </row>
    <row r="37" spans="1:26" x14ac:dyDescent="0.3">
      <c r="A37" s="4"/>
      <c r="B37" s="132" t="str">
        <f>'1.2 Budgeted Enrollment YR1'!E35</f>
        <v xml:space="preserve">Amplus (Formerly American Preparatory Academy) </v>
      </c>
      <c r="D37" s="10" t="str">
        <f t="shared" si="2"/>
        <v>PCFP</v>
      </c>
      <c r="E37" s="10" t="str">
        <f t="shared" si="3"/>
        <v>PCFP</v>
      </c>
      <c r="F37" s="559">
        <f>ROUND('3.1a Initial Allocations YR1'!E38*$K$3,2)</f>
        <v>20332083.48</v>
      </c>
      <c r="G37" s="559">
        <f>ROUND(IF(F37=0,0,F37/'2.9 PCFP Funding Comparison YR1'!D33),0)</f>
        <v>8966</v>
      </c>
      <c r="H37" s="9"/>
      <c r="I37" s="559">
        <f>ROUND('3.1a Initial Allocations YR1'!G38*'3.1b Allocation Adj. YR1 '!$K$3,2)</f>
        <v>702030.64</v>
      </c>
      <c r="J37" s="559">
        <f>ROUND('3.1a Initial Allocations YR1'!H38*'3.1b Allocation Adj. YR1 '!$K$3,2)</f>
        <v>122384.65</v>
      </c>
      <c r="K37" s="595">
        <f>ROUND('3.1a Initial Allocations YR1'!I38*'3.1b Allocation Adj. YR1 '!$K$3,2)</f>
        <v>43036.36</v>
      </c>
      <c r="L37" s="559">
        <f>ROUND('3.1a Initial Allocations YR1'!J38*'3.1b Allocation Adj. YR1 '!$K$3,2)</f>
        <v>867451.65</v>
      </c>
      <c r="M37" s="9"/>
      <c r="N37" s="130">
        <v>0</v>
      </c>
      <c r="O37" s="130">
        <v>0</v>
      </c>
      <c r="P37" s="130">
        <v>0</v>
      </c>
      <c r="Q37" s="559">
        <f t="shared" si="4"/>
        <v>0</v>
      </c>
      <c r="R37" s="115"/>
      <c r="S37" s="559">
        <f>ROUND('3.1a Initial Allocations YR1'!Q38*'3.1b Allocation Adj. YR1 '!$K$3,2)</f>
        <v>23544.37</v>
      </c>
      <c r="T37" s="9"/>
      <c r="U37" s="559">
        <f t="shared" si="5"/>
        <v>21223079.5</v>
      </c>
      <c r="V37" s="115"/>
      <c r="W37" s="559">
        <f>IF(F37=0,0,IF(U37=0,0,U37/'2.9 PCFP Funding Comparison YR1'!D33))</f>
        <v>9358.8210533254296</v>
      </c>
    </row>
    <row r="38" spans="1:26" x14ac:dyDescent="0.3">
      <c r="A38" s="4"/>
      <c r="B38" s="132" t="str">
        <f>'1.2 Budgeted Enrollment YR1'!E36</f>
        <v>Bailey Charter School</v>
      </c>
      <c r="D38" s="10" t="str">
        <f t="shared" si="2"/>
        <v>PCFP</v>
      </c>
      <c r="E38" s="10" t="str">
        <f t="shared" si="3"/>
        <v>PCFP</v>
      </c>
      <c r="F38" s="559">
        <f>ROUND('3.1a Initial Allocations YR1'!E39*$K$3,2)</f>
        <v>1571988.93</v>
      </c>
      <c r="G38" s="559">
        <f>ROUND(IF(F38=0,0,F38/'2.9 PCFP Funding Comparison YR1'!D34),0)</f>
        <v>8966</v>
      </c>
      <c r="H38" s="9"/>
      <c r="I38" s="559">
        <f>ROUND('3.1a Initial Allocations YR1'!G39*'3.1b Allocation Adj. YR1 '!$K$3,2)</f>
        <v>302599.40999999997</v>
      </c>
      <c r="J38" s="559">
        <f>ROUND('3.1a Initial Allocations YR1'!H39*'3.1b Allocation Adj. YR1 '!$K$3,2)</f>
        <v>116108.52</v>
      </c>
      <c r="K38" s="595">
        <f>ROUND('3.1a Initial Allocations YR1'!I39*'3.1b Allocation Adj. YR1 '!$K$3,2)</f>
        <v>0</v>
      </c>
      <c r="L38" s="559">
        <f>ROUND('3.1a Initial Allocations YR1'!J39*'3.1b Allocation Adj. YR1 '!$K$3,2)</f>
        <v>418707.93</v>
      </c>
      <c r="M38" s="9"/>
      <c r="N38" s="130">
        <v>0</v>
      </c>
      <c r="O38" s="130">
        <v>0</v>
      </c>
      <c r="P38" s="130">
        <v>0</v>
      </c>
      <c r="Q38" s="559">
        <f t="shared" si="4"/>
        <v>0</v>
      </c>
      <c r="R38" s="115"/>
      <c r="S38" s="559">
        <f>ROUND('3.1a Initial Allocations YR1'!Q39*'3.1b Allocation Adj. YR1 '!$K$3,2)</f>
        <v>67655.12</v>
      </c>
      <c r="T38" s="9"/>
      <c r="U38" s="559">
        <f t="shared" si="5"/>
        <v>2058351.98</v>
      </c>
      <c r="V38" s="115"/>
      <c r="W38" s="559">
        <f>IF(F38=0,0,IF(U38=0,0,U38/'2.9 PCFP Funding Comparison YR1'!D34))</f>
        <v>11739.910521467167</v>
      </c>
      <c r="Y38" s="12"/>
    </row>
    <row r="39" spans="1:26" x14ac:dyDescent="0.3">
      <c r="A39" s="4"/>
      <c r="B39" s="132" t="str">
        <f>'1.2 Budgeted Enrollment YR1'!E37</f>
        <v>Battle Born Academy</v>
      </c>
      <c r="D39" s="10" t="str">
        <f t="shared" si="2"/>
        <v>PCFP</v>
      </c>
      <c r="E39" s="10" t="str">
        <f t="shared" si="3"/>
        <v>PCFP</v>
      </c>
      <c r="F39" s="559">
        <f>ROUND('3.1a Initial Allocations YR1'!E40*$K$3,2)</f>
        <v>1185033.0900000001</v>
      </c>
      <c r="G39" s="559">
        <f>ROUND(IF(F39=0,0,F39/'2.9 PCFP Funding Comparison YR1'!D35),0)</f>
        <v>8966</v>
      </c>
      <c r="H39" s="9"/>
      <c r="I39" s="559">
        <f>ROUND('3.1a Initial Allocations YR1'!G40*'3.1b Allocation Adj. YR1 '!$K$3,2)</f>
        <v>225940.9</v>
      </c>
      <c r="J39" s="559">
        <f>ROUND('3.1a Initial Allocations YR1'!H40*'3.1b Allocation Adj. YR1 '!$K$3,2)</f>
        <v>0</v>
      </c>
      <c r="K39" s="595">
        <f>ROUND('3.1a Initial Allocations YR1'!I40*'3.1b Allocation Adj. YR1 '!$K$3,2)</f>
        <v>0</v>
      </c>
      <c r="L39" s="559">
        <f>ROUND('3.1a Initial Allocations YR1'!J40*'3.1b Allocation Adj. YR1 '!$K$3,2)</f>
        <v>225940.9</v>
      </c>
      <c r="M39" s="9"/>
      <c r="N39" s="130">
        <v>0</v>
      </c>
      <c r="O39" s="130">
        <v>0</v>
      </c>
      <c r="P39" s="130">
        <v>0</v>
      </c>
      <c r="Q39" s="559">
        <f t="shared" si="4"/>
        <v>0</v>
      </c>
      <c r="R39" s="115"/>
      <c r="S39" s="559">
        <f>ROUND('3.1a Initial Allocations YR1'!Q40*'3.1b Allocation Adj. YR1 '!$K$3,2)</f>
        <v>0</v>
      </c>
      <c r="T39" s="9"/>
      <c r="U39" s="559">
        <f t="shared" si="5"/>
        <v>1410973.99</v>
      </c>
      <c r="V39" s="115"/>
      <c r="W39" s="559">
        <f>IF(F39=0,0,IF(U39=0,0,U39/'2.9 PCFP Funding Comparison YR1'!D35))</f>
        <v>10675.375427770514</v>
      </c>
      <c r="Y39" s="12"/>
    </row>
    <row r="40" spans="1:26" x14ac:dyDescent="0.3">
      <c r="A40" s="4"/>
      <c r="B40" s="132" t="str">
        <f>'1.2 Budgeted Enrollment YR1'!E38</f>
        <v>Beacon Academy</v>
      </c>
      <c r="D40" s="10" t="str">
        <f t="shared" si="2"/>
        <v>PCFP</v>
      </c>
      <c r="E40" s="10" t="str">
        <f t="shared" si="3"/>
        <v>PCFP</v>
      </c>
      <c r="F40" s="559">
        <f>ROUND('3.1a Initial Allocations YR1'!E41*$K$3,2)</f>
        <v>5390386.3099999996</v>
      </c>
      <c r="G40" s="559">
        <f>ROUND(IF(F40=0,0,F40/'2.9 PCFP Funding Comparison YR1'!D36),0)</f>
        <v>8966</v>
      </c>
      <c r="H40" s="9"/>
      <c r="I40" s="559">
        <f>ROUND('3.1a Initial Allocations YR1'!G41*'3.1b Allocation Adj. YR1 '!$K$3,2)</f>
        <v>225940.9</v>
      </c>
      <c r="J40" s="559">
        <f>ROUND('3.1a Initial Allocations YR1'!H41*'3.1b Allocation Adj. YR1 '!$K$3,2)</f>
        <v>527195.42000000004</v>
      </c>
      <c r="K40" s="595">
        <f>ROUND('3.1a Initial Allocations YR1'!I41*'3.1b Allocation Adj. YR1 '!$K$3,2)</f>
        <v>0</v>
      </c>
      <c r="L40" s="559">
        <f>ROUND('3.1a Initial Allocations YR1'!J41*'3.1b Allocation Adj. YR1 '!$K$3,2)</f>
        <v>753136.32</v>
      </c>
      <c r="M40" s="9"/>
      <c r="N40" s="130">
        <v>0</v>
      </c>
      <c r="O40" s="130">
        <v>0</v>
      </c>
      <c r="P40" s="130">
        <v>0</v>
      </c>
      <c r="Q40" s="559">
        <f t="shared" si="4"/>
        <v>0</v>
      </c>
      <c r="R40" s="115"/>
      <c r="S40" s="559">
        <f>ROUND('3.1a Initial Allocations YR1'!Q41*'3.1b Allocation Adj. YR1 '!$K$3,2)</f>
        <v>275393.46000000002</v>
      </c>
      <c r="T40" s="9"/>
      <c r="U40" s="559">
        <f t="shared" si="5"/>
        <v>6418916.0899999999</v>
      </c>
      <c r="V40" s="115"/>
      <c r="W40" s="559">
        <f>IF(F40=0,0,IF(U40=0,0,U40/'2.9 PCFP Funding Comparison YR1'!D36))</f>
        <v>10676.685121397382</v>
      </c>
      <c r="Y40" s="12"/>
    </row>
    <row r="41" spans="1:26" x14ac:dyDescent="0.3">
      <c r="A41" s="4"/>
      <c r="B41" s="132" t="str">
        <f>'1.2 Budgeted Enrollment YR1'!E39</f>
        <v>Cactus Park</v>
      </c>
      <c r="D41" s="10" t="str">
        <f t="shared" si="2"/>
        <v>PCFP</v>
      </c>
      <c r="E41" s="10" t="str">
        <f t="shared" si="3"/>
        <v>PCFP</v>
      </c>
      <c r="F41" s="559">
        <f>ROUND('3.1a Initial Allocations YR1'!E42*$K$3,2)</f>
        <v>973067.3</v>
      </c>
      <c r="G41" s="559">
        <f>ROUND(IF(F41=0,0,F41/'2.9 PCFP Funding Comparison YR1'!D37),0)</f>
        <v>8966</v>
      </c>
      <c r="H41" s="9"/>
      <c r="I41" s="559">
        <f>ROUND('3.1a Initial Allocations YR1'!G42*'3.1b Allocation Adj. YR1 '!$K$3,2)</f>
        <v>88762.49</v>
      </c>
      <c r="J41" s="559">
        <f>ROUND('3.1a Initial Allocations YR1'!H42*'3.1b Allocation Adj. YR1 '!$K$3,2)</f>
        <v>0</v>
      </c>
      <c r="K41" s="595">
        <f>ROUND('3.1a Initial Allocations YR1'!I42*'3.1b Allocation Adj. YR1 '!$K$3,2)</f>
        <v>0</v>
      </c>
      <c r="L41" s="559">
        <f>ROUND('3.1a Initial Allocations YR1'!J42*'3.1b Allocation Adj. YR1 '!$K$3,2)</f>
        <v>88762.49</v>
      </c>
      <c r="M41" s="9"/>
      <c r="N41" s="130">
        <v>0</v>
      </c>
      <c r="O41" s="130">
        <v>0</v>
      </c>
      <c r="P41" s="130">
        <v>0</v>
      </c>
      <c r="Q41" s="559">
        <f t="shared" si="4"/>
        <v>0</v>
      </c>
      <c r="R41" s="115"/>
      <c r="S41" s="559">
        <f>ROUND('3.1a Initial Allocations YR1'!Q42*'3.1b Allocation Adj. YR1 '!$K$3,2)</f>
        <v>0</v>
      </c>
      <c r="T41" s="9"/>
      <c r="U41" s="559">
        <f t="shared" si="5"/>
        <v>1061829.79</v>
      </c>
      <c r="V41" s="115"/>
      <c r="W41" s="559">
        <f>IF(F41=0,0,IF(U41=0,0,U41/'2.9 PCFP Funding Comparison YR1'!D37))</f>
        <v>9783.7794322941008</v>
      </c>
      <c r="Y41" s="12"/>
    </row>
    <row r="42" spans="1:26" x14ac:dyDescent="0.3">
      <c r="A42" s="4"/>
      <c r="B42" s="132" t="str">
        <f>'1.2 Budgeted Enrollment YR1'!E40</f>
        <v>Carson Montessori</v>
      </c>
      <c r="D42" s="10" t="str">
        <f t="shared" si="2"/>
        <v>PCFP</v>
      </c>
      <c r="E42" s="10" t="str">
        <f t="shared" si="3"/>
        <v>PCFP</v>
      </c>
      <c r="F42" s="559">
        <f>ROUND('3.1a Initial Allocations YR1'!E43*$K$3,2)</f>
        <v>2757454.95</v>
      </c>
      <c r="G42" s="559">
        <f>ROUND(IF(F42=0,0,F42/'2.9 PCFP Funding Comparison YR1'!D38),0)</f>
        <v>9632</v>
      </c>
      <c r="H42" s="9"/>
      <c r="I42" s="559">
        <f>ROUND('3.1a Initial Allocations YR1'!G43*'3.1b Allocation Adj. YR1 '!$K$3,2)</f>
        <v>36311.93</v>
      </c>
      <c r="J42" s="559">
        <f>ROUND('3.1a Initial Allocations YR1'!H43*'3.1b Allocation Adj. YR1 '!$K$3,2)</f>
        <v>9414.2000000000007</v>
      </c>
      <c r="K42" s="595">
        <f>ROUND('3.1a Initial Allocations YR1'!I43*'3.1b Allocation Adj. YR1 '!$K$3,2)</f>
        <v>0</v>
      </c>
      <c r="L42" s="559">
        <f>ROUND('3.1a Initial Allocations YR1'!J43*'3.1b Allocation Adj. YR1 '!$K$3,2)</f>
        <v>45726.13</v>
      </c>
      <c r="M42" s="9"/>
      <c r="N42" s="130">
        <v>0</v>
      </c>
      <c r="O42" s="130">
        <v>0</v>
      </c>
      <c r="P42" s="130">
        <v>0</v>
      </c>
      <c r="Q42" s="559">
        <f t="shared" si="4"/>
        <v>0</v>
      </c>
      <c r="R42" s="115"/>
      <c r="S42" s="559">
        <f>ROUND('3.1a Initial Allocations YR1'!Q43*'3.1b Allocation Adj. YR1 '!$K$3,2)</f>
        <v>144354.01999999999</v>
      </c>
      <c r="T42" s="9"/>
      <c r="U42" s="559">
        <f t="shared" si="5"/>
        <v>2947535.1</v>
      </c>
      <c r="V42" s="115"/>
      <c r="W42" s="559">
        <f>IF(F42=0,0,IF(U42=0,0,U42/'2.9 PCFP Funding Comparison YR1'!D38))</f>
        <v>10296.124530808556</v>
      </c>
      <c r="Y42" s="12"/>
    </row>
    <row r="43" spans="1:26" x14ac:dyDescent="0.3">
      <c r="A43" s="4"/>
      <c r="B43" s="132" t="str">
        <f>'1.2 Budgeted Enrollment YR1'!E41</f>
        <v>CIVICA Nevada Career &amp; Collegiate Academy</v>
      </c>
      <c r="D43" s="10" t="str">
        <f t="shared" si="2"/>
        <v>PCFP</v>
      </c>
      <c r="E43" s="10" t="str">
        <f t="shared" si="3"/>
        <v>PCFP</v>
      </c>
      <c r="F43" s="559">
        <f>ROUND('3.1a Initial Allocations YR1'!E44*$K$3,2)</f>
        <v>6868408.9500000002</v>
      </c>
      <c r="G43" s="559">
        <f>ROUND(IF(F43=0,0,F43/'2.9 PCFP Funding Comparison YR1'!D39),0)</f>
        <v>8966</v>
      </c>
      <c r="H43" s="9"/>
      <c r="I43" s="559">
        <f>ROUND('3.1a Initial Allocations YR1'!G44*'3.1b Allocation Adj. YR1 '!$K$3,2)</f>
        <v>972352.78</v>
      </c>
      <c r="J43" s="559">
        <f>ROUND('3.1a Initial Allocations YR1'!H44*'3.1b Allocation Adj. YR1 '!$K$3,2)</f>
        <v>153765.32999999999</v>
      </c>
      <c r="K43" s="595">
        <f>ROUND('3.1a Initial Allocations YR1'!I44*'3.1b Allocation Adj. YR1 '!$K$3,2)</f>
        <v>0</v>
      </c>
      <c r="L43" s="559">
        <f>ROUND('3.1a Initial Allocations YR1'!J44*'3.1b Allocation Adj. YR1 '!$K$3,2)</f>
        <v>1126118.1200000001</v>
      </c>
      <c r="M43" s="9"/>
      <c r="N43" s="130">
        <v>0</v>
      </c>
      <c r="O43" s="130">
        <v>0</v>
      </c>
      <c r="P43" s="130">
        <v>0</v>
      </c>
      <c r="Q43" s="559">
        <f t="shared" si="4"/>
        <v>0</v>
      </c>
      <c r="R43" s="115"/>
      <c r="S43" s="559">
        <f>ROUND('3.1a Initial Allocations YR1'!Q44*'3.1b Allocation Adj. YR1 '!$K$3,2)</f>
        <v>257639.34</v>
      </c>
      <c r="T43" s="9"/>
      <c r="U43" s="559">
        <f t="shared" si="5"/>
        <v>8252166.4100000001</v>
      </c>
      <c r="V43" s="115"/>
      <c r="W43" s="559">
        <f>IF(F43=0,0,IF(U43=0,0,U43/'2.9 PCFP Funding Comparison YR1'!D39))</f>
        <v>10772.25084988422</v>
      </c>
      <c r="Y43" s="12"/>
    </row>
    <row r="44" spans="1:26" x14ac:dyDescent="0.3">
      <c r="A44" s="4"/>
      <c r="B44" s="132" t="str">
        <f>'1.2 Budgeted Enrollment YR1'!E42</f>
        <v>Coral Academy of Science Las Vegas</v>
      </c>
      <c r="D44" s="10" t="str">
        <f t="shared" si="2"/>
        <v>PCFP</v>
      </c>
      <c r="E44" s="10" t="str">
        <f t="shared" si="3"/>
        <v>PCFP</v>
      </c>
      <c r="F44" s="559">
        <f>ROUND('3.1a Initial Allocations YR1'!E45*$K$3,2)</f>
        <v>46411845.960000001</v>
      </c>
      <c r="G44" s="559">
        <f>ROUND(IF(F44=0,0,F44/'2.9 PCFP Funding Comparison YR1'!D40),0)</f>
        <v>8966</v>
      </c>
      <c r="H44" s="9"/>
      <c r="I44" s="559">
        <f>ROUND('3.1a Initial Allocations YR1'!G45*'3.1b Allocation Adj. YR1 '!$K$3,2)</f>
        <v>875520.97</v>
      </c>
      <c r="J44" s="559">
        <f>ROUND('3.1a Initial Allocations YR1'!H45*'3.1b Allocation Adj. YR1 '!$K$3,2)</f>
        <v>91003.97</v>
      </c>
      <c r="K44" s="595">
        <f>ROUND('3.1a Initial Allocations YR1'!I45*'3.1b Allocation Adj. YR1 '!$K$3,2)</f>
        <v>24745.91</v>
      </c>
      <c r="L44" s="559">
        <f>ROUND('3.1a Initial Allocations YR1'!J45*'3.1b Allocation Adj. YR1 '!$K$3,2)</f>
        <v>991270.85</v>
      </c>
      <c r="M44" s="9"/>
      <c r="N44" s="130">
        <v>0</v>
      </c>
      <c r="O44" s="130">
        <v>0</v>
      </c>
      <c r="P44" s="130">
        <v>0</v>
      </c>
      <c r="Q44" s="559">
        <f t="shared" si="4"/>
        <v>0</v>
      </c>
      <c r="R44" s="115"/>
      <c r="S44" s="559">
        <f>ROUND('3.1a Initial Allocations YR1'!Q45*'3.1b Allocation Adj. YR1 '!$K$3,2)</f>
        <v>620879.93000000005</v>
      </c>
      <c r="T44" s="9"/>
      <c r="U44" s="559">
        <f t="shared" si="5"/>
        <v>48023996.740000002</v>
      </c>
      <c r="V44" s="115"/>
      <c r="W44" s="559">
        <f>IF(F44=0,0,IF(U44=0,0,U44/'2.9 PCFP Funding Comparison YR1'!D40))</f>
        <v>9277.3530771243204</v>
      </c>
      <c r="Y44" s="12"/>
    </row>
    <row r="45" spans="1:26" ht="15.75" customHeight="1" x14ac:dyDescent="0.3">
      <c r="A45" s="4"/>
      <c r="B45" s="132" t="str">
        <f>'1.2 Budgeted Enrollment YR1'!E43</f>
        <v>Coral Academy Washoe</v>
      </c>
      <c r="D45" s="10" t="str">
        <f t="shared" si="2"/>
        <v>PCFP</v>
      </c>
      <c r="E45" s="10" t="str">
        <f t="shared" si="3"/>
        <v>PCFP</v>
      </c>
      <c r="F45" s="559">
        <f>ROUND('3.1a Initial Allocations YR1'!E46*$K$3,2)</f>
        <v>15807482.960000001</v>
      </c>
      <c r="G45" s="559">
        <f>ROUND(IF(F45=0,0,F45/'2.9 PCFP Funding Comparison YR1'!D41),0)</f>
        <v>8966</v>
      </c>
      <c r="H45" s="9"/>
      <c r="I45" s="559">
        <f>ROUND('3.1a Initial Allocations YR1'!G46*'3.1b Allocation Adj. YR1 '!$K$3,2)</f>
        <v>516436.33</v>
      </c>
      <c r="J45" s="559">
        <f>ROUND('3.1a Initial Allocations YR1'!H46*'3.1b Allocation Adj. YR1 '!$K$3,2)</f>
        <v>131798.85999999999</v>
      </c>
      <c r="K45" s="595">
        <f>ROUND('3.1a Initial Allocations YR1'!I46*'3.1b Allocation Adj. YR1 '!$K$3,2)</f>
        <v>4303.6400000000003</v>
      </c>
      <c r="L45" s="559">
        <f>ROUND('3.1a Initial Allocations YR1'!J46*'3.1b Allocation Adj. YR1 '!$K$3,2)</f>
        <v>652538.82999999996</v>
      </c>
      <c r="M45" s="9"/>
      <c r="N45" s="130">
        <v>0</v>
      </c>
      <c r="O45" s="130">
        <v>0</v>
      </c>
      <c r="P45" s="130">
        <v>0</v>
      </c>
      <c r="Q45" s="559">
        <f t="shared" si="4"/>
        <v>0</v>
      </c>
      <c r="R45" s="115"/>
      <c r="S45" s="559">
        <f>ROUND('3.1a Initial Allocations YR1'!Q46*'3.1b Allocation Adj. YR1 '!$K$3,2)</f>
        <v>229677.41</v>
      </c>
      <c r="T45" s="9"/>
      <c r="U45" s="559">
        <f t="shared" si="5"/>
        <v>16689699.199999999</v>
      </c>
      <c r="V45" s="115"/>
      <c r="W45" s="559">
        <f>IF(F45=0,0,IF(U45=0,0,U45/'2.9 PCFP Funding Comparison YR1'!D41))</f>
        <v>9466.3032685192647</v>
      </c>
      <c r="Y45" s="12"/>
    </row>
    <row r="46" spans="1:26" x14ac:dyDescent="0.3">
      <c r="B46" s="132" t="str">
        <f>'1.2 Budgeted Enrollment YR1'!E44</f>
        <v>Delta Academy</v>
      </c>
      <c r="D46" s="10" t="str">
        <f t="shared" si="2"/>
        <v>PCFP</v>
      </c>
      <c r="E46" s="10" t="str">
        <f t="shared" si="3"/>
        <v>PCFP</v>
      </c>
      <c r="F46" s="559">
        <f>ROUND('3.1a Initial Allocations YR1'!E47*$K$3,2)</f>
        <v>11289568.300000001</v>
      </c>
      <c r="G46" s="559">
        <f>ROUND(IF(F46=0,0,F46/'2.9 PCFP Funding Comparison YR1'!D42),0)</f>
        <v>8966</v>
      </c>
      <c r="H46" s="9"/>
      <c r="I46" s="559">
        <f>ROUND('3.1a Initial Allocations YR1'!G47*'3.1b Allocation Adj. YR1 '!$K$3,2)</f>
        <v>407500.54</v>
      </c>
      <c r="J46" s="559">
        <f>ROUND('3.1a Initial Allocations YR1'!H47*'3.1b Allocation Adj. YR1 '!$K$3,2)</f>
        <v>1041838.58</v>
      </c>
      <c r="K46" s="595">
        <f>ROUND('3.1a Initial Allocations YR1'!I47*'3.1b Allocation Adj. YR1 '!$K$3,2)</f>
        <v>0</v>
      </c>
      <c r="L46" s="559">
        <f>ROUND('3.1a Initial Allocations YR1'!J47*'3.1b Allocation Adj. YR1 '!$K$3,2)</f>
        <v>1449339.12</v>
      </c>
      <c r="M46" s="9"/>
      <c r="N46" s="130">
        <v>0</v>
      </c>
      <c r="O46" s="130">
        <v>0</v>
      </c>
      <c r="P46" s="130">
        <v>0</v>
      </c>
      <c r="Q46" s="559">
        <f t="shared" si="4"/>
        <v>0</v>
      </c>
      <c r="R46" s="12"/>
      <c r="S46" s="559">
        <f>ROUND('3.1a Initial Allocations YR1'!Q47*'3.1b Allocation Adj. YR1 '!$K$3,2)</f>
        <v>314910.94</v>
      </c>
      <c r="T46" s="9"/>
      <c r="U46" s="559">
        <f t="shared" si="5"/>
        <v>13053818.359999999</v>
      </c>
      <c r="V46" s="115"/>
      <c r="W46" s="559">
        <f>IF(F46=0,0,IF(U46=0,0,U46/'2.9 PCFP Funding Comparison YR1'!D42))</f>
        <v>10367.041968527519</v>
      </c>
    </row>
    <row r="47" spans="1:26" x14ac:dyDescent="0.3">
      <c r="A47" s="4"/>
      <c r="B47" s="132" t="str">
        <f>'1.2 Budgeted Enrollment YR1'!E45</f>
        <v>Democracy Prep</v>
      </c>
      <c r="D47" s="10" t="str">
        <f t="shared" si="2"/>
        <v>PCFP</v>
      </c>
      <c r="E47" s="10" t="str">
        <f t="shared" si="3"/>
        <v>PCFP</v>
      </c>
      <c r="F47" s="559">
        <f>ROUND('3.1a Initial Allocations YR1'!E48*$K$3,2)</f>
        <v>10788855.91</v>
      </c>
      <c r="G47" s="559">
        <f>ROUND(IF(F47=0,0,F47/'2.9 PCFP Funding Comparison YR1'!D43),0)</f>
        <v>8966</v>
      </c>
      <c r="H47" s="9"/>
      <c r="I47" s="559">
        <f>ROUND('3.1a Initial Allocations YR1'!G48*'3.1b Allocation Adj. YR1 '!$K$3,2)</f>
        <v>435743.16</v>
      </c>
      <c r="J47" s="559">
        <f>ROUND('3.1a Initial Allocations YR1'!H48*'3.1b Allocation Adj. YR1 '!$K$3,2)</f>
        <v>608785.18999999994</v>
      </c>
      <c r="K47" s="595">
        <f>ROUND('3.1a Initial Allocations YR1'!I48*'3.1b Allocation Adj. YR1 '!$K$3,2)</f>
        <v>0</v>
      </c>
      <c r="L47" s="559">
        <f>ROUND('3.1a Initial Allocations YR1'!J48*'3.1b Allocation Adj. YR1 '!$K$3,2)</f>
        <v>1044528.35</v>
      </c>
      <c r="M47" s="9"/>
      <c r="N47" s="130">
        <v>0</v>
      </c>
      <c r="O47" s="130">
        <v>0</v>
      </c>
      <c r="P47" s="130">
        <v>0</v>
      </c>
      <c r="Q47" s="559">
        <f t="shared" si="4"/>
        <v>0</v>
      </c>
      <c r="R47" s="115"/>
      <c r="S47" s="559">
        <f>ROUND('3.1a Initial Allocations YR1'!Q48*'3.1b Allocation Adj. YR1 '!$K$3,2)</f>
        <v>0</v>
      </c>
      <c r="T47" s="9"/>
      <c r="U47" s="559">
        <f t="shared" si="5"/>
        <v>11833384.26</v>
      </c>
      <c r="V47" s="115"/>
      <c r="W47" s="559">
        <f>IF(F47=0,0,IF(U47=0,0,U47/'2.9 PCFP Funding Comparison YR1'!D43))</f>
        <v>9833.9546497367683</v>
      </c>
    </row>
    <row r="48" spans="1:26" x14ac:dyDescent="0.3">
      <c r="A48" s="4"/>
      <c r="B48" s="132" t="str">
        <f>'1.2 Budgeted Enrollment YR1'!E46</f>
        <v>Discovery Charter</v>
      </c>
      <c r="D48" s="10" t="str">
        <f t="shared" si="2"/>
        <v>PCFP</v>
      </c>
      <c r="E48" s="10" t="str">
        <f t="shared" si="3"/>
        <v>PCFP</v>
      </c>
      <c r="F48" s="559">
        <f>ROUND('3.1a Initial Allocations YR1'!E49*$K$3,2)</f>
        <v>4413114.1399999997</v>
      </c>
      <c r="G48" s="559">
        <f>ROUND(IF(F48=0,0,F48/'2.9 PCFP Funding Comparison YR1'!D44),0)</f>
        <v>8966</v>
      </c>
      <c r="H48" s="9"/>
      <c r="I48" s="559">
        <f>ROUND('3.1a Initial Allocations YR1'!G49*'3.1b Allocation Adj. YR1 '!$K$3,2)</f>
        <v>92797.15</v>
      </c>
      <c r="J48" s="559">
        <f>ROUND('3.1a Initial Allocations YR1'!H49*'3.1b Allocation Adj. YR1 '!$K$3,2)</f>
        <v>28242.61</v>
      </c>
      <c r="K48" s="595">
        <f>ROUND('3.1a Initial Allocations YR1'!I49*'3.1b Allocation Adj. YR1 '!$K$3,2)</f>
        <v>46264.09</v>
      </c>
      <c r="L48" s="559">
        <f>ROUND('3.1a Initial Allocations YR1'!J49*'3.1b Allocation Adj. YR1 '!$K$3,2)</f>
        <v>167303.85</v>
      </c>
      <c r="M48" s="9"/>
      <c r="N48" s="130">
        <v>0</v>
      </c>
      <c r="O48" s="130">
        <v>0</v>
      </c>
      <c r="P48" s="130">
        <v>0</v>
      </c>
      <c r="Q48" s="559">
        <f t="shared" si="4"/>
        <v>0</v>
      </c>
      <c r="R48" s="115"/>
      <c r="S48" s="559">
        <f>ROUND('3.1a Initial Allocations YR1'!Q49*'3.1b Allocation Adj. YR1 '!$K$3,2)</f>
        <v>18463.919999999998</v>
      </c>
      <c r="T48" s="9"/>
      <c r="U48" s="559">
        <f t="shared" si="5"/>
        <v>4598881.91</v>
      </c>
      <c r="V48" s="115"/>
      <c r="W48" s="559">
        <f>IF(F48=0,0,IF(U48=0,0,U48/'2.9 PCFP Funding Comparison YR1'!D44))</f>
        <v>9343.3307863511436</v>
      </c>
    </row>
    <row r="49" spans="1:23" x14ac:dyDescent="0.3">
      <c r="A49" s="4"/>
      <c r="B49" s="132" t="str">
        <f>'1.2 Budgeted Enrollment YR1'!E47</f>
        <v>Doral Academy</v>
      </c>
      <c r="D49" s="10" t="str">
        <f t="shared" si="2"/>
        <v>PCFP</v>
      </c>
      <c r="E49" s="10" t="str">
        <f t="shared" si="3"/>
        <v>PCFP</v>
      </c>
      <c r="F49" s="559">
        <f>ROUND('3.1a Initial Allocations YR1'!E50*$K$3,2)</f>
        <v>56307169.979999997</v>
      </c>
      <c r="G49" s="559">
        <f>ROUND(IF(F49=0,0,F49/'2.9 PCFP Funding Comparison YR1'!D45),0)</f>
        <v>8966</v>
      </c>
      <c r="H49" s="9"/>
      <c r="I49" s="559">
        <f>ROUND('3.1a Initial Allocations YR1'!G50*'3.1b Allocation Adj. YR1 '!$K$3,2)</f>
        <v>899728.92</v>
      </c>
      <c r="J49" s="559">
        <f>ROUND('3.1a Initial Allocations YR1'!H50*'3.1b Allocation Adj. YR1 '!$K$3,2)</f>
        <v>116108.52</v>
      </c>
      <c r="K49" s="595">
        <f>ROUND('3.1a Initial Allocations YR1'!I50*'3.1b Allocation Adj. YR1 '!$K$3,2)</f>
        <v>362581.34</v>
      </c>
      <c r="L49" s="559">
        <f>ROUND('3.1a Initial Allocations YR1'!J50*'3.1b Allocation Adj. YR1 '!$K$3,2)</f>
        <v>1378418.78</v>
      </c>
      <c r="M49" s="9"/>
      <c r="N49" s="130">
        <v>0</v>
      </c>
      <c r="O49" s="130">
        <v>0</v>
      </c>
      <c r="P49" s="130">
        <v>0</v>
      </c>
      <c r="Q49" s="559">
        <f t="shared" si="4"/>
        <v>0</v>
      </c>
      <c r="R49" s="115"/>
      <c r="S49" s="559">
        <f>ROUND('3.1a Initial Allocations YR1'!Q50*'3.1b Allocation Adj. YR1 '!$K$3,2)</f>
        <v>1944292.36</v>
      </c>
      <c r="T49" s="9"/>
      <c r="U49" s="559">
        <f t="shared" si="5"/>
        <v>59629881.119999997</v>
      </c>
      <c r="V49" s="115"/>
      <c r="W49" s="559">
        <f>IF(F49=0,0,IF(U49=0,0,U49/'2.9 PCFP Funding Comparison YR1'!D45))</f>
        <v>9494.997834626849</v>
      </c>
    </row>
    <row r="50" spans="1:23" x14ac:dyDescent="0.3">
      <c r="A50" s="4"/>
      <c r="B50" s="132" t="str">
        <f>'1.2 Budgeted Enrollment YR1'!E48</f>
        <v>Doral Academy of Northern Nevada</v>
      </c>
      <c r="D50" s="10" t="str">
        <f t="shared" si="2"/>
        <v>PCFP</v>
      </c>
      <c r="E50" s="10" t="str">
        <f t="shared" si="3"/>
        <v>PCFP</v>
      </c>
      <c r="F50" s="559">
        <f>ROUND('3.1a Initial Allocations YR1'!E51*$K$3,2)</f>
        <v>8584135.9800000004</v>
      </c>
      <c r="G50" s="559">
        <f>ROUND(IF(F50=0,0,F50/'2.9 PCFP Funding Comparison YR1'!D46),0)</f>
        <v>8966</v>
      </c>
      <c r="H50" s="9"/>
      <c r="I50" s="559">
        <f>ROUND('3.1a Initial Allocations YR1'!G51*'3.1b Allocation Adj. YR1 '!$K$3,2)</f>
        <v>8069.32</v>
      </c>
      <c r="J50" s="559">
        <f>ROUND('3.1a Initial Allocations YR1'!H51*'3.1b Allocation Adj. YR1 '!$K$3,2)</f>
        <v>0</v>
      </c>
      <c r="K50" s="595">
        <f>ROUND('3.1a Initial Allocations YR1'!I51*'3.1b Allocation Adj. YR1 '!$K$3,2)</f>
        <v>69934.09</v>
      </c>
      <c r="L50" s="559">
        <f>ROUND('3.1a Initial Allocations YR1'!J51*'3.1b Allocation Adj. YR1 '!$K$3,2)</f>
        <v>78003.399999999994</v>
      </c>
      <c r="M50" s="9"/>
      <c r="N50" s="130">
        <v>0</v>
      </c>
      <c r="O50" s="130">
        <v>0</v>
      </c>
      <c r="P50" s="130">
        <v>0</v>
      </c>
      <c r="Q50" s="559">
        <f t="shared" si="4"/>
        <v>0</v>
      </c>
      <c r="R50" s="115"/>
      <c r="S50" s="559">
        <f>ROUND('3.1a Initial Allocations YR1'!Q51*'3.1b Allocation Adj. YR1 '!$K$3,2)</f>
        <v>85049.84</v>
      </c>
      <c r="T50" s="9"/>
      <c r="U50" s="559">
        <f t="shared" si="5"/>
        <v>8747189.2200000007</v>
      </c>
      <c r="V50" s="115"/>
      <c r="W50" s="559">
        <f>IF(F50=0,0,IF(U50=0,0,U50/'2.9 PCFP Funding Comparison YR1'!D46))</f>
        <v>9136.2202269826685</v>
      </c>
    </row>
    <row r="51" spans="1:23" x14ac:dyDescent="0.3">
      <c r="A51" s="4"/>
      <c r="B51" s="132" t="str">
        <f>'1.2 Budgeted Enrollment YR1'!E49</f>
        <v>Eagle Charter School</v>
      </c>
      <c r="D51" s="10" t="str">
        <f t="shared" si="2"/>
        <v>PCFP</v>
      </c>
      <c r="E51" s="10" t="str">
        <f t="shared" si="3"/>
        <v>PCFP</v>
      </c>
      <c r="F51" s="559">
        <f>ROUND('3.1a Initial Allocations YR1'!E52*$K$3,2)</f>
        <v>4841594.2</v>
      </c>
      <c r="G51" s="559">
        <f>ROUND(IF(F51=0,0,F51/'2.9 PCFP Funding Comparison YR1'!D47),0)</f>
        <v>8966</v>
      </c>
      <c r="H51" s="9"/>
      <c r="I51" s="559">
        <f>ROUND('3.1a Initial Allocations YR1'!G52*'3.1b Allocation Adj. YR1 '!$K$3,2)</f>
        <v>0</v>
      </c>
      <c r="J51" s="559">
        <f>ROUND('3.1a Initial Allocations YR1'!H52*'3.1b Allocation Adj. YR1 '!$K$3,2)</f>
        <v>0</v>
      </c>
      <c r="K51" s="595">
        <f>ROUND('3.1a Initial Allocations YR1'!I52*'3.1b Allocation Adj. YR1 '!$K$3,2)</f>
        <v>0</v>
      </c>
      <c r="L51" s="559">
        <f>ROUND('3.1a Initial Allocations YR1'!J52*'3.1b Allocation Adj. YR1 '!$K$3,2)</f>
        <v>0</v>
      </c>
      <c r="M51" s="9"/>
      <c r="N51" s="130">
        <v>0</v>
      </c>
      <c r="O51" s="130">
        <v>0</v>
      </c>
      <c r="P51" s="130">
        <v>0</v>
      </c>
      <c r="Q51" s="559">
        <f t="shared" si="4"/>
        <v>0</v>
      </c>
      <c r="R51" s="115"/>
      <c r="S51" s="559">
        <f>ROUND('3.1a Initial Allocations YR1'!Q52*'3.1b Allocation Adj. YR1 '!$K$3,2)</f>
        <v>0</v>
      </c>
      <c r="T51" s="9"/>
      <c r="U51" s="559">
        <f t="shared" si="5"/>
        <v>4841594.2</v>
      </c>
      <c r="V51" s="115"/>
      <c r="W51" s="559">
        <f>IF(F51=0,0,IF(U51=0,0,U51/'2.9 PCFP Funding Comparison YR1'!D47))</f>
        <v>8965.9151851851857</v>
      </c>
    </row>
    <row r="52" spans="1:23" x14ac:dyDescent="0.3">
      <c r="A52" s="4"/>
      <c r="B52" s="132" t="str">
        <f>'1.2 Budgeted Enrollment YR1'!E50</f>
        <v>Elko Institute for Academic Achievement</v>
      </c>
      <c r="D52" s="10" t="str">
        <f t="shared" si="2"/>
        <v>PCFP</v>
      </c>
      <c r="E52" s="10" t="str">
        <f t="shared" si="3"/>
        <v>PCFP</v>
      </c>
      <c r="F52" s="559">
        <f>ROUND('3.1a Initial Allocations YR1'!E53*$K$3,2)</f>
        <v>1907286.35</v>
      </c>
      <c r="G52" s="559">
        <f>ROUND(IF(F52=0,0,F52/'2.9 PCFP Funding Comparison YR1'!D48),0)</f>
        <v>9670</v>
      </c>
      <c r="H52" s="9"/>
      <c r="I52" s="559">
        <f>ROUND('3.1a Initial Allocations YR1'!G53*'3.1b Allocation Adj. YR1 '!$K$3,2)</f>
        <v>8069.32</v>
      </c>
      <c r="J52" s="559">
        <f>ROUND('3.1a Initial Allocations YR1'!H53*'3.1b Allocation Adj. YR1 '!$K$3,2)</f>
        <v>15690.34</v>
      </c>
      <c r="K52" s="595">
        <f>ROUND('3.1a Initial Allocations YR1'!I53*'3.1b Allocation Adj. YR1 '!$K$3,2)</f>
        <v>0</v>
      </c>
      <c r="L52" s="559">
        <f>ROUND('3.1a Initial Allocations YR1'!J53*'3.1b Allocation Adj. YR1 '!$K$3,2)</f>
        <v>23759.66</v>
      </c>
      <c r="M52" s="9"/>
      <c r="N52" s="130">
        <v>0</v>
      </c>
      <c r="O52" s="130">
        <v>0</v>
      </c>
      <c r="P52" s="130">
        <v>0</v>
      </c>
      <c r="Q52" s="559">
        <f t="shared" si="4"/>
        <v>0</v>
      </c>
      <c r="R52" s="115"/>
      <c r="S52" s="559">
        <f>ROUND('3.1a Initial Allocations YR1'!Q53*'3.1b Allocation Adj. YR1 '!$K$3,2)</f>
        <v>38922.49</v>
      </c>
      <c r="T52" s="9"/>
      <c r="U52" s="559">
        <f t="shared" si="5"/>
        <v>1969968.5</v>
      </c>
      <c r="V52" s="115"/>
      <c r="W52" s="559">
        <f>IF(F52=0,0,IF(U52=0,0,U52/'2.9 PCFP Funding Comparison YR1'!D48))</f>
        <v>9987.4937932393314</v>
      </c>
    </row>
    <row r="53" spans="1:23" x14ac:dyDescent="0.3">
      <c r="A53" s="4"/>
      <c r="B53" s="132" t="str">
        <f>'1.2 Budgeted Enrollment YR1'!E51</f>
        <v>enCompass Academy</v>
      </c>
      <c r="D53" s="10" t="str">
        <f t="shared" si="2"/>
        <v>PCFP</v>
      </c>
      <c r="E53" s="10" t="str">
        <f t="shared" si="3"/>
        <v>PCFP</v>
      </c>
      <c r="F53" s="559">
        <f>ROUND('3.1a Initial Allocations YR1'!E54*$K$3,2)</f>
        <v>1029948.89</v>
      </c>
      <c r="G53" s="559">
        <f>ROUND(IF(F53=0,0,F53/'2.9 PCFP Funding Comparison YR1'!D49),0)</f>
        <v>8966</v>
      </c>
      <c r="H53" s="9"/>
      <c r="I53" s="559">
        <f>ROUND('3.1a Initial Allocations YR1'!G54*'3.1b Allocation Adj. YR1 '!$K$3,2)</f>
        <v>24207.95</v>
      </c>
      <c r="J53" s="559">
        <f>ROUND('3.1a Initial Allocations YR1'!H54*'3.1b Allocation Adj. YR1 '!$K$3,2)</f>
        <v>62761.36</v>
      </c>
      <c r="K53" s="595">
        <f>ROUND('3.1a Initial Allocations YR1'!I54*'3.1b Allocation Adj. YR1 '!$K$3,2)</f>
        <v>0</v>
      </c>
      <c r="L53" s="559">
        <f>ROUND('3.1a Initial Allocations YR1'!J54*'3.1b Allocation Adj. YR1 '!$K$3,2)</f>
        <v>86969.31</v>
      </c>
      <c r="M53" s="9"/>
      <c r="N53" s="130">
        <v>0</v>
      </c>
      <c r="O53" s="130">
        <v>0</v>
      </c>
      <c r="P53" s="130">
        <v>0</v>
      </c>
      <c r="Q53" s="559">
        <f t="shared" si="4"/>
        <v>0</v>
      </c>
      <c r="R53" s="115"/>
      <c r="S53" s="559">
        <f>ROUND('3.1a Initial Allocations YR1'!Q54*'3.1b Allocation Adj. YR1 '!$K$3,2)</f>
        <v>72572.850000000006</v>
      </c>
      <c r="T53" s="9"/>
      <c r="U53" s="559">
        <f t="shared" si="5"/>
        <v>1189491.05</v>
      </c>
      <c r="V53" s="115"/>
      <c r="W53" s="559">
        <f>IF(F53=0,0,IF(U53=0,0,U53/'2.9 PCFP Funding Comparison YR1'!D49))</f>
        <v>10354.762263881108</v>
      </c>
    </row>
    <row r="54" spans="1:23" x14ac:dyDescent="0.3">
      <c r="A54" s="4"/>
      <c r="B54" s="132" t="str">
        <f>'1.2 Budgeted Enrollment YR1'!E52</f>
        <v>Equipo Academy</v>
      </c>
      <c r="D54" s="10" t="str">
        <f t="shared" si="2"/>
        <v>PCFP</v>
      </c>
      <c r="E54" s="10" t="str">
        <f t="shared" si="3"/>
        <v>PCFP</v>
      </c>
      <c r="F54" s="559">
        <f>ROUND('3.1a Initial Allocations YR1'!E55*$K$3,2)</f>
        <v>7164846.6200000001</v>
      </c>
      <c r="G54" s="559">
        <f>ROUND(IF(F54=0,0,F54/'2.9 PCFP Funding Comparison YR1'!D50),0)</f>
        <v>8966</v>
      </c>
      <c r="H54" s="9"/>
      <c r="I54" s="559">
        <f>ROUND('3.1a Initial Allocations YR1'!G55*'3.1b Allocation Adj. YR1 '!$K$3,2)</f>
        <v>677822.69</v>
      </c>
      <c r="J54" s="559">
        <f>ROUND('3.1a Initial Allocations YR1'!H55*'3.1b Allocation Adj. YR1 '!$K$3,2)</f>
        <v>91003.97</v>
      </c>
      <c r="K54" s="595">
        <f>ROUND('3.1a Initial Allocations YR1'!I55*'3.1b Allocation Adj. YR1 '!$K$3,2)</f>
        <v>0</v>
      </c>
      <c r="L54" s="559">
        <f>ROUND('3.1a Initial Allocations YR1'!J55*'3.1b Allocation Adj. YR1 '!$K$3,2)</f>
        <v>768826.66</v>
      </c>
      <c r="M54" s="9"/>
      <c r="N54" s="130">
        <v>0</v>
      </c>
      <c r="O54" s="130">
        <v>0</v>
      </c>
      <c r="P54" s="130">
        <v>0</v>
      </c>
      <c r="Q54" s="559">
        <f t="shared" si="4"/>
        <v>0</v>
      </c>
      <c r="R54" s="115"/>
      <c r="S54" s="559">
        <f>ROUND('3.1a Initial Allocations YR1'!Q55*'3.1b Allocation Adj. YR1 '!$K$3,2)</f>
        <v>97252.34</v>
      </c>
      <c r="T54" s="9"/>
      <c r="U54" s="559">
        <f t="shared" si="5"/>
        <v>8030925.6200000001</v>
      </c>
      <c r="V54" s="115"/>
      <c r="W54" s="559">
        <f>IF(F54=0,0,IF(U54=0,0,U54/'2.9 PCFP Funding Comparison YR1'!D50))</f>
        <v>10049.705432606363</v>
      </c>
    </row>
    <row r="55" spans="1:23" x14ac:dyDescent="0.3">
      <c r="A55" s="4"/>
      <c r="B55" s="132" t="str">
        <f>'1.2 Budgeted Enrollment YR1'!E53</f>
        <v>Explore Academy</v>
      </c>
      <c r="D55" s="10" t="str">
        <f t="shared" si="2"/>
        <v>PCFP</v>
      </c>
      <c r="E55" s="10" t="str">
        <f t="shared" si="3"/>
        <v>PCFP</v>
      </c>
      <c r="F55" s="559">
        <f>ROUND('3.1a Initial Allocations YR1'!E56*$K$3,2)</f>
        <v>2463235.08</v>
      </c>
      <c r="G55" s="559">
        <f>ROUND(IF(F55=0,0,F55/'2.9 PCFP Funding Comparison YR1'!D51),0)</f>
        <v>8966</v>
      </c>
      <c r="H55" s="9"/>
      <c r="I55" s="559">
        <f>ROUND('3.1a Initial Allocations YR1'!G56*'3.1b Allocation Adj. YR1 '!$K$3,2)</f>
        <v>44381.25</v>
      </c>
      <c r="J55" s="559">
        <f>ROUND('3.1a Initial Allocations YR1'!H56*'3.1b Allocation Adj. YR1 '!$K$3,2)</f>
        <v>6276.14</v>
      </c>
      <c r="K55" s="595">
        <f>ROUND('3.1a Initial Allocations YR1'!I56*'3.1b Allocation Adj. YR1 '!$K$3,2)</f>
        <v>0</v>
      </c>
      <c r="L55" s="559">
        <f>ROUND('3.1a Initial Allocations YR1'!J56*'3.1b Allocation Adj. YR1 '!$K$3,2)</f>
        <v>50657.38</v>
      </c>
      <c r="M55" s="9"/>
      <c r="N55" s="130">
        <v>0</v>
      </c>
      <c r="O55" s="130">
        <v>0</v>
      </c>
      <c r="P55" s="130">
        <v>0</v>
      </c>
      <c r="Q55" s="559">
        <f t="shared" si="4"/>
        <v>0</v>
      </c>
      <c r="R55" s="115"/>
      <c r="S55" s="559">
        <f>ROUND('3.1a Initial Allocations YR1'!Q56*'3.1b Allocation Adj. YR1 '!$K$3,2)</f>
        <v>0</v>
      </c>
      <c r="T55" s="9"/>
      <c r="U55" s="559">
        <f t="shared" si="5"/>
        <v>2513892.46</v>
      </c>
      <c r="V55" s="115"/>
      <c r="W55" s="559">
        <f>IF(F55=0,0,IF(U55=0,0,U55/'2.9 PCFP Funding Comparison YR1'!D51))</f>
        <v>9150.3026931133063</v>
      </c>
    </row>
    <row r="56" spans="1:23" x14ac:dyDescent="0.3">
      <c r="A56" s="4"/>
      <c r="B56" s="132" t="str">
        <f>'1.2 Budgeted Enrollment YR1'!E54</f>
        <v>Explore Knowledge Academy</v>
      </c>
      <c r="D56" s="10" t="str">
        <f t="shared" si="2"/>
        <v>PCFP</v>
      </c>
      <c r="E56" s="10" t="str">
        <f t="shared" si="3"/>
        <v>PCFP</v>
      </c>
      <c r="F56" s="559">
        <f>ROUND('3.1a Initial Allocations YR1'!E57*$K$3,2)</f>
        <v>6023467.6200000001</v>
      </c>
      <c r="G56" s="559">
        <f>ROUND(IF(F56=0,0,F56/'2.9 PCFP Funding Comparison YR1'!D52),0)</f>
        <v>8966</v>
      </c>
      <c r="H56" s="9"/>
      <c r="I56" s="559">
        <f>ROUND('3.1a Initial Allocations YR1'!G57*'3.1b Allocation Adj. YR1 '!$K$3,2)</f>
        <v>238044.87</v>
      </c>
      <c r="J56" s="559">
        <f>ROUND('3.1a Initial Allocations YR1'!H57*'3.1b Allocation Adj. YR1 '!$K$3,2)</f>
        <v>138074.99</v>
      </c>
      <c r="K56" s="595">
        <f>ROUND('3.1a Initial Allocations YR1'!I57*'3.1b Allocation Adj. YR1 '!$K$3,2)</f>
        <v>0</v>
      </c>
      <c r="L56" s="559">
        <f>ROUND('3.1a Initial Allocations YR1'!J57*'3.1b Allocation Adj. YR1 '!$K$3,2)</f>
        <v>376119.86</v>
      </c>
      <c r="M56" s="9"/>
      <c r="N56" s="130">
        <v>0</v>
      </c>
      <c r="O56" s="130">
        <v>0</v>
      </c>
      <c r="P56" s="130">
        <v>0</v>
      </c>
      <c r="Q56" s="559">
        <f t="shared" si="4"/>
        <v>0</v>
      </c>
      <c r="R56" s="115"/>
      <c r="S56" s="559">
        <f>ROUND('3.1a Initial Allocations YR1'!Q57*'3.1b Allocation Adj. YR1 '!$K$3,2)</f>
        <v>179050.62</v>
      </c>
      <c r="T56" s="9"/>
      <c r="U56" s="559">
        <f t="shared" si="5"/>
        <v>6578638.0999999996</v>
      </c>
      <c r="V56" s="115"/>
      <c r="W56" s="559">
        <f>IF(F56=0,0,IF(U56=0,0,U56/'2.9 PCFP Funding Comparison YR1'!D52))</f>
        <v>9792.2849434900472</v>
      </c>
    </row>
    <row r="57" spans="1:23" x14ac:dyDescent="0.3">
      <c r="A57" s="4"/>
      <c r="B57" s="132" t="str">
        <f>'1.2 Budgeted Enrollment YR1'!E55</f>
        <v>Founders Academy of Las Vegas</v>
      </c>
      <c r="D57" s="10" t="str">
        <f t="shared" si="2"/>
        <v>PCFP</v>
      </c>
      <c r="E57" s="10" t="str">
        <f t="shared" si="3"/>
        <v>PCFP</v>
      </c>
      <c r="F57" s="559">
        <f>ROUND('3.1a Initial Allocations YR1'!E58*$K$3,2)</f>
        <v>8448716.4600000009</v>
      </c>
      <c r="G57" s="559">
        <f>ROUND(IF(F57=0,0,F57/'2.9 PCFP Funding Comparison YR1'!D53),0)</f>
        <v>8966</v>
      </c>
      <c r="H57" s="9"/>
      <c r="I57" s="559">
        <f>ROUND('3.1a Initial Allocations YR1'!G58*'3.1b Allocation Adj. YR1 '!$K$3,2)</f>
        <v>229975.55</v>
      </c>
      <c r="J57" s="559">
        <f>ROUND('3.1a Initial Allocations YR1'!H58*'3.1b Allocation Adj. YR1 '!$K$3,2)</f>
        <v>72175.56</v>
      </c>
      <c r="K57" s="595">
        <f>ROUND('3.1a Initial Allocations YR1'!I58*'3.1b Allocation Adj. YR1 '!$K$3,2)</f>
        <v>0</v>
      </c>
      <c r="L57" s="559">
        <f>ROUND('3.1a Initial Allocations YR1'!J58*'3.1b Allocation Adj. YR1 '!$K$3,2)</f>
        <v>302151.12</v>
      </c>
      <c r="M57" s="9"/>
      <c r="N57" s="130">
        <v>0</v>
      </c>
      <c r="O57" s="130">
        <v>0</v>
      </c>
      <c r="P57" s="130">
        <v>0</v>
      </c>
      <c r="Q57" s="559">
        <f t="shared" si="4"/>
        <v>0</v>
      </c>
      <c r="R57" s="115"/>
      <c r="S57" s="559">
        <f>ROUND('3.1a Initial Allocations YR1'!Q58*'3.1b Allocation Adj. YR1 '!$K$3,2)</f>
        <v>111617.13</v>
      </c>
      <c r="T57" s="9"/>
      <c r="U57" s="559">
        <f t="shared" si="5"/>
        <v>8862484.7100000009</v>
      </c>
      <c r="V57" s="115"/>
      <c r="W57" s="559">
        <f>IF(F57=0,0,IF(U57=0,0,U57/'2.9 PCFP Funding Comparison YR1'!D53))</f>
        <v>9405.0127891778357</v>
      </c>
    </row>
    <row r="58" spans="1:23" x14ac:dyDescent="0.3">
      <c r="A58" s="4"/>
      <c r="B58" s="132" t="str">
        <f>'1.2 Budgeted Enrollment YR1'!E56</f>
        <v>Freedom Classical Academy</v>
      </c>
      <c r="D58" s="10" t="str">
        <f t="shared" si="2"/>
        <v>PCFP</v>
      </c>
      <c r="E58" s="10" t="str">
        <f t="shared" si="3"/>
        <v>PCFP</v>
      </c>
      <c r="F58" s="559">
        <f>ROUND('3.1a Initial Allocations YR1'!E59*$K$3,2)</f>
        <v>9368962.0700000003</v>
      </c>
      <c r="G58" s="559">
        <f>ROUND(IF(F58=0,0,F58/'2.9 PCFP Funding Comparison YR1'!D54),0)</f>
        <v>8966</v>
      </c>
      <c r="H58" s="9"/>
      <c r="I58" s="559">
        <f>ROUND('3.1a Initial Allocations YR1'!G59*'3.1b Allocation Adj. YR1 '!$K$3,2)</f>
        <v>334876.68</v>
      </c>
      <c r="J58" s="559">
        <f>ROUND('3.1a Initial Allocations YR1'!H59*'3.1b Allocation Adj. YR1 '!$K$3,2)</f>
        <v>150627.26</v>
      </c>
      <c r="K58" s="595">
        <f>ROUND('3.1a Initial Allocations YR1'!I59*'3.1b Allocation Adj. YR1 '!$K$3,2)</f>
        <v>0</v>
      </c>
      <c r="L58" s="559">
        <f>ROUND('3.1a Initial Allocations YR1'!J59*'3.1b Allocation Adj. YR1 '!$K$3,2)</f>
        <v>485503.95</v>
      </c>
      <c r="M58" s="9"/>
      <c r="N58" s="130">
        <v>0</v>
      </c>
      <c r="O58" s="130">
        <v>0</v>
      </c>
      <c r="P58" s="130">
        <v>0</v>
      </c>
      <c r="Q58" s="559">
        <f t="shared" si="4"/>
        <v>0</v>
      </c>
      <c r="R58" s="115"/>
      <c r="S58" s="559">
        <f>ROUND('3.1a Initial Allocations YR1'!Q59*'3.1b Allocation Adj. YR1 '!$K$3,2)</f>
        <v>301378.71999999997</v>
      </c>
      <c r="T58" s="9"/>
      <c r="U58" s="559">
        <f t="shared" si="5"/>
        <v>10155844.74</v>
      </c>
      <c r="V58" s="115"/>
      <c r="W58" s="559">
        <f>IF(F58=0,0,IF(U58=0,0,U58/'2.9 PCFP Funding Comparison YR1'!D54))</f>
        <v>9718.9466621499851</v>
      </c>
    </row>
    <row r="59" spans="1:23" x14ac:dyDescent="0.3">
      <c r="A59" s="4"/>
      <c r="B59" s="132" t="str">
        <f>'1.2 Budgeted Enrollment YR1'!E57</f>
        <v>Futuro Academy Elementary</v>
      </c>
      <c r="D59" s="10" t="str">
        <f t="shared" si="2"/>
        <v>PCFP</v>
      </c>
      <c r="E59" s="10" t="str">
        <f t="shared" si="3"/>
        <v>PCFP</v>
      </c>
      <c r="F59" s="559">
        <f>ROUND('3.1a Initial Allocations YR1'!E60*$K$3,2)</f>
        <v>4157559.92</v>
      </c>
      <c r="G59" s="559">
        <f>ROUND(IF(F59=0,0,F59/'2.9 PCFP Funding Comparison YR1'!D55),0)</f>
        <v>8966</v>
      </c>
      <c r="H59" s="9"/>
      <c r="I59" s="559">
        <f>ROUND('3.1a Initial Allocations YR1'!G60*'3.1b Allocation Adj. YR1 '!$K$3,2)</f>
        <v>758515.86</v>
      </c>
      <c r="J59" s="559">
        <f>ROUND('3.1a Initial Allocations YR1'!H60*'3.1b Allocation Adj. YR1 '!$K$3,2)</f>
        <v>125522.72</v>
      </c>
      <c r="K59" s="595">
        <f>ROUND('3.1a Initial Allocations YR1'!I60*'3.1b Allocation Adj. YR1 '!$K$3,2)</f>
        <v>0</v>
      </c>
      <c r="L59" s="559">
        <f>ROUND('3.1a Initial Allocations YR1'!J60*'3.1b Allocation Adj. YR1 '!$K$3,2)</f>
        <v>884038.58</v>
      </c>
      <c r="M59" s="9"/>
      <c r="N59" s="130">
        <v>0</v>
      </c>
      <c r="O59" s="130">
        <v>0</v>
      </c>
      <c r="P59" s="130">
        <v>0</v>
      </c>
      <c r="Q59" s="559">
        <f t="shared" si="4"/>
        <v>0</v>
      </c>
      <c r="R59" s="115"/>
      <c r="S59" s="559">
        <f>ROUND('3.1a Initial Allocations YR1'!Q60*'3.1b Allocation Adj. YR1 '!$K$3,2)</f>
        <v>252218.47</v>
      </c>
      <c r="T59" s="9"/>
      <c r="U59" s="559">
        <f t="shared" si="5"/>
        <v>5293816.97</v>
      </c>
      <c r="V59" s="115"/>
      <c r="W59" s="559">
        <f>IF(F59=0,0,IF(U59=0,0,U59/'2.9 PCFP Funding Comparison YR1'!D55))</f>
        <v>11416.2910178944</v>
      </c>
    </row>
    <row r="60" spans="1:23" x14ac:dyDescent="0.3">
      <c r="A60" s="4"/>
      <c r="B60" s="132" t="str">
        <f>'1.2 Budgeted Enrollment YR1'!E58</f>
        <v>Girls Athletic Leadership Schools</v>
      </c>
      <c r="D60" s="10" t="str">
        <f t="shared" si="2"/>
        <v>PCFP</v>
      </c>
      <c r="E60" s="10" t="str">
        <f t="shared" si="3"/>
        <v>PCFP</v>
      </c>
      <c r="F60" s="559">
        <f>ROUND('3.1a Initial Allocations YR1'!E61*$K$3,2)</f>
        <v>0</v>
      </c>
      <c r="G60" s="559">
        <f>ROUND(IF(F60=0,0,F60/'2.9 PCFP Funding Comparison YR1'!D56),0)</f>
        <v>0</v>
      </c>
      <c r="H60" s="9"/>
      <c r="I60" s="559">
        <f>ROUND('3.1a Initial Allocations YR1'!G61*'3.1b Allocation Adj. YR1 '!$K$3,2)</f>
        <v>0</v>
      </c>
      <c r="J60" s="559">
        <f>ROUND('3.1a Initial Allocations YR1'!H61*'3.1b Allocation Adj. YR1 '!$K$3,2)</f>
        <v>0</v>
      </c>
      <c r="K60" s="595">
        <f>ROUND('3.1a Initial Allocations YR1'!I61*'3.1b Allocation Adj. YR1 '!$K$3,2)</f>
        <v>0</v>
      </c>
      <c r="L60" s="559">
        <f>ROUND('3.1a Initial Allocations YR1'!J61*'3.1b Allocation Adj. YR1 '!$K$3,2)</f>
        <v>0</v>
      </c>
      <c r="M60" s="9"/>
      <c r="N60" s="130">
        <v>0</v>
      </c>
      <c r="O60" s="130">
        <v>0</v>
      </c>
      <c r="P60" s="130">
        <v>0</v>
      </c>
      <c r="Q60" s="559">
        <f t="shared" si="4"/>
        <v>0</v>
      </c>
      <c r="R60" s="115"/>
      <c r="S60" s="559">
        <f>ROUND('3.1a Initial Allocations YR1'!Q61*'3.1b Allocation Adj. YR1 '!$K$3,2)</f>
        <v>0</v>
      </c>
      <c r="T60" s="9"/>
      <c r="U60" s="559">
        <f t="shared" si="5"/>
        <v>0</v>
      </c>
      <c r="V60" s="115"/>
      <c r="W60" s="559">
        <f>IF(F60=0,0,IF(U60=0,0,U60/'2.9 PCFP Funding Comparison YR1'!D56))</f>
        <v>0</v>
      </c>
    </row>
    <row r="61" spans="1:23" x14ac:dyDescent="0.3">
      <c r="A61" s="4"/>
      <c r="B61" s="132" t="str">
        <f>'1.2 Budgeted Enrollment YR1'!E59</f>
        <v>High Desert Montessori</v>
      </c>
      <c r="D61" s="10" t="str">
        <f t="shared" si="2"/>
        <v>PCFP</v>
      </c>
      <c r="E61" s="10" t="str">
        <f t="shared" si="3"/>
        <v>PCFP</v>
      </c>
      <c r="F61" s="559">
        <f>ROUND('3.1a Initial Allocations YR1'!E62*$K$3,2)</f>
        <v>3517599.94</v>
      </c>
      <c r="G61" s="559">
        <f>ROUND(IF(F61=0,0,F61/'2.9 PCFP Funding Comparison YR1'!D57),0)</f>
        <v>8966</v>
      </c>
      <c r="H61" s="9"/>
      <c r="I61" s="559">
        <f>ROUND('3.1a Initial Allocations YR1'!G62*'3.1b Allocation Adj. YR1 '!$K$3,2)</f>
        <v>96831.81</v>
      </c>
      <c r="J61" s="559">
        <f>ROUND('3.1a Initial Allocations YR1'!H62*'3.1b Allocation Adj. YR1 '!$K$3,2)</f>
        <v>34518.75</v>
      </c>
      <c r="K61" s="595">
        <f>ROUND('3.1a Initial Allocations YR1'!I62*'3.1b Allocation Adj. YR1 '!$K$3,2)</f>
        <v>0</v>
      </c>
      <c r="L61" s="559">
        <f>ROUND('3.1a Initial Allocations YR1'!J62*'3.1b Allocation Adj. YR1 '!$K$3,2)</f>
        <v>131350.56</v>
      </c>
      <c r="M61" s="9"/>
      <c r="N61" s="130">
        <v>0</v>
      </c>
      <c r="O61" s="130">
        <v>0</v>
      </c>
      <c r="P61" s="130">
        <v>0</v>
      </c>
      <c r="Q61" s="559">
        <f t="shared" si="4"/>
        <v>0</v>
      </c>
      <c r="R61" s="115"/>
      <c r="S61" s="559">
        <f>ROUND('3.1a Initial Allocations YR1'!Q62*'3.1b Allocation Adj. YR1 '!$K$3,2)</f>
        <v>163923.07999999999</v>
      </c>
      <c r="T61" s="9"/>
      <c r="U61" s="559">
        <f t="shared" si="5"/>
        <v>3812873.58</v>
      </c>
      <c r="V61" s="115"/>
      <c r="W61" s="559">
        <f>IF(F61=0,0,IF(U61=0,0,U61/'2.9 PCFP Funding Comparison YR1'!D57))</f>
        <v>9718.5301705817037</v>
      </c>
    </row>
    <row r="62" spans="1:23" x14ac:dyDescent="0.3">
      <c r="A62" s="4"/>
      <c r="B62" s="132" t="str">
        <f>'1.2 Budgeted Enrollment YR1'!E60</f>
        <v>Honors Academy of Literature</v>
      </c>
      <c r="D62" s="10" t="str">
        <f t="shared" si="2"/>
        <v>PCFP</v>
      </c>
      <c r="E62" s="10" t="str">
        <f t="shared" si="3"/>
        <v>PCFP</v>
      </c>
      <c r="F62" s="559">
        <f>ROUND('3.1a Initial Allocations YR1'!E63*$K$3,2)</f>
        <v>1941697.67</v>
      </c>
      <c r="G62" s="559">
        <f>ROUND(IF(F62=0,0,F62/'2.9 PCFP Funding Comparison YR1'!D58),0)</f>
        <v>8966</v>
      </c>
      <c r="H62" s="9"/>
      <c r="I62" s="559">
        <f>ROUND('3.1a Initial Allocations YR1'!G63*'3.1b Allocation Adj. YR1 '!$K$3,2)</f>
        <v>16138.64</v>
      </c>
      <c r="J62" s="559">
        <f>ROUND('3.1a Initial Allocations YR1'!H63*'3.1b Allocation Adj. YR1 '!$K$3,2)</f>
        <v>9414.2000000000007</v>
      </c>
      <c r="K62" s="595">
        <f>ROUND('3.1a Initial Allocations YR1'!I63*'3.1b Allocation Adj. YR1 '!$K$3,2)</f>
        <v>0</v>
      </c>
      <c r="L62" s="559">
        <f>ROUND('3.1a Initial Allocations YR1'!J63*'3.1b Allocation Adj. YR1 '!$K$3,2)</f>
        <v>25552.84</v>
      </c>
      <c r="M62" s="9"/>
      <c r="N62" s="130">
        <v>0</v>
      </c>
      <c r="O62" s="130">
        <v>0</v>
      </c>
      <c r="P62" s="130">
        <v>0</v>
      </c>
      <c r="Q62" s="559">
        <f t="shared" si="4"/>
        <v>0</v>
      </c>
      <c r="R62" s="115"/>
      <c r="S62" s="559">
        <f>ROUND('3.1a Initial Allocations YR1'!Q63*'3.1b Allocation Adj. YR1 '!$K$3,2)</f>
        <v>27303.040000000001</v>
      </c>
      <c r="T62" s="9"/>
      <c r="U62" s="559">
        <f t="shared" si="5"/>
        <v>1994553.55</v>
      </c>
      <c r="V62" s="115"/>
      <c r="W62" s="559">
        <f>IF(F62=0,0,IF(U62=0,0,U62/'2.9 PCFP Funding Comparison YR1'!D58))</f>
        <v>9209.9806319346189</v>
      </c>
    </row>
    <row r="63" spans="1:23" x14ac:dyDescent="0.3">
      <c r="A63" s="4"/>
      <c r="B63" s="132" t="str">
        <f>'1.2 Budgeted Enrollment YR1'!E61</f>
        <v>Imagine School Mountain View</v>
      </c>
      <c r="D63" s="10" t="str">
        <f t="shared" si="2"/>
        <v>PCFP</v>
      </c>
      <c r="E63" s="10" t="str">
        <f t="shared" si="3"/>
        <v>PCFP</v>
      </c>
      <c r="F63" s="559">
        <f>ROUND('3.1a Initial Allocations YR1'!E64*$K$3,2)</f>
        <v>6019520.0599999996</v>
      </c>
      <c r="G63" s="559">
        <f>ROUND(IF(F63=0,0,F63/'2.9 PCFP Funding Comparison YR1'!D59),0)</f>
        <v>8966</v>
      </c>
      <c r="H63" s="9"/>
      <c r="I63" s="559">
        <f>ROUND('3.1a Initial Allocations YR1'!G64*'3.1b Allocation Adj. YR1 '!$K$3,2)</f>
        <v>282426.12</v>
      </c>
      <c r="J63" s="559">
        <f>ROUND('3.1a Initial Allocations YR1'!H64*'3.1b Allocation Adj. YR1 '!$K$3,2)</f>
        <v>6276.14</v>
      </c>
      <c r="K63" s="595">
        <f>ROUND('3.1a Initial Allocations YR1'!I64*'3.1b Allocation Adj. YR1 '!$K$3,2)</f>
        <v>0</v>
      </c>
      <c r="L63" s="559">
        <f>ROUND('3.1a Initial Allocations YR1'!J64*'3.1b Allocation Adj. YR1 '!$K$3,2)</f>
        <v>288702.26</v>
      </c>
      <c r="M63" s="9"/>
      <c r="N63" s="130">
        <v>0</v>
      </c>
      <c r="O63" s="130">
        <v>0</v>
      </c>
      <c r="P63" s="130">
        <v>0</v>
      </c>
      <c r="Q63" s="559">
        <f t="shared" si="4"/>
        <v>0</v>
      </c>
      <c r="R63" s="115"/>
      <c r="S63" s="559">
        <f>ROUND('3.1a Initial Allocations YR1'!Q64*'3.1b Allocation Adj. YR1 '!$K$3,2)</f>
        <v>170013.73</v>
      </c>
      <c r="T63" s="9"/>
      <c r="U63" s="559">
        <f t="shared" si="5"/>
        <v>6478236.0499999998</v>
      </c>
      <c r="V63" s="115"/>
      <c r="W63" s="559">
        <f>IF(F63=0,0,IF(U63=0,0,U63/'2.9 PCFP Funding Comparison YR1'!D59))</f>
        <v>9649.160465554889</v>
      </c>
    </row>
    <row r="64" spans="1:23" x14ac:dyDescent="0.3">
      <c r="A64" s="4"/>
      <c r="B64" s="132" t="str">
        <f>'1.2 Budgeted Enrollment YR1'!E62</f>
        <v>Innovations Int'l Charter</v>
      </c>
      <c r="D64" s="10" t="str">
        <f t="shared" si="2"/>
        <v>PCFP</v>
      </c>
      <c r="E64" s="10" t="str">
        <f t="shared" si="3"/>
        <v>PCFP</v>
      </c>
      <c r="F64" s="559">
        <f>ROUND('3.1a Initial Allocations YR1'!E65*$K$3,2)</f>
        <v>6608710.7199999997</v>
      </c>
      <c r="G64" s="559">
        <f>ROUND(IF(F64=0,0,F64/'2.9 PCFP Funding Comparison YR1'!D60),0)</f>
        <v>8966</v>
      </c>
      <c r="H64" s="9"/>
      <c r="I64" s="559">
        <f>ROUND('3.1a Initial Allocations YR1'!G65*'3.1b Allocation Adj. YR1 '!$K$3,2)</f>
        <v>762550.52</v>
      </c>
      <c r="J64" s="559">
        <f>ROUND('3.1a Initial Allocations YR1'!H65*'3.1b Allocation Adj. YR1 '!$K$3,2)</f>
        <v>549161.9</v>
      </c>
      <c r="K64" s="595">
        <f>ROUND('3.1a Initial Allocations YR1'!I65*'3.1b Allocation Adj. YR1 '!$K$3,2)</f>
        <v>0</v>
      </c>
      <c r="L64" s="559">
        <f>ROUND('3.1a Initial Allocations YR1'!J65*'3.1b Allocation Adj. YR1 '!$K$3,2)</f>
        <v>1311712.42</v>
      </c>
      <c r="M64" s="9"/>
      <c r="N64" s="130">
        <v>0</v>
      </c>
      <c r="O64" s="130">
        <v>0</v>
      </c>
      <c r="P64" s="130">
        <v>0</v>
      </c>
      <c r="Q64" s="559">
        <f t="shared" si="4"/>
        <v>0</v>
      </c>
      <c r="R64" s="115"/>
      <c r="S64" s="559">
        <f>ROUND('3.1a Initial Allocations YR1'!Q65*'3.1b Allocation Adj. YR1 '!$K$3,2)</f>
        <v>0</v>
      </c>
      <c r="T64" s="9"/>
      <c r="U64" s="559">
        <f t="shared" si="5"/>
        <v>7920423.1399999997</v>
      </c>
      <c r="V64" s="115"/>
      <c r="W64" s="559">
        <f>IF(F64=0,0,IF(U64=0,0,U64/'2.9 PCFP Funding Comparison YR1'!D60))</f>
        <v>10745.491090633113</v>
      </c>
    </row>
    <row r="65" spans="1:23" x14ac:dyDescent="0.3">
      <c r="A65" s="4"/>
      <c r="B65" s="132" t="str">
        <f>'1.2 Budgeted Enrollment YR1'!E63</f>
        <v>Leadership Academy of Nevada</v>
      </c>
      <c r="D65" s="10" t="str">
        <f t="shared" si="2"/>
        <v>PCFP</v>
      </c>
      <c r="E65" s="10" t="str">
        <f t="shared" si="3"/>
        <v>PCFP</v>
      </c>
      <c r="F65" s="559">
        <f>ROUND('3.1a Initial Allocations YR1'!E66*$K$3,2)</f>
        <v>2399634.64</v>
      </c>
      <c r="G65" s="559">
        <f>ROUND(IF(F65=0,0,F65/'2.9 PCFP Funding Comparison YR1'!D61),0)</f>
        <v>8966</v>
      </c>
      <c r="H65" s="9"/>
      <c r="I65" s="559">
        <f>ROUND('3.1a Initial Allocations YR1'!G66*'3.1b Allocation Adj. YR1 '!$K$3,2)</f>
        <v>4034.66</v>
      </c>
      <c r="J65" s="559">
        <f>ROUND('3.1a Initial Allocations YR1'!H66*'3.1b Allocation Adj. YR1 '!$K$3,2)</f>
        <v>47071.02</v>
      </c>
      <c r="K65" s="595">
        <f>ROUND('3.1a Initial Allocations YR1'!I66*'3.1b Allocation Adj. YR1 '!$K$3,2)</f>
        <v>0</v>
      </c>
      <c r="L65" s="559">
        <f>ROUND('3.1a Initial Allocations YR1'!J66*'3.1b Allocation Adj. YR1 '!$K$3,2)</f>
        <v>51105.68</v>
      </c>
      <c r="M65" s="9"/>
      <c r="N65" s="130">
        <v>0</v>
      </c>
      <c r="O65" s="130">
        <v>0</v>
      </c>
      <c r="P65" s="130">
        <v>0</v>
      </c>
      <c r="Q65" s="559">
        <f t="shared" si="4"/>
        <v>0</v>
      </c>
      <c r="R65" s="115"/>
      <c r="S65" s="559">
        <f>ROUND('3.1a Initial Allocations YR1'!Q66*'3.1b Allocation Adj. YR1 '!$K$3,2)</f>
        <v>0</v>
      </c>
      <c r="T65" s="9"/>
      <c r="U65" s="559">
        <f t="shared" si="5"/>
        <v>2450740.3199999998</v>
      </c>
      <c r="V65" s="115"/>
      <c r="W65" s="559">
        <f>IF(F65=0,0,IF(U65=0,0,U65/'2.9 PCFP Funding Comparison YR1'!D61))</f>
        <v>9156.8647434616287</v>
      </c>
    </row>
    <row r="66" spans="1:23" x14ac:dyDescent="0.3">
      <c r="A66" s="4"/>
      <c r="B66" s="132" t="str">
        <f>'1.2 Budgeted Enrollment YR1'!E64</f>
        <v>Learning Bridge</v>
      </c>
      <c r="D66" s="10" t="str">
        <f t="shared" si="2"/>
        <v>PCFP</v>
      </c>
      <c r="E66" s="10" t="str">
        <f t="shared" si="3"/>
        <v>PCFP</v>
      </c>
      <c r="F66" s="559">
        <f>ROUND('3.1a Initial Allocations YR1'!E67*$K$3,2)</f>
        <v>2274463.73</v>
      </c>
      <c r="G66" s="559">
        <f>ROUND(IF(F66=0,0,F66/'2.9 PCFP Funding Comparison YR1'!D62),0)</f>
        <v>12982</v>
      </c>
      <c r="H66" s="9"/>
      <c r="I66" s="559">
        <f>ROUND('3.1a Initial Allocations YR1'!G67*'3.1b Allocation Adj. YR1 '!$K$3,2)</f>
        <v>8069.32</v>
      </c>
      <c r="J66" s="559">
        <f>ROUND('3.1a Initial Allocations YR1'!H67*'3.1b Allocation Adj. YR1 '!$K$3,2)</f>
        <v>0</v>
      </c>
      <c r="K66" s="595">
        <f>ROUND('3.1a Initial Allocations YR1'!I67*'3.1b Allocation Adj. YR1 '!$K$3,2)</f>
        <v>0</v>
      </c>
      <c r="L66" s="559">
        <f>ROUND('3.1a Initial Allocations YR1'!J67*'3.1b Allocation Adj. YR1 '!$K$3,2)</f>
        <v>8069.32</v>
      </c>
      <c r="M66" s="9"/>
      <c r="N66" s="130">
        <v>0</v>
      </c>
      <c r="O66" s="130">
        <v>0</v>
      </c>
      <c r="P66" s="130">
        <v>0</v>
      </c>
      <c r="Q66" s="559">
        <f t="shared" si="4"/>
        <v>0</v>
      </c>
      <c r="R66" s="115"/>
      <c r="S66" s="559">
        <f>ROUND('3.1a Initial Allocations YR1'!Q67*'3.1b Allocation Adj. YR1 '!$K$3,2)</f>
        <v>0</v>
      </c>
      <c r="T66" s="9"/>
      <c r="U66" s="559">
        <f t="shared" si="5"/>
        <v>2282533.0499999998</v>
      </c>
      <c r="V66" s="115"/>
      <c r="W66" s="559">
        <f>IF(F66=0,0,IF(U66=0,0,U66/'2.9 PCFP Funding Comparison YR1'!D62))</f>
        <v>13028.286418676658</v>
      </c>
    </row>
    <row r="67" spans="1:23" x14ac:dyDescent="0.3">
      <c r="A67" s="4"/>
      <c r="B67" s="132" t="str">
        <f>'1.2 Budgeted Enrollment YR1'!E65</f>
        <v>Legacy Traditional Schools</v>
      </c>
      <c r="D67" s="10" t="str">
        <f t="shared" si="2"/>
        <v>PCFP</v>
      </c>
      <c r="E67" s="10" t="str">
        <f t="shared" si="3"/>
        <v>PCFP</v>
      </c>
      <c r="F67" s="559">
        <f>ROUND('3.1a Initial Allocations YR1'!E68*$K$3,2)</f>
        <v>35992450.060000002</v>
      </c>
      <c r="G67" s="559">
        <f>ROUND(IF(F67=0,0,F67/'2.9 PCFP Funding Comparison YR1'!D63),0)</f>
        <v>8966</v>
      </c>
      <c r="H67" s="9"/>
      <c r="I67" s="559">
        <f>ROUND('3.1a Initial Allocations YR1'!G68*'3.1b Allocation Adj. YR1 '!$K$3,2)</f>
        <v>1065149.94</v>
      </c>
      <c r="J67" s="559">
        <f>ROUND('3.1a Initial Allocations YR1'!H68*'3.1b Allocation Adj. YR1 '!$K$3,2)</f>
        <v>495814.74</v>
      </c>
      <c r="K67" s="595">
        <f>ROUND('3.1a Initial Allocations YR1'!I68*'3.1b Allocation Adj. YR1 '!$K$3,2)</f>
        <v>192587.72</v>
      </c>
      <c r="L67" s="559">
        <f>ROUND('3.1a Initial Allocations YR1'!J68*'3.1b Allocation Adj. YR1 '!$K$3,2)</f>
        <v>1753552.4</v>
      </c>
      <c r="M67" s="9"/>
      <c r="N67" s="130">
        <v>0</v>
      </c>
      <c r="O67" s="130">
        <v>0</v>
      </c>
      <c r="P67" s="130">
        <v>0</v>
      </c>
      <c r="Q67" s="559">
        <f t="shared" si="4"/>
        <v>0</v>
      </c>
      <c r="R67" s="115"/>
      <c r="S67" s="559">
        <f>ROUND('3.1a Initial Allocations YR1'!Q68*'3.1b Allocation Adj. YR1 '!$K$3,2)</f>
        <v>0</v>
      </c>
      <c r="T67" s="9"/>
      <c r="U67" s="559">
        <f t="shared" si="5"/>
        <v>37746002.460000001</v>
      </c>
      <c r="V67" s="115"/>
      <c r="W67" s="559">
        <f>IF(F67=0,0,IF(U67=0,0,U67/'2.9 PCFP Funding Comparison YR1'!D63))</f>
        <v>9402.7346358112063</v>
      </c>
    </row>
    <row r="68" spans="1:23" x14ac:dyDescent="0.3">
      <c r="A68" s="4"/>
      <c r="B68" s="132" t="str">
        <f>'1.2 Budgeted Enrollment YR1'!E66</f>
        <v>Mariposa Dual Language Academy</v>
      </c>
      <c r="D68" s="10" t="str">
        <f t="shared" si="2"/>
        <v>PCFP</v>
      </c>
      <c r="E68" s="10" t="str">
        <f t="shared" si="3"/>
        <v>PCFP</v>
      </c>
      <c r="F68" s="559">
        <f>ROUND('3.1a Initial Allocations YR1'!E69*$K$3,2)</f>
        <v>1436001.65</v>
      </c>
      <c r="G68" s="559">
        <f>ROUND(IF(F68=0,0,F68/'2.9 PCFP Funding Comparison YR1'!D64),0)</f>
        <v>8966</v>
      </c>
      <c r="H68" s="9"/>
      <c r="I68" s="559">
        <f>ROUND('3.1a Initial Allocations YR1'!G69*'3.1b Allocation Adj. YR1 '!$K$3,2)</f>
        <v>141213.06</v>
      </c>
      <c r="J68" s="559">
        <f>ROUND('3.1a Initial Allocations YR1'!H69*'3.1b Allocation Adj. YR1 '!$K$3,2)</f>
        <v>3138.07</v>
      </c>
      <c r="K68" s="595">
        <f>ROUND('3.1a Initial Allocations YR1'!I69*'3.1b Allocation Adj. YR1 '!$K$3,2)</f>
        <v>0</v>
      </c>
      <c r="L68" s="559">
        <f>ROUND('3.1a Initial Allocations YR1'!J69*'3.1b Allocation Adj. YR1 '!$K$3,2)</f>
        <v>144351.13</v>
      </c>
      <c r="M68" s="9"/>
      <c r="N68" s="130">
        <v>0</v>
      </c>
      <c r="O68" s="130">
        <v>0</v>
      </c>
      <c r="P68" s="130">
        <v>0</v>
      </c>
      <c r="Q68" s="559">
        <f t="shared" si="4"/>
        <v>0</v>
      </c>
      <c r="R68" s="115"/>
      <c r="S68" s="559">
        <f>ROUND('3.1a Initial Allocations YR1'!Q69*'3.1b Allocation Adj. YR1 '!$K$3,2)</f>
        <v>128631.49</v>
      </c>
      <c r="T68" s="9"/>
      <c r="U68" s="559">
        <f t="shared" si="5"/>
        <v>1708984.27</v>
      </c>
      <c r="V68" s="115"/>
      <c r="W68" s="559">
        <f>IF(F68=0,0,IF(U68=0,0,U68/'2.9 PCFP Funding Comparison YR1'!D64))</f>
        <v>10670.327620265522</v>
      </c>
    </row>
    <row r="69" spans="1:23" x14ac:dyDescent="0.3">
      <c r="A69" s="4"/>
      <c r="B69" s="132" t="str">
        <f>'1.2 Budgeted Enrollment YR1'!E67</f>
        <v>Mater Academy</v>
      </c>
      <c r="D69" s="10" t="str">
        <f t="shared" si="2"/>
        <v>PCFP</v>
      </c>
      <c r="E69" s="10" t="str">
        <f t="shared" si="3"/>
        <v>PCFP</v>
      </c>
      <c r="F69" s="559">
        <f>ROUND('3.1a Initial Allocations YR1'!E70*$K$3,2)</f>
        <v>35482143.369999997</v>
      </c>
      <c r="G69" s="559">
        <f>ROUND(IF(F69=0,0,F69/'2.9 PCFP Funding Comparison YR1'!D65),0)</f>
        <v>8966</v>
      </c>
      <c r="H69" s="9"/>
      <c r="I69" s="559">
        <f>ROUND('3.1a Initial Allocations YR1'!G70*'3.1b Allocation Adj. YR1 '!$K$3,2)</f>
        <v>5539586.6100000003</v>
      </c>
      <c r="J69" s="559">
        <f>ROUND('3.1a Initial Allocations YR1'!H70*'3.1b Allocation Adj. YR1 '!$K$3,2)</f>
        <v>141213.06</v>
      </c>
      <c r="K69" s="595">
        <f>ROUND('3.1a Initial Allocations YR1'!I70*'3.1b Allocation Adj. YR1 '!$K$3,2)</f>
        <v>0</v>
      </c>
      <c r="L69" s="559">
        <f>ROUND('3.1a Initial Allocations YR1'!J70*'3.1b Allocation Adj. YR1 '!$K$3,2)</f>
        <v>5680799.6699999999</v>
      </c>
      <c r="M69" s="9"/>
      <c r="N69" s="130">
        <v>0</v>
      </c>
      <c r="O69" s="130">
        <v>0</v>
      </c>
      <c r="P69" s="130">
        <v>0</v>
      </c>
      <c r="Q69" s="559">
        <f t="shared" si="4"/>
        <v>0</v>
      </c>
      <c r="R69" s="115"/>
      <c r="S69" s="559">
        <f>ROUND('3.1a Initial Allocations YR1'!Q70*'3.1b Allocation Adj. YR1 '!$K$3,2)</f>
        <v>680324.6</v>
      </c>
      <c r="T69" s="9"/>
      <c r="U69" s="559">
        <f t="shared" si="5"/>
        <v>41843267.640000001</v>
      </c>
      <c r="V69" s="115"/>
      <c r="W69" s="559">
        <f>IF(F69=0,0,IF(U69=0,0,U69/'2.9 PCFP Funding Comparison YR1'!D65))</f>
        <v>10573.295561147963</v>
      </c>
    </row>
    <row r="70" spans="1:23" x14ac:dyDescent="0.3">
      <c r="A70" s="4"/>
      <c r="B70" s="132" t="str">
        <f>'1.2 Budgeted Enrollment YR1'!E68</f>
        <v>Mater Academy of Northern Nevada</v>
      </c>
      <c r="D70" s="10" t="str">
        <f t="shared" si="2"/>
        <v>PCFP</v>
      </c>
      <c r="E70" s="10" t="str">
        <f t="shared" si="3"/>
        <v>PCFP</v>
      </c>
      <c r="F70" s="559">
        <f>ROUND('3.1a Initial Allocations YR1'!E71*$K$3,2)</f>
        <v>4406525.75</v>
      </c>
      <c r="G70" s="559">
        <f>ROUND(IF(F70=0,0,F70/'2.9 PCFP Funding Comparison YR1'!D66),0)</f>
        <v>8966</v>
      </c>
      <c r="H70" s="9"/>
      <c r="I70" s="559">
        <f>ROUND('3.1a Initial Allocations YR1'!G71*'3.1b Allocation Adj. YR1 '!$K$3,2)</f>
        <v>613268.15</v>
      </c>
      <c r="J70" s="559">
        <f>ROUND('3.1a Initial Allocations YR1'!H71*'3.1b Allocation Adj. YR1 '!$K$3,2)</f>
        <v>12552.27</v>
      </c>
      <c r="K70" s="595">
        <f>ROUND('3.1a Initial Allocations YR1'!I71*'3.1b Allocation Adj. YR1 '!$K$3,2)</f>
        <v>0</v>
      </c>
      <c r="L70" s="559">
        <f>ROUND('3.1a Initial Allocations YR1'!J71*'3.1b Allocation Adj. YR1 '!$K$3,2)</f>
        <v>625820.42000000004</v>
      </c>
      <c r="M70" s="9"/>
      <c r="N70" s="130">
        <v>0</v>
      </c>
      <c r="O70" s="130">
        <v>0</v>
      </c>
      <c r="P70" s="130">
        <v>0</v>
      </c>
      <c r="Q70" s="559">
        <f t="shared" si="4"/>
        <v>0</v>
      </c>
      <c r="R70" s="115"/>
      <c r="S70" s="559">
        <f>ROUND('3.1a Initial Allocations YR1'!Q71*'3.1b Allocation Adj. YR1 '!$K$3,2)</f>
        <v>53862.34</v>
      </c>
      <c r="T70" s="9"/>
      <c r="U70" s="559">
        <f t="shared" si="5"/>
        <v>5086208.51</v>
      </c>
      <c r="V70" s="115"/>
      <c r="W70" s="559">
        <f>IF(F70=0,0,IF(U70=0,0,U70/'2.9 PCFP Funding Comparison YR1'!D66))</f>
        <v>10348.859119020573</v>
      </c>
    </row>
    <row r="71" spans="1:23" x14ac:dyDescent="0.3">
      <c r="A71" s="4"/>
      <c r="B71" s="132" t="str">
        <f>'1.2 Budgeted Enrollment YR1'!E69</f>
        <v>Nevada Connections Academy</v>
      </c>
      <c r="D71" s="10" t="str">
        <f t="shared" si="2"/>
        <v>PCFP</v>
      </c>
      <c r="E71" s="10" t="str">
        <f t="shared" si="3"/>
        <v>PCFP</v>
      </c>
      <c r="F71" s="559">
        <f>ROUND('3.1a Initial Allocations YR1'!E72*$K$3,2)</f>
        <v>9557136.9100000001</v>
      </c>
      <c r="G71" s="559">
        <f>ROUND(IF(F71=0,0,F71/'2.9 PCFP Funding Comparison YR1'!D67),0)</f>
        <v>8966</v>
      </c>
      <c r="H71" s="9"/>
      <c r="I71" s="559">
        <f>ROUND('3.1a Initial Allocations YR1'!G72*'3.1b Allocation Adj. YR1 '!$K$3,2)</f>
        <v>96831.81</v>
      </c>
      <c r="J71" s="559">
        <f>ROUND('3.1a Initial Allocations YR1'!H72*'3.1b Allocation Adj. YR1 '!$K$3,2)</f>
        <v>87865.9</v>
      </c>
      <c r="K71" s="595">
        <f>ROUND('3.1a Initial Allocations YR1'!I72*'3.1b Allocation Adj. YR1 '!$K$3,2)</f>
        <v>0</v>
      </c>
      <c r="L71" s="559">
        <f>ROUND('3.1a Initial Allocations YR1'!J72*'3.1b Allocation Adj. YR1 '!$K$3,2)</f>
        <v>184697.72</v>
      </c>
      <c r="M71" s="9"/>
      <c r="N71" s="130">
        <v>0</v>
      </c>
      <c r="O71" s="130">
        <v>0</v>
      </c>
      <c r="P71" s="130">
        <v>0</v>
      </c>
      <c r="Q71" s="559">
        <f t="shared" si="4"/>
        <v>0</v>
      </c>
      <c r="R71" s="115"/>
      <c r="S71" s="559">
        <f>ROUND('3.1a Initial Allocations YR1'!Q72*'3.1b Allocation Adj. YR1 '!$K$3,2)</f>
        <v>0</v>
      </c>
      <c r="T71" s="9"/>
      <c r="U71" s="559">
        <f t="shared" si="5"/>
        <v>9741834.6300000008</v>
      </c>
      <c r="V71" s="115"/>
      <c r="W71" s="559">
        <f>IF(F71=0,0,IF(U71=0,0,U71/'2.9 PCFP Funding Comparison YR1'!D67))</f>
        <v>9139.1871813739926</v>
      </c>
    </row>
    <row r="72" spans="1:23" x14ac:dyDescent="0.3">
      <c r="A72" s="4"/>
      <c r="B72" s="132" t="str">
        <f>'1.2 Budgeted Enrollment YR1'!E70</f>
        <v>Nevada Prep</v>
      </c>
      <c r="D72" s="10" t="str">
        <f t="shared" si="2"/>
        <v>PCFP</v>
      </c>
      <c r="E72" s="10" t="str">
        <f t="shared" si="3"/>
        <v>PCFP</v>
      </c>
      <c r="F72" s="559">
        <f>ROUND('3.1a Initial Allocations YR1'!E73*$K$3,2)</f>
        <v>2522438.64</v>
      </c>
      <c r="G72" s="559">
        <f>ROUND(IF(F72=0,0,F72/'2.9 PCFP Funding Comparison YR1'!D68),0)</f>
        <v>8966</v>
      </c>
      <c r="H72" s="9"/>
      <c r="I72" s="559">
        <f>ROUND('3.1a Initial Allocations YR1'!G73*'3.1b Allocation Adj. YR1 '!$K$3,2)</f>
        <v>274356.8</v>
      </c>
      <c r="J72" s="559">
        <f>ROUND('3.1a Initial Allocations YR1'!H73*'3.1b Allocation Adj. YR1 '!$K$3,2)</f>
        <v>37656.82</v>
      </c>
      <c r="K72" s="595">
        <f>ROUND('3.1a Initial Allocations YR1'!I73*'3.1b Allocation Adj. YR1 '!$K$3,2)</f>
        <v>0</v>
      </c>
      <c r="L72" s="559">
        <f>ROUND('3.1a Initial Allocations YR1'!J73*'3.1b Allocation Adj. YR1 '!$K$3,2)</f>
        <v>312013.62</v>
      </c>
      <c r="M72" s="9"/>
      <c r="N72" s="130">
        <v>0</v>
      </c>
      <c r="O72" s="130">
        <v>0</v>
      </c>
      <c r="P72" s="130">
        <v>0</v>
      </c>
      <c r="Q72" s="559">
        <f t="shared" si="4"/>
        <v>0</v>
      </c>
      <c r="R72" s="115"/>
      <c r="S72" s="559">
        <f>ROUND('3.1a Initial Allocations YR1'!Q73*'3.1b Allocation Adj. YR1 '!$K$3,2)</f>
        <v>105997.58</v>
      </c>
      <c r="T72" s="9"/>
      <c r="U72" s="559">
        <f t="shared" si="5"/>
        <v>2940449.84</v>
      </c>
      <c r="V72" s="115"/>
      <c r="W72" s="559">
        <f>IF(F72=0,0,IF(U72=0,0,U72/'2.9 PCFP Funding Comparison YR1'!D68))</f>
        <v>10451.720605666305</v>
      </c>
    </row>
    <row r="73" spans="1:23" x14ac:dyDescent="0.3">
      <c r="A73" s="4"/>
      <c r="B73" s="132" t="str">
        <f>'1.2 Budgeted Enrollment YR1'!E71</f>
        <v xml:space="preserve">Nevada Rise </v>
      </c>
      <c r="D73" s="10" t="str">
        <f t="shared" si="2"/>
        <v>PCFP</v>
      </c>
      <c r="E73" s="10" t="str">
        <f t="shared" si="3"/>
        <v>PCFP</v>
      </c>
      <c r="F73" s="559">
        <f>ROUND('3.1a Initial Allocations YR1'!E74*$K$3,2)</f>
        <v>4105570.67</v>
      </c>
      <c r="G73" s="559">
        <f>ROUND(IF(F73=0,0,F73/'2.9 PCFP Funding Comparison YR1'!D69),0)</f>
        <v>8966</v>
      </c>
      <c r="H73" s="9"/>
      <c r="I73" s="559">
        <f>ROUND('3.1a Initial Allocations YR1'!G74*'3.1b Allocation Adj. YR1 '!$K$3,2)</f>
        <v>294530.09999999998</v>
      </c>
      <c r="J73" s="559">
        <f>ROUND('3.1a Initial Allocations YR1'!H74*'3.1b Allocation Adj. YR1 '!$K$3,2)</f>
        <v>210250.56</v>
      </c>
      <c r="K73" s="595">
        <f>ROUND('3.1a Initial Allocations YR1'!I74*'3.1b Allocation Adj. YR1 '!$K$3,2)</f>
        <v>0</v>
      </c>
      <c r="L73" s="559">
        <f>ROUND('3.1a Initial Allocations YR1'!J74*'3.1b Allocation Adj. YR1 '!$K$3,2)</f>
        <v>504780.65</v>
      </c>
      <c r="M73" s="9"/>
      <c r="N73" s="130">
        <v>0</v>
      </c>
      <c r="O73" s="130">
        <v>0</v>
      </c>
      <c r="P73" s="130">
        <v>0</v>
      </c>
      <c r="Q73" s="559">
        <f t="shared" si="4"/>
        <v>0</v>
      </c>
      <c r="R73" s="115"/>
      <c r="S73" s="559">
        <f>ROUND('3.1a Initial Allocations YR1'!Q74*'3.1b Allocation Adj. YR1 '!$K$3,2)</f>
        <v>164451.20000000001</v>
      </c>
      <c r="T73" s="9"/>
      <c r="U73" s="559">
        <f t="shared" si="5"/>
        <v>4774802.5199999996</v>
      </c>
      <c r="V73" s="115"/>
      <c r="W73" s="559">
        <f>IF(F73=0,0,IF(U73=0,0,U73/'2.9 PCFP Funding Comparison YR1'!D69))</f>
        <v>10427.411418688385</v>
      </c>
    </row>
    <row r="74" spans="1:23" x14ac:dyDescent="0.3">
      <c r="A74" s="4"/>
      <c r="B74" s="132" t="str">
        <f>'1.2 Budgeted Enrollment YR1'!E72</f>
        <v>Nevada State High School</v>
      </c>
      <c r="D74" s="10" t="str">
        <f t="shared" si="2"/>
        <v>PCFP</v>
      </c>
      <c r="E74" s="10" t="str">
        <f t="shared" si="3"/>
        <v>PCFP</v>
      </c>
      <c r="F74" s="559">
        <f>ROUND('3.1a Initial Allocations YR1'!E75*$K$3,2)</f>
        <v>8816337.1400000006</v>
      </c>
      <c r="G74" s="559">
        <f>ROUND(IF(F74=0,0,F74/'2.9 PCFP Funding Comparison YR1'!D70),0)</f>
        <v>8966</v>
      </c>
      <c r="H74" s="9"/>
      <c r="I74" s="559">
        <f>ROUND('3.1a Initial Allocations YR1'!G75*'3.1b Allocation Adj. YR1 '!$K$3,2)</f>
        <v>177524.99</v>
      </c>
      <c r="J74" s="559">
        <f>ROUND('3.1a Initial Allocations YR1'!H75*'3.1b Allocation Adj. YR1 '!$K$3,2)</f>
        <v>3138.07</v>
      </c>
      <c r="K74" s="595">
        <f>ROUND('3.1a Initial Allocations YR1'!I75*'3.1b Allocation Adj. YR1 '!$K$3,2)</f>
        <v>0</v>
      </c>
      <c r="L74" s="559">
        <f>ROUND('3.1a Initial Allocations YR1'!J75*'3.1b Allocation Adj. YR1 '!$K$3,2)</f>
        <v>180663.06</v>
      </c>
      <c r="M74" s="9"/>
      <c r="N74" s="130">
        <v>0</v>
      </c>
      <c r="O74" s="130">
        <v>0</v>
      </c>
      <c r="P74" s="130">
        <v>0</v>
      </c>
      <c r="Q74" s="559">
        <f t="shared" si="4"/>
        <v>0</v>
      </c>
      <c r="R74" s="115"/>
      <c r="S74" s="559">
        <f>ROUND('3.1a Initial Allocations YR1'!Q75*'3.1b Allocation Adj. YR1 '!$K$3,2)</f>
        <v>0</v>
      </c>
      <c r="T74" s="9"/>
      <c r="U74" s="559">
        <f t="shared" si="5"/>
        <v>8997000.1999999993</v>
      </c>
      <c r="V74" s="115"/>
      <c r="W74" s="559">
        <f>IF(F74=0,0,IF(U74=0,0,U74/'2.9 PCFP Funding Comparison YR1'!D70))</f>
        <v>9149.6433842092338</v>
      </c>
    </row>
    <row r="75" spans="1:23" x14ac:dyDescent="0.3">
      <c r="A75" s="4"/>
      <c r="B75" s="132" t="str">
        <f>'1.2 Budgeted Enrollment YR1'!E73</f>
        <v>Nevada State High School-Meadowwood</v>
      </c>
      <c r="D75" s="10" t="str">
        <f t="shared" si="2"/>
        <v>PCFP</v>
      </c>
      <c r="E75" s="10" t="str">
        <f t="shared" si="3"/>
        <v>PCFP</v>
      </c>
      <c r="F75" s="559">
        <f>ROUND('3.1a Initial Allocations YR1'!E76*$K$3,2)</f>
        <v>285308.08</v>
      </c>
      <c r="G75" s="559">
        <f>ROUND(IF(F75=0,0,F75/'2.9 PCFP Funding Comparison YR1'!D71),0)</f>
        <v>8966</v>
      </c>
      <c r="H75" s="9"/>
      <c r="I75" s="559">
        <f>ROUND('3.1a Initial Allocations YR1'!G76*'3.1b Allocation Adj. YR1 '!$K$3,2)</f>
        <v>0</v>
      </c>
      <c r="J75" s="559">
        <f>ROUND('3.1a Initial Allocations YR1'!H76*'3.1b Allocation Adj. YR1 '!$K$3,2)</f>
        <v>0</v>
      </c>
      <c r="K75" s="595">
        <f>ROUND('3.1a Initial Allocations YR1'!I76*'3.1b Allocation Adj. YR1 '!$K$3,2)</f>
        <v>0</v>
      </c>
      <c r="L75" s="559">
        <f>ROUND('3.1a Initial Allocations YR1'!J76*'3.1b Allocation Adj. YR1 '!$K$3,2)</f>
        <v>0</v>
      </c>
      <c r="M75" s="9"/>
      <c r="N75" s="130">
        <v>0</v>
      </c>
      <c r="O75" s="130">
        <v>0</v>
      </c>
      <c r="P75" s="130">
        <v>0</v>
      </c>
      <c r="Q75" s="559">
        <f t="shared" si="4"/>
        <v>0</v>
      </c>
      <c r="R75" s="115"/>
      <c r="S75" s="559">
        <f>ROUND('3.1a Initial Allocations YR1'!Q76*'3.1b Allocation Adj. YR1 '!$K$3,2)</f>
        <v>0</v>
      </c>
      <c r="T75" s="9"/>
      <c r="U75" s="559">
        <f t="shared" si="5"/>
        <v>285308.08</v>
      </c>
      <c r="V75" s="115"/>
      <c r="W75" s="559">
        <f>IF(F75=0,0,IF(U75=0,0,U75/'2.9 PCFP Funding Comparison YR1'!D71))</f>
        <v>8965.915328736397</v>
      </c>
    </row>
    <row r="76" spans="1:23" x14ac:dyDescent="0.3">
      <c r="A76" s="4"/>
      <c r="B76" s="132" t="str">
        <f>'1.2 Budgeted Enrollment YR1'!E74</f>
        <v>Nevada Virtual Academy</v>
      </c>
      <c r="D76" s="10" t="str">
        <f t="shared" si="2"/>
        <v>PCFP</v>
      </c>
      <c r="E76" s="10" t="str">
        <f t="shared" si="3"/>
        <v>PCFP</v>
      </c>
      <c r="F76" s="559">
        <f>ROUND('3.1a Initial Allocations YR1'!E77*$K$3,2)</f>
        <v>19351993.370000001</v>
      </c>
      <c r="G76" s="559">
        <f>ROUND(IF(F76=0,0,F76/'2.9 PCFP Funding Comparison YR1'!D72),0)</f>
        <v>8966</v>
      </c>
      <c r="H76" s="9"/>
      <c r="I76" s="559">
        <f>ROUND('3.1a Initial Allocations YR1'!G77*'3.1b Allocation Adj. YR1 '!$K$3,2)</f>
        <v>338911.34</v>
      </c>
      <c r="J76" s="559">
        <f>ROUND('3.1a Initial Allocations YR1'!H77*'3.1b Allocation Adj. YR1 '!$K$3,2)</f>
        <v>502090.88</v>
      </c>
      <c r="K76" s="595">
        <f>ROUND('3.1a Initial Allocations YR1'!I77*'3.1b Allocation Adj. YR1 '!$K$3,2)</f>
        <v>0</v>
      </c>
      <c r="L76" s="559">
        <f>ROUND('3.1a Initial Allocations YR1'!J77*'3.1b Allocation Adj. YR1 '!$K$3,2)</f>
        <v>841002.22</v>
      </c>
      <c r="M76" s="9"/>
      <c r="N76" s="130">
        <v>0</v>
      </c>
      <c r="O76" s="130">
        <v>0</v>
      </c>
      <c r="P76" s="130">
        <v>0</v>
      </c>
      <c r="Q76" s="559">
        <f t="shared" si="4"/>
        <v>0</v>
      </c>
      <c r="R76" s="115"/>
      <c r="S76" s="559">
        <f>ROUND('3.1a Initial Allocations YR1'!Q77*'3.1b Allocation Adj. YR1 '!$K$3,2)</f>
        <v>0</v>
      </c>
      <c r="T76" s="9"/>
      <c r="U76" s="559">
        <f t="shared" si="5"/>
        <v>20192995.59</v>
      </c>
      <c r="V76" s="115"/>
      <c r="W76" s="559">
        <f>IF(F76=0,0,IF(U76=0,0,U76/'2.9 PCFP Funding Comparison YR1'!D72))</f>
        <v>9355.5574590174219</v>
      </c>
    </row>
    <row r="77" spans="1:23" x14ac:dyDescent="0.3">
      <c r="A77" s="4"/>
      <c r="B77" s="132" t="str">
        <f>'1.2 Budgeted Enrollment YR1'!E75</f>
        <v>Oasis Academy</v>
      </c>
      <c r="D77" s="10" t="str">
        <f t="shared" si="2"/>
        <v>PCFP</v>
      </c>
      <c r="E77" s="10" t="str">
        <f t="shared" si="3"/>
        <v>PCFP</v>
      </c>
      <c r="F77" s="559">
        <f>ROUND('3.1a Initial Allocations YR1'!E78*$K$3,2)</f>
        <v>7457381.0300000003</v>
      </c>
      <c r="G77" s="559">
        <f>ROUND(IF(F77=0,0,F77/'2.9 PCFP Funding Comparison YR1'!D73),0)</f>
        <v>10157</v>
      </c>
      <c r="H77" s="9"/>
      <c r="I77" s="559">
        <f>ROUND('3.1a Initial Allocations YR1'!G78*'3.1b Allocation Adj. YR1 '!$K$3,2)</f>
        <v>112970.45</v>
      </c>
      <c r="J77" s="559">
        <f>ROUND('3.1a Initial Allocations YR1'!H78*'3.1b Allocation Adj. YR1 '!$K$3,2)</f>
        <v>9414.2000000000007</v>
      </c>
      <c r="K77" s="595">
        <f>ROUND('3.1a Initial Allocations YR1'!I78*'3.1b Allocation Adj. YR1 '!$K$3,2)</f>
        <v>0</v>
      </c>
      <c r="L77" s="559">
        <f>ROUND('3.1a Initial Allocations YR1'!J78*'3.1b Allocation Adj. YR1 '!$K$3,2)</f>
        <v>122384.65</v>
      </c>
      <c r="M77" s="9"/>
      <c r="N77" s="130">
        <v>0</v>
      </c>
      <c r="O77" s="130">
        <v>0</v>
      </c>
      <c r="P77" s="130">
        <v>0</v>
      </c>
      <c r="Q77" s="559">
        <f t="shared" si="4"/>
        <v>0</v>
      </c>
      <c r="R77" s="115"/>
      <c r="S77" s="559">
        <f>ROUND('3.1a Initial Allocations YR1'!Q78*'3.1b Allocation Adj. YR1 '!$K$3,2)</f>
        <v>303368.37</v>
      </c>
      <c r="T77" s="9"/>
      <c r="U77" s="559">
        <f t="shared" si="5"/>
        <v>7883134.0499999998</v>
      </c>
      <c r="V77" s="115"/>
      <c r="W77" s="559">
        <f>IF(F77=0,0,IF(U77=0,0,U77/'2.9 PCFP Funding Comparison YR1'!D73))</f>
        <v>10736.971127443214</v>
      </c>
    </row>
    <row r="78" spans="1:23" x14ac:dyDescent="0.3">
      <c r="A78" s="4"/>
      <c r="B78" s="132" t="str">
        <f>'1.2 Budgeted Enrollment YR1'!E76</f>
        <v>Odyssey Charter Schools</v>
      </c>
      <c r="D78" s="10" t="str">
        <f t="shared" si="2"/>
        <v>PCFP</v>
      </c>
      <c r="E78" s="10" t="str">
        <f t="shared" si="3"/>
        <v>PCFP</v>
      </c>
      <c r="F78" s="559">
        <f>ROUND('3.1a Initial Allocations YR1'!E79*$K$3,2)</f>
        <v>20847814.5</v>
      </c>
      <c r="G78" s="559">
        <f>ROUND(IF(F78=0,0,F78/'2.9 PCFP Funding Comparison YR1'!D74),0)</f>
        <v>8966</v>
      </c>
      <c r="H78" s="9"/>
      <c r="I78" s="559">
        <f>ROUND('3.1a Initial Allocations YR1'!G79*'3.1b Allocation Adj. YR1 '!$K$3,2)</f>
        <v>403465.89</v>
      </c>
      <c r="J78" s="559">
        <f>ROUND('3.1a Initial Allocations YR1'!H79*'3.1b Allocation Adj. YR1 '!$K$3,2)</f>
        <v>862968.7</v>
      </c>
      <c r="K78" s="595">
        <f>ROUND('3.1a Initial Allocations YR1'!I79*'3.1b Allocation Adj. YR1 '!$K$3,2)</f>
        <v>0</v>
      </c>
      <c r="L78" s="559">
        <f>ROUND('3.1a Initial Allocations YR1'!J79*'3.1b Allocation Adj. YR1 '!$K$3,2)</f>
        <v>1266434.5900000001</v>
      </c>
      <c r="M78" s="9"/>
      <c r="N78" s="130">
        <v>0</v>
      </c>
      <c r="O78" s="130">
        <v>0</v>
      </c>
      <c r="P78" s="130">
        <v>0</v>
      </c>
      <c r="Q78" s="559">
        <f t="shared" si="4"/>
        <v>0</v>
      </c>
      <c r="R78" s="115"/>
      <c r="S78" s="559">
        <f>ROUND('3.1a Initial Allocations YR1'!Q79*'3.1b Allocation Adj. YR1 '!$K$3,2)</f>
        <v>2205903.02</v>
      </c>
      <c r="T78" s="9"/>
      <c r="U78" s="559">
        <f t="shared" si="5"/>
        <v>24320152.109999999</v>
      </c>
      <c r="V78" s="115"/>
      <c r="W78" s="559">
        <f>IF(F78=0,0,IF(U78=0,0,U78/'2.9 PCFP Funding Comparison YR1'!D74))</f>
        <v>10459.246038077023</v>
      </c>
    </row>
    <row r="79" spans="1:23" x14ac:dyDescent="0.3">
      <c r="A79" s="4"/>
      <c r="B79" s="132" t="str">
        <f>'1.2 Budgeted Enrollment YR1'!E77</f>
        <v>Pinecrest Academy of Northern Nevada</v>
      </c>
      <c r="D79" s="10" t="str">
        <f t="shared" si="2"/>
        <v>PCFP</v>
      </c>
      <c r="E79" s="10" t="str">
        <f t="shared" si="3"/>
        <v>PCFP</v>
      </c>
      <c r="F79" s="559">
        <f>ROUND('3.1a Initial Allocations YR1'!E80*$K$3,2)</f>
        <v>8311175.0800000001</v>
      </c>
      <c r="G79" s="559">
        <f>ROUND(IF(F79=0,0,F79/'2.9 PCFP Funding Comparison YR1'!D75),0)</f>
        <v>8966</v>
      </c>
      <c r="H79" s="9"/>
      <c r="I79" s="559">
        <f>ROUND('3.1a Initial Allocations YR1'!G80*'3.1b Allocation Adj. YR1 '!$K$3,2)</f>
        <v>72623.86</v>
      </c>
      <c r="J79" s="559">
        <f>ROUND('3.1a Initial Allocations YR1'!H80*'3.1b Allocation Adj. YR1 '!$K$3,2)</f>
        <v>0</v>
      </c>
      <c r="K79" s="595">
        <f>ROUND('3.1a Initial Allocations YR1'!I80*'3.1b Allocation Adj. YR1 '!$K$3,2)</f>
        <v>36580.910000000003</v>
      </c>
      <c r="L79" s="559">
        <f>ROUND('3.1a Initial Allocations YR1'!J80*'3.1b Allocation Adj. YR1 '!$K$3,2)</f>
        <v>109204.77</v>
      </c>
      <c r="M79" s="9"/>
      <c r="N79" s="130">
        <v>0</v>
      </c>
      <c r="O79" s="130">
        <v>0</v>
      </c>
      <c r="P79" s="130">
        <v>0</v>
      </c>
      <c r="Q79" s="559">
        <f t="shared" si="4"/>
        <v>0</v>
      </c>
      <c r="R79" s="115"/>
      <c r="S79" s="559">
        <f>ROUND('3.1a Initial Allocations YR1'!Q80*'3.1b Allocation Adj. YR1 '!$K$3,2)</f>
        <v>143894.79999999999</v>
      </c>
      <c r="T79" s="9"/>
      <c r="U79" s="559">
        <f t="shared" si="5"/>
        <v>8564274.6500000004</v>
      </c>
      <c r="V79" s="115"/>
      <c r="W79" s="559">
        <f>IF(F79=0,0,IF(U79=0,0,U79/'2.9 PCFP Funding Comparison YR1'!D75))</f>
        <v>9238.9535058009369</v>
      </c>
    </row>
    <row r="80" spans="1:23" x14ac:dyDescent="0.3">
      <c r="A80" s="4"/>
      <c r="B80" s="132" t="str">
        <f>'1.2 Budgeted Enrollment YR1'!E78</f>
        <v>Pinecrest Academy of Nevada</v>
      </c>
      <c r="D80" s="10" t="str">
        <f t="shared" si="2"/>
        <v>PCFP</v>
      </c>
      <c r="E80" s="10" t="str">
        <f t="shared" si="3"/>
        <v>PCFP</v>
      </c>
      <c r="F80" s="559">
        <f>ROUND('3.1a Initial Allocations YR1'!E81*$K$3,2)</f>
        <v>66405557.060000002</v>
      </c>
      <c r="G80" s="559">
        <f>ROUND(IF(F80=0,0,F80/'2.9 PCFP Funding Comparison YR1'!D76),0)</f>
        <v>8966</v>
      </c>
      <c r="H80" s="9"/>
      <c r="I80" s="559">
        <f>ROUND('3.1a Initial Allocations YR1'!G81*'3.1b Allocation Adj. YR1 '!$K$3,2)</f>
        <v>645545.42000000004</v>
      </c>
      <c r="J80" s="559">
        <f>ROUND('3.1a Initial Allocations YR1'!H81*'3.1b Allocation Adj. YR1 '!$K$3,2)</f>
        <v>637027.80000000005</v>
      </c>
      <c r="K80" s="595">
        <f>ROUND('3.1a Initial Allocations YR1'!I81*'3.1b Allocation Adj. YR1 '!$K$3,2)</f>
        <v>278660.44</v>
      </c>
      <c r="L80" s="559">
        <f>ROUND('3.1a Initial Allocations YR1'!J81*'3.1b Allocation Adj. YR1 '!$K$3,2)</f>
        <v>1561233.66</v>
      </c>
      <c r="M80" s="9"/>
      <c r="N80" s="130">
        <v>0</v>
      </c>
      <c r="O80" s="130">
        <v>0</v>
      </c>
      <c r="P80" s="130">
        <v>0</v>
      </c>
      <c r="Q80" s="559">
        <f t="shared" si="4"/>
        <v>0</v>
      </c>
      <c r="R80" s="115"/>
      <c r="S80" s="559">
        <f>ROUND('3.1a Initial Allocations YR1'!Q81*'3.1b Allocation Adj. YR1 '!$K$3,2)</f>
        <v>1248934.79</v>
      </c>
      <c r="T80" s="9"/>
      <c r="U80" s="559">
        <f t="shared" si="5"/>
        <v>69215725.510000005</v>
      </c>
      <c r="V80" s="115"/>
      <c r="W80" s="559">
        <f>IF(F80=0,0,IF(U80=0,0,U80/'2.9 PCFP Funding Comparison YR1'!D76))</f>
        <v>9345.3372332253857</v>
      </c>
    </row>
    <row r="81" spans="1:23" x14ac:dyDescent="0.3">
      <c r="A81" s="4"/>
      <c r="B81" s="132" t="str">
        <f>'1.2 Budgeted Enrollment YR1'!E79</f>
        <v>Quest Academy</v>
      </c>
      <c r="D81" s="10" t="str">
        <f t="shared" si="2"/>
        <v>PCFP</v>
      </c>
      <c r="E81" s="10" t="str">
        <f t="shared" si="3"/>
        <v>PCFP</v>
      </c>
      <c r="F81" s="559">
        <f>ROUND('3.1a Initial Allocations YR1'!E82*$K$3,2)</f>
        <v>3899003.42</v>
      </c>
      <c r="G81" s="559">
        <f>ROUND(IF(F81=0,0,F81/'2.9 PCFP Funding Comparison YR1'!D77),0)</f>
        <v>8966</v>
      </c>
      <c r="H81" s="9"/>
      <c r="I81" s="559">
        <f>ROUND('3.1a Initial Allocations YR1'!G82*'3.1b Allocation Adj. YR1 '!$K$3,2)</f>
        <v>137178.4</v>
      </c>
      <c r="J81" s="559">
        <f>ROUND('3.1a Initial Allocations YR1'!H82*'3.1b Allocation Adj. YR1 '!$K$3,2)</f>
        <v>131798.85999999999</v>
      </c>
      <c r="K81" s="595">
        <f>ROUND('3.1a Initial Allocations YR1'!I82*'3.1b Allocation Adj. YR1 '!$K$3,2)</f>
        <v>0</v>
      </c>
      <c r="L81" s="559">
        <f>ROUND('3.1a Initial Allocations YR1'!J82*'3.1b Allocation Adj. YR1 '!$K$3,2)</f>
        <v>268977.26</v>
      </c>
      <c r="M81" s="9"/>
      <c r="N81" s="130">
        <v>0</v>
      </c>
      <c r="O81" s="130">
        <v>0</v>
      </c>
      <c r="P81" s="130">
        <v>0</v>
      </c>
      <c r="Q81" s="559">
        <f t="shared" si="4"/>
        <v>0</v>
      </c>
      <c r="R81" s="115"/>
      <c r="S81" s="559">
        <f>ROUND('3.1a Initial Allocations YR1'!Q82*'3.1b Allocation Adj. YR1 '!$K$3,2)</f>
        <v>46203.23</v>
      </c>
      <c r="T81" s="9"/>
      <c r="U81" s="559">
        <f t="shared" si="5"/>
        <v>4214183.91</v>
      </c>
      <c r="V81" s="115"/>
      <c r="W81" s="559">
        <f>IF(F81=0,0,IF(U81=0,0,U81/'2.9 PCFP Funding Comparison YR1'!D77))</f>
        <v>9690.6853990983582</v>
      </c>
    </row>
    <row r="82" spans="1:23" x14ac:dyDescent="0.3">
      <c r="A82" s="4"/>
      <c r="B82" s="132" t="str">
        <f>'1.2 Budgeted Enrollment YR1'!E80</f>
        <v>Rainbow Dreams Academy</v>
      </c>
      <c r="D82" s="10" t="str">
        <f t="shared" si="2"/>
        <v>PCFP</v>
      </c>
      <c r="E82" s="10" t="str">
        <f t="shared" si="3"/>
        <v>PCFP</v>
      </c>
      <c r="F82" s="559">
        <f>ROUND('3.1a Initial Allocations YR1'!E83*$K$3,2)</f>
        <v>629723.77</v>
      </c>
      <c r="G82" s="559">
        <f>ROUND(IF(F82=0,0,F82/'2.9 PCFP Funding Comparison YR1'!D78),0)</f>
        <v>8966</v>
      </c>
      <c r="H82" s="9"/>
      <c r="I82" s="559">
        <f>ROUND('3.1a Initial Allocations YR1'!G83*'3.1b Allocation Adj. YR1 '!$K$3,2)</f>
        <v>32277.27</v>
      </c>
      <c r="J82" s="559">
        <f>ROUND('3.1a Initial Allocations YR1'!H83*'3.1b Allocation Adj. YR1 '!$K$3,2)</f>
        <v>106694.31</v>
      </c>
      <c r="K82" s="595">
        <f>ROUND('3.1a Initial Allocations YR1'!I83*'3.1b Allocation Adj. YR1 '!$K$3,2)</f>
        <v>0</v>
      </c>
      <c r="L82" s="559">
        <f>ROUND('3.1a Initial Allocations YR1'!J83*'3.1b Allocation Adj. YR1 '!$K$3,2)</f>
        <v>138971.57999999999</v>
      </c>
      <c r="M82" s="9"/>
      <c r="N82" s="130">
        <v>0</v>
      </c>
      <c r="O82" s="130">
        <v>0</v>
      </c>
      <c r="P82" s="130">
        <v>0</v>
      </c>
      <c r="Q82" s="559">
        <f t="shared" si="4"/>
        <v>0</v>
      </c>
      <c r="R82" s="115"/>
      <c r="S82" s="559">
        <f>ROUND('3.1a Initial Allocations YR1'!Q83*'3.1b Allocation Adj. YR1 '!$K$3,2)</f>
        <v>40633.61</v>
      </c>
      <c r="T82" s="9"/>
      <c r="U82" s="559">
        <f t="shared" si="5"/>
        <v>809328.96</v>
      </c>
      <c r="V82" s="115"/>
      <c r="W82" s="559">
        <f>IF(F82=0,0,IF(U82=0,0,U82/'2.9 PCFP Funding Comparison YR1'!D78))</f>
        <v>11523.107813615878</v>
      </c>
    </row>
    <row r="83" spans="1:23" x14ac:dyDescent="0.3">
      <c r="A83" s="4"/>
      <c r="B83" s="132" t="str">
        <f>'1.2 Budgeted Enrollment YR1'!E81</f>
        <v>Rooted Charter School</v>
      </c>
      <c r="D83" s="10" t="str">
        <f t="shared" si="2"/>
        <v>PCFP</v>
      </c>
      <c r="E83" s="10" t="str">
        <f t="shared" si="3"/>
        <v>PCFP</v>
      </c>
      <c r="F83" s="559">
        <f>ROUND('3.1a Initial Allocations YR1'!E84*$K$3,2)</f>
        <v>1613864.73</v>
      </c>
      <c r="G83" s="559">
        <f>ROUND(IF(F83=0,0,F83/'2.9 PCFP Funding Comparison YR1'!D79),0)</f>
        <v>8966</v>
      </c>
      <c r="H83" s="9"/>
      <c r="I83" s="559">
        <f>ROUND('3.1a Initial Allocations YR1'!G84*'3.1b Allocation Adj. YR1 '!$K$3,2)</f>
        <v>0</v>
      </c>
      <c r="J83" s="559">
        <f>ROUND('3.1a Initial Allocations YR1'!H84*'3.1b Allocation Adj. YR1 '!$K$3,2)</f>
        <v>0</v>
      </c>
      <c r="K83" s="595">
        <f>ROUND('3.1a Initial Allocations YR1'!I84*'3.1b Allocation Adj. YR1 '!$K$3,2)</f>
        <v>0</v>
      </c>
      <c r="L83" s="559">
        <f>ROUND('3.1a Initial Allocations YR1'!J84*'3.1b Allocation Adj. YR1 '!$K$3,2)</f>
        <v>0</v>
      </c>
      <c r="M83" s="9"/>
      <c r="N83" s="130">
        <v>0</v>
      </c>
      <c r="O83" s="130">
        <v>0</v>
      </c>
      <c r="P83" s="130">
        <v>0</v>
      </c>
      <c r="Q83" s="559">
        <f t="shared" ref="Q83" si="6">SUM(N83:P83)</f>
        <v>0</v>
      </c>
      <c r="R83" s="115"/>
      <c r="S83" s="559">
        <f>ROUND('3.1a Initial Allocations YR1'!Q84*'3.1b Allocation Adj. YR1 '!$K$3,2)</f>
        <v>0</v>
      </c>
      <c r="T83" s="9"/>
      <c r="U83" s="559">
        <f t="shared" si="5"/>
        <v>1613864.73</v>
      </c>
      <c r="V83" s="115"/>
      <c r="W83" s="559">
        <f>IF(F83=0,0,IF(U83=0,0,U83/'2.9 PCFP Funding Comparison YR1'!D79))</f>
        <v>8965.9151666666658</v>
      </c>
    </row>
    <row r="84" spans="1:23" x14ac:dyDescent="0.3">
      <c r="A84" s="4"/>
      <c r="B84" s="132" t="str">
        <f>'1.2 Budgeted Enrollment YR1'!E82</f>
        <v>Sage Collegiate Academy</v>
      </c>
      <c r="D84" s="10" t="str">
        <f t="shared" si="2"/>
        <v>PCFP</v>
      </c>
      <c r="E84" s="10" t="str">
        <f t="shared" si="3"/>
        <v>PCFP</v>
      </c>
      <c r="F84" s="559">
        <f>ROUND('3.1a Initial Allocations YR1'!E85*$K$3,2)</f>
        <v>1783123.8</v>
      </c>
      <c r="G84" s="559">
        <f>ROUND(IF(F84=0,0,F84/'2.9 PCFP Funding Comparison YR1'!D80),0)</f>
        <v>8966</v>
      </c>
      <c r="H84" s="9"/>
      <c r="I84" s="559">
        <f>ROUND('3.1a Initial Allocations YR1'!G85*'3.1b Allocation Adj. YR1 '!$K$3,2)</f>
        <v>72623.86</v>
      </c>
      <c r="J84" s="559">
        <f>ROUND('3.1a Initial Allocations YR1'!H85*'3.1b Allocation Adj. YR1 '!$K$3,2)</f>
        <v>0</v>
      </c>
      <c r="K84" s="595">
        <f>ROUND('3.1a Initial Allocations YR1'!I85*'3.1b Allocation Adj. YR1 '!$K$3,2)</f>
        <v>0</v>
      </c>
      <c r="L84" s="559">
        <f>ROUND('3.1a Initial Allocations YR1'!J85*'3.1b Allocation Adj. YR1 '!$K$3,2)</f>
        <v>72623.86</v>
      </c>
      <c r="M84" s="9"/>
      <c r="N84" s="130">
        <v>0</v>
      </c>
      <c r="O84" s="130">
        <v>0</v>
      </c>
      <c r="P84" s="130">
        <v>0</v>
      </c>
      <c r="Q84" s="559">
        <f t="shared" si="4"/>
        <v>0</v>
      </c>
      <c r="R84" s="115"/>
      <c r="S84" s="559">
        <f>ROUND('3.1a Initial Allocations YR1'!Q85*'3.1b Allocation Adj. YR1 '!$K$3,2)</f>
        <v>0</v>
      </c>
      <c r="T84" s="9"/>
      <c r="U84" s="559">
        <f t="shared" si="5"/>
        <v>1855747.66</v>
      </c>
      <c r="V84" s="115"/>
      <c r="W84" s="559">
        <f>IF(F84=0,0,IF(U84=0,0,U84/'2.9 PCFP Funding Comparison YR1'!D80))</f>
        <v>9331.0829388513448</v>
      </c>
    </row>
    <row r="85" spans="1:23" x14ac:dyDescent="0.3">
      <c r="A85" s="4"/>
      <c r="B85" s="132" t="str">
        <f>'1.2 Budgeted Enrollment YR1'!E83</f>
        <v>Sierra Nevada Academy Charter</v>
      </c>
      <c r="D85" s="10" t="str">
        <f t="shared" si="2"/>
        <v>PCFP</v>
      </c>
      <c r="E85" s="10" t="str">
        <f t="shared" si="3"/>
        <v>PCFP</v>
      </c>
      <c r="F85" s="559">
        <f>ROUND('3.1a Initial Allocations YR1'!E86*$K$3,2)</f>
        <v>3134030.78</v>
      </c>
      <c r="G85" s="559">
        <f>ROUND(IF(F85=0,0,F85/'2.9 PCFP Funding Comparison YR1'!D81),0)</f>
        <v>9674</v>
      </c>
      <c r="H85" s="9"/>
      <c r="I85" s="559">
        <f>ROUND('3.1a Initial Allocations YR1'!G86*'3.1b Allocation Adj. YR1 '!$K$3,2)</f>
        <v>80693.179999999993</v>
      </c>
      <c r="J85" s="559">
        <f>ROUND('3.1a Initial Allocations YR1'!H86*'3.1b Allocation Adj. YR1 '!$K$3,2)</f>
        <v>100418.18</v>
      </c>
      <c r="K85" s="595">
        <f>ROUND('3.1a Initial Allocations YR1'!I86*'3.1b Allocation Adj. YR1 '!$K$3,2)</f>
        <v>0</v>
      </c>
      <c r="L85" s="559">
        <f>ROUND('3.1a Initial Allocations YR1'!J86*'3.1b Allocation Adj. YR1 '!$K$3,2)</f>
        <v>181111.35</v>
      </c>
      <c r="M85" s="9"/>
      <c r="N85" s="130">
        <v>0</v>
      </c>
      <c r="O85" s="130">
        <v>0</v>
      </c>
      <c r="P85" s="130">
        <v>0</v>
      </c>
      <c r="Q85" s="559">
        <f t="shared" si="4"/>
        <v>0</v>
      </c>
      <c r="R85" s="115"/>
      <c r="S85" s="559">
        <f>ROUND('3.1a Initial Allocations YR1'!Q86*'3.1b Allocation Adj. YR1 '!$K$3,2)</f>
        <v>119077.57</v>
      </c>
      <c r="T85" s="9"/>
      <c r="U85" s="559">
        <f t="shared" si="5"/>
        <v>3434219.7</v>
      </c>
      <c r="V85" s="115"/>
      <c r="W85" s="559">
        <f>IF(F85=0,0,IF(U85=0,0,U85/'2.9 PCFP Funding Comparison YR1'!D81))</f>
        <v>10600.590721032506</v>
      </c>
    </row>
    <row r="86" spans="1:23" x14ac:dyDescent="0.3">
      <c r="A86" s="4"/>
      <c r="B86" s="132" t="str">
        <f>'1.2 Budgeted Enrollment YR1'!E84</f>
        <v>Signature Preparatory</v>
      </c>
      <c r="D86" s="10" t="str">
        <f t="shared" si="2"/>
        <v>PCFP</v>
      </c>
      <c r="E86" s="10" t="str">
        <f t="shared" si="3"/>
        <v>PCFP</v>
      </c>
      <c r="F86" s="559">
        <f>ROUND('3.1a Initial Allocations YR1'!E87*$K$3,2)</f>
        <v>8729891.5199999996</v>
      </c>
      <c r="G86" s="559">
        <f>ROUND(IF(F86=0,0,F86/'2.9 PCFP Funding Comparison YR1'!D82),0)</f>
        <v>8966</v>
      </c>
      <c r="H86" s="9"/>
      <c r="I86" s="559">
        <f>ROUND('3.1a Initial Allocations YR1'!G87*'3.1b Allocation Adj. YR1 '!$K$3,2)</f>
        <v>302599.40999999997</v>
      </c>
      <c r="J86" s="559">
        <f>ROUND('3.1a Initial Allocations YR1'!H87*'3.1b Allocation Adj. YR1 '!$K$3,2)</f>
        <v>15690.34</v>
      </c>
      <c r="K86" s="595">
        <f>ROUND('3.1a Initial Allocations YR1'!I87*'3.1b Allocation Adj. YR1 '!$K$3,2)</f>
        <v>0</v>
      </c>
      <c r="L86" s="559">
        <f>ROUND('3.1a Initial Allocations YR1'!J87*'3.1b Allocation Adj. YR1 '!$K$3,2)</f>
        <v>318289.75</v>
      </c>
      <c r="M86" s="9"/>
      <c r="N86" s="130">
        <v>0</v>
      </c>
      <c r="O86" s="130">
        <v>0</v>
      </c>
      <c r="P86" s="130">
        <v>0</v>
      </c>
      <c r="Q86" s="559">
        <f t="shared" si="4"/>
        <v>0</v>
      </c>
      <c r="R86" s="115"/>
      <c r="S86" s="559">
        <f>ROUND('3.1a Initial Allocations YR1'!Q87*'3.1b Allocation Adj. YR1 '!$K$3,2)</f>
        <v>290648.3</v>
      </c>
      <c r="T86" s="9"/>
      <c r="U86" s="559">
        <f t="shared" si="5"/>
        <v>9338829.5700000003</v>
      </c>
      <c r="V86" s="115"/>
      <c r="W86" s="559">
        <f>IF(F86=0,0,IF(U86=0,0,U86/'2.9 PCFP Funding Comparison YR1'!D82))</f>
        <v>9591.3166472159537</v>
      </c>
    </row>
    <row r="87" spans="1:23" x14ac:dyDescent="0.3">
      <c r="A87" s="4"/>
      <c r="B87" s="132" t="str">
        <f>'1.2 Budgeted Enrollment YR1'!E85</f>
        <v>Silver Sands Montessori</v>
      </c>
      <c r="D87" s="10" t="str">
        <f t="shared" si="2"/>
        <v>PCFP</v>
      </c>
      <c r="E87" s="10" t="str">
        <f t="shared" si="3"/>
        <v>PCFP</v>
      </c>
      <c r="F87" s="559">
        <f>ROUND('3.1a Initial Allocations YR1'!E88*$K$3,2)</f>
        <v>2153142.0699999998</v>
      </c>
      <c r="G87" s="559">
        <f>ROUND(IF(F87=0,0,F87/'2.9 PCFP Funding Comparison YR1'!D83),0)</f>
        <v>8966</v>
      </c>
      <c r="H87" s="9"/>
      <c r="I87" s="559">
        <f>ROUND('3.1a Initial Allocations YR1'!G88*'3.1b Allocation Adj. YR1 '!$K$3,2)</f>
        <v>44381.25</v>
      </c>
      <c r="J87" s="559">
        <f>ROUND('3.1a Initial Allocations YR1'!H88*'3.1b Allocation Adj. YR1 '!$K$3,2)</f>
        <v>37656.82</v>
      </c>
      <c r="K87" s="595">
        <f>ROUND('3.1a Initial Allocations YR1'!I88*'3.1b Allocation Adj. YR1 '!$K$3,2)</f>
        <v>0</v>
      </c>
      <c r="L87" s="559">
        <f>ROUND('3.1a Initial Allocations YR1'!J88*'3.1b Allocation Adj. YR1 '!$K$3,2)</f>
        <v>82038.06</v>
      </c>
      <c r="M87" s="9"/>
      <c r="N87" s="130">
        <v>0</v>
      </c>
      <c r="O87" s="130">
        <v>0</v>
      </c>
      <c r="P87" s="130">
        <v>0</v>
      </c>
      <c r="Q87" s="559">
        <f t="shared" si="4"/>
        <v>0</v>
      </c>
      <c r="R87" s="115"/>
      <c r="S87" s="559">
        <f>ROUND('3.1a Initial Allocations YR1'!Q88*'3.1b Allocation Adj. YR1 '!$K$3,2)</f>
        <v>0</v>
      </c>
      <c r="T87" s="9"/>
      <c r="U87" s="559">
        <f t="shared" si="5"/>
        <v>2235180.13</v>
      </c>
      <c r="V87" s="115"/>
      <c r="W87" s="559">
        <f>IF(F87=0,0,IF(U87=0,0,U87/'2.9 PCFP Funding Comparison YR1'!D83))</f>
        <v>9307.5304984714076</v>
      </c>
    </row>
    <row r="88" spans="1:23" x14ac:dyDescent="0.3">
      <c r="A88" s="4"/>
      <c r="B88" s="132" t="str">
        <f>'1.2 Budgeted Enrollment YR1'!E86</f>
        <v>Somerset Academy</v>
      </c>
      <c r="D88" s="10" t="str">
        <f t="shared" si="2"/>
        <v>PCFP</v>
      </c>
      <c r="E88" s="10" t="str">
        <f t="shared" si="3"/>
        <v>PCFP</v>
      </c>
      <c r="F88" s="559">
        <f>ROUND('3.1a Initial Allocations YR1'!E89*$K$3,2)</f>
        <v>84872877.870000005</v>
      </c>
      <c r="G88" s="559">
        <f>ROUND(IF(F88=0,0,F88/'2.9 PCFP Funding Comparison YR1'!D84),0)</f>
        <v>8966</v>
      </c>
      <c r="H88" s="9"/>
      <c r="I88" s="559">
        <f>ROUND('3.1a Initial Allocations YR1'!G89*'3.1b Allocation Adj. YR1 '!$K$3,2)</f>
        <v>1379853.33</v>
      </c>
      <c r="J88" s="559">
        <f>ROUND('3.1a Initial Allocations YR1'!H89*'3.1b Allocation Adj. YR1 '!$K$3,2)</f>
        <v>947696.54</v>
      </c>
      <c r="K88" s="595">
        <f>ROUND('3.1a Initial Allocations YR1'!I89*'3.1b Allocation Adj. YR1 '!$K$3,2)</f>
        <v>121577.72</v>
      </c>
      <c r="L88" s="559">
        <f>ROUND('3.1a Initial Allocations YR1'!J89*'3.1b Allocation Adj. YR1 '!$K$3,2)</f>
        <v>2449127.58</v>
      </c>
      <c r="M88" s="9"/>
      <c r="N88" s="130">
        <v>0</v>
      </c>
      <c r="O88" s="130">
        <v>0</v>
      </c>
      <c r="P88" s="130">
        <v>0</v>
      </c>
      <c r="Q88" s="559">
        <f t="shared" si="4"/>
        <v>0</v>
      </c>
      <c r="R88" s="115"/>
      <c r="S88" s="559">
        <f>ROUND('3.1a Initial Allocations YR1'!Q89*'3.1b Allocation Adj. YR1 '!$K$3,2)</f>
        <v>2717824.35</v>
      </c>
      <c r="T88" s="9"/>
      <c r="U88" s="559">
        <f t="shared" si="5"/>
        <v>90039829.799999997</v>
      </c>
      <c r="V88" s="115"/>
      <c r="W88" s="559">
        <f>IF(F88=0,0,IF(U88=0,0,U88/'2.9 PCFP Funding Comparison YR1'!D84))</f>
        <v>9511.748607333062</v>
      </c>
    </row>
    <row r="89" spans="1:23" x14ac:dyDescent="0.3">
      <c r="A89" s="4"/>
      <c r="B89" s="132" t="str">
        <f>'1.2 Budgeted Enrollment YR1'!E87</f>
        <v>Southern Nevada Trade High School</v>
      </c>
      <c r="D89" s="10" t="str">
        <f t="shared" si="2"/>
        <v>PCFP</v>
      </c>
      <c r="E89" s="10" t="str">
        <f t="shared" si="3"/>
        <v>PCFP</v>
      </c>
      <c r="F89" s="559">
        <f>ROUND('3.1a Initial Allocations YR1'!E90*$K$3,2)</f>
        <v>1793183.04</v>
      </c>
      <c r="G89" s="559">
        <f>ROUND(IF(F89=0,0,F89/'2.9 PCFP Funding Comparison YR1'!D85),0)</f>
        <v>8966</v>
      </c>
      <c r="H89" s="9"/>
      <c r="I89" s="559">
        <f>ROUND('3.1a Initial Allocations YR1'!G90*'3.1b Allocation Adj. YR1 '!$K$3,2)</f>
        <v>0</v>
      </c>
      <c r="J89" s="559">
        <f>ROUND('3.1a Initial Allocations YR1'!H90*'3.1b Allocation Adj. YR1 '!$K$3,2)</f>
        <v>0</v>
      </c>
      <c r="K89" s="595">
        <f>ROUND('3.1a Initial Allocations YR1'!I90*'3.1b Allocation Adj. YR1 '!$K$3,2)</f>
        <v>0</v>
      </c>
      <c r="L89" s="559">
        <f>ROUND('3.1a Initial Allocations YR1'!J90*'3.1b Allocation Adj. YR1 '!$K$3,2)</f>
        <v>0</v>
      </c>
      <c r="M89" s="9"/>
      <c r="N89" s="130">
        <v>0</v>
      </c>
      <c r="O89" s="130">
        <v>0</v>
      </c>
      <c r="P89" s="130">
        <v>0</v>
      </c>
      <c r="Q89" s="559">
        <f t="shared" ref="Q89" si="7">SUM(N89:P89)</f>
        <v>0</v>
      </c>
      <c r="R89" s="115"/>
      <c r="S89" s="559">
        <f>ROUND('3.1a Initial Allocations YR1'!Q90*'3.1b Allocation Adj. YR1 '!$K$3,2)</f>
        <v>0</v>
      </c>
      <c r="T89" s="9"/>
      <c r="U89" s="559">
        <f t="shared" si="5"/>
        <v>1793183.04</v>
      </c>
      <c r="V89" s="115"/>
      <c r="W89" s="559">
        <f>IF(F89=0,0,IF(U89=0,0,U89/'2.9 PCFP Funding Comparison YR1'!D85))</f>
        <v>8965.9151999999995</v>
      </c>
    </row>
    <row r="90" spans="1:23" x14ac:dyDescent="0.3">
      <c r="A90" s="4"/>
      <c r="B90" s="132" t="str">
        <f>'1.2 Budgeted Enrollment YR1'!E88</f>
        <v>Sports Leadership and Management Academy</v>
      </c>
      <c r="D90" s="10" t="str">
        <f t="shared" si="2"/>
        <v>PCFP</v>
      </c>
      <c r="E90" s="10" t="str">
        <f t="shared" si="3"/>
        <v>PCFP</v>
      </c>
      <c r="F90" s="559">
        <f>ROUND('3.1a Initial Allocations YR1'!E91*$K$3,2)</f>
        <v>16015151.23</v>
      </c>
      <c r="G90" s="559">
        <f>ROUND(IF(F90=0,0,F90/'2.9 PCFP Funding Comparison YR1'!D86),0)</f>
        <v>8966</v>
      </c>
      <c r="H90" s="9"/>
      <c r="I90" s="559">
        <f>ROUND('3.1a Initial Allocations YR1'!G91*'3.1b Allocation Adj. YR1 '!$K$3,2)</f>
        <v>653614.73</v>
      </c>
      <c r="J90" s="559">
        <f>ROUND('3.1a Initial Allocations YR1'!H91*'3.1b Allocation Adj. YR1 '!$K$3,2)</f>
        <v>389120.43</v>
      </c>
      <c r="K90" s="595">
        <f>ROUND('3.1a Initial Allocations YR1'!I91*'3.1b Allocation Adj. YR1 '!$K$3,2)</f>
        <v>0</v>
      </c>
      <c r="L90" s="559">
        <f>ROUND('3.1a Initial Allocations YR1'!J91*'3.1b Allocation Adj. YR1 '!$K$3,2)</f>
        <v>1042735.17</v>
      </c>
      <c r="M90" s="9"/>
      <c r="N90" s="130">
        <v>0</v>
      </c>
      <c r="O90" s="130">
        <v>0</v>
      </c>
      <c r="P90" s="130">
        <v>0</v>
      </c>
      <c r="Q90" s="559">
        <f t="shared" si="4"/>
        <v>0</v>
      </c>
      <c r="R90" s="115"/>
      <c r="S90" s="559">
        <f>ROUND('3.1a Initial Allocations YR1'!Q91*'3.1b Allocation Adj. YR1 '!$K$3,2)</f>
        <v>760450.01</v>
      </c>
      <c r="T90" s="9"/>
      <c r="U90" s="559">
        <f t="shared" si="5"/>
        <v>17818336.41</v>
      </c>
      <c r="V90" s="115"/>
      <c r="W90" s="559">
        <f>IF(F90=0,0,IF(U90=0,0,U90/'2.9 PCFP Funding Comparison YR1'!D86))</f>
        <v>9975.4095894678376</v>
      </c>
    </row>
    <row r="91" spans="1:23" x14ac:dyDescent="0.3">
      <c r="A91" s="4"/>
      <c r="B91" s="132" t="str">
        <f>'1.2 Budgeted Enrollment YR1'!E89</f>
        <v>Strong Start Academy</v>
      </c>
      <c r="D91" s="10" t="str">
        <f t="shared" si="2"/>
        <v>PCFP</v>
      </c>
      <c r="E91" s="10" t="str">
        <f t="shared" si="3"/>
        <v>PCFP</v>
      </c>
      <c r="F91" s="559">
        <f>ROUND('3.1a Initial Allocations YR1'!E92*$K$3,2)</f>
        <v>722924.84</v>
      </c>
      <c r="G91" s="559">
        <f>ROUND(IF(F91=0,0,F91/'2.9 PCFP Funding Comparison YR1'!D87),0)</f>
        <v>8966</v>
      </c>
      <c r="H91" s="9"/>
      <c r="I91" s="559">
        <f>ROUND('3.1a Initial Allocations YR1'!G92*'3.1b Allocation Adj. YR1 '!$K$3,2)</f>
        <v>64554.54</v>
      </c>
      <c r="J91" s="559">
        <f>ROUND('3.1a Initial Allocations YR1'!H92*'3.1b Allocation Adj. YR1 '!$K$3,2)</f>
        <v>0</v>
      </c>
      <c r="K91" s="595">
        <f>ROUND('3.1a Initial Allocations YR1'!I92*'3.1b Allocation Adj. YR1 '!$K$3,2)</f>
        <v>0</v>
      </c>
      <c r="L91" s="559">
        <f>ROUND('3.1a Initial Allocations YR1'!J92*'3.1b Allocation Adj. YR1 '!$K$3,2)</f>
        <v>64554.54</v>
      </c>
      <c r="M91" s="9"/>
      <c r="N91" s="130">
        <v>0</v>
      </c>
      <c r="O91" s="130">
        <v>0</v>
      </c>
      <c r="P91" s="130">
        <v>0</v>
      </c>
      <c r="Q91" s="559">
        <f t="shared" si="4"/>
        <v>0</v>
      </c>
      <c r="R91" s="115"/>
      <c r="S91" s="559">
        <f>ROUND('3.1a Initial Allocations YR1'!Q92*'3.1b Allocation Adj. YR1 '!$K$3,2)</f>
        <v>0</v>
      </c>
      <c r="T91" s="9"/>
      <c r="U91" s="559">
        <f t="shared" si="5"/>
        <v>787479.38</v>
      </c>
      <c r="V91" s="115"/>
      <c r="W91" s="559">
        <f>IF(F91=0,0,IF(U91=0,0,U91/'2.9 PCFP Funding Comparison YR1'!D87))</f>
        <v>9766.5386193870745</v>
      </c>
    </row>
    <row r="92" spans="1:23" x14ac:dyDescent="0.3">
      <c r="A92" s="4"/>
      <c r="B92" s="132" t="str">
        <f>'1.2 Budgeted Enrollment YR1'!E90</f>
        <v>TEACH Las Vegas</v>
      </c>
      <c r="D92" s="10" t="str">
        <f t="shared" si="2"/>
        <v>PCFP</v>
      </c>
      <c r="E92" s="10" t="str">
        <f t="shared" si="3"/>
        <v>PCFP</v>
      </c>
      <c r="F92" s="559">
        <f>ROUND('3.1a Initial Allocations YR1'!E93*$K$3,2)</f>
        <v>2877914.35</v>
      </c>
      <c r="G92" s="559">
        <f>ROUND(IF(F92=0,0,F92/'2.9 PCFP Funding Comparison YR1'!D88),0)</f>
        <v>8966</v>
      </c>
      <c r="H92" s="9"/>
      <c r="I92" s="559">
        <f>ROUND('3.1a Initial Allocations YR1'!G93*'3.1b Allocation Adj. YR1 '!$K$3,2)</f>
        <v>181559.65</v>
      </c>
      <c r="J92" s="559">
        <f>ROUND('3.1a Initial Allocations YR1'!H93*'3.1b Allocation Adj. YR1 '!$K$3,2)</f>
        <v>56485.22</v>
      </c>
      <c r="K92" s="595">
        <f>ROUND('3.1a Initial Allocations YR1'!I93*'3.1b Allocation Adj. YR1 '!$K$3,2)</f>
        <v>0</v>
      </c>
      <c r="L92" s="559">
        <f>ROUND('3.1a Initial Allocations YR1'!J93*'3.1b Allocation Adj. YR1 '!$K$3,2)</f>
        <v>238044.87</v>
      </c>
      <c r="M92" s="9"/>
      <c r="N92" s="130">
        <v>0</v>
      </c>
      <c r="O92" s="130">
        <v>0</v>
      </c>
      <c r="P92" s="130">
        <v>0</v>
      </c>
      <c r="Q92" s="559">
        <f t="shared" si="4"/>
        <v>0</v>
      </c>
      <c r="R92" s="115"/>
      <c r="S92" s="559">
        <f>ROUND('3.1a Initial Allocations YR1'!Q93*'3.1b Allocation Adj. YR1 '!$K$3,2)</f>
        <v>48167.92</v>
      </c>
      <c r="T92" s="9"/>
      <c r="U92" s="559">
        <f t="shared" si="5"/>
        <v>3164127.14</v>
      </c>
      <c r="V92" s="115"/>
      <c r="W92" s="559">
        <f>IF(F92=0,0,IF(U92=0,0,U92/'2.9 PCFP Funding Comparison YR1'!D88))</f>
        <v>9857.5885709159411</v>
      </c>
    </row>
    <row r="93" spans="1:23" x14ac:dyDescent="0.3">
      <c r="A93" s="4"/>
      <c r="B93" s="195" t="str">
        <f>'1.2 Budgeted Enrollment YR1'!E91</f>
        <v>Young Women's Leadership Academy</v>
      </c>
      <c r="C93" s="183"/>
      <c r="D93" s="183" t="str">
        <f>$D$29</f>
        <v>PCFP</v>
      </c>
      <c r="E93" s="183" t="str">
        <f>$E$28</f>
        <v>PCFP</v>
      </c>
      <c r="F93" s="561">
        <f>ROUND('3.1a Initial Allocations YR1'!E94*$K$3,2)</f>
        <v>505290.03</v>
      </c>
      <c r="G93" s="561">
        <f>ROUND(IF(F93=0,0,F93/'2.9 PCFP Funding Comparison YR1'!D89),0)</f>
        <v>8966</v>
      </c>
      <c r="H93" s="9"/>
      <c r="I93" s="561">
        <f>ROUND('3.1a Initial Allocations YR1'!G94*'3.1b Allocation Adj. YR1 '!$K$3,2)</f>
        <v>20173.29</v>
      </c>
      <c r="J93" s="561">
        <f>ROUND('3.1a Initial Allocations YR1'!H94*'3.1b Allocation Adj. YR1 '!$K$3,2)</f>
        <v>0</v>
      </c>
      <c r="K93" s="596">
        <f>ROUND('3.1a Initial Allocations YR1'!I94*'3.1b Allocation Adj. YR1 '!$K$3,2)</f>
        <v>0</v>
      </c>
      <c r="L93" s="559">
        <f>ROUND('3.1a Initial Allocations YR1'!J94*'3.1b Allocation Adj. YR1 '!$K$3,2)</f>
        <v>20173.29</v>
      </c>
      <c r="M93" s="9"/>
      <c r="N93" s="130">
        <v>0</v>
      </c>
      <c r="O93" s="130">
        <v>0</v>
      </c>
      <c r="P93" s="130">
        <v>0</v>
      </c>
      <c r="Q93" s="559">
        <f>SUM(N93:P93)</f>
        <v>0</v>
      </c>
      <c r="R93" s="115"/>
      <c r="S93" s="561">
        <f>ROUND('3.1a Initial Allocations YR1'!Q94*'3.1b Allocation Adj. YR1 '!$K$3,2)</f>
        <v>0</v>
      </c>
      <c r="T93" s="9"/>
      <c r="U93" s="561">
        <f t="shared" si="5"/>
        <v>525463.31999999995</v>
      </c>
      <c r="V93" s="115"/>
      <c r="W93" s="561">
        <f>IF(F93=0,0,IF(U93=0,0,U93/'2.9 PCFP Funding Comparison YR1'!D89))</f>
        <v>9323.8719373836411</v>
      </c>
    </row>
    <row r="94" spans="1:23" s="4" customFormat="1" x14ac:dyDescent="0.3">
      <c r="B94" s="749" t="str">
        <f>'1.2 Budgeted Enrollment YR1'!E92</f>
        <v>Total Charter Schools</v>
      </c>
      <c r="C94" s="181"/>
      <c r="D94" s="181"/>
      <c r="E94" s="181"/>
      <c r="F94" s="573">
        <f>SUM(F34:F93)</f>
        <v>620816641.21999979</v>
      </c>
      <c r="G94" s="1044"/>
      <c r="H94" s="9"/>
      <c r="I94" s="607">
        <f>ROUND(SUM(I34:I93),2)</f>
        <v>22230970.27</v>
      </c>
      <c r="J94" s="605">
        <f>SUM(J34:J93)</f>
        <v>9571107.4000000004</v>
      </c>
      <c r="K94" s="605">
        <f>SUM(K34:K93)</f>
        <v>1180272.22</v>
      </c>
      <c r="L94" s="562">
        <f>ROUND(SUM(L34:L93),2)</f>
        <v>32982349.870000001</v>
      </c>
      <c r="M94" s="9"/>
      <c r="N94" s="562">
        <f>SUM(N34:N93)</f>
        <v>0</v>
      </c>
      <c r="O94" s="562">
        <f>SUM(O34:O93)</f>
        <v>0</v>
      </c>
      <c r="P94" s="562">
        <f>SUM(P34:P93)</f>
        <v>0</v>
      </c>
      <c r="Q94" s="562">
        <f>SUM(Q34:Q93)</f>
        <v>0</v>
      </c>
      <c r="R94" s="9"/>
      <c r="S94" s="562">
        <f>ROUND(SUM(S34:S93),2)</f>
        <v>14758608.460000001</v>
      </c>
      <c r="T94" s="9"/>
      <c r="U94" s="562">
        <f>SUM(U34:U93)</f>
        <v>668557599.54999983</v>
      </c>
      <c r="V94" s="9"/>
      <c r="W94" s="9"/>
    </row>
    <row r="95" spans="1:23" x14ac:dyDescent="0.3">
      <c r="F95" s="12">
        <f>F94-F28</f>
        <v>0</v>
      </c>
      <c r="G95" s="12"/>
      <c r="H95" s="9"/>
      <c r="I95" s="11">
        <f>I94-I28</f>
        <v>0</v>
      </c>
      <c r="J95" s="11">
        <f>J94-J28</f>
        <v>0</v>
      </c>
      <c r="K95" s="11">
        <f>K94-K28</f>
        <v>0</v>
      </c>
      <c r="L95" s="11">
        <f>L94-L28</f>
        <v>0</v>
      </c>
      <c r="M95" s="9"/>
      <c r="N95" s="11">
        <f>N94-N28</f>
        <v>0</v>
      </c>
      <c r="O95" s="11">
        <f>O94-O28</f>
        <v>0</v>
      </c>
      <c r="P95" s="11">
        <f>P94-P28</f>
        <v>0</v>
      </c>
      <c r="Q95" s="11">
        <f>Q94-Q28</f>
        <v>0</v>
      </c>
      <c r="R95" s="12"/>
      <c r="S95" s="11">
        <f>S94-S28</f>
        <v>0</v>
      </c>
      <c r="T95" s="9"/>
      <c r="U95" s="12">
        <f>U94-U28</f>
        <v>0</v>
      </c>
      <c r="V95" s="12"/>
      <c r="W95" s="12"/>
    </row>
    <row r="96" spans="1:23" x14ac:dyDescent="0.3">
      <c r="A96" s="4" t="s">
        <v>1259</v>
      </c>
      <c r="B96" s="183"/>
      <c r="C96" s="183"/>
      <c r="D96" s="183"/>
      <c r="E96" s="183"/>
      <c r="F96" s="664"/>
      <c r="G96" s="664"/>
      <c r="H96" s="9"/>
      <c r="I96" s="167"/>
      <c r="J96" s="167"/>
      <c r="K96" s="167"/>
      <c r="L96" s="167"/>
      <c r="M96" s="9"/>
      <c r="N96" s="167"/>
      <c r="O96" s="167"/>
      <c r="P96" s="167"/>
      <c r="Q96" s="167"/>
      <c r="R96" s="12"/>
      <c r="S96" s="167"/>
      <c r="T96" s="9"/>
      <c r="U96" s="664"/>
      <c r="V96" s="12"/>
      <c r="W96" s="12"/>
    </row>
    <row r="97" spans="1:23" x14ac:dyDescent="0.3">
      <c r="A97" s="4"/>
      <c r="B97" s="132" t="str">
        <f>'1.2 Budgeted Enrollment YR1'!E96</f>
        <v>Davidson Academy</v>
      </c>
      <c r="D97" s="10" t="str">
        <f>$D$29</f>
        <v>PCFP</v>
      </c>
      <c r="E97" s="143" t="str">
        <f>$E$29</f>
        <v>PCFP</v>
      </c>
      <c r="F97" s="559">
        <f>ROUND('3.1a Initial Allocations YR1'!E98*'3.1b Allocation Adj. YR1 '!$K$3,2)</f>
        <v>1452873.52</v>
      </c>
      <c r="G97" s="559">
        <f>ROUND(IF(F97=0,0,F97/'2.9 PCFP Funding Comparison YR1'!D95),0)</f>
        <v>8966</v>
      </c>
      <c r="H97" s="9"/>
      <c r="I97" s="565">
        <f>'3.1a Initial Allocations YR1'!G98*$K$3</f>
        <v>0</v>
      </c>
      <c r="J97" s="565">
        <f>'3.1a Initial Allocations YR1'!H98*'3.1b Allocation Adj. YR1 '!$K$3</f>
        <v>0</v>
      </c>
      <c r="K97" s="565">
        <f>'3.1a Initial Allocations YR1'!I98*'3.1b Allocation Adj. YR1 '!$K$3</f>
        <v>0</v>
      </c>
      <c r="L97" s="559">
        <f>'3.1a Initial Allocations YR1'!J98*'3.1b Allocation Adj. YR1 '!$K$3</f>
        <v>0</v>
      </c>
      <c r="M97" s="9"/>
      <c r="N97" s="130">
        <v>0</v>
      </c>
      <c r="O97" s="130">
        <v>0</v>
      </c>
      <c r="P97" s="130">
        <v>0</v>
      </c>
      <c r="Q97" s="559">
        <f>SUM(N97:P97)</f>
        <v>0</v>
      </c>
      <c r="R97" s="115"/>
      <c r="S97" s="559">
        <f>'3.1a Initial Allocations YR1'!Q98*'3.1b Allocation Adj. YR1 '!$K$3</f>
        <v>0</v>
      </c>
      <c r="T97" s="9"/>
      <c r="U97" s="559">
        <f>ROUND(Q97+L97+F97+S97,2)</f>
        <v>1452873.52</v>
      </c>
      <c r="V97" s="115"/>
      <c r="W97" s="560">
        <f>IF(U97=0,0,U97/'2.9 PCFP Funding Comparison YR1'!D95)</f>
        <v>8965.9152008608016</v>
      </c>
    </row>
    <row r="98" spans="1:23" x14ac:dyDescent="0.3">
      <c r="A98" s="4"/>
      <c r="B98" s="195">
        <f>'1.2 Budgeted Enrollment YR1'!E97</f>
        <v>0</v>
      </c>
      <c r="C98" s="183"/>
      <c r="D98" s="168" t="str">
        <f>$D$29</f>
        <v>PCFP</v>
      </c>
      <c r="E98" s="168" t="str">
        <f>$E$29</f>
        <v>PCFP</v>
      </c>
      <c r="F98" s="559">
        <f>ROUND('3.1a Initial Allocations YR1'!E99*'3.1b Allocation Adj. YR1 '!$K$3,2)</f>
        <v>0</v>
      </c>
      <c r="G98" s="559">
        <f>ROUND(IF(F98=0,0,F98/'2.9 PCFP Funding Comparison YR1'!D96),0)</f>
        <v>0</v>
      </c>
      <c r="H98" s="9"/>
      <c r="I98" s="566">
        <f>'3.1a Initial Allocations YR1'!G99*$K$3</f>
        <v>0</v>
      </c>
      <c r="J98" s="566">
        <f>'3.1a Initial Allocations YR1'!H99*'3.1b Allocation Adj. YR1 '!$K$3</f>
        <v>0</v>
      </c>
      <c r="K98" s="566">
        <f>'3.1a Initial Allocations YR1'!I99*'3.1b Allocation Adj. YR1 '!$K$3</f>
        <v>0</v>
      </c>
      <c r="L98" s="561">
        <f>'3.1a Initial Allocations YR1'!J99*'3.1b Allocation Adj. YR1 '!$K$3</f>
        <v>0</v>
      </c>
      <c r="M98" s="9"/>
      <c r="N98" s="223">
        <v>0</v>
      </c>
      <c r="O98" s="223">
        <v>0</v>
      </c>
      <c r="P98" s="223">
        <v>0</v>
      </c>
      <c r="Q98" s="561">
        <f>SUM(N98:P98)</f>
        <v>0</v>
      </c>
      <c r="R98" s="167"/>
      <c r="S98" s="559">
        <f>'3.1a Initial Allocations YR1'!Q99*'3.1b Allocation Adj. YR1 '!$K$3</f>
        <v>0</v>
      </c>
      <c r="T98" s="9"/>
      <c r="U98" s="559">
        <f>Q98+L98+F98+S98</f>
        <v>0</v>
      </c>
      <c r="V98" s="115"/>
      <c r="W98" s="561">
        <f>IF(U98=0,0,U98/'2.9 PCFP Funding Comparison YR1'!#REF!)</f>
        <v>0</v>
      </c>
    </row>
    <row r="99" spans="1:23" s="4" customFormat="1" x14ac:dyDescent="0.3">
      <c r="B99" s="431" t="str">
        <f>'1.2 Budgeted Enrollment YR1'!E98</f>
        <v>Total University Schools</v>
      </c>
      <c r="D99" s="181"/>
      <c r="E99" s="143"/>
      <c r="F99" s="573">
        <f>SUM(F97:F98)</f>
        <v>1452873.52</v>
      </c>
      <c r="G99" s="1044">
        <f>SUM(G97:G98)</f>
        <v>8966</v>
      </c>
      <c r="H99" s="9"/>
      <c r="I99" s="571">
        <f>SUM(I97:I98)</f>
        <v>0</v>
      </c>
      <c r="J99" s="572">
        <f>SUM(J97:J98)</f>
        <v>0</v>
      </c>
      <c r="K99" s="572">
        <f>SUM(K97:K98)</f>
        <v>0</v>
      </c>
      <c r="L99" s="563">
        <f>SUM(L97:L98)</f>
        <v>0</v>
      </c>
      <c r="M99" s="9"/>
      <c r="N99" s="563">
        <f>SUM(N97:N98)</f>
        <v>0</v>
      </c>
      <c r="O99" s="563">
        <f>SUM(O97:O98)</f>
        <v>0</v>
      </c>
      <c r="P99" s="563">
        <f>SUM(P97:P98)</f>
        <v>0</v>
      </c>
      <c r="Q99" s="563">
        <f>SUM(Q97:Q98)</f>
        <v>0</v>
      </c>
      <c r="R99" s="9"/>
      <c r="S99" s="562">
        <f>SUM(S97:S98)</f>
        <v>0</v>
      </c>
      <c r="T99" s="9"/>
      <c r="U99" s="562">
        <f>SUM(U97:U98)</f>
        <v>1452873.52</v>
      </c>
      <c r="V99" s="9"/>
      <c r="W99" s="9"/>
    </row>
  </sheetData>
  <sheetProtection algorithmName="SHA-512" hashValue="sSR9H16w+20WbpSdkn4+QYgHyDaNMReFuCUK1AbLfRwgkqpf/9bTGMnaRwv1zEWn85TEInnrkq3zKf4db4yJPg==" saltValue="gUOBDNkh7MGwvsZV0nZQFQ==" spinCount="100000" sheet="1" objects="1" scenarios="1"/>
  <printOptions horizontalCentered="1"/>
  <pageMargins left="0.2" right="0.2" top="0.75" bottom="0.75" header="0.3" footer="0.3"/>
  <pageSetup scale="49" fitToHeight="0" orientation="landscape" r:id="rId1"/>
  <rowBreaks count="2" manualBreakCount="2">
    <brk id="31" max="16383" man="1"/>
    <brk id="72" max="23" man="1"/>
  </rowBreaks>
  <ignoredErrors>
    <ignoredError sqref="U13" formula="1"/>
  </ignoredErrors>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F30-1364-4644-A2FF-076FC4F32D3F}">
  <sheetPr codeName="Sheet295">
    <tabColor rgb="FF00B0F0"/>
    <pageSetUpPr fitToPage="1"/>
  </sheetPr>
  <dimension ref="A1:T46"/>
  <sheetViews>
    <sheetView topLeftCell="B1" zoomScale="85" zoomScaleNormal="85" workbookViewId="0">
      <selection activeCell="T7" sqref="T7"/>
    </sheetView>
  </sheetViews>
  <sheetFormatPr defaultColWidth="8.85546875" defaultRowHeight="16.5" x14ac:dyDescent="0.3"/>
  <cols>
    <col min="1" max="1" width="12.140625" style="676" customWidth="1"/>
    <col min="2" max="2" width="52.140625" style="676" customWidth="1"/>
    <col min="3" max="3" width="15.42578125" style="676" bestFit="1" customWidth="1"/>
    <col min="4" max="4" width="16.42578125" style="676" customWidth="1"/>
    <col min="5" max="5" width="15.85546875" style="676" customWidth="1"/>
    <col min="6" max="6" width="7.42578125" style="676" customWidth="1"/>
    <col min="7" max="7" width="12" style="676" bestFit="1" customWidth="1"/>
    <col min="8" max="8" width="10" style="676" customWidth="1"/>
    <col min="9" max="9" width="9.7109375" style="676" customWidth="1"/>
    <col min="10" max="10" width="0.42578125" style="676" customWidth="1"/>
    <col min="11" max="11" width="10.28515625" style="676" customWidth="1"/>
    <col min="12" max="12" width="52.42578125" style="676" customWidth="1"/>
    <col min="13" max="13" width="15.42578125" style="676" bestFit="1" customWidth="1"/>
    <col min="14" max="14" width="16.7109375" style="676" customWidth="1"/>
    <col min="15" max="15" width="16" style="676" customWidth="1"/>
    <col min="16" max="16" width="7.85546875" style="676" customWidth="1"/>
    <col min="17" max="17" width="11.7109375" style="811" customWidth="1"/>
    <col min="18" max="18" width="10.140625" style="676" customWidth="1"/>
    <col min="19" max="19" width="8.85546875" style="676" customWidth="1"/>
    <col min="20" max="20" width="15.5703125" style="676" bestFit="1" customWidth="1"/>
    <col min="21" max="16384" width="8.85546875" style="676"/>
  </cols>
  <sheetData>
    <row r="1" spans="1:20" s="675" customFormat="1" x14ac:dyDescent="0.3">
      <c r="A1" s="443" t="s">
        <v>602</v>
      </c>
      <c r="B1" s="434"/>
      <c r="C1" s="434"/>
      <c r="D1" s="434"/>
      <c r="E1" s="434"/>
      <c r="F1" s="434"/>
      <c r="G1" s="434"/>
      <c r="H1" s="434"/>
      <c r="I1" s="445"/>
      <c r="K1" s="443" t="s">
        <v>602</v>
      </c>
      <c r="L1" s="434"/>
      <c r="M1" s="434"/>
      <c r="N1" s="434"/>
      <c r="O1" s="434"/>
      <c r="P1" s="434"/>
      <c r="Q1" s="943"/>
      <c r="R1" s="434"/>
      <c r="S1" s="445"/>
    </row>
    <row r="2" spans="1:20" x14ac:dyDescent="0.3">
      <c r="A2" s="132" t="str">
        <f>CONCATENATE("Pupil Center Funding Plan | FY",'1.1 Assumption Control YR1'!D5)</f>
        <v>Pupil Center Funding Plan | FY2024</v>
      </c>
      <c r="B2" s="10"/>
      <c r="C2" s="10"/>
      <c r="D2" s="10"/>
      <c r="E2" s="10"/>
      <c r="F2" s="10"/>
      <c r="G2" s="10"/>
      <c r="H2" s="10"/>
      <c r="I2" s="143"/>
      <c r="K2" s="132" t="str">
        <f>CONCATENATE("Pupil Center Funding Plan | FY",'1.1 Assumption Control YR1'!D5+1)</f>
        <v>Pupil Center Funding Plan | FY2025</v>
      </c>
      <c r="L2" s="10"/>
      <c r="M2" s="10"/>
      <c r="N2" s="10"/>
      <c r="O2" s="10"/>
      <c r="P2" s="10"/>
      <c r="Q2" s="73"/>
      <c r="R2" s="10"/>
      <c r="S2" s="143"/>
    </row>
    <row r="3" spans="1:20" x14ac:dyDescent="0.3">
      <c r="A3" s="132" t="s">
        <v>1278</v>
      </c>
      <c r="B3" s="10"/>
      <c r="C3" s="10"/>
      <c r="D3" s="10"/>
      <c r="E3" s="10"/>
      <c r="F3" s="10"/>
      <c r="G3" s="10"/>
      <c r="H3" s="10"/>
      <c r="I3" s="143"/>
      <c r="K3" s="132" t="s">
        <v>1228</v>
      </c>
      <c r="L3" s="10"/>
      <c r="M3" s="10"/>
      <c r="N3" s="10"/>
      <c r="O3" s="10"/>
      <c r="P3" s="10"/>
      <c r="Q3" s="73"/>
      <c r="R3" s="10"/>
      <c r="S3" s="143"/>
    </row>
    <row r="4" spans="1:20" x14ac:dyDescent="0.3">
      <c r="A4" s="132"/>
      <c r="B4" s="10"/>
      <c r="C4" s="10"/>
      <c r="D4" s="10"/>
      <c r="E4" s="10"/>
      <c r="F4" s="10"/>
      <c r="G4" s="10"/>
      <c r="H4" s="10"/>
      <c r="I4" s="143"/>
      <c r="K4" s="132"/>
      <c r="L4" s="10"/>
      <c r="M4" s="10"/>
      <c r="N4" s="10"/>
      <c r="O4" s="10"/>
      <c r="P4" s="10"/>
      <c r="Q4" s="73"/>
      <c r="R4" s="10"/>
      <c r="S4" s="143"/>
    </row>
    <row r="5" spans="1:20" ht="17.25" thickBot="1" x14ac:dyDescent="0.35">
      <c r="A5" s="924" t="s">
        <v>886</v>
      </c>
      <c r="B5" s="114"/>
      <c r="C5" s="680" t="s">
        <v>716</v>
      </c>
      <c r="D5" s="140" t="s">
        <v>1299</v>
      </c>
      <c r="E5" s="10"/>
      <c r="F5" s="10"/>
      <c r="G5" s="10"/>
      <c r="H5" s="10"/>
      <c r="I5" s="143"/>
      <c r="K5" s="924" t="s">
        <v>886</v>
      </c>
      <c r="L5" s="114"/>
      <c r="M5" s="680" t="s">
        <v>716</v>
      </c>
      <c r="N5" s="140" t="s">
        <v>1299</v>
      </c>
      <c r="O5" s="10"/>
      <c r="P5" s="10"/>
      <c r="Q5" s="73"/>
      <c r="R5" s="10"/>
      <c r="S5" s="143"/>
    </row>
    <row r="6" spans="1:20" x14ac:dyDescent="0.3">
      <c r="A6" s="212"/>
      <c r="B6" s="10"/>
      <c r="C6" s="10"/>
      <c r="D6" s="10"/>
      <c r="E6" s="10"/>
      <c r="F6" s="10"/>
      <c r="G6" s="10"/>
      <c r="H6" s="10"/>
      <c r="I6" s="143"/>
      <c r="K6" s="212"/>
      <c r="L6" s="10"/>
      <c r="M6" s="10"/>
      <c r="N6" s="10"/>
      <c r="O6" s="10"/>
      <c r="P6" s="10"/>
      <c r="Q6" s="73"/>
      <c r="R6" s="10"/>
      <c r="S6" s="143"/>
    </row>
    <row r="7" spans="1:20" x14ac:dyDescent="0.3">
      <c r="A7" s="132"/>
      <c r="B7" s="4" t="s">
        <v>887</v>
      </c>
      <c r="C7" s="13" t="s">
        <v>881</v>
      </c>
      <c r="D7" s="209">
        <f>'1.3 Budgeted Revenues YR1'!C35</f>
        <v>5476921809.4808378</v>
      </c>
      <c r="E7" s="12"/>
      <c r="F7" s="10"/>
      <c r="G7" s="10"/>
      <c r="H7" s="10"/>
      <c r="I7" s="143"/>
      <c r="K7" s="132"/>
      <c r="L7" s="17" t="s">
        <v>1318</v>
      </c>
      <c r="M7" s="13" t="s">
        <v>1317</v>
      </c>
      <c r="N7" s="209">
        <f>ROUND('5.3 Budgeted Revenues YR2'!C35,2)</f>
        <v>5720230864</v>
      </c>
      <c r="O7" s="10"/>
      <c r="P7" s="10"/>
      <c r="Q7" s="73"/>
      <c r="R7" s="10"/>
      <c r="S7" s="143"/>
      <c r="T7" s="1576"/>
    </row>
    <row r="8" spans="1:20" x14ac:dyDescent="0.3">
      <c r="A8" s="132"/>
      <c r="B8" s="10"/>
      <c r="C8" s="10"/>
      <c r="D8" s="175">
        <f>D7-'1.3 Budgeted Revenues YR1'!C35</f>
        <v>0</v>
      </c>
      <c r="E8" s="10"/>
      <c r="F8" s="10"/>
      <c r="G8" s="10"/>
      <c r="H8" s="10"/>
      <c r="I8" s="143"/>
      <c r="K8" s="132"/>
      <c r="L8" s="10"/>
      <c r="M8" s="10"/>
      <c r="N8" s="10"/>
      <c r="O8" s="10"/>
      <c r="P8" s="10"/>
      <c r="Q8" s="73"/>
      <c r="R8" s="10"/>
      <c r="S8" s="143"/>
    </row>
    <row r="9" spans="1:20" ht="33" x14ac:dyDescent="0.3">
      <c r="A9" s="947" t="s">
        <v>83</v>
      </c>
      <c r="B9" s="948"/>
      <c r="C9" s="949" t="s">
        <v>716</v>
      </c>
      <c r="D9" s="950" t="s">
        <v>1299</v>
      </c>
      <c r="E9" s="951" t="s">
        <v>1320</v>
      </c>
      <c r="F9" s="951" t="s">
        <v>709</v>
      </c>
      <c r="G9" s="951" t="s">
        <v>1298</v>
      </c>
      <c r="H9" s="951" t="s">
        <v>100</v>
      </c>
      <c r="I9" s="953" t="s">
        <v>85</v>
      </c>
      <c r="J9" s="677"/>
      <c r="K9" s="947" t="s">
        <v>83</v>
      </c>
      <c r="L9" s="948"/>
      <c r="M9" s="949" t="s">
        <v>716</v>
      </c>
      <c r="N9" s="950" t="s">
        <v>1299</v>
      </c>
      <c r="O9" s="951" t="s">
        <v>1320</v>
      </c>
      <c r="P9" s="951" t="s">
        <v>709</v>
      </c>
      <c r="Q9" s="952" t="s">
        <v>1298</v>
      </c>
      <c r="R9" s="951" t="s">
        <v>100</v>
      </c>
      <c r="S9" s="953" t="s">
        <v>85</v>
      </c>
    </row>
    <row r="10" spans="1:20" x14ac:dyDescent="0.3">
      <c r="A10" s="925"/>
      <c r="B10" s="926"/>
      <c r="C10" s="926"/>
      <c r="D10" s="926"/>
      <c r="E10" s="208"/>
      <c r="F10" s="76"/>
      <c r="G10" s="76"/>
      <c r="H10" s="208"/>
      <c r="I10" s="927"/>
      <c r="J10" s="678"/>
      <c r="K10" s="925"/>
      <c r="L10" s="926"/>
      <c r="M10" s="926"/>
      <c r="N10" s="926"/>
      <c r="O10" s="208"/>
      <c r="P10" s="76"/>
      <c r="Q10" s="73"/>
      <c r="R10" s="208"/>
      <c r="S10" s="927"/>
    </row>
    <row r="11" spans="1:20" x14ac:dyDescent="0.3">
      <c r="A11" s="925"/>
      <c r="B11" s="928" t="s">
        <v>1306</v>
      </c>
      <c r="C11" s="930" t="s">
        <v>1449</v>
      </c>
      <c r="D11" s="931">
        <f>ROUND(D7,2)</f>
        <v>5476921809.4799995</v>
      </c>
      <c r="E11" s="209">
        <f>ROUND('3.1b Allocation Adj. YR1 '!Q30,2)</f>
        <v>194770412</v>
      </c>
      <c r="F11" s="76">
        <f>E11/$E$24</f>
        <v>3.556202165655209E-2</v>
      </c>
      <c r="G11" s="73">
        <f>G15</f>
        <v>471282.96592185041</v>
      </c>
      <c r="H11" s="932" t="s">
        <v>944</v>
      </c>
      <c r="I11" s="933" t="s">
        <v>944</v>
      </c>
      <c r="J11" s="678"/>
      <c r="K11" s="925"/>
      <c r="L11" s="928" t="s">
        <v>1306</v>
      </c>
      <c r="M11" s="930" t="s">
        <v>1319</v>
      </c>
      <c r="N11" s="931">
        <f>ROUND(N7,2)</f>
        <v>5720230864</v>
      </c>
      <c r="O11" s="209">
        <f>ROUND('7.1b Allocation Adj. YR2'!Q30,0)</f>
        <v>194807776</v>
      </c>
      <c r="P11" s="76">
        <f>O11/$O$24</f>
        <v>3.4055928970631838E-2</v>
      </c>
      <c r="Q11" s="73">
        <f>Q15</f>
        <v>471754.24888777226</v>
      </c>
      <c r="R11" s="932" t="s">
        <v>944</v>
      </c>
      <c r="S11" s="933" t="s">
        <v>944</v>
      </c>
    </row>
    <row r="12" spans="1:20" x14ac:dyDescent="0.3">
      <c r="A12" s="925"/>
      <c r="B12" s="928"/>
      <c r="C12" s="926"/>
      <c r="D12" s="12"/>
      <c r="E12" s="208"/>
      <c r="F12" s="76"/>
      <c r="G12" s="76"/>
      <c r="H12" s="932"/>
      <c r="I12" s="933"/>
      <c r="J12" s="678"/>
      <c r="K12" s="925"/>
      <c r="L12" s="928"/>
      <c r="M12" s="926"/>
      <c r="N12" s="12"/>
      <c r="O12" s="208"/>
      <c r="P12" s="76"/>
      <c r="Q12" s="73"/>
      <c r="R12" s="932"/>
      <c r="S12" s="933"/>
    </row>
    <row r="13" spans="1:20" x14ac:dyDescent="0.3">
      <c r="A13" s="925"/>
      <c r="B13" s="928" t="s">
        <v>1307</v>
      </c>
      <c r="C13" s="930" t="s">
        <v>1449</v>
      </c>
      <c r="D13" s="931">
        <f>ROUND(D11-E11,2)</f>
        <v>5282151397.4799995</v>
      </c>
      <c r="E13" s="209">
        <f>ROUND('3.1b Allocation Adj. YR1 '!S30,2)</f>
        <v>483781493</v>
      </c>
      <c r="F13" s="76">
        <f>E13/$E$24</f>
        <v>8.8330911016941849E-2</v>
      </c>
      <c r="G13" s="934" t="s">
        <v>944</v>
      </c>
      <c r="H13" s="932" t="s">
        <v>944</v>
      </c>
      <c r="I13" s="933" t="s">
        <v>944</v>
      </c>
      <c r="J13" s="678"/>
      <c r="K13" s="925"/>
      <c r="L13" s="928" t="s">
        <v>1307</v>
      </c>
      <c r="M13" s="930" t="s">
        <v>1319</v>
      </c>
      <c r="N13" s="931">
        <f>N11-O11</f>
        <v>5525423088</v>
      </c>
      <c r="O13" s="209">
        <f>ROUND('7.1b Allocation Adj. YR2'!S30,0)</f>
        <v>483874302</v>
      </c>
      <c r="P13" s="76">
        <f>O13/$O$24</f>
        <v>8.4589995317363817E-2</v>
      </c>
      <c r="Q13" s="944" t="s">
        <v>944</v>
      </c>
      <c r="R13" s="932" t="s">
        <v>944</v>
      </c>
      <c r="S13" s="933" t="s">
        <v>944</v>
      </c>
    </row>
    <row r="14" spans="1:20" x14ac:dyDescent="0.3">
      <c r="A14" s="925"/>
      <c r="B14" s="928"/>
      <c r="C14" s="926"/>
      <c r="D14" s="12"/>
      <c r="E14" s="208"/>
      <c r="F14" s="76"/>
      <c r="G14" s="76"/>
      <c r="H14" s="254"/>
      <c r="I14" s="927"/>
      <c r="J14" s="678"/>
      <c r="K14" s="925"/>
      <c r="L14" s="928"/>
      <c r="M14" s="926"/>
      <c r="N14" s="12"/>
      <c r="O14" s="208"/>
      <c r="P14" s="76"/>
      <c r="Q14" s="73"/>
      <c r="R14" s="254"/>
      <c r="S14" s="927"/>
    </row>
    <row r="15" spans="1:20" x14ac:dyDescent="0.3">
      <c r="A15" s="925"/>
      <c r="B15" s="930" t="s">
        <v>1314</v>
      </c>
      <c r="C15" s="930" t="s">
        <v>1315</v>
      </c>
      <c r="D15" s="931"/>
      <c r="E15" s="208">
        <f>ROUND('1.1 Assumption Control YR1'!E56*'1.2 Budgeted Enrollment YR1'!G28,0)</f>
        <v>4225523072</v>
      </c>
      <c r="F15" s="76">
        <f>E15/$E$24</f>
        <v>0.77151422258491964</v>
      </c>
      <c r="G15" s="73">
        <f>G17</f>
        <v>471282.96592185041</v>
      </c>
      <c r="H15" s="208">
        <f>ROUND(E15/G15,0)</f>
        <v>8966</v>
      </c>
      <c r="I15" s="927">
        <f>H15/H$15</f>
        <v>1</v>
      </c>
      <c r="J15" s="678"/>
      <c r="K15" s="925"/>
      <c r="L15" s="930" t="s">
        <v>1314</v>
      </c>
      <c r="M15" s="930" t="s">
        <v>1316</v>
      </c>
      <c r="N15" s="931"/>
      <c r="O15" s="208">
        <f>ROUND('5.1 Assumption Control YR2'!E56*'5.2 Budgeted Enrollment YR2'!G28,2)</f>
        <v>4441094499.0299997</v>
      </c>
      <c r="P15" s="76">
        <f>O15/$O$24</f>
        <v>0.77638378670689956</v>
      </c>
      <c r="Q15" s="73">
        <f>Q17</f>
        <v>471754.24888777226</v>
      </c>
      <c r="R15" s="208">
        <f>ROUND(O15/Q15,0)</f>
        <v>9414</v>
      </c>
      <c r="S15" s="927">
        <f>R15/R$15</f>
        <v>1</v>
      </c>
    </row>
    <row r="16" spans="1:20" x14ac:dyDescent="0.3">
      <c r="A16" s="925"/>
      <c r="B16" s="928"/>
      <c r="C16" s="930"/>
      <c r="D16" s="931"/>
      <c r="E16" s="208"/>
      <c r="F16" s="76"/>
      <c r="G16" s="73"/>
      <c r="H16" s="208"/>
      <c r="I16" s="927"/>
      <c r="J16" s="678"/>
      <c r="K16" s="925"/>
      <c r="L16" s="928"/>
      <c r="M16" s="930"/>
      <c r="N16" s="931"/>
      <c r="O16" s="208"/>
      <c r="P16" s="76"/>
      <c r="Q16" s="73"/>
      <c r="R16" s="208"/>
      <c r="S16" s="927"/>
    </row>
    <row r="17" spans="1:19" x14ac:dyDescent="0.3">
      <c r="A17" s="925"/>
      <c r="B17" s="928" t="s">
        <v>1308</v>
      </c>
      <c r="C17" s="929" t="s">
        <v>1449</v>
      </c>
      <c r="D17" s="9">
        <f>ROUND(D13-E13,2)</f>
        <v>4798369904.4799995</v>
      </c>
      <c r="E17" s="209">
        <f>ROUND('3.1b Allocation Adj. YR1 '!F30,0)</f>
        <v>4379176004</v>
      </c>
      <c r="F17" s="76">
        <f>E17/E24</f>
        <v>0.79956883744796525</v>
      </c>
      <c r="G17" s="73">
        <f>'1.2 Budgeted Enrollment YR1'!G28</f>
        <v>471282.96592185041</v>
      </c>
      <c r="H17" s="208">
        <f>ROUND(E17/G17,0)</f>
        <v>9292</v>
      </c>
      <c r="I17" s="927">
        <f>H17/H$15</f>
        <v>1.0363595806379657</v>
      </c>
      <c r="J17" s="678"/>
      <c r="K17" s="925"/>
      <c r="L17" s="928" t="s">
        <v>1308</v>
      </c>
      <c r="M17" s="929" t="s">
        <v>1319</v>
      </c>
      <c r="N17" s="9">
        <f>N13-O13</f>
        <v>5041548786</v>
      </c>
      <c r="O17" s="209">
        <f>ROUND('7.1b Allocation Adj. YR2'!F30,0)</f>
        <v>4601409680</v>
      </c>
      <c r="P17" s="76">
        <f>O17/O24</f>
        <v>0.80440978509429617</v>
      </c>
      <c r="Q17" s="73">
        <f>'5.2 Budgeted Enrollment YR2'!G28</f>
        <v>471754.24888777226</v>
      </c>
      <c r="R17" s="208">
        <f>ROUND(O17/Q17,0)</f>
        <v>9754</v>
      </c>
      <c r="S17" s="927">
        <f>R17/R$15</f>
        <v>1.0361164223496919</v>
      </c>
    </row>
    <row r="18" spans="1:19" x14ac:dyDescent="0.3">
      <c r="A18" s="925"/>
      <c r="B18" s="928"/>
      <c r="C18" s="926"/>
      <c r="D18" s="12"/>
      <c r="E18" s="208"/>
      <c r="F18" s="76"/>
      <c r="G18" s="76"/>
      <c r="H18" s="208"/>
      <c r="I18" s="927"/>
      <c r="J18" s="678"/>
      <c r="K18" s="925"/>
      <c r="L18" s="928"/>
      <c r="M18" s="926"/>
      <c r="N18" s="12"/>
      <c r="O18" s="208"/>
      <c r="P18" s="76"/>
      <c r="Q18" s="73"/>
      <c r="R18" s="208"/>
      <c r="S18" s="927"/>
    </row>
    <row r="19" spans="1:19" x14ac:dyDescent="0.3">
      <c r="A19" s="925"/>
      <c r="B19" s="13" t="s">
        <v>1309</v>
      </c>
      <c r="C19" s="930" t="s">
        <v>1449</v>
      </c>
      <c r="D19" s="12">
        <f>D17-E17</f>
        <v>419193900.47999954</v>
      </c>
      <c r="E19" s="208">
        <f>ROUND('3.1b Allocation Adj. YR1 '!I30,0)</f>
        <v>212534769</v>
      </c>
      <c r="F19" s="76">
        <f>E19/$E$24</f>
        <v>3.880551455602145E-2</v>
      </c>
      <c r="G19" s="73">
        <f>'1.2 Budgeted Enrollment YR1'!$H$28</f>
        <v>52678</v>
      </c>
      <c r="H19" s="208">
        <f>ROUND(E19/G19,0)</f>
        <v>4035</v>
      </c>
      <c r="I19" s="927">
        <f>H19/H$15</f>
        <v>0.45003345973678338</v>
      </c>
      <c r="J19" s="678"/>
      <c r="K19" s="925"/>
      <c r="L19" s="13" t="s">
        <v>1309</v>
      </c>
      <c r="M19" s="930" t="s">
        <v>1319</v>
      </c>
      <c r="N19" s="12">
        <f>N17-O17</f>
        <v>440139106</v>
      </c>
      <c r="O19" s="208">
        <f>ROUND('7.1b Allocation Adj. YR2'!I30,0)</f>
        <v>223153735</v>
      </c>
      <c r="P19" s="76">
        <f>O19/$O$24</f>
        <v>3.901131620480694E-2</v>
      </c>
      <c r="Q19" s="73">
        <f>'5.2 Budgeted Enrollment YR2'!$H$28</f>
        <v>52678</v>
      </c>
      <c r="R19" s="208">
        <f>ROUND(O19/Q19,0)</f>
        <v>4236</v>
      </c>
      <c r="S19" s="927">
        <f>R19/R$15</f>
        <v>0.44996813256851498</v>
      </c>
    </row>
    <row r="20" spans="1:19" ht="15" customHeight="1" x14ac:dyDescent="0.3">
      <c r="A20" s="925"/>
      <c r="B20" s="13" t="s">
        <v>1310</v>
      </c>
      <c r="C20" s="930" t="s">
        <v>1449</v>
      </c>
      <c r="D20" s="12">
        <f>D19-E19</f>
        <v>206659131.47999954</v>
      </c>
      <c r="E20" s="208">
        <f>ROUND('3.1b Allocation Adj. YR1 '!J30,0)</f>
        <v>198666203</v>
      </c>
      <c r="F20" s="76">
        <f>E20/$E$24</f>
        <v>3.6273331975654355E-2</v>
      </c>
      <c r="G20" s="73">
        <f>'1.2 Budgeted Enrollment YR1'!$I$28</f>
        <v>63325</v>
      </c>
      <c r="H20" s="208">
        <f>ROUND(E20/G20,0)</f>
        <v>3137</v>
      </c>
      <c r="I20" s="927">
        <f>H20/H$15</f>
        <v>0.34987731429846086</v>
      </c>
      <c r="J20" s="678"/>
      <c r="K20" s="925"/>
      <c r="L20" s="13" t="s">
        <v>1310</v>
      </c>
      <c r="M20" s="930" t="s">
        <v>1319</v>
      </c>
      <c r="N20" s="12">
        <f>N19-O19</f>
        <v>216985371</v>
      </c>
      <c r="O20" s="208">
        <f>ROUND('7.1b Allocation Adj. YR2'!J30,0)</f>
        <v>208593011</v>
      </c>
      <c r="P20" s="76">
        <f>O20/$O$24</f>
        <v>3.6465837823569353E-2</v>
      </c>
      <c r="Q20" s="73">
        <f>'5.2 Budgeted Enrollment YR2'!$I$28</f>
        <v>63325</v>
      </c>
      <c r="R20" s="208">
        <f>ROUND(O20/Q20,0)</f>
        <v>3294</v>
      </c>
      <c r="S20" s="927">
        <f>R20/R$15</f>
        <v>0.34990439770554493</v>
      </c>
    </row>
    <row r="21" spans="1:19" ht="18.75" x14ac:dyDescent="0.45">
      <c r="A21" s="925"/>
      <c r="B21" s="13" t="s">
        <v>1311</v>
      </c>
      <c r="C21" s="930" t="s">
        <v>1449</v>
      </c>
      <c r="D21" s="12">
        <f>D20-E20</f>
        <v>7992928.4799995422</v>
      </c>
      <c r="E21" s="935">
        <f>ROUND('3.1b Allocation Adj. YR1 '!K30,0)</f>
        <v>7992928</v>
      </c>
      <c r="F21" s="76">
        <f>E21/$E$24</f>
        <v>1.4593832590715143E-3</v>
      </c>
      <c r="G21" s="73">
        <f>'1.2 Budgeted Enrollment YR1'!$J$28</f>
        <v>7434</v>
      </c>
      <c r="H21" s="208">
        <f>ROUND(E21/G21,0)</f>
        <v>1075</v>
      </c>
      <c r="I21" s="927">
        <f>H21/H$15</f>
        <v>0.1198973901405309</v>
      </c>
      <c r="J21" s="678"/>
      <c r="K21" s="925"/>
      <c r="L21" s="13" t="s">
        <v>1311</v>
      </c>
      <c r="M21" s="930" t="s">
        <v>1319</v>
      </c>
      <c r="N21" s="12">
        <f>N20-O20</f>
        <v>8392360</v>
      </c>
      <c r="O21" s="935">
        <f>ROUND('7.1b Allocation Adj. YR2'!K30,0)</f>
        <v>8392360</v>
      </c>
      <c r="P21" s="76">
        <f>O21/$O$24</f>
        <v>1.4671365893318951E-3</v>
      </c>
      <c r="Q21" s="73">
        <f>'5.2 Budgeted Enrollment YR2'!$J$28</f>
        <v>7434</v>
      </c>
      <c r="R21" s="208">
        <f>ROUND(O21/Q21,0)</f>
        <v>1129</v>
      </c>
      <c r="S21" s="927">
        <f>R21/R$15</f>
        <v>0.11992776715530061</v>
      </c>
    </row>
    <row r="22" spans="1:19" x14ac:dyDescent="0.3">
      <c r="A22" s="925"/>
      <c r="B22" s="4" t="s">
        <v>1312</v>
      </c>
      <c r="C22" s="928"/>
      <c r="D22" s="9">
        <f>ROUND(D7-SUM(E11,E13,E17),2)</f>
        <v>419193900.48000002</v>
      </c>
      <c r="E22" s="209">
        <f>SUM(E19:E21)</f>
        <v>419193900</v>
      </c>
      <c r="F22" s="76"/>
      <c r="G22" s="76"/>
      <c r="H22" s="209"/>
      <c r="I22" s="936"/>
      <c r="J22" s="678"/>
      <c r="K22" s="925"/>
      <c r="L22" s="4" t="s">
        <v>1312</v>
      </c>
      <c r="M22" s="928"/>
      <c r="N22" s="9">
        <f>ROUND(N7-SUM(O11,O13,O17),2)</f>
        <v>440139106</v>
      </c>
      <c r="O22" s="209">
        <f>SUM(O19:O21)</f>
        <v>440139106</v>
      </c>
      <c r="P22" s="76"/>
      <c r="Q22" s="73"/>
      <c r="R22" s="209"/>
      <c r="S22" s="936"/>
    </row>
    <row r="23" spans="1:19" x14ac:dyDescent="0.3">
      <c r="A23" s="937"/>
      <c r="B23" s="183"/>
      <c r="C23" s="681"/>
      <c r="D23" s="681"/>
      <c r="E23" s="201"/>
      <c r="F23" s="682"/>
      <c r="G23" s="682"/>
      <c r="H23" s="201"/>
      <c r="I23" s="938"/>
      <c r="J23" s="679"/>
      <c r="K23" s="937"/>
      <c r="L23" s="183"/>
      <c r="M23" s="681"/>
      <c r="N23" s="681"/>
      <c r="O23" s="201"/>
      <c r="P23" s="682"/>
      <c r="Q23" s="538"/>
      <c r="R23" s="201"/>
      <c r="S23" s="938"/>
    </row>
    <row r="24" spans="1:19" s="675" customFormat="1" x14ac:dyDescent="0.3">
      <c r="A24" s="954" t="s">
        <v>1313</v>
      </c>
      <c r="B24" s="427"/>
      <c r="C24" s="955"/>
      <c r="D24" s="956">
        <f>ROUND(D22-E22,0)</f>
        <v>0</v>
      </c>
      <c r="E24" s="956">
        <f>D7-D24</f>
        <v>5476921809.4808378</v>
      </c>
      <c r="F24" s="957">
        <f>SUM(F11,F13,F17,F19,F20,F21)</f>
        <v>0.99999999991220645</v>
      </c>
      <c r="G24" s="957"/>
      <c r="H24" s="956"/>
      <c r="I24" s="511"/>
      <c r="K24" s="954" t="s">
        <v>1300</v>
      </c>
      <c r="L24" s="427"/>
      <c r="M24" s="955"/>
      <c r="N24" s="956">
        <f>ROUND(N22-O22,2)</f>
        <v>0</v>
      </c>
      <c r="O24" s="956">
        <f>ROUND(O11+O13+O17+O22,0)</f>
        <v>5720230864</v>
      </c>
      <c r="P24" s="957">
        <f>SUM(P11,P13,P17,P19,P20,P21)</f>
        <v>1</v>
      </c>
      <c r="Q24" s="958"/>
      <c r="R24" s="956"/>
      <c r="S24" s="511"/>
    </row>
    <row r="25" spans="1:19" ht="14.85" customHeight="1" x14ac:dyDescent="0.3">
      <c r="A25" s="925"/>
      <c r="B25" s="939"/>
      <c r="C25" s="939"/>
      <c r="D25" s="940"/>
      <c r="E25" s="945">
        <f>E24-'1.3 Budgeted Revenues YR1'!C35</f>
        <v>0</v>
      </c>
      <c r="F25" s="940"/>
      <c r="G25" s="940"/>
      <c r="H25" s="10"/>
      <c r="I25" s="143"/>
      <c r="K25" s="925"/>
      <c r="L25" s="939"/>
      <c r="M25" s="939"/>
      <c r="N25" s="940"/>
      <c r="O25" s="945">
        <f>O24-'5.3 Budgeted Revenues YR2'!C35</f>
        <v>0</v>
      </c>
      <c r="P25" s="940"/>
      <c r="Q25" s="946"/>
      <c r="R25" s="10"/>
      <c r="S25" s="143"/>
    </row>
    <row r="26" spans="1:19" x14ac:dyDescent="0.3">
      <c r="A26" s="132"/>
      <c r="B26" s="17" t="s">
        <v>1301</v>
      </c>
      <c r="C26" s="10"/>
      <c r="D26" s="40" t="str">
        <f>IF(E24=D7,"Model is Balanced","Model is Out of Balance")</f>
        <v>Model is Balanced</v>
      </c>
      <c r="E26" s="941">
        <f>E24-'1.3 Budgeted Revenues YR1'!C35</f>
        <v>0</v>
      </c>
      <c r="F26" s="10"/>
      <c r="G26" s="10"/>
      <c r="H26" s="10"/>
      <c r="I26" s="143"/>
      <c r="K26" s="132"/>
      <c r="L26" s="17" t="s">
        <v>1301</v>
      </c>
      <c r="M26" s="17"/>
      <c r="N26" s="40" t="str">
        <f>IF(O24=N7,"Model is Balanced","Model is Out of Balance")</f>
        <v>Model is Balanced</v>
      </c>
      <c r="O26" s="941">
        <f>O24-'5.3 Budgeted Revenues YR2'!C35</f>
        <v>0</v>
      </c>
      <c r="P26" s="10"/>
      <c r="Q26" s="73"/>
      <c r="R26" s="10"/>
      <c r="S26" s="143"/>
    </row>
    <row r="27" spans="1:19" ht="15.75" customHeight="1" x14ac:dyDescent="0.3">
      <c r="A27" s="132"/>
      <c r="B27" s="10"/>
      <c r="C27" s="10"/>
      <c r="D27" s="10"/>
      <c r="E27" s="941"/>
      <c r="F27" s="10"/>
      <c r="G27" s="10"/>
      <c r="H27" s="10"/>
      <c r="I27" s="143"/>
      <c r="K27" s="132"/>
      <c r="L27" s="10"/>
      <c r="M27" s="10"/>
      <c r="N27" s="10"/>
      <c r="O27" s="941"/>
      <c r="P27" s="10"/>
      <c r="Q27" s="73"/>
      <c r="R27" s="10"/>
      <c r="S27" s="143"/>
    </row>
    <row r="28" spans="1:19" ht="15.75" customHeight="1" x14ac:dyDescent="0.3">
      <c r="A28" s="304" t="str">
        <f>CONCATENATE("Pupil Center Funding Model Comparison for| FY",'1.1 Assumption Control YR1'!D5)</f>
        <v>Pupil Center Funding Model Comparison for| FY2024</v>
      </c>
      <c r="B28" s="183"/>
      <c r="C28" s="183"/>
      <c r="D28" s="290" t="s">
        <v>888</v>
      </c>
      <c r="E28" s="183"/>
      <c r="F28" s="183"/>
      <c r="G28" s="183"/>
      <c r="H28" s="183"/>
      <c r="I28" s="168"/>
      <c r="K28" s="304" t="str">
        <f>CONCATENATE("Pupil Center Funding Model Comparison for| FY",'1.1 Assumption Control YR1'!N5)</f>
        <v>Pupil Center Funding Model Comparison for| FY</v>
      </c>
      <c r="L28" s="183"/>
      <c r="M28" s="183"/>
      <c r="N28" s="290" t="s">
        <v>888</v>
      </c>
      <c r="O28" s="183"/>
      <c r="P28" s="183"/>
      <c r="Q28" s="538"/>
      <c r="R28" s="183"/>
      <c r="S28" s="168"/>
    </row>
    <row r="29" spans="1:19" ht="15.75" customHeight="1" x14ac:dyDescent="0.3">
      <c r="A29" s="132"/>
      <c r="B29" s="10"/>
      <c r="C29" s="10"/>
      <c r="D29" s="10"/>
      <c r="E29" s="10"/>
      <c r="F29" s="10"/>
      <c r="G29" s="10"/>
      <c r="H29" s="10"/>
      <c r="I29" s="143"/>
      <c r="K29" s="132"/>
      <c r="L29" s="10"/>
      <c r="M29" s="10"/>
      <c r="N29" s="10"/>
      <c r="O29" s="10"/>
      <c r="P29" s="10"/>
      <c r="Q29" s="73"/>
      <c r="R29" s="10"/>
      <c r="S29" s="143"/>
    </row>
    <row r="30" spans="1:19" ht="15.75" customHeight="1" x14ac:dyDescent="0.3">
      <c r="A30" s="132"/>
      <c r="B30" s="4" t="str">
        <f>CONCATENATE("Pupil Centered Funding Model Revenue| FY",'1.1 Assumption Control YR1'!$D$5-1)</f>
        <v>Pupil Centered Funding Model Revenue| FY2023</v>
      </c>
      <c r="C30" s="10"/>
      <c r="D30" s="959">
        <f>'1.1 Assumption Control YR1'!I13</f>
        <v>4463364280</v>
      </c>
      <c r="E30" s="10"/>
      <c r="F30" s="10"/>
      <c r="G30" s="10"/>
      <c r="H30" s="10"/>
      <c r="I30" s="143"/>
      <c r="K30" s="132"/>
      <c r="L30" s="4" t="str">
        <f>B32</f>
        <v>Pupil Centered Funding Model Revenue | FY2024</v>
      </c>
      <c r="M30" s="10"/>
      <c r="N30" s="959">
        <f>'5.1 Assumption Control YR2'!I13</f>
        <v>5476921809.4808378</v>
      </c>
      <c r="O30" s="10"/>
      <c r="P30" s="10"/>
      <c r="Q30" s="73"/>
      <c r="R30" s="10"/>
      <c r="S30" s="143"/>
    </row>
    <row r="31" spans="1:19" ht="15.75" customHeight="1" x14ac:dyDescent="0.3">
      <c r="A31" s="132"/>
      <c r="B31" s="10"/>
      <c r="C31" s="10"/>
      <c r="D31" s="10"/>
      <c r="E31" s="254"/>
      <c r="F31" s="10"/>
      <c r="G31" s="10"/>
      <c r="H31" s="10"/>
      <c r="I31" s="143"/>
      <c r="K31" s="132"/>
      <c r="L31" s="10"/>
      <c r="M31" s="10"/>
      <c r="N31" s="10"/>
      <c r="O31" s="10"/>
      <c r="P31" s="10"/>
      <c r="Q31" s="73"/>
      <c r="R31" s="10"/>
      <c r="S31" s="143"/>
    </row>
    <row r="32" spans="1:19" ht="15.75" customHeight="1" x14ac:dyDescent="0.3">
      <c r="A32" s="132"/>
      <c r="B32" s="4" t="str">
        <f>CONCATENATE("Pupil Centered Funding Model Revenue | FY",'1.1 Assumption Control YR1'!$D$5)</f>
        <v>Pupil Centered Funding Model Revenue | FY2024</v>
      </c>
      <c r="C32" s="10"/>
      <c r="D32" s="960">
        <f>'1.3 Budgeted Revenues YR1'!C35</f>
        <v>5476921809.4808378</v>
      </c>
      <c r="E32" s="12">
        <f>D32-D30</f>
        <v>1013557529.4808378</v>
      </c>
      <c r="F32" s="15"/>
      <c r="G32" s="15"/>
      <c r="H32" s="15"/>
      <c r="I32" s="143"/>
      <c r="K32" s="132"/>
      <c r="L32" s="4" t="str">
        <f>CONCATENATE("Pupil Centered Funding Model Revenue | FY",'1.1 Assumption Control YR1'!$D$5+1)</f>
        <v>Pupil Centered Funding Model Revenue | FY2025</v>
      </c>
      <c r="M32" s="10"/>
      <c r="N32" s="960">
        <f>'5.3 Budgeted Revenues YR2'!C35</f>
        <v>5720230864</v>
      </c>
      <c r="O32" s="12">
        <f>N32-N30</f>
        <v>243309054.51916218</v>
      </c>
      <c r="P32" s="15"/>
      <c r="Q32" s="73"/>
      <c r="R32" s="15"/>
      <c r="S32" s="143"/>
    </row>
    <row r="33" spans="1:19" ht="15.75" customHeight="1" x14ac:dyDescent="0.3">
      <c r="A33" s="132"/>
      <c r="B33" s="10"/>
      <c r="C33" s="10"/>
      <c r="D33" s="10"/>
      <c r="E33" s="10"/>
      <c r="F33" s="10"/>
      <c r="G33" s="10"/>
      <c r="H33" s="10"/>
      <c r="I33" s="143"/>
      <c r="K33" s="132"/>
      <c r="L33" s="10"/>
      <c r="M33" s="10"/>
      <c r="N33" s="10"/>
      <c r="O33" s="10"/>
      <c r="P33" s="10"/>
      <c r="Q33" s="73"/>
      <c r="R33" s="10"/>
      <c r="S33" s="143"/>
    </row>
    <row r="34" spans="1:19" ht="15.75" customHeight="1" x14ac:dyDescent="0.3">
      <c r="A34" s="132"/>
      <c r="B34" s="4" t="str">
        <f>CONCATENATE("Did the Net State Education Fund Balance Increase Between FY",'1.1 Assumption Control YR1'!$D$5-1," and FY", '1.1 Assumption Control YR1'!$D$5,"?")</f>
        <v>Did the Net State Education Fund Balance Increase Between FY2023 and FY2024?</v>
      </c>
      <c r="C34" s="10"/>
      <c r="D34" s="40" t="str">
        <f>IF(D30=0,"No",IF(D32&gt;D30,"Yes","No"))</f>
        <v>Yes</v>
      </c>
      <c r="E34" s="12"/>
      <c r="F34" s="10"/>
      <c r="G34" s="10"/>
      <c r="H34" s="10"/>
      <c r="I34" s="143"/>
      <c r="K34" s="132"/>
      <c r="L34" s="4" t="str">
        <f>CONCATENATE("Did the Net State Education Fund Balance Increase Between FY",'1.1 Assumption Control YR1'!$D$5," and FY", '1.1 Assumption Control YR1'!$D$5+1,"?")</f>
        <v>Did the Net State Education Fund Balance Increase Between FY2024 and FY2025?</v>
      </c>
      <c r="M34" s="10"/>
      <c r="N34" s="40" t="str">
        <f>IF(N30=0,"No",IF(N32&gt;N30,"Yes","No"))</f>
        <v>Yes</v>
      </c>
      <c r="O34" s="12"/>
      <c r="P34" s="10"/>
      <c r="Q34" s="73"/>
      <c r="R34" s="10"/>
      <c r="S34" s="143"/>
    </row>
    <row r="35" spans="1:19" ht="15.75" customHeight="1" x14ac:dyDescent="0.3">
      <c r="A35" s="132"/>
      <c r="B35" s="10"/>
      <c r="C35" s="13" t="s">
        <v>735</v>
      </c>
      <c r="D35" s="942">
        <f>IF(D30=0,0,(D32-D30)/D30)</f>
        <v>0.22708375698181593</v>
      </c>
      <c r="E35" s="10"/>
      <c r="F35" s="10"/>
      <c r="G35" s="10"/>
      <c r="H35" s="10"/>
      <c r="I35" s="143"/>
      <c r="K35" s="132"/>
      <c r="L35" s="10"/>
      <c r="M35" s="13" t="s">
        <v>735</v>
      </c>
      <c r="N35" s="942">
        <f>IF(N30=0,0,(N32-N30)/N30)</f>
        <v>4.4424416302234128E-2</v>
      </c>
      <c r="O35" s="10"/>
      <c r="P35" s="10"/>
      <c r="Q35" s="73"/>
      <c r="R35" s="10"/>
      <c r="S35" s="143"/>
    </row>
    <row r="36" spans="1:19" ht="15.75" customHeight="1" x14ac:dyDescent="0.3">
      <c r="A36" s="195"/>
      <c r="B36" s="183"/>
      <c r="C36" s="183"/>
      <c r="D36" s="183"/>
      <c r="E36" s="183"/>
      <c r="F36" s="183"/>
      <c r="G36" s="183"/>
      <c r="H36" s="183"/>
      <c r="I36" s="168"/>
      <c r="K36" s="195"/>
      <c r="L36" s="183"/>
      <c r="M36" s="183"/>
      <c r="N36" s="183"/>
      <c r="O36" s="183"/>
      <c r="P36" s="183"/>
      <c r="Q36" s="538"/>
      <c r="R36" s="183"/>
      <c r="S36" s="168"/>
    </row>
    <row r="37" spans="1:19" x14ac:dyDescent="0.3">
      <c r="A37" s="1113"/>
      <c r="B37" s="1109"/>
      <c r="C37" s="1109"/>
      <c r="D37" s="1109"/>
      <c r="E37" s="1109"/>
      <c r="F37" s="1109"/>
      <c r="G37" s="1109"/>
      <c r="H37" s="1109"/>
      <c r="I37" s="1109"/>
      <c r="J37" s="1109"/>
      <c r="K37" s="1109"/>
      <c r="L37" s="1109"/>
      <c r="M37" s="1109"/>
      <c r="N37" s="1109"/>
      <c r="O37" s="1109"/>
      <c r="P37" s="1109"/>
      <c r="Q37" s="1109"/>
      <c r="R37" s="1109"/>
      <c r="S37" s="1109"/>
    </row>
    <row r="38" spans="1:19" x14ac:dyDescent="0.3">
      <c r="A38" s="1113"/>
      <c r="B38" s="1109"/>
      <c r="C38" s="1109"/>
      <c r="D38" s="1109"/>
      <c r="E38" s="1110"/>
      <c r="F38" s="1110"/>
      <c r="G38" s="1109"/>
      <c r="H38" s="1111"/>
      <c r="I38" s="1110"/>
      <c r="J38" s="1109"/>
      <c r="K38" s="1109"/>
      <c r="L38" s="1109"/>
      <c r="M38" s="1109"/>
      <c r="N38" s="1109"/>
      <c r="O38" s="1110"/>
      <c r="P38" s="1110"/>
      <c r="Q38" s="1109"/>
      <c r="R38" s="1111"/>
      <c r="S38" s="1110"/>
    </row>
    <row r="39" spans="1:19" x14ac:dyDescent="0.3">
      <c r="A39" s="1113"/>
      <c r="B39" s="1109"/>
      <c r="C39" s="1109"/>
      <c r="D39" s="1109"/>
      <c r="E39" s="1110"/>
      <c r="F39" s="1110"/>
      <c r="G39" s="1109"/>
      <c r="H39" s="1111"/>
      <c r="I39" s="1110"/>
      <c r="J39" s="1109"/>
      <c r="K39" s="1109"/>
      <c r="L39" s="1109"/>
      <c r="M39" s="1109"/>
      <c r="N39" s="1109"/>
      <c r="O39" s="1110"/>
      <c r="P39" s="1110"/>
      <c r="Q39" s="1109"/>
      <c r="R39" s="1111"/>
      <c r="S39" s="1110"/>
    </row>
    <row r="40" spans="1:19" x14ac:dyDescent="0.3">
      <c r="A40" s="1113"/>
      <c r="B40" s="1109"/>
      <c r="C40" s="1109"/>
      <c r="D40" s="1109"/>
      <c r="E40" s="1110"/>
      <c r="F40" s="1110"/>
      <c r="G40" s="1109"/>
      <c r="H40" s="1111"/>
      <c r="I40" s="1110"/>
      <c r="J40" s="1109"/>
      <c r="K40" s="1109"/>
      <c r="L40" s="1109"/>
      <c r="M40" s="1109"/>
      <c r="N40" s="1109"/>
      <c r="O40" s="1110"/>
      <c r="P40" s="1110"/>
      <c r="Q40" s="1109"/>
      <c r="R40" s="1111"/>
      <c r="S40" s="1110"/>
    </row>
    <row r="41" spans="1:19" x14ac:dyDescent="0.3">
      <c r="A41" s="1113"/>
      <c r="B41" s="1109"/>
      <c r="C41" s="1109"/>
      <c r="D41" s="1109"/>
      <c r="E41" s="1110"/>
      <c r="F41" s="1110"/>
      <c r="G41" s="1109"/>
      <c r="H41" s="1111"/>
      <c r="I41" s="1110"/>
      <c r="J41" s="1109"/>
      <c r="K41" s="1109"/>
      <c r="L41" s="1109"/>
      <c r="M41" s="1109"/>
      <c r="N41" s="1109"/>
      <c r="O41" s="1110"/>
      <c r="P41" s="1110"/>
      <c r="Q41" s="1109"/>
      <c r="R41" s="1111"/>
      <c r="S41" s="1110"/>
    </row>
    <row r="42" spans="1:19" x14ac:dyDescent="0.3">
      <c r="A42" s="1113"/>
      <c r="B42" s="1109"/>
      <c r="C42" s="1109"/>
      <c r="D42" s="1109"/>
      <c r="E42" s="1110"/>
      <c r="F42" s="1110"/>
      <c r="G42" s="1109"/>
      <c r="H42" s="1111"/>
      <c r="I42" s="1110"/>
      <c r="J42" s="1109"/>
      <c r="K42" s="1109"/>
      <c r="L42" s="1109"/>
      <c r="M42" s="1109"/>
      <c r="N42" s="1109"/>
      <c r="O42" s="1110"/>
      <c r="P42" s="1110"/>
      <c r="Q42" s="1109"/>
      <c r="R42" s="1111"/>
      <c r="S42" s="1110"/>
    </row>
    <row r="43" spans="1:19" x14ac:dyDescent="0.3">
      <c r="A43" s="1113"/>
      <c r="B43" s="1109"/>
      <c r="C43" s="1109"/>
      <c r="D43" s="1109"/>
      <c r="E43" s="1110"/>
      <c r="F43" s="1110"/>
      <c r="G43" s="1109"/>
      <c r="H43" s="1111"/>
      <c r="I43" s="1110"/>
      <c r="J43" s="1109"/>
      <c r="K43" s="1109"/>
      <c r="L43" s="1109"/>
      <c r="M43" s="1109"/>
      <c r="N43" s="1109"/>
      <c r="O43" s="1110"/>
      <c r="P43" s="1110"/>
      <c r="Q43" s="1109"/>
      <c r="R43" s="1111"/>
      <c r="S43" s="1110"/>
    </row>
    <row r="44" spans="1:19" x14ac:dyDescent="0.3">
      <c r="A44" s="1113"/>
      <c r="B44" s="1109"/>
      <c r="C44" s="1109"/>
      <c r="D44" s="1109"/>
      <c r="E44" s="1110"/>
      <c r="F44" s="1110"/>
      <c r="G44" s="1109"/>
      <c r="H44" s="1111"/>
      <c r="I44" s="1110"/>
      <c r="J44" s="1109"/>
      <c r="K44" s="1109"/>
      <c r="L44" s="1109"/>
      <c r="M44" s="1109"/>
      <c r="N44" s="1109"/>
      <c r="O44" s="1110"/>
      <c r="P44" s="1110"/>
      <c r="Q44" s="1109"/>
      <c r="R44" s="1111"/>
      <c r="S44" s="1110"/>
    </row>
    <row r="45" spans="1:19" x14ac:dyDescent="0.3">
      <c r="A45" s="1113"/>
      <c r="B45" s="1109"/>
      <c r="C45" s="1109"/>
      <c r="D45" s="1109"/>
      <c r="E45" s="1112"/>
      <c r="F45" s="1112"/>
      <c r="G45" s="1109"/>
      <c r="H45" s="1111"/>
      <c r="I45" s="1112"/>
      <c r="J45" s="1109"/>
      <c r="K45" s="1109"/>
      <c r="L45" s="1109"/>
      <c r="M45" s="1109"/>
      <c r="N45" s="1109"/>
      <c r="O45" s="1112"/>
      <c r="P45" s="1112"/>
      <c r="Q45" s="1109"/>
      <c r="R45" s="1111"/>
      <c r="S45" s="1110"/>
    </row>
    <row r="46" spans="1:19" x14ac:dyDescent="0.3">
      <c r="A46" s="1113"/>
      <c r="B46" s="1109"/>
      <c r="C46" s="1109"/>
      <c r="D46" s="1109"/>
      <c r="E46" s="1109"/>
      <c r="F46" s="1109"/>
      <c r="G46" s="1109"/>
      <c r="H46" s="1109"/>
      <c r="I46" s="1112"/>
      <c r="J46" s="1109"/>
      <c r="K46" s="1109"/>
      <c r="L46" s="1109"/>
      <c r="M46" s="1109"/>
      <c r="N46" s="1109"/>
      <c r="O46" s="1109"/>
      <c r="P46" s="1109"/>
      <c r="Q46" s="1109"/>
      <c r="R46" s="1109"/>
      <c r="S46" s="1112"/>
    </row>
  </sheetData>
  <sheetProtection algorithmName="SHA-512" hashValue="Lwdb5FhoMZsDS+A+Xhlzx8WQkooQ0uKuqirLxm4naZaZGKDrQD/8ibSXXRte6tgEjhqx5AK/8s4BnXpVZcDnEA==" saltValue="moe1swpCemePHN+yasnuog==" spinCount="100000" sheet="1" objects="1" scenarios="1"/>
  <customSheetViews>
    <customSheetView guid="{92EB2B16-3546-4CC6-AF3A-0019867B62A7}" scale="80" fitToPage="1">
      <selection activeCell="B48" sqref="B48"/>
      <pageMargins left="0.7" right="0.7" top="0.75" bottom="0.75" header="0.3" footer="0.3"/>
      <pageSetup paperSize="3" fitToHeight="0" orientation="landscape" r:id="rId1"/>
      <headerFooter>
        <oddHeader>&amp;R&amp;"Arial Narrow,Regular"&amp;10&amp;A
&amp;P</oddHeader>
        <oddFooter>&amp;L&amp;"Arial Narrow,Regular"&amp;10This is a draft document. It is intended for discussion purposes only.&amp;R&amp;G</oddFooter>
      </headerFooter>
    </customSheetView>
    <customSheetView guid="{9F71BA88-74DF-4B45-811C-93ABE8314534}" scale="80" fitToPage="1">
      <selection activeCell="D15" sqref="D15"/>
      <pageMargins left="0.7" right="0.7" top="0.75" bottom="0.75" header="0.3" footer="0.3"/>
      <pageSetup paperSize="3" fitToHeight="0" orientation="landscape" r:id="rId2"/>
      <headerFooter>
        <oddHeader>&amp;R&amp;"Arial Narrow,Regular"&amp;10&amp;A
&amp;P</oddHeader>
        <oddFooter>&amp;L&amp;"Arial Narrow,Regular"&amp;10This is a draft document. It is intended for discussion purposes only.&amp;R&amp;G</oddFooter>
      </headerFooter>
    </customSheetView>
    <customSheetView guid="{CA1C9262-C0F9-4BBB-95C8-A52990BD1149}" scale="80" fitToPage="1">
      <selection activeCell="D15" sqref="D15"/>
      <pageMargins left="0.7" right="0.7" top="0.75" bottom="0.75" header="0.3" footer="0.3"/>
      <pageSetup paperSize="3" fitToHeight="0" orientation="landscape" r:id="rId3"/>
      <headerFooter>
        <oddHeader>&amp;R&amp;"Arial Narrow,Regular"&amp;10&amp;A
&amp;P</oddHeader>
        <oddFooter>&amp;L&amp;"Arial Narrow,Regular"&amp;10This is a draft document. It is intended for discussion purposes only.&amp;R&amp;G</oddFooter>
      </headerFooter>
    </customSheetView>
  </customSheetViews>
  <phoneticPr fontId="79" type="noConversion"/>
  <conditionalFormatting sqref="D34">
    <cfRule type="cellIs" dxfId="27" priority="27" operator="equal">
      <formula>"No"</formula>
    </cfRule>
    <cfRule type="cellIs" dxfId="26" priority="28" operator="equal">
      <formula>"Yes"</formula>
    </cfRule>
  </conditionalFormatting>
  <conditionalFormatting sqref="D26">
    <cfRule type="expression" dxfId="25" priority="29">
      <formula>ROUND(#REF!,-3)&lt;&gt;0</formula>
    </cfRule>
    <cfRule type="expression" dxfId="24" priority="30">
      <formula>ROUND(#REF!,-3)=0</formula>
    </cfRule>
  </conditionalFormatting>
  <conditionalFormatting sqref="D26:E26">
    <cfRule type="containsText" dxfId="23" priority="21" operator="containsText" text="Model is Out of Balance">
      <formula>NOT(ISERROR(SEARCH("Model is Out of Balance",D26)))</formula>
    </cfRule>
    <cfRule type="containsText" dxfId="22" priority="22" operator="containsText" text="Model is Balanced">
      <formula>NOT(ISERROR(SEARCH("Model is Balanced",D26)))</formula>
    </cfRule>
    <cfRule type="containsText" dxfId="21" priority="23" operator="containsText" text="&quot;Model is Balanced&quot;">
      <formula>NOT(ISERROR(SEARCH("""Model is Balanced""",D26)))</formula>
    </cfRule>
    <cfRule type="cellIs" dxfId="20" priority="24" operator="equal">
      <formula>$D$26</formula>
    </cfRule>
    <cfRule type="cellIs" dxfId="19" priority="25" operator="equal">
      <formula>$D$26</formula>
    </cfRule>
    <cfRule type="cellIs" dxfId="18" priority="26" operator="equal">
      <formula>"""Model is Balanced"""</formula>
    </cfRule>
  </conditionalFormatting>
  <conditionalFormatting sqref="N34">
    <cfRule type="cellIs" dxfId="17" priority="7" operator="equal">
      <formula>"No"</formula>
    </cfRule>
    <cfRule type="cellIs" dxfId="16" priority="8" operator="equal">
      <formula>"Yes"</formula>
    </cfRule>
  </conditionalFormatting>
  <conditionalFormatting sqref="N26">
    <cfRule type="expression" dxfId="15" priority="9">
      <formula>ROUND(#REF!,-3)&lt;&gt;0</formula>
    </cfRule>
    <cfRule type="expression" dxfId="14" priority="10">
      <formula>ROUND(#REF!,-3)=0</formula>
    </cfRule>
  </conditionalFormatting>
  <conditionalFormatting sqref="N26:O26">
    <cfRule type="containsText" dxfId="13" priority="1" operator="containsText" text="Model is Out of Balance">
      <formula>NOT(ISERROR(SEARCH("Model is Out of Balance",N26)))</formula>
    </cfRule>
    <cfRule type="containsText" dxfId="12" priority="2" operator="containsText" text="Model is Balanced">
      <formula>NOT(ISERROR(SEARCH("Model is Balanced",N26)))</formula>
    </cfRule>
    <cfRule type="containsText" dxfId="11" priority="3" operator="containsText" text="&quot;Model is Balanced&quot;">
      <formula>NOT(ISERROR(SEARCH("""Model is Balanced""",N26)))</formula>
    </cfRule>
    <cfRule type="cellIs" dxfId="10" priority="4" operator="equal">
      <formula>$D$26</formula>
    </cfRule>
    <cfRule type="cellIs" dxfId="9" priority="5" operator="equal">
      <formula>$D$26</formula>
    </cfRule>
    <cfRule type="cellIs" dxfId="8" priority="6" operator="equal">
      <formula>"""Model is Balanced"""</formula>
    </cfRule>
  </conditionalFormatting>
  <pageMargins left="0.7" right="0.7" top="0.75" bottom="0.75" header="0.3" footer="0.3"/>
  <pageSetup paperSize="3" fitToHeight="0" orientation="landscape" r:id="rId4"/>
  <headerFooter>
    <oddHeader>&amp;R&amp;"Arial Narrow,Regular"&amp;10&amp;A
&amp;P</oddHeader>
  </headerFooter>
  <rowBreaks count="1" manualBreakCount="1">
    <brk id="2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3EED7-71CE-4500-B1EC-F4C009017CF0}">
  <sheetPr>
    <tabColor theme="5" tint="-0.249977111117893"/>
  </sheetPr>
  <dimension ref="A1:R117"/>
  <sheetViews>
    <sheetView zoomScale="85" zoomScaleNormal="85" workbookViewId="0"/>
  </sheetViews>
  <sheetFormatPr defaultColWidth="8.85546875" defaultRowHeight="16.5" x14ac:dyDescent="0.3"/>
  <cols>
    <col min="1" max="1" width="57.28515625" style="10" customWidth="1"/>
    <col min="2" max="2" width="6" style="10" customWidth="1"/>
    <col min="3" max="3" width="2.7109375" style="10" customWidth="1"/>
    <col min="4" max="4" width="18.28515625" style="10" bestFit="1" customWidth="1"/>
    <col min="5" max="5" width="28.7109375" style="10" customWidth="1"/>
    <col min="6" max="6" width="11.42578125" style="10" customWidth="1"/>
    <col min="7" max="7" width="49.5703125" style="10" bestFit="1" customWidth="1"/>
    <col min="8" max="8" width="13.42578125" style="10" bestFit="1" customWidth="1"/>
    <col min="9" max="9" width="18.140625" style="10" bestFit="1" customWidth="1"/>
    <col min="10" max="10" width="3" style="10" bestFit="1" customWidth="1"/>
    <col min="11" max="11" width="49.5703125" style="10" bestFit="1" customWidth="1"/>
    <col min="12" max="12" width="7.5703125" style="13" bestFit="1" customWidth="1"/>
    <col min="13" max="13" width="17" style="10" bestFit="1" customWidth="1"/>
    <col min="14" max="14" width="19.7109375" style="10" bestFit="1" customWidth="1"/>
    <col min="15" max="15" width="11.42578125" style="10" bestFit="1" customWidth="1"/>
    <col min="16" max="16" width="37.140625" style="10" bestFit="1" customWidth="1"/>
    <col min="17" max="16384" width="8.85546875" style="10"/>
  </cols>
  <sheetData>
    <row r="1" spans="1:17" s="4" customFormat="1" x14ac:dyDescent="0.3">
      <c r="A1" s="4" t="s">
        <v>602</v>
      </c>
      <c r="L1" s="17"/>
    </row>
    <row r="2" spans="1:17" x14ac:dyDescent="0.3">
      <c r="A2" s="10" t="str">
        <f>CONCATENATE("Pupil Center Funding Plan | FY",'5.1 Assumption Control YR2'!D5)</f>
        <v>Pupil Center Funding Plan | FY2025</v>
      </c>
    </row>
    <row r="3" spans="1:17" x14ac:dyDescent="0.3">
      <c r="A3" s="10" t="s">
        <v>1358</v>
      </c>
      <c r="G3" s="1577" t="s">
        <v>963</v>
      </c>
      <c r="H3" s="1578"/>
      <c r="I3" s="1578"/>
      <c r="J3" s="1578"/>
      <c r="K3" s="1578"/>
      <c r="L3" s="1578"/>
      <c r="M3" s="1578"/>
      <c r="N3" s="1578"/>
      <c r="O3" s="1579"/>
    </row>
    <row r="4" spans="1:17" ht="17.25" thickBot="1" x14ac:dyDescent="0.35">
      <c r="B4" s="21" t="s">
        <v>79</v>
      </c>
      <c r="G4" s="132"/>
      <c r="O4" s="143"/>
    </row>
    <row r="5" spans="1:17" ht="18" thickTop="1" thickBot="1" x14ac:dyDescent="0.35">
      <c r="A5" s="10" t="s">
        <v>708</v>
      </c>
      <c r="B5" s="40"/>
      <c r="C5" s="40"/>
      <c r="D5" s="1068">
        <f>'1.1 Assumption Control YR1'!D5+1</f>
        <v>2025</v>
      </c>
      <c r="G5" s="375" t="str">
        <f>CONCATENATE("Pupil Center Funding Plan Prior Year Outputs | FY ", D5-1)</f>
        <v>Pupil Center Funding Plan Prior Year Outputs | FY 2024</v>
      </c>
      <c r="H5" s="434"/>
      <c r="I5" s="441"/>
      <c r="J5" s="4"/>
      <c r="K5" s="375" t="str">
        <f>CONCATENATE("Pupil Center Funding Plan Current Year Outputs | FY ",D5)</f>
        <v>Pupil Center Funding Plan Current Year Outputs | FY 2025</v>
      </c>
      <c r="L5" s="366"/>
      <c r="M5" s="444"/>
      <c r="N5" s="445"/>
      <c r="O5" s="444"/>
    </row>
    <row r="6" spans="1:17" ht="18" thickTop="1" thickBot="1" x14ac:dyDescent="0.35">
      <c r="B6" s="40"/>
      <c r="C6" s="40"/>
      <c r="D6" s="40"/>
      <c r="G6" s="123" t="s">
        <v>1133</v>
      </c>
      <c r="H6" s="17" t="s">
        <v>878</v>
      </c>
      <c r="I6" s="150" t="s">
        <v>0</v>
      </c>
      <c r="J6" s="4"/>
      <c r="K6" s="123" t="s">
        <v>1134</v>
      </c>
      <c r="L6" s="17" t="s">
        <v>878</v>
      </c>
      <c r="M6" s="150" t="s">
        <v>86</v>
      </c>
      <c r="N6" s="124" t="s">
        <v>876</v>
      </c>
      <c r="O6" s="150" t="s">
        <v>877</v>
      </c>
    </row>
    <row r="7" spans="1:17" ht="18" thickTop="1" thickBot="1" x14ac:dyDescent="0.35">
      <c r="A7" s="4" t="s">
        <v>1122</v>
      </c>
      <c r="D7" s="17" t="s">
        <v>1130</v>
      </c>
      <c r="E7" s="17" t="s">
        <v>1128</v>
      </c>
      <c r="G7" s="191" t="s">
        <v>1140</v>
      </c>
      <c r="H7" s="13" t="s">
        <v>897</v>
      </c>
      <c r="I7" s="807">
        <f>'1.1 Assumption Control YR1'!M7</f>
        <v>0.45</v>
      </c>
      <c r="J7" s="4"/>
      <c r="K7" s="123" t="s">
        <v>1140</v>
      </c>
      <c r="L7" s="13" t="s">
        <v>1412</v>
      </c>
      <c r="M7" s="520">
        <f>D41</f>
        <v>0.45</v>
      </c>
      <c r="N7" s="634">
        <f>M7-I7</f>
        <v>0</v>
      </c>
      <c r="O7" s="992">
        <f>IF(I7=0,"",(M7-'5.1 Assumption Control YR2'!I7)/'5.1 Assumption Control YR2'!I7)</f>
        <v>0</v>
      </c>
    </row>
    <row r="8" spans="1:17" ht="18" thickTop="1" thickBot="1" x14ac:dyDescent="0.35">
      <c r="A8" s="4" t="s">
        <v>1125</v>
      </c>
      <c r="G8" s="191"/>
      <c r="H8" s="13"/>
      <c r="I8" s="807"/>
      <c r="K8" s="191"/>
      <c r="M8" s="521"/>
      <c r="N8" s="446"/>
      <c r="O8" s="128"/>
    </row>
    <row r="9" spans="1:17" ht="18" thickTop="1" thickBot="1" x14ac:dyDescent="0.35">
      <c r="A9" s="13" t="str">
        <f>CONCATENATE("Prior Year Revenue | FY ",D5-1)</f>
        <v>Prior Year Revenue | FY 2024</v>
      </c>
      <c r="B9" s="40"/>
      <c r="E9" s="519">
        <f>I13</f>
        <v>5476921809.4808378</v>
      </c>
      <c r="G9" s="191" t="s">
        <v>1141</v>
      </c>
      <c r="H9" s="13" t="s">
        <v>897</v>
      </c>
      <c r="I9" s="807">
        <f>'1.1 Assumption Control YR1'!M9</f>
        <v>0.35</v>
      </c>
      <c r="K9" s="191" t="s">
        <v>1141</v>
      </c>
      <c r="L9" s="13" t="s">
        <v>1412</v>
      </c>
      <c r="M9" s="520">
        <f>D42</f>
        <v>0.35</v>
      </c>
      <c r="N9" s="634">
        <f>M9-I9</f>
        <v>0</v>
      </c>
      <c r="O9" s="992">
        <f>IF(I9=0,"",(M9-'5.1 Assumption Control YR2'!I9)/'5.1 Assumption Control YR2'!I9)</f>
        <v>0</v>
      </c>
    </row>
    <row r="10" spans="1:17" ht="18" thickTop="1" thickBot="1" x14ac:dyDescent="0.35">
      <c r="A10" s="13" t="str">
        <f>CONCATENATE("Projected Revenue | FY ",D5)</f>
        <v>Projected Revenue | FY 2025</v>
      </c>
      <c r="B10" s="40"/>
      <c r="E10" s="519">
        <f>'5.3 Budgeted Revenues YR2'!C35</f>
        <v>5720230864</v>
      </c>
      <c r="G10" s="191"/>
      <c r="H10" s="13"/>
      <c r="I10" s="807"/>
      <c r="K10" s="191"/>
      <c r="M10" s="522"/>
      <c r="N10" s="446"/>
      <c r="O10" s="128"/>
    </row>
    <row r="11" spans="1:17" ht="18" thickTop="1" thickBot="1" x14ac:dyDescent="0.35">
      <c r="A11" s="13" t="s">
        <v>1123</v>
      </c>
      <c r="E11" s="638">
        <f>E10-E9</f>
        <v>243309054.51916218</v>
      </c>
      <c r="G11" s="191" t="s">
        <v>1142</v>
      </c>
      <c r="H11" s="13" t="s">
        <v>897</v>
      </c>
      <c r="I11" s="807">
        <f>'1.1 Assumption Control YR1'!M11</f>
        <v>0.12</v>
      </c>
      <c r="K11" s="191" t="s">
        <v>1142</v>
      </c>
      <c r="L11" s="13" t="s">
        <v>1412</v>
      </c>
      <c r="M11" s="520">
        <f>D43</f>
        <v>0.12</v>
      </c>
      <c r="N11" s="634">
        <f>M11-I11</f>
        <v>0</v>
      </c>
      <c r="O11" s="992">
        <f>IF(I11=0,"",(M11-'5.1 Assumption Control YR2'!I11)/'5.1 Assumption Control YR2'!I11)</f>
        <v>0</v>
      </c>
    </row>
    <row r="12" spans="1:17" ht="18" thickTop="1" thickBot="1" x14ac:dyDescent="0.35">
      <c r="A12" s="13" t="s">
        <v>1124</v>
      </c>
      <c r="E12" s="639">
        <f>(E10-E9)/E9</f>
        <v>4.4424416302234128E-2</v>
      </c>
      <c r="G12" s="132"/>
      <c r="H12" s="13"/>
      <c r="I12" s="807"/>
      <c r="K12" s="420"/>
      <c r="L12" s="5"/>
      <c r="M12" s="523"/>
      <c r="N12" s="421"/>
      <c r="O12" s="523"/>
    </row>
    <row r="13" spans="1:17" ht="18" thickTop="1" thickBot="1" x14ac:dyDescent="0.35">
      <c r="D13" s="319"/>
      <c r="G13" s="191" t="s">
        <v>965</v>
      </c>
      <c r="H13" s="13" t="s">
        <v>897</v>
      </c>
      <c r="I13" s="808">
        <f>'1.1 Assumption Control YR1'!M13</f>
        <v>5476921809.4808378</v>
      </c>
      <c r="K13" s="191" t="s">
        <v>966</v>
      </c>
      <c r="L13" s="13" t="s">
        <v>1317</v>
      </c>
      <c r="M13" s="524">
        <f>'5.3 Budgeted Revenues YR2'!C35</f>
        <v>5720230864</v>
      </c>
      <c r="N13" s="635">
        <f>M13-'5.1 Assumption Control YR2'!I13</f>
        <v>243309054.51916218</v>
      </c>
      <c r="O13" s="992">
        <f>IF(I13=0,"",(M13-'5.1 Assumption Control YR2'!I13)/'5.1 Assumption Control YR2'!I13)</f>
        <v>4.4424416302234128E-2</v>
      </c>
    </row>
    <row r="14" spans="1:17" ht="17.25" customHeight="1" thickTop="1" thickBot="1" x14ac:dyDescent="0.35">
      <c r="A14" s="4" t="s">
        <v>1126</v>
      </c>
      <c r="D14" s="319"/>
      <c r="G14" s="191"/>
      <c r="H14" s="13"/>
      <c r="I14" s="807"/>
      <c r="K14" s="191"/>
      <c r="M14" s="525"/>
      <c r="N14" s="147"/>
      <c r="O14" s="128"/>
      <c r="P14"/>
      <c r="Q14"/>
    </row>
    <row r="15" spans="1:17" ht="17.25" customHeight="1" thickTop="1" thickBot="1" x14ac:dyDescent="0.35">
      <c r="A15" s="13" t="str">
        <f>CONCATENATE("Consumer Price Index | Most Recent Available")</f>
        <v>Consumer Price Index | Most Recent Available</v>
      </c>
      <c r="B15" s="40" t="s">
        <v>734</v>
      </c>
      <c r="D15" s="158">
        <f>'1.1 Assumption Control YR1'!D15</f>
        <v>287.49400000000003</v>
      </c>
      <c r="E15" s="810"/>
      <c r="G15" s="191" t="s">
        <v>905</v>
      </c>
      <c r="H15" s="13" t="s">
        <v>897</v>
      </c>
      <c r="I15" s="808">
        <f>'1.1 Assumption Control YR1'!E56</f>
        <v>8966</v>
      </c>
      <c r="K15" s="191" t="s">
        <v>904</v>
      </c>
      <c r="L15" s="13" t="s">
        <v>1413</v>
      </c>
      <c r="M15" s="524">
        <f>D23</f>
        <v>9371.4073955580116</v>
      </c>
      <c r="N15" s="636">
        <f>M15-'5.1 Assumption Control YR2'!I15</f>
        <v>405.40739555801156</v>
      </c>
      <c r="O15" s="992">
        <f>(M15-'5.1 Assumption Control YR2'!I15)/'5.1 Assumption Control YR2'!I15</f>
        <v>4.5216082484721344E-2</v>
      </c>
      <c r="P15"/>
      <c r="Q15"/>
    </row>
    <row r="16" spans="1:17" ht="18" thickTop="1" thickBot="1" x14ac:dyDescent="0.35">
      <c r="A16" s="13" t="str">
        <f>CONCATENATE("Consumer Price Index | One Year Prior")</f>
        <v>Consumer Price Index | One Year Prior</v>
      </c>
      <c r="B16" s="40"/>
      <c r="D16" s="158">
        <f>'1.1 Assumption Control YR1'!D16</f>
        <v>275.05700000000002</v>
      </c>
      <c r="E16" s="810"/>
      <c r="G16" s="191"/>
      <c r="H16" s="13"/>
      <c r="I16" s="807"/>
      <c r="K16" s="191"/>
      <c r="M16" s="525"/>
      <c r="N16" s="126"/>
      <c r="O16" s="128"/>
      <c r="P16"/>
      <c r="Q16"/>
    </row>
    <row r="17" spans="1:17" ht="18" thickTop="1" thickBot="1" x14ac:dyDescent="0.35">
      <c r="A17" s="13" t="str">
        <f>CONCATENATE("Calculated Inflation Factor")</f>
        <v>Calculated Inflation Factor</v>
      </c>
      <c r="B17" s="40"/>
      <c r="D17" s="640">
        <f>(D15-D16)/D16</f>
        <v>4.5216082484721386E-2</v>
      </c>
      <c r="G17" s="191" t="s">
        <v>1414</v>
      </c>
      <c r="H17" s="13" t="s">
        <v>897</v>
      </c>
      <c r="I17" s="808">
        <f>'1.1 Assumption Control YR1'!M17</f>
        <v>212895503.10000002</v>
      </c>
      <c r="K17" s="191" t="s">
        <v>906</v>
      </c>
      <c r="L17" s="13" t="s">
        <v>1417</v>
      </c>
      <c r="M17" s="524">
        <f>'6.7 Weighted Funding YR2'!E37</f>
        <v>223491682.80000004</v>
      </c>
      <c r="N17" s="636">
        <f>M17-'5.1 Assumption Control YR2'!I17</f>
        <v>10596179.700000018</v>
      </c>
      <c r="O17" s="992">
        <f>(M17-'5.1 Assumption Control YR2'!I17)/'5.1 Assumption Control YR2'!I17</f>
        <v>4.9771740340719378E-2</v>
      </c>
      <c r="P17"/>
      <c r="Q17"/>
    </row>
    <row r="18" spans="1:17" ht="18" thickTop="1" thickBot="1" x14ac:dyDescent="0.35">
      <c r="A18" s="191" t="s">
        <v>1695</v>
      </c>
      <c r="B18" s="40"/>
      <c r="D18" s="519">
        <f>(D21*D17)</f>
        <v>405.40739555801196</v>
      </c>
      <c r="E18" s="641">
        <f>ROUND(I23*D18,2)</f>
        <v>191061599.78999999</v>
      </c>
      <c r="G18" s="191"/>
      <c r="H18" s="13"/>
      <c r="I18" s="808"/>
      <c r="K18" s="191"/>
      <c r="M18" s="525"/>
      <c r="N18" s="126"/>
      <c r="O18" s="128"/>
      <c r="P18"/>
      <c r="Q18"/>
    </row>
    <row r="19" spans="1:17" ht="18" thickTop="1" thickBot="1" x14ac:dyDescent="0.35">
      <c r="A19" s="13"/>
      <c r="B19" s="40"/>
      <c r="D19" s="1265"/>
      <c r="G19" s="191" t="s">
        <v>1415</v>
      </c>
      <c r="H19" s="13" t="s">
        <v>897</v>
      </c>
      <c r="I19" s="808">
        <f>'1.1 Assumption Control YR1'!M19</f>
        <v>199052638.75</v>
      </c>
      <c r="K19" s="191" t="s">
        <v>903</v>
      </c>
      <c r="L19" s="13" t="s">
        <v>1417</v>
      </c>
      <c r="M19" s="524">
        <f>'6.7 Weighted Funding YR2'!I37</f>
        <v>208959835</v>
      </c>
      <c r="N19" s="636">
        <f>M19-'5.1 Assumption Control YR2'!I19</f>
        <v>9907196.25</v>
      </c>
      <c r="O19" s="992">
        <f>(M19-'5.1 Assumption Control YR2'!I19)/'5.1 Assumption Control YR2'!I19</f>
        <v>4.9771740340719295E-2</v>
      </c>
      <c r="P19"/>
      <c r="Q19"/>
    </row>
    <row r="20" spans="1:17" ht="18" thickTop="1" thickBot="1" x14ac:dyDescent="0.35">
      <c r="A20" s="443" t="s">
        <v>1694</v>
      </c>
      <c r="B20" s="307"/>
      <c r="C20" s="307"/>
      <c r="D20" s="307"/>
      <c r="E20" s="305" t="s">
        <v>1129</v>
      </c>
      <c r="F20" s="5"/>
      <c r="G20" s="191"/>
      <c r="H20" s="13"/>
      <c r="I20" s="808"/>
      <c r="K20" s="191"/>
      <c r="M20" s="525"/>
      <c r="N20" s="126"/>
      <c r="O20" s="128"/>
      <c r="P20"/>
      <c r="Q20"/>
    </row>
    <row r="21" spans="1:17" ht="18" thickTop="1" thickBot="1" x14ac:dyDescent="0.35">
      <c r="A21" s="191" t="str">
        <f>CONCATENATE("Statewide Base Per Pupil Funding from the preceding Fiscal Year | FY",D5-1)</f>
        <v>Statewide Base Per Pupil Funding from the preceding Fiscal Year | FY2024</v>
      </c>
      <c r="B21" s="40"/>
      <c r="D21" s="519">
        <f>I15</f>
        <v>8966</v>
      </c>
      <c r="E21" s="641">
        <f>I23*D21</f>
        <v>4225523072.4553108</v>
      </c>
      <c r="F21" s="734"/>
      <c r="G21" s="191" t="s">
        <v>1416</v>
      </c>
      <c r="H21" s="13" t="s">
        <v>897</v>
      </c>
      <c r="I21" s="808">
        <f>'1.1 Assumption Control YR1'!M21</f>
        <v>8011770</v>
      </c>
      <c r="K21" s="191" t="s">
        <v>875</v>
      </c>
      <c r="L21" s="13" t="s">
        <v>1417</v>
      </c>
      <c r="M21" s="524">
        <f>'6.7 Weighted Funding YR2'!M37</f>
        <v>8410530</v>
      </c>
      <c r="N21" s="636">
        <f>M21-'5.1 Assumption Control YR2'!I21</f>
        <v>398760</v>
      </c>
      <c r="O21" s="992">
        <f>(M21-'5.1 Assumption Control YR2'!I21)/'5.1 Assumption Control YR2'!I21</f>
        <v>4.9771773278563913E-2</v>
      </c>
      <c r="P21"/>
      <c r="Q21"/>
    </row>
    <row r="22" spans="1:17" ht="17.25" customHeight="1" thickTop="1" thickBot="1" x14ac:dyDescent="0.35">
      <c r="A22" s="191" t="s">
        <v>1696</v>
      </c>
      <c r="B22" s="40" t="s">
        <v>733</v>
      </c>
      <c r="D22" s="1339">
        <f>D18</f>
        <v>405.40739555801196</v>
      </c>
      <c r="E22" s="641">
        <f>ROUND(I23*D22,2)</f>
        <v>191061599.78999999</v>
      </c>
      <c r="F22" s="17"/>
      <c r="G22" s="191"/>
      <c r="H22" s="13"/>
      <c r="I22" s="807"/>
      <c r="K22" s="132"/>
      <c r="M22" s="526"/>
      <c r="N22" s="147"/>
      <c r="O22" s="128"/>
      <c r="P22"/>
      <c r="Q22"/>
    </row>
    <row r="23" spans="1:17" ht="18" thickTop="1" thickBot="1" x14ac:dyDescent="0.35">
      <c r="A23" s="191" t="str">
        <f>CONCATENATE("Statewide Base Funding including Inflation for | FY",D5)</f>
        <v>Statewide Base Funding including Inflation for | FY2025</v>
      </c>
      <c r="B23" s="40"/>
      <c r="D23" s="642">
        <f>(D21+D22)</f>
        <v>9371.4073955580116</v>
      </c>
      <c r="E23" s="642">
        <f>I23*D23</f>
        <v>4416584672.2405434</v>
      </c>
      <c r="F23" s="17"/>
      <c r="G23" s="191" t="s">
        <v>872</v>
      </c>
      <c r="H23" s="13" t="s">
        <v>897</v>
      </c>
      <c r="I23" s="809">
        <f>'1.1 Assumption Control YR1'!M23</f>
        <v>471282.96592185041</v>
      </c>
      <c r="K23" s="191" t="s">
        <v>874</v>
      </c>
      <c r="L23" s="13" t="s">
        <v>1424</v>
      </c>
      <c r="M23" s="527">
        <f>'5.2 Budgeted Enrollment YR2'!G28</f>
        <v>471754.24888777226</v>
      </c>
      <c r="N23" s="637">
        <f>M23-'5.1 Assumption Control YR2'!I23</f>
        <v>471.28296592185507</v>
      </c>
      <c r="O23" s="992">
        <f>(M23-'5.1 Assumption Control YR2'!I23)/'5.1 Assumption Control YR2'!I23</f>
        <v>1.0000000000000098E-3</v>
      </c>
      <c r="P23"/>
      <c r="Q23"/>
    </row>
    <row r="24" spans="1:17" ht="18" thickTop="1" thickBot="1" x14ac:dyDescent="0.35">
      <c r="A24" s="375" t="str">
        <f>CONCATENATE("Inflation Adjustment For | FY ",D5)</f>
        <v>Inflation Adjustment For | FY 2025</v>
      </c>
      <c r="B24" s="433"/>
      <c r="C24" s="434"/>
      <c r="D24" s="435"/>
      <c r="E24" s="642">
        <f>E23-E21</f>
        <v>191061599.78523254</v>
      </c>
      <c r="F24" s="184"/>
      <c r="G24" s="132"/>
      <c r="H24" s="13"/>
      <c r="I24" s="809"/>
      <c r="K24" s="191"/>
      <c r="M24" s="528"/>
      <c r="N24" s="297"/>
      <c r="O24" s="128"/>
      <c r="P24"/>
      <c r="Q24"/>
    </row>
    <row r="25" spans="1:17" ht="18" thickTop="1" thickBot="1" x14ac:dyDescent="0.35">
      <c r="A25" s="241" t="str">
        <f>CONCATENATE("Statewide Base Inflationary Growth % For | FY ",D5)</f>
        <v>Statewide Base Inflationary Growth % For | FY 2025</v>
      </c>
      <c r="B25" s="436"/>
      <c r="C25" s="181"/>
      <c r="D25" s="437"/>
      <c r="E25" s="639">
        <f>E24/E21</f>
        <v>4.5216082484721358E-2</v>
      </c>
      <c r="F25" s="184"/>
      <c r="G25" s="191" t="s">
        <v>902</v>
      </c>
      <c r="H25" s="13" t="s">
        <v>897</v>
      </c>
      <c r="I25" s="809">
        <f>'1.1 Assumption Control YR1'!M25</f>
        <v>52678</v>
      </c>
      <c r="K25" s="191" t="s">
        <v>910</v>
      </c>
      <c r="L25" s="13" t="s">
        <v>1424</v>
      </c>
      <c r="M25" s="527">
        <f>'5.2 Budgeted Enrollment YR2'!H28</f>
        <v>52678</v>
      </c>
      <c r="N25" s="637">
        <f>M25-'5.1 Assumption Control YR2'!I25</f>
        <v>0</v>
      </c>
      <c r="O25" s="992">
        <f>(M25-'5.1 Assumption Control YR2'!I25)/'5.1 Assumption Control YR2'!I25</f>
        <v>0</v>
      </c>
      <c r="P25"/>
      <c r="Q25"/>
    </row>
    <row r="26" spans="1:17" ht="18" thickTop="1" thickBot="1" x14ac:dyDescent="0.35">
      <c r="A26" s="132"/>
      <c r="B26" s="40"/>
      <c r="D26" s="107"/>
      <c r="E26" s="15"/>
      <c r="F26" s="1274"/>
      <c r="G26" s="132"/>
      <c r="H26" s="13"/>
      <c r="I26" s="809"/>
      <c r="K26" s="191"/>
      <c r="M26" s="528"/>
      <c r="N26" s="297"/>
      <c r="O26" s="128"/>
      <c r="P26"/>
      <c r="Q26"/>
    </row>
    <row r="27" spans="1:17" ht="18" thickTop="1" thickBot="1" x14ac:dyDescent="0.35">
      <c r="A27" s="443" t="s">
        <v>1697</v>
      </c>
      <c r="B27" s="747"/>
      <c r="C27" s="307"/>
      <c r="D27" s="1322"/>
      <c r="E27" s="1327"/>
      <c r="F27" s="15"/>
      <c r="G27" s="191" t="s">
        <v>901</v>
      </c>
      <c r="H27" s="13" t="s">
        <v>897</v>
      </c>
      <c r="I27" s="809">
        <f>'1.1 Assumption Control YR1'!M27</f>
        <v>63325</v>
      </c>
      <c r="K27" s="191" t="s">
        <v>909</v>
      </c>
      <c r="L27" s="13" t="s">
        <v>1424</v>
      </c>
      <c r="M27" s="527">
        <f>'5.2 Budgeted Enrollment YR2'!I28</f>
        <v>63325</v>
      </c>
      <c r="N27" s="637">
        <f>M27-'5.1 Assumption Control YR2'!I27</f>
        <v>0</v>
      </c>
      <c r="O27" s="992">
        <f>(M27-'5.1 Assumption Control YR2'!I27)/'5.1 Assumption Control YR2'!I27</f>
        <v>0</v>
      </c>
      <c r="P27"/>
      <c r="Q27"/>
    </row>
    <row r="28" spans="1:17" ht="18" thickTop="1" thickBot="1" x14ac:dyDescent="0.35">
      <c r="A28" s="191" t="str">
        <f>CONCATENATE("Statewide Base Funding including Inflation for | FY",D4)</f>
        <v>Statewide Base Funding including Inflation for | FY</v>
      </c>
      <c r="B28" s="40"/>
      <c r="D28" s="642">
        <f>D23</f>
        <v>9371.4073955580116</v>
      </c>
      <c r="E28" s="1274"/>
      <c r="F28" s="15"/>
      <c r="G28" s="132"/>
      <c r="H28" s="13"/>
      <c r="I28" s="809"/>
      <c r="K28" s="191"/>
      <c r="M28" s="528"/>
      <c r="N28" s="297"/>
      <c r="O28" s="128"/>
      <c r="P28"/>
      <c r="Q28"/>
    </row>
    <row r="29" spans="1:17" ht="18" thickTop="1" thickBot="1" x14ac:dyDescent="0.35">
      <c r="A29" s="191" t="s">
        <v>1688</v>
      </c>
      <c r="B29" s="40" t="s">
        <v>1700</v>
      </c>
      <c r="D29" s="519">
        <f>'6.8 Alloc of Residual Rev. YR2'!H6</f>
        <v>57</v>
      </c>
      <c r="E29" s="1334" t="s">
        <v>1699</v>
      </c>
      <c r="F29" s="15"/>
      <c r="G29" s="191" t="s">
        <v>900</v>
      </c>
      <c r="H29" s="13" t="s">
        <v>897</v>
      </c>
      <c r="I29" s="809">
        <f>'1.1 Assumption Control YR1'!M29</f>
        <v>7434</v>
      </c>
      <c r="K29" s="191" t="s">
        <v>907</v>
      </c>
      <c r="L29" s="13" t="s">
        <v>1424</v>
      </c>
      <c r="M29" s="527">
        <f>'5.2 Budgeted Enrollment YR2'!J28</f>
        <v>7434</v>
      </c>
      <c r="N29" s="637">
        <f>M29-'5.1 Assumption Control YR2'!I29</f>
        <v>0</v>
      </c>
      <c r="O29" s="992">
        <f>(M29-'5.1 Assumption Control YR2'!I29)/'5.1 Assumption Control YR2'!I29</f>
        <v>0</v>
      </c>
      <c r="P29"/>
      <c r="Q29"/>
    </row>
    <row r="30" spans="1:17" ht="18" thickTop="1" thickBot="1" x14ac:dyDescent="0.35">
      <c r="A30" s="166" t="str">
        <f>CONCATENATE("Modified Statewide Base Funding for | FY",D4)</f>
        <v>Modified Statewide Base Funding for | FY</v>
      </c>
      <c r="B30" s="449"/>
      <c r="C30" s="183"/>
      <c r="D30" s="642">
        <f>ROUND(D28+D29,0)</f>
        <v>9428</v>
      </c>
      <c r="E30" s="1263">
        <f>(D30-D21)/D21</f>
        <v>5.1527994646442116E-2</v>
      </c>
      <c r="F30" s="15"/>
      <c r="G30" s="191"/>
      <c r="H30" s="13"/>
      <c r="I30" s="809"/>
      <c r="K30" s="191"/>
      <c r="M30" s="528"/>
      <c r="N30" s="297"/>
      <c r="O30" s="128"/>
      <c r="P30"/>
      <c r="Q30"/>
    </row>
    <row r="31" spans="1:17" ht="18" thickTop="1" thickBot="1" x14ac:dyDescent="0.35">
      <c r="B31" s="40"/>
      <c r="D31" s="107"/>
      <c r="E31" s="15"/>
      <c r="F31" s="15"/>
      <c r="G31" s="191" t="s">
        <v>873</v>
      </c>
      <c r="H31" s="13" t="s">
        <v>897</v>
      </c>
      <c r="I31" s="809">
        <f>'1.1 Assumption Control YR1'!M31</f>
        <v>4300.2357256803443</v>
      </c>
      <c r="K31" s="191" t="s">
        <v>908</v>
      </c>
      <c r="L31" s="13" t="s">
        <v>1424</v>
      </c>
      <c r="M31" s="527">
        <f>'5.2 Budgeted Enrollment YR2'!K28</f>
        <v>4304.5359614060253</v>
      </c>
      <c r="N31" s="637">
        <f>M31-'5.1 Assumption Control YR2'!I31</f>
        <v>4.3002357256809773</v>
      </c>
      <c r="O31" s="992">
        <f>(M31-'5.1 Assumption Control YR2'!I31)/'5.1 Assumption Control YR2'!I31</f>
        <v>1.0000000000001473E-3</v>
      </c>
      <c r="P31"/>
      <c r="Q31"/>
    </row>
    <row r="32" spans="1:17" ht="18" thickTop="1" thickBot="1" x14ac:dyDescent="0.35">
      <c r="A32" s="443" t="s">
        <v>1693</v>
      </c>
      <c r="B32" s="747"/>
      <c r="C32" s="307"/>
      <c r="D32" s="1322"/>
      <c r="E32" s="1327"/>
      <c r="F32" s="1274"/>
      <c r="G32" s="195"/>
      <c r="H32" s="183"/>
      <c r="I32" s="224"/>
      <c r="K32" s="195"/>
      <c r="L32" s="197"/>
      <c r="M32" s="196"/>
      <c r="N32" s="168"/>
      <c r="O32" s="196"/>
      <c r="P32"/>
      <c r="Q32"/>
    </row>
    <row r="33" spans="1:18" ht="18" thickTop="1" thickBot="1" x14ac:dyDescent="0.35">
      <c r="A33" s="191" t="str">
        <f>CONCATENATE("Prior Year Enrollment | FY ",D5-1)</f>
        <v>Prior Year Enrollment | FY 2024</v>
      </c>
      <c r="B33" s="40"/>
      <c r="D33" s="438">
        <f>I23</f>
        <v>471282.96592185041</v>
      </c>
      <c r="E33" s="1324">
        <f>D33*D23</f>
        <v>4416584672.2405434</v>
      </c>
      <c r="F33" s="184"/>
      <c r="G33" s="191" t="s">
        <v>736</v>
      </c>
      <c r="H33" s="40" t="s">
        <v>897</v>
      </c>
      <c r="I33" s="40" t="s">
        <v>897</v>
      </c>
      <c r="M33" s="40" t="s">
        <v>897</v>
      </c>
      <c r="N33" s="40" t="s">
        <v>1319</v>
      </c>
      <c r="O33" s="143"/>
      <c r="Q33"/>
      <c r="R33"/>
    </row>
    <row r="34" spans="1:18" ht="18" thickTop="1" thickBot="1" x14ac:dyDescent="0.35">
      <c r="A34" s="191" t="str">
        <f>CONCATENATE("Projected Enrollment | FY ",D5)</f>
        <v>Projected Enrollment | FY 2025</v>
      </c>
      <c r="B34" s="40"/>
      <c r="D34" s="438">
        <f>M23</f>
        <v>471754.24888777226</v>
      </c>
      <c r="E34" s="1324">
        <f>D34*D23</f>
        <v>4421001256.9127836</v>
      </c>
      <c r="F34" s="184"/>
      <c r="G34" s="123" t="str">
        <f>CONCATENATE("District Prior Year Inputs | FY",D5-1)</f>
        <v>District Prior Year Inputs | FY2024</v>
      </c>
      <c r="H34" s="5" t="str">
        <f>CONCATENATE("NCEI | FY ",D5-1)</f>
        <v>NCEI | FY 2024</v>
      </c>
      <c r="I34" s="17" t="s">
        <v>1112</v>
      </c>
      <c r="K34" s="17" t="str">
        <f>CONCATENATE("District Current Year Outputs | FY",D5)</f>
        <v>District Current Year Outputs | FY2025</v>
      </c>
      <c r="L34" s="17"/>
      <c r="M34" s="5" t="str">
        <f>CONCATENATE("NCEI | FY ",D5)</f>
        <v>NCEI | FY 2025</v>
      </c>
      <c r="N34" s="17" t="s">
        <v>1112</v>
      </c>
      <c r="O34" s="684"/>
      <c r="Q34"/>
      <c r="R34"/>
    </row>
    <row r="35" spans="1:18" ht="18" thickTop="1" thickBot="1" x14ac:dyDescent="0.35">
      <c r="A35" s="191" t="s">
        <v>1692</v>
      </c>
      <c r="B35" s="40"/>
      <c r="D35" s="1329"/>
      <c r="E35" s="1324">
        <f>E34-E33</f>
        <v>4416584.6722402573</v>
      </c>
      <c r="F35" s="184"/>
      <c r="G35" s="191" t="str">
        <f>'2.5 NCEI Adj. YR1'!B7</f>
        <v>Carson City</v>
      </c>
      <c r="H35" s="687">
        <f>'1.1 Assumption Control YR1'!M35</f>
        <v>1</v>
      </c>
      <c r="I35" s="663" t="str">
        <f>'1.1 Assumption Control YR1'!N35</f>
        <v>PCFP</v>
      </c>
      <c r="K35" s="13" t="str">
        <f>'3.1b Allocation Adj. YR1 '!B11</f>
        <v>Carson City</v>
      </c>
      <c r="L35" s="40"/>
      <c r="M35" s="687">
        <f>'1.1 Assumption Control YR1'!M35</f>
        <v>1</v>
      </c>
      <c r="N35" s="686" t="str">
        <f>'7.1b Allocation Adj. YR2'!E11</f>
        <v>PCFP</v>
      </c>
      <c r="O35" s="143"/>
      <c r="Q35"/>
      <c r="R35"/>
    </row>
    <row r="36" spans="1:18" ht="18" thickTop="1" thickBot="1" x14ac:dyDescent="0.35">
      <c r="A36" s="123" t="str">
        <f>CONCATENATE("Enrollment Change For | FY ",D5)</f>
        <v>Enrollment Change For | FY 2025</v>
      </c>
      <c r="B36" s="5"/>
      <c r="C36" s="4"/>
      <c r="D36" s="1340"/>
      <c r="E36" s="1552">
        <f>D34-D33</f>
        <v>471.28296592185507</v>
      </c>
      <c r="F36" s="1274"/>
      <c r="G36" s="191" t="str">
        <f>'2.5 NCEI Adj. YR1'!B8</f>
        <v>Churchill</v>
      </c>
      <c r="H36" s="687">
        <f>'1.1 Assumption Control YR1'!M36</f>
        <v>1</v>
      </c>
      <c r="I36" s="663" t="str">
        <f>'1.1 Assumption Control YR1'!N36</f>
        <v>PCFP</v>
      </c>
      <c r="K36" s="13" t="str">
        <f>'3.1b Allocation Adj. YR1 '!B12</f>
        <v>Churchill</v>
      </c>
      <c r="L36" s="40"/>
      <c r="M36" s="687">
        <f>'1.1 Assumption Control YR1'!M36</f>
        <v>1</v>
      </c>
      <c r="N36" s="686" t="str">
        <f>'7.1b Allocation Adj. YR2'!E12</f>
        <v>PCFP</v>
      </c>
      <c r="O36" s="143"/>
      <c r="Q36"/>
      <c r="R36"/>
    </row>
    <row r="37" spans="1:18" ht="18" thickTop="1" thickBot="1" x14ac:dyDescent="0.35">
      <c r="A37" s="241" t="str">
        <f>CONCATENATE("Enrollment Growth % For | FY ",D5)</f>
        <v>Enrollment Growth % For | FY 2025</v>
      </c>
      <c r="B37" s="436"/>
      <c r="C37" s="181"/>
      <c r="D37" s="437"/>
      <c r="E37" s="1325">
        <f>E35/E33</f>
        <v>9.9999999999993519E-4</v>
      </c>
      <c r="F37" s="440"/>
      <c r="G37" s="191" t="str">
        <f>'2.5 NCEI Adj. YR1'!B9</f>
        <v>Clark</v>
      </c>
      <c r="H37" s="687">
        <f>'1.1 Assumption Control YR1'!M37</f>
        <v>1</v>
      </c>
      <c r="I37" s="663" t="str">
        <f>'1.1 Assumption Control YR1'!N37</f>
        <v>PCFP</v>
      </c>
      <c r="K37" s="13" t="str">
        <f>'3.1b Allocation Adj. YR1 '!B13</f>
        <v>Clark</v>
      </c>
      <c r="L37" s="40"/>
      <c r="M37" s="687">
        <f>'1.1 Assumption Control YR1'!M37</f>
        <v>1</v>
      </c>
      <c r="N37" s="686" t="str">
        <f>'7.1b Allocation Adj. YR2'!E13</f>
        <v>PCFP</v>
      </c>
      <c r="O37" s="143"/>
      <c r="Q37"/>
      <c r="R37"/>
    </row>
    <row r="38" spans="1:18" ht="18" thickTop="1" thickBot="1" x14ac:dyDescent="0.35">
      <c r="B38" s="40"/>
      <c r="D38" s="107"/>
      <c r="E38" s="15"/>
      <c r="F38" s="15"/>
      <c r="G38" s="191" t="str">
        <f>'2.5 NCEI Adj. YR1'!B10</f>
        <v>Douglas</v>
      </c>
      <c r="H38" s="687">
        <f>'1.1 Assumption Control YR1'!M38</f>
        <v>1</v>
      </c>
      <c r="I38" s="663" t="str">
        <f>'1.1 Assumption Control YR1'!N38</f>
        <v>PCFP</v>
      </c>
      <c r="K38" s="13" t="str">
        <f>'3.1b Allocation Adj. YR1 '!B14</f>
        <v>Douglas</v>
      </c>
      <c r="L38" s="40"/>
      <c r="M38" s="687">
        <f>'1.1 Assumption Control YR1'!M38</f>
        <v>1</v>
      </c>
      <c r="N38" s="686" t="str">
        <f>'7.1b Allocation Adj. YR2'!E14</f>
        <v>PCFP</v>
      </c>
      <c r="O38" s="143"/>
      <c r="Q38"/>
      <c r="R38"/>
    </row>
    <row r="39" spans="1:18" ht="18" thickTop="1" thickBot="1" x14ac:dyDescent="0.35">
      <c r="B39" s="40"/>
      <c r="D39" s="107"/>
      <c r="E39" s="15"/>
      <c r="F39" s="15"/>
      <c r="G39" s="191" t="str">
        <f>'2.5 NCEI Adj. YR1'!B11</f>
        <v>Elko</v>
      </c>
      <c r="H39" s="687">
        <f>'1.1 Assumption Control YR1'!M39</f>
        <v>1</v>
      </c>
      <c r="I39" s="663" t="str">
        <f>'1.1 Assumption Control YR1'!N39</f>
        <v>PCFP</v>
      </c>
      <c r="K39" s="13" t="str">
        <f>'3.1b Allocation Adj. YR1 '!B15</f>
        <v>Elko</v>
      </c>
      <c r="L39" s="40"/>
      <c r="M39" s="687">
        <f>'1.1 Assumption Control YR1'!M39</f>
        <v>1</v>
      </c>
      <c r="N39" s="686" t="str">
        <f>'7.1b Allocation Adj. YR2'!E15</f>
        <v>PCFP</v>
      </c>
      <c r="O39" s="143"/>
      <c r="Q39"/>
      <c r="R39"/>
    </row>
    <row r="40" spans="1:18" ht="18" thickTop="1" thickBot="1" x14ac:dyDescent="0.35">
      <c r="A40" s="443" t="s">
        <v>1689</v>
      </c>
      <c r="B40" s="747" t="s">
        <v>80</v>
      </c>
      <c r="C40" s="307"/>
      <c r="D40" s="366" t="s">
        <v>1127</v>
      </c>
      <c r="E40" s="305" t="s">
        <v>954</v>
      </c>
      <c r="F40" s="1426" t="s">
        <v>1799</v>
      </c>
      <c r="G40" s="191" t="str">
        <f>'2.5 NCEI Adj. YR1'!B12</f>
        <v>Esmeralda</v>
      </c>
      <c r="H40" s="687">
        <f>'1.1 Assumption Control YR1'!M40</f>
        <v>1</v>
      </c>
      <c r="I40" s="663" t="str">
        <f>'1.1 Assumption Control YR1'!N40</f>
        <v>FY 2020 Baseline</v>
      </c>
      <c r="K40" s="13" t="str">
        <f>'3.1b Allocation Adj. YR1 '!B16</f>
        <v>Esmeralda</v>
      </c>
      <c r="L40" s="40"/>
      <c r="M40" s="687">
        <f>'1.1 Assumption Control YR1'!M40</f>
        <v>1</v>
      </c>
      <c r="N40" s="686" t="str">
        <f>'7.1b Allocation Adj. YR2'!E16</f>
        <v>FY 2020 Baseline</v>
      </c>
      <c r="O40" s="143"/>
      <c r="Q40"/>
    </row>
    <row r="41" spans="1:18" ht="18" thickTop="1" thickBot="1" x14ac:dyDescent="0.35">
      <c r="A41" s="191" t="s">
        <v>869</v>
      </c>
      <c r="B41" s="40"/>
      <c r="D41" s="1548">
        <f>'1.1 Assumption Control YR1'!D41</f>
        <v>0.45</v>
      </c>
      <c r="E41" s="1320">
        <f>D30*D41</f>
        <v>4242.6000000000004</v>
      </c>
      <c r="F41" s="1424">
        <v>1649</v>
      </c>
      <c r="G41" s="191" t="str">
        <f>'2.5 NCEI Adj. YR1'!B13</f>
        <v>Eureka</v>
      </c>
      <c r="H41" s="687">
        <f>'1.1 Assumption Control YR1'!M41</f>
        <v>1</v>
      </c>
      <c r="I41" s="663" t="str">
        <f>'1.1 Assumption Control YR1'!N41</f>
        <v>FY 2020 Baseline</v>
      </c>
      <c r="K41" s="13" t="str">
        <f>'3.1b Allocation Adj. YR1 '!B17</f>
        <v>Eureka</v>
      </c>
      <c r="L41" s="40"/>
      <c r="M41" s="687">
        <f>'1.1 Assumption Control YR1'!M41</f>
        <v>1</v>
      </c>
      <c r="N41" s="686" t="str">
        <f>'7.1b Allocation Adj. YR2'!E17</f>
        <v>FY 2020 Baseline</v>
      </c>
      <c r="O41" s="143"/>
      <c r="Q41"/>
    </row>
    <row r="42" spans="1:18" ht="18" thickTop="1" thickBot="1" x14ac:dyDescent="0.35">
      <c r="A42" s="191" t="s">
        <v>870</v>
      </c>
      <c r="B42" s="40"/>
      <c r="D42" s="1548">
        <f>'1.1 Assumption Control YR1'!D42</f>
        <v>0.35</v>
      </c>
      <c r="E42" s="1321">
        <f>D30*D42</f>
        <v>3299.7999999999997</v>
      </c>
      <c r="F42" s="1425">
        <v>244</v>
      </c>
      <c r="G42" s="191" t="str">
        <f>'2.5 NCEI Adj. YR1'!B14</f>
        <v>Humboldt</v>
      </c>
      <c r="H42" s="687">
        <f>'1.1 Assumption Control YR1'!M42</f>
        <v>1</v>
      </c>
      <c r="I42" s="663" t="str">
        <f>'1.1 Assumption Control YR1'!N42</f>
        <v>PCFP</v>
      </c>
      <c r="K42" s="13" t="str">
        <f>'3.1b Allocation Adj. YR1 '!B18</f>
        <v>Humboldt</v>
      </c>
      <c r="L42" s="40"/>
      <c r="M42" s="687">
        <f>'1.1 Assumption Control YR1'!M42</f>
        <v>1</v>
      </c>
      <c r="N42" s="686" t="str">
        <f>'7.1b Allocation Adj. YR2'!E18</f>
        <v>PCFP</v>
      </c>
      <c r="O42" s="143"/>
      <c r="Q42"/>
    </row>
    <row r="43" spans="1:18" ht="18" thickTop="1" thickBot="1" x14ac:dyDescent="0.35">
      <c r="A43" s="191" t="s">
        <v>871</v>
      </c>
      <c r="B43" s="40"/>
      <c r="D43" s="1548">
        <f>'1.1 Assumption Control YR1'!D43</f>
        <v>0.12</v>
      </c>
      <c r="E43" s="1321">
        <f>D43*D30</f>
        <v>1131.3599999999999</v>
      </c>
      <c r="F43" s="1425">
        <v>862</v>
      </c>
      <c r="G43" s="191" t="str">
        <f>'2.5 NCEI Adj. YR1'!B15</f>
        <v>Lander</v>
      </c>
      <c r="H43" s="687">
        <f>'1.1 Assumption Control YR1'!M43</f>
        <v>1</v>
      </c>
      <c r="I43" s="663" t="str">
        <f>'1.1 Assumption Control YR1'!N43</f>
        <v>PCFP</v>
      </c>
      <c r="K43" s="13" t="str">
        <f>'3.1b Allocation Adj. YR1 '!B19</f>
        <v>Lander</v>
      </c>
      <c r="L43" s="40"/>
      <c r="M43" s="687">
        <f>'1.1 Assumption Control YR1'!M43</f>
        <v>1</v>
      </c>
      <c r="N43" s="686" t="str">
        <f>'7.1b Allocation Adj. YR2'!E19</f>
        <v>PCFP</v>
      </c>
      <c r="O43" s="143"/>
    </row>
    <row r="44" spans="1:18" ht="18" thickTop="1" thickBot="1" x14ac:dyDescent="0.35">
      <c r="A44" s="195"/>
      <c r="B44" s="449"/>
      <c r="C44" s="183"/>
      <c r="D44" s="183"/>
      <c r="E44" s="168"/>
      <c r="F44" s="184"/>
      <c r="G44" s="191" t="str">
        <f>'2.5 NCEI Adj. YR1'!B16</f>
        <v>Lincoln</v>
      </c>
      <c r="H44" s="687">
        <f>'1.1 Assumption Control YR1'!M44</f>
        <v>1</v>
      </c>
      <c r="I44" s="663" t="str">
        <f>'1.1 Assumption Control YR1'!N44</f>
        <v>PCFP</v>
      </c>
      <c r="K44" s="13" t="str">
        <f>'3.1b Allocation Adj. YR1 '!B20</f>
        <v>Lincoln</v>
      </c>
      <c r="L44" s="40"/>
      <c r="M44" s="687">
        <f>'1.1 Assumption Control YR1'!M44</f>
        <v>1</v>
      </c>
      <c r="N44" s="686" t="str">
        <f>'7.1b Allocation Adj. YR2'!E20</f>
        <v>PCFP</v>
      </c>
      <c r="O44" s="143"/>
    </row>
    <row r="45" spans="1:18" ht="18" thickTop="1" thickBot="1" x14ac:dyDescent="0.35">
      <c r="G45" s="191" t="str">
        <f>'2.5 NCEI Adj. YR1'!B17</f>
        <v>Lyon</v>
      </c>
      <c r="H45" s="687">
        <f>'1.1 Assumption Control YR1'!M45</f>
        <v>1</v>
      </c>
      <c r="I45" s="663" t="str">
        <f>'1.1 Assumption Control YR1'!N45</f>
        <v>PCFP</v>
      </c>
      <c r="K45" s="13" t="str">
        <f>'3.1b Allocation Adj. YR1 '!B21</f>
        <v>Lyon</v>
      </c>
      <c r="L45" s="40"/>
      <c r="M45" s="687">
        <f>'1.1 Assumption Control YR1'!M45</f>
        <v>1</v>
      </c>
      <c r="N45" s="686" t="str">
        <f>'7.1b Allocation Adj. YR2'!E21</f>
        <v>PCFP</v>
      </c>
      <c r="O45" s="143"/>
    </row>
    <row r="46" spans="1:18" ht="18" thickTop="1" thickBot="1" x14ac:dyDescent="0.35">
      <c r="F46" s="143"/>
      <c r="G46" s="191" t="str">
        <f>'2.5 NCEI Adj. YR1'!B18</f>
        <v>Mineral</v>
      </c>
      <c r="H46" s="687">
        <f>'1.1 Assumption Control YR1'!M46</f>
        <v>1</v>
      </c>
      <c r="I46" s="663" t="str">
        <f>'1.1 Assumption Control YR1'!N46</f>
        <v>PCFP</v>
      </c>
      <c r="K46" s="13" t="str">
        <f>'3.1b Allocation Adj. YR1 '!B22</f>
        <v>Mineral</v>
      </c>
      <c r="L46" s="40"/>
      <c r="M46" s="687">
        <f>'1.1 Assumption Control YR1'!M46</f>
        <v>1</v>
      </c>
      <c r="N46" s="686" t="str">
        <f>'7.1b Allocation Adj. YR2'!E22</f>
        <v>PCFP</v>
      </c>
      <c r="O46" s="143"/>
    </row>
    <row r="47" spans="1:18" ht="18" thickTop="1" thickBot="1" x14ac:dyDescent="0.35">
      <c r="A47" s="4" t="s">
        <v>1690</v>
      </c>
      <c r="B47" s="40"/>
      <c r="D47" s="107"/>
      <c r="E47" s="659" t="str">
        <f>'4.0 PCFP Allocation Summary'!N26</f>
        <v>Model is Balanced</v>
      </c>
      <c r="F47" s="12"/>
      <c r="G47" s="191" t="str">
        <f>'2.5 NCEI Adj. YR1'!B19</f>
        <v>Nye</v>
      </c>
      <c r="H47" s="687">
        <f>'1.1 Assumption Control YR1'!M47</f>
        <v>1</v>
      </c>
      <c r="I47" s="663" t="str">
        <f>'1.1 Assumption Control YR1'!N47</f>
        <v>PCFP</v>
      </c>
      <c r="K47" s="13" t="str">
        <f>'3.1b Allocation Adj. YR1 '!B23</f>
        <v>Nye</v>
      </c>
      <c r="L47" s="40"/>
      <c r="M47" s="687">
        <f>'1.1 Assumption Control YR1'!M47</f>
        <v>1</v>
      </c>
      <c r="N47" s="686" t="str">
        <f>'7.1b Allocation Adj. YR2'!E23</f>
        <v>PCFP</v>
      </c>
      <c r="O47" s="143"/>
    </row>
    <row r="48" spans="1:18" ht="18" thickTop="1" thickBot="1" x14ac:dyDescent="0.35">
      <c r="A48" s="17" t="str">
        <f>CONCATENATE("Projected Revenue | FY",$D$5)</f>
        <v>Projected Revenue | FY2025</v>
      </c>
      <c r="B48" s="5"/>
      <c r="C48" s="4"/>
      <c r="D48" s="432"/>
      <c r="E48" s="642">
        <f>E10</f>
        <v>5720230864</v>
      </c>
      <c r="G48" s="191" t="str">
        <f>'2.5 NCEI Adj. YR1'!B20</f>
        <v>Pershing</v>
      </c>
      <c r="H48" s="687">
        <f>'1.1 Assumption Control YR1'!M48</f>
        <v>1</v>
      </c>
      <c r="I48" s="663" t="str">
        <f>'1.1 Assumption Control YR1'!N48</f>
        <v>PCFP</v>
      </c>
      <c r="K48" s="13" t="str">
        <f>'3.1b Allocation Adj. YR1 '!B24</f>
        <v>Pershing</v>
      </c>
      <c r="L48" s="40"/>
      <c r="M48" s="687">
        <f>'1.1 Assumption Control YR1'!M48</f>
        <v>1</v>
      </c>
      <c r="N48" s="686" t="str">
        <f>'7.1b Allocation Adj. YR2'!E24</f>
        <v>PCFP</v>
      </c>
      <c r="O48" s="143"/>
    </row>
    <row r="49" spans="1:15" ht="18" thickTop="1" thickBot="1" x14ac:dyDescent="0.35">
      <c r="E49" s="439"/>
      <c r="G49" s="191" t="str">
        <f>'2.5 NCEI Adj. YR1'!B21</f>
        <v>Storey</v>
      </c>
      <c r="H49" s="687">
        <f>'1.1 Assumption Control YR1'!M49</f>
        <v>1</v>
      </c>
      <c r="I49" s="663" t="str">
        <f>'1.1 Assumption Control YR1'!N49</f>
        <v>FY 2020 Baseline</v>
      </c>
      <c r="K49" s="13" t="str">
        <f>'3.1b Allocation Adj. YR1 '!B25</f>
        <v>Storey</v>
      </c>
      <c r="L49" s="40"/>
      <c r="M49" s="687">
        <f>'1.1 Assumption Control YR1'!M49</f>
        <v>1</v>
      </c>
      <c r="N49" s="686" t="str">
        <f>'7.1b Allocation Adj. YR2'!E25</f>
        <v>FY 2020 Baseline</v>
      </c>
      <c r="O49" s="143"/>
    </row>
    <row r="50" spans="1:15" ht="18" thickTop="1" thickBot="1" x14ac:dyDescent="0.35">
      <c r="A50" s="260" t="s">
        <v>1137</v>
      </c>
      <c r="D50" s="13" t="s">
        <v>1450</v>
      </c>
      <c r="E50" s="519">
        <f>'7.1a Initial Allocations YR2'!S30</f>
        <v>5728760160.0600004</v>
      </c>
      <c r="G50" s="191" t="str">
        <f>'2.5 NCEI Adj. YR1'!B22</f>
        <v>Washoe</v>
      </c>
      <c r="H50" s="687">
        <f>'1.1 Assumption Control YR1'!M50</f>
        <v>1</v>
      </c>
      <c r="I50" s="663" t="str">
        <f>'1.1 Assumption Control YR1'!N50</f>
        <v>PCFP</v>
      </c>
      <c r="K50" s="13" t="str">
        <f>'3.1b Allocation Adj. YR1 '!B26</f>
        <v>Washoe</v>
      </c>
      <c r="L50" s="40"/>
      <c r="M50" s="687">
        <f>'1.1 Assumption Control YR1'!M50</f>
        <v>1</v>
      </c>
      <c r="N50" s="686" t="str">
        <f>'7.1b Allocation Adj. YR2'!E26</f>
        <v>PCFP</v>
      </c>
      <c r="O50" s="143"/>
    </row>
    <row r="51" spans="1:15" ht="18" thickTop="1" thickBot="1" x14ac:dyDescent="0.35">
      <c r="A51" s="260" t="s">
        <v>1138</v>
      </c>
      <c r="D51" s="13" t="s">
        <v>1319</v>
      </c>
      <c r="E51" s="519">
        <f>'7.1b Allocation Adj. YR2'!U30</f>
        <v>5720230864</v>
      </c>
      <c r="F51" s="15"/>
      <c r="G51" s="191" t="str">
        <f>'2.5 NCEI Adj. YR1'!B23</f>
        <v>White Pine</v>
      </c>
      <c r="H51" s="687">
        <f>'1.1 Assumption Control YR1'!M51</f>
        <v>1</v>
      </c>
      <c r="I51" s="663" t="str">
        <f>'1.1 Assumption Control YR1'!N51</f>
        <v>PCFP</v>
      </c>
      <c r="K51" s="13" t="str">
        <f>'3.1b Allocation Adj. YR1 '!B28</f>
        <v>Charter Schools (Combined)</v>
      </c>
      <c r="L51" s="40"/>
      <c r="M51" s="687">
        <f>'1.1 Assumption Control YR1'!M51</f>
        <v>1</v>
      </c>
      <c r="N51" s="686" t="str">
        <f>'7.1b Allocation Adj. YR2'!E27</f>
        <v>PCFP</v>
      </c>
      <c r="O51" s="143"/>
    </row>
    <row r="52" spans="1:15" ht="18" thickTop="1" thickBot="1" x14ac:dyDescent="0.35">
      <c r="A52" s="260" t="s">
        <v>1037</v>
      </c>
      <c r="D52" s="13"/>
      <c r="E52" s="643">
        <f>E51-E50</f>
        <v>-8529296.0600004196</v>
      </c>
      <c r="F52" s="15"/>
      <c r="G52" s="191" t="s">
        <v>1042</v>
      </c>
      <c r="H52" s="660"/>
      <c r="I52" s="663" t="str">
        <f>'1.1 Assumption Control YR1'!N52</f>
        <v>PCFP</v>
      </c>
      <c r="K52" s="13" t="str">
        <f>'3.1b Allocation Adj. YR1 '!B46</f>
        <v>Delta Academy</v>
      </c>
      <c r="L52" s="40"/>
      <c r="M52" s="660"/>
      <c r="N52" s="686" t="str">
        <f>'7.1b Allocation Adj. YR2'!E28</f>
        <v>PCFP</v>
      </c>
      <c r="O52" s="143"/>
    </row>
    <row r="53" spans="1:15" ht="18" thickTop="1" thickBot="1" x14ac:dyDescent="0.35">
      <c r="A53" s="260" t="s">
        <v>1038</v>
      </c>
      <c r="B53" s="40"/>
      <c r="D53" s="13"/>
      <c r="E53" s="639">
        <f>E52/E50</f>
        <v>-1.4888554978205071E-3</v>
      </c>
      <c r="F53" s="15"/>
      <c r="G53" s="191" t="s">
        <v>47</v>
      </c>
      <c r="H53" s="660"/>
      <c r="I53" s="663" t="str">
        <f>'1.1 Assumption Control YR1'!N53</f>
        <v>PCFP</v>
      </c>
      <c r="K53" s="13" t="str">
        <f>'3.1b Allocation Adj. YR1 '!B29</f>
        <v>University Schools</v>
      </c>
      <c r="L53" s="40"/>
      <c r="M53" s="660"/>
      <c r="N53" s="686" t="str">
        <f>'7.1b Allocation Adj. YR2'!E29</f>
        <v>PCFP</v>
      </c>
      <c r="O53" s="143"/>
    </row>
    <row r="54" spans="1:15" ht="18" thickTop="1" thickBot="1" x14ac:dyDescent="0.35">
      <c r="A54" s="260"/>
      <c r="B54" s="40"/>
      <c r="D54" s="13"/>
      <c r="E54" s="107"/>
      <c r="F54" s="15"/>
      <c r="G54" s="191"/>
      <c r="H54" s="13"/>
      <c r="I54" s="40"/>
      <c r="K54" s="13"/>
      <c r="L54" s="40"/>
      <c r="M54" s="40"/>
      <c r="N54" s="230"/>
      <c r="O54" s="143"/>
    </row>
    <row r="55" spans="1:15" ht="18" thickTop="1" thickBot="1" x14ac:dyDescent="0.35">
      <c r="A55" s="260" t="str">
        <f>CONCATENATE("Statewide Base Per Pupil Funding (Prior to Reduction) | FY ",D5)</f>
        <v>Statewide Base Per Pupil Funding (Prior to Reduction) | FY 2025</v>
      </c>
      <c r="B55" s="40"/>
      <c r="D55" s="13" t="s">
        <v>1426</v>
      </c>
      <c r="E55" s="519">
        <f>'6.3 Statewide Base Funding YR2'!C8</f>
        <v>9428</v>
      </c>
      <c r="F55" s="15"/>
      <c r="G55" s="123" t="str">
        <f>CONCATENATE("PCFP Funding Status Determinations | FY ",D5-1)</f>
        <v>PCFP Funding Status Determinations | FY 2024</v>
      </c>
      <c r="H55" s="17"/>
      <c r="I55" s="5" t="s">
        <v>1132</v>
      </c>
      <c r="K55" s="17" t="str">
        <f>CONCATENATE("PCFP Funding Status Determinations | FY ",D5)</f>
        <v>PCFP Funding Status Determinations | FY 2025</v>
      </c>
      <c r="L55" s="300"/>
      <c r="M55" s="300"/>
      <c r="N55" s="5" t="s">
        <v>1132</v>
      </c>
      <c r="O55" s="143"/>
    </row>
    <row r="56" spans="1:15" ht="18" thickTop="1" thickBot="1" x14ac:dyDescent="0.35">
      <c r="A56" s="260" t="str">
        <f>CONCATENATE("Statewide Base Per Pupil Funding (After Reduction) | FY ",D5)</f>
        <v>Statewide Base Per Pupil Funding (After Reduction) | FY 2025</v>
      </c>
      <c r="B56" s="40"/>
      <c r="D56" s="13"/>
      <c r="E56" s="644">
        <f>ROUND(E55*(1+E53),0)</f>
        <v>9414</v>
      </c>
      <c r="F56" s="15"/>
      <c r="G56" s="191" t="s">
        <v>1048</v>
      </c>
      <c r="H56" s="13"/>
      <c r="I56" s="645">
        <f>COUNTIF(I35:I53,"PCFP")</f>
        <v>16</v>
      </c>
      <c r="K56" s="13" t="s">
        <v>1048</v>
      </c>
      <c r="L56" s="10"/>
      <c r="N56" s="645">
        <f>COUNTIF(N35:N53,"PCFP")</f>
        <v>16</v>
      </c>
      <c r="O56" s="143"/>
    </row>
    <row r="57" spans="1:15" ht="18" thickTop="1" thickBot="1" x14ac:dyDescent="0.35">
      <c r="A57" s="260"/>
      <c r="B57" s="40"/>
      <c r="D57" s="13"/>
      <c r="E57" s="12"/>
      <c r="F57" s="15"/>
      <c r="G57" s="191" t="s">
        <v>1857</v>
      </c>
      <c r="H57" s="13"/>
      <c r="I57" s="645">
        <f>COUNTIF(I35:I53,"FY 2020 Baseline")</f>
        <v>3</v>
      </c>
      <c r="K57" s="13" t="s">
        <v>1857</v>
      </c>
      <c r="L57" s="10"/>
      <c r="N57" s="645">
        <f>COUNTIF(N35:N53,"FY 2020 Baseline")</f>
        <v>3</v>
      </c>
      <c r="O57" s="143"/>
    </row>
    <row r="58" spans="1:15" ht="18" thickTop="1" thickBot="1" x14ac:dyDescent="0.35">
      <c r="A58" s="260" t="str">
        <f>CONCATENATE("State English Learner Funding FY (Prior to Red) | FY ",D5)</f>
        <v>State English Learner Funding FY (Prior to Red) | FY 2025</v>
      </c>
      <c r="B58" s="40"/>
      <c r="D58" s="13" t="s">
        <v>1450</v>
      </c>
      <c r="E58" s="519">
        <f>'7.1a Initial Allocations YR2'!G30</f>
        <v>223486474.82000002</v>
      </c>
      <c r="F58" s="15"/>
      <c r="G58" s="195"/>
      <c r="H58" s="183"/>
      <c r="I58" s="183"/>
      <c r="J58" s="183"/>
      <c r="K58" s="183"/>
      <c r="L58" s="197"/>
      <c r="M58" s="183"/>
      <c r="N58" s="183"/>
      <c r="O58" s="168"/>
    </row>
    <row r="59" spans="1:15" ht="18" thickTop="1" thickBot="1" x14ac:dyDescent="0.35">
      <c r="A59" s="260" t="str">
        <f>CONCATENATE("State English Learner Funding (After Red) | FY ",D5)</f>
        <v>State English Learner Funding (After Red) | FY 2025</v>
      </c>
      <c r="B59" s="40"/>
      <c r="D59" s="13" t="s">
        <v>1319</v>
      </c>
      <c r="E59" s="519">
        <f>'7.1b Allocation Adj. YR2'!I30</f>
        <v>223153735</v>
      </c>
      <c r="F59" s="15"/>
    </row>
    <row r="60" spans="1:15" ht="18" thickTop="1" thickBot="1" x14ac:dyDescent="0.35">
      <c r="A60" s="260"/>
      <c r="B60" s="40"/>
      <c r="D60" s="13"/>
      <c r="E60" s="12"/>
      <c r="F60" s="15"/>
    </row>
    <row r="61" spans="1:15" ht="18" thickTop="1" thickBot="1" x14ac:dyDescent="0.35">
      <c r="A61" s="260" t="str">
        <f>CONCATENATE("State At-Risk Student Funding  (Prior to Red) | FY ",D5)</f>
        <v>State At-Risk Student Funding  (Prior to Red) | FY 2025</v>
      </c>
      <c r="B61" s="40"/>
      <c r="D61" s="13" t="s">
        <v>1450</v>
      </c>
      <c r="E61" s="519">
        <f>'7.1a Initial Allocations YR2'!H30</f>
        <v>208904039.80000001</v>
      </c>
      <c r="F61" s="15"/>
    </row>
    <row r="62" spans="1:15" ht="18" thickTop="1" thickBot="1" x14ac:dyDescent="0.35">
      <c r="A62" s="260" t="str">
        <f>CONCATENATE("State At-Risk Student Funding (After Red) | FY ",D5)</f>
        <v>State At-Risk Student Funding (After Red) | FY 2025</v>
      </c>
      <c r="B62" s="40"/>
      <c r="D62" s="13" t="s">
        <v>1319</v>
      </c>
      <c r="E62" s="519">
        <f>'7.1b Allocation Adj. YR2'!J30</f>
        <v>208593011</v>
      </c>
      <c r="F62" s="15"/>
    </row>
    <row r="63" spans="1:15" ht="18" thickTop="1" thickBot="1" x14ac:dyDescent="0.35">
      <c r="A63" s="260"/>
      <c r="B63" s="40"/>
      <c r="D63" s="13"/>
      <c r="E63" s="12"/>
      <c r="F63" s="15"/>
    </row>
    <row r="64" spans="1:15" ht="18" thickTop="1" thickBot="1" x14ac:dyDescent="0.35">
      <c r="A64" s="260" t="str">
        <f>CONCATENATE("State Gifted and Talented Funding (Prior to Red) | FY ",D5)</f>
        <v>State Gifted and Talented Funding (Prior to Red) | FY 2025</v>
      </c>
      <c r="B64" s="40"/>
      <c r="D64" s="13" t="s">
        <v>1450</v>
      </c>
      <c r="E64" s="519">
        <f>'7.1a Initial Allocations YR2'!I30</f>
        <v>8404873.4399999995</v>
      </c>
      <c r="F64" s="15"/>
    </row>
    <row r="65" spans="1:12" ht="18" thickTop="1" thickBot="1" x14ac:dyDescent="0.35">
      <c r="A65" s="260" t="str">
        <f>CONCATENATE("State Gifted and Talented Funding (After Red) | FY ",D5)</f>
        <v>State Gifted and Talented Funding (After Red) | FY 2025</v>
      </c>
      <c r="B65" s="40"/>
      <c r="D65" s="13" t="s">
        <v>1319</v>
      </c>
      <c r="E65" s="519">
        <f>'7.1b Allocation Adj. YR2'!K30</f>
        <v>8392360</v>
      </c>
      <c r="F65" s="15"/>
    </row>
    <row r="66" spans="1:12" ht="17.25" thickTop="1" x14ac:dyDescent="0.3">
      <c r="B66" s="40"/>
      <c r="F66" s="15"/>
    </row>
    <row r="67" spans="1:12" x14ac:dyDescent="0.3">
      <c r="B67" s="40"/>
      <c r="F67" s="15"/>
    </row>
    <row r="68" spans="1:12" x14ac:dyDescent="0.3">
      <c r="B68" s="40"/>
    </row>
    <row r="70" spans="1:12" x14ac:dyDescent="0.3">
      <c r="A70" s="4" t="s">
        <v>950</v>
      </c>
    </row>
    <row r="71" spans="1:12" x14ac:dyDescent="0.3">
      <c r="A71" s="4" t="str">
        <f>'1.1 Assumption Control YR1'!A71</f>
        <v>[1] The initial SWB/P funding amount is from the (FY 23 PCFP) final statewide base per pupil amount after the reduction adjustment was applied.</v>
      </c>
      <c r="B71" s="40"/>
    </row>
    <row r="72" spans="1:12" x14ac:dyDescent="0.3">
      <c r="A72" s="4" t="str">
        <f>'1.1 Assumption Control YR1'!A72</f>
        <v>[2] SB 543, Section 9.6:  Rate of Inflation:  percentage of change in the Consumer Price Index for All Urban Consumers, West Region (All Items), as published by the US Dept of Labor for the immediately preceding calendar year. As attached to the budget.</v>
      </c>
      <c r="B72" s="40"/>
    </row>
    <row r="73" spans="1:12" x14ac:dyDescent="0.3">
      <c r="A73" s="4" t="str">
        <f>'1.1 Assumption Control YR1'!A73</f>
        <v>[3] Weighed Funding  multipliers were increased to meet the recommended weights by the Commission on School Funding.</v>
      </c>
      <c r="B73" s="40"/>
    </row>
    <row r="74" spans="1:12" x14ac:dyDescent="0.3">
      <c r="A74" s="4" t="str">
        <f>'1.1 Assumption Control YR1'!A74</f>
        <v>[4] At-risk enrollment is now based on the new At-risk definition approved by the State Board of Education.  The At-risk weight was increased from .03 in FY 2023 to .30 for FY 2024 and FY 2025.</v>
      </c>
    </row>
    <row r="75" spans="1:12" x14ac:dyDescent="0.3">
      <c r="A75" s="4" t="str">
        <f>'1.1 Assumption Control YR1'!A75</f>
        <v>[5] Nevada Cost of Education Index, Version as of 8.5.22, including a floor of 1.0 for districts below 1.0.  Data Source for NCEI CWI: Contractor Chris Stoddard. Data Source for NCEI RPP: U.S. Department of Labor and Statistics</v>
      </c>
    </row>
    <row r="76" spans="1:12" x14ac:dyDescent="0.3">
      <c r="F76" s="206"/>
    </row>
    <row r="80" spans="1:12" x14ac:dyDescent="0.3">
      <c r="I80" s="13"/>
      <c r="L80" s="10"/>
    </row>
    <row r="81" spans="6:12" x14ac:dyDescent="0.3">
      <c r="I81" s="13"/>
      <c r="L81" s="10"/>
    </row>
    <row r="82" spans="6:12" x14ac:dyDescent="0.3">
      <c r="I82" s="13"/>
      <c r="L82" s="10"/>
    </row>
    <row r="83" spans="6:12" x14ac:dyDescent="0.3">
      <c r="I83" s="13"/>
      <c r="L83" s="10"/>
    </row>
    <row r="84" spans="6:12" x14ac:dyDescent="0.3">
      <c r="I84" s="13"/>
      <c r="L84" s="10"/>
    </row>
    <row r="90" spans="6:12" x14ac:dyDescent="0.3">
      <c r="F90" s="12"/>
    </row>
    <row r="91" spans="6:12" x14ac:dyDescent="0.3">
      <c r="F91" s="208"/>
    </row>
    <row r="92" spans="6:12" x14ac:dyDescent="0.3">
      <c r="F92" s="12"/>
    </row>
    <row r="93" spans="6:12" x14ac:dyDescent="0.3">
      <c r="F93" s="12"/>
    </row>
    <row r="116" spans="4:4" x14ac:dyDescent="0.3">
      <c r="D116" s="10" t="s">
        <v>738</v>
      </c>
    </row>
    <row r="117" spans="4:4" x14ac:dyDescent="0.3">
      <c r="D117" s="10" t="s">
        <v>746</v>
      </c>
    </row>
  </sheetData>
  <sheetProtection algorithmName="SHA-512" hashValue="I+ISDhhZkDWhInkMSfvlOq7IY8RZHM+RufVTRTKMQZHwJZB1IwdoPMvP6lCzP87Z02hLJBHp+734Ix1mk3QheA==" saltValue="YY0OnSVR/kWppfucA0FPeQ==" spinCount="100000" sheet="1" objects="1" scenarios="1"/>
  <mergeCells count="1">
    <mergeCell ref="G3:O3"/>
  </mergeCells>
  <phoneticPr fontId="79" type="noConversion"/>
  <conditionalFormatting sqref="K9 E47">
    <cfRule type="containsText" dxfId="7" priority="2" operator="containsText" text="Model is Out of Balance">
      <formula>NOT(ISERROR(SEARCH("Model is Out of Balance",E9)))</formula>
    </cfRule>
    <cfRule type="cellIs" priority="3" operator="notEqual">
      <formula>"Model Is Balanced"</formula>
    </cfRule>
    <cfRule type="cellIs" dxfId="6" priority="4" operator="equal">
      <formula>"Model Is Balanced"</formula>
    </cfRule>
  </conditionalFormatting>
  <conditionalFormatting sqref="K10">
    <cfRule type="cellIs" dxfId="5" priority="1" operator="equal">
      <formula>"Hold Harmless, Out of Balance"</formula>
    </cfRule>
  </conditionalFormatting>
  <hyperlinks>
    <hyperlink ref="A41" location="'2.4 Weighted Funding, Initial'!A1" display="State only English Learner Funding" xr:uid="{85560A38-15AE-42E3-84F7-264F168517DF}"/>
  </hyperlinks>
  <pageMargins left="0.7" right="0.7" top="0.75" bottom="0.75" header="0.3" footer="0.3"/>
  <pageSetup scale="61"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C8333-6F34-469E-BF81-14D2F87565D3}">
  <sheetPr>
    <tabColor theme="5" tint="-0.249977111117893"/>
  </sheetPr>
  <dimension ref="A1:AB737"/>
  <sheetViews>
    <sheetView zoomScale="85" zoomScaleNormal="85" workbookViewId="0"/>
  </sheetViews>
  <sheetFormatPr defaultColWidth="8.85546875" defaultRowHeight="16.5" x14ac:dyDescent="0.3"/>
  <cols>
    <col min="1" max="1" width="10.5703125" style="10" customWidth="1"/>
    <col min="2" max="2" width="8.7109375" style="40" customWidth="1"/>
    <col min="3" max="3" width="7.42578125" style="40" customWidth="1"/>
    <col min="4" max="4" width="20.85546875" style="40" customWidth="1"/>
    <col min="5" max="5" width="40" style="10" customWidth="1"/>
    <col min="6" max="6" width="49.42578125" style="10" hidden="1" customWidth="1"/>
    <col min="7" max="7" width="18.140625" style="1094" bestFit="1" customWidth="1"/>
    <col min="8" max="8" width="20.7109375" style="10" customWidth="1"/>
    <col min="9" max="9" width="19.140625" style="41" bestFit="1" customWidth="1"/>
    <col min="10" max="10" width="19.5703125" style="10" bestFit="1" customWidth="1"/>
    <col min="11" max="11" width="16.7109375" style="41" customWidth="1"/>
    <col min="12" max="12" width="7.28515625" style="10" customWidth="1"/>
    <col min="13" max="13" width="13.140625" style="10" customWidth="1"/>
    <col min="14" max="14" width="12.5703125" style="10" bestFit="1" customWidth="1"/>
    <col min="15" max="15" width="14.7109375" style="10" bestFit="1" customWidth="1"/>
    <col min="16" max="16" width="8.85546875" style="10" customWidth="1"/>
    <col min="17" max="17" width="16.140625" style="10" bestFit="1" customWidth="1"/>
    <col min="18" max="19" width="8.85546875" style="10" customWidth="1"/>
    <col min="20" max="20" width="13.28515625" style="10" customWidth="1"/>
    <col min="21" max="21" width="38.28515625" style="10" bestFit="1" customWidth="1"/>
    <col min="22" max="22" width="8.5703125" style="10" customWidth="1"/>
    <col min="23" max="23" width="12.85546875" style="10" customWidth="1"/>
    <col min="24" max="24" width="8.5703125" style="10" bestFit="1" customWidth="1"/>
    <col min="25" max="25" width="62.85546875" style="10" bestFit="1" customWidth="1"/>
    <col min="26" max="16384" width="8.85546875" style="10"/>
  </cols>
  <sheetData>
    <row r="1" spans="1:24" s="4" customFormat="1" x14ac:dyDescent="0.3">
      <c r="A1" s="4" t="s">
        <v>602</v>
      </c>
      <c r="D1" s="5"/>
      <c r="G1" s="1106" t="str">
        <f>'1.2 Budgeted Enrollment YR1'!G1</f>
        <v>NOTES:</v>
      </c>
      <c r="H1" s="273"/>
      <c r="I1" s="90"/>
      <c r="K1" s="90"/>
      <c r="Q1" s="4" t="s">
        <v>1841</v>
      </c>
    </row>
    <row r="2" spans="1:24" x14ac:dyDescent="0.3">
      <c r="A2" s="10" t="str">
        <f>CONCATENATE("Pupil Center Funding Plan | FY",'1.1 Assumption Control YR1'!D5+1)</f>
        <v>Pupil Center Funding Plan | FY2025</v>
      </c>
      <c r="B2" s="10"/>
      <c r="C2" s="10"/>
      <c r="G2" s="1106" t="str">
        <f>'1.2 Budgeted Enrollment YR1'!G2</f>
        <v>Data Sources:</v>
      </c>
      <c r="H2" s="1142" t="str">
        <f>'1.2 Budgeted Enrollment YR1'!H2</f>
        <v>Total Enrollment is based on the audited FY 2022 4th quarter Average Daily Enrollment with an estimated grow of .10 for FY 2023, FY 2024 and FY 2025.</v>
      </c>
      <c r="Q2" s="1498">
        <v>1E-3</v>
      </c>
    </row>
    <row r="3" spans="1:24" x14ac:dyDescent="0.3">
      <c r="A3" s="10" t="s">
        <v>1287</v>
      </c>
      <c r="B3" s="10"/>
      <c r="C3" s="10"/>
      <c r="G3" s="1106" t="str">
        <f>'1.2 Budgeted Enrollment YR1'!G3</f>
        <v>Data Sources:</v>
      </c>
      <c r="H3" s="1142" t="str">
        <f>'1.2 Budgeted Enrollment YR1'!H3</f>
        <v>Weighted Enrollment based on validated October 1, 2022 count day data</v>
      </c>
    </row>
    <row r="4" spans="1:24" x14ac:dyDescent="0.3">
      <c r="B4" s="10"/>
      <c r="C4" s="10"/>
      <c r="G4" s="1106" t="str">
        <f>'1.2 Budgeted Enrollment YR1'!G4</f>
        <v>Data Sources:</v>
      </c>
      <c r="H4" s="1142" t="str">
        <f>'1.2 Budgeted Enrollment YR1'!H4</f>
        <v>Unduplicated weighted enrollment sorted order of precedence is IEP, EL, At-Risk and GATE</v>
      </c>
    </row>
    <row r="5" spans="1:24" x14ac:dyDescent="0.3">
      <c r="B5" s="10"/>
      <c r="C5" s="10"/>
      <c r="G5" s="1106" t="str">
        <f>'1.2 Budgeted Enrollment YR1'!G5</f>
        <v>Data Sources:</v>
      </c>
      <c r="H5" s="1142" t="str">
        <f>'1.2 Budgeted Enrollment YR1'!H5</f>
        <v>Virtual Schools-NDE used the total enrollment to account for students attending a virtual school based on audited FY 2022 4th quarter Average Daily Enrollment.</v>
      </c>
    </row>
    <row r="6" spans="1:24" ht="17.25" thickBot="1" x14ac:dyDescent="0.35">
      <c r="A6" s="4"/>
      <c r="B6" s="30"/>
      <c r="C6" s="5"/>
      <c r="D6" s="5"/>
      <c r="E6" s="4"/>
      <c r="F6" s="4"/>
      <c r="G6" s="1108" t="s">
        <v>967</v>
      </c>
      <c r="H6" s="264">
        <f>'1.1 Assumption Control YR1'!D41</f>
        <v>0.45</v>
      </c>
      <c r="I6" s="265">
        <f>'1.1 Assumption Control YR1'!D42</f>
        <v>0.35</v>
      </c>
      <c r="J6" s="266">
        <f>'1.1 Assumption Control YR1'!D43</f>
        <v>0.12</v>
      </c>
      <c r="K6" s="90"/>
      <c r="L6" s="4"/>
      <c r="V6" s="66"/>
      <c r="W6" s="66"/>
      <c r="X6" s="66"/>
    </row>
    <row r="7" spans="1:24" ht="17.25" thickBot="1" x14ac:dyDescent="0.35">
      <c r="A7" s="4" t="s">
        <v>923</v>
      </c>
      <c r="B7" s="30"/>
      <c r="C7" s="5"/>
      <c r="D7" s="5"/>
      <c r="E7" s="4"/>
      <c r="F7" s="4"/>
      <c r="G7" s="1108" t="s">
        <v>968</v>
      </c>
      <c r="H7" s="264">
        <f>'1.1 Assumption Control YR1'!D41</f>
        <v>0.45</v>
      </c>
      <c r="I7" s="265">
        <f>'1.1 Assumption Control YR1'!D42</f>
        <v>0.35</v>
      </c>
      <c r="J7" s="266">
        <f>'1.1 Assumption Control YR1'!D43</f>
        <v>0.12</v>
      </c>
      <c r="K7" s="90"/>
      <c r="L7" s="4"/>
      <c r="M7" s="1598"/>
      <c r="N7" s="1599"/>
      <c r="O7" s="1600"/>
      <c r="V7" s="66"/>
      <c r="W7" s="66"/>
      <c r="X7" s="66"/>
    </row>
    <row r="8" spans="1:24" ht="99.75" thickBot="1" x14ac:dyDescent="0.35">
      <c r="A8" s="8" t="s">
        <v>601</v>
      </c>
      <c r="B8" s="6" t="s">
        <v>717</v>
      </c>
      <c r="C8" s="6" t="s">
        <v>718</v>
      </c>
      <c r="D8" s="6" t="s">
        <v>756</v>
      </c>
      <c r="E8" s="8" t="s">
        <v>707</v>
      </c>
      <c r="F8" s="8"/>
      <c r="G8" s="283" t="s">
        <v>969</v>
      </c>
      <c r="H8" s="72" t="str">
        <f>'1.2 Budgeted Enrollment YR1'!H8</f>
        <v xml:space="preserve">English Learner, Not Also Special Education 
(actual count day data) </v>
      </c>
      <c r="I8" s="283" t="str">
        <f>'1.2 Budgeted Enrollment YR1'!I8</f>
        <v>At-Risk, 
Not Also Special Education or English Learner (actual count day data)</v>
      </c>
      <c r="J8" s="283" t="str">
        <f>'1.2 Budgeted Enrollment YR1'!J8</f>
        <v>GATE, 
Not Also Special Education or English Learner or At-Risk
(actual count day data)</v>
      </c>
      <c r="K8" s="283" t="str">
        <f>'1.2 Budgeted Enrollment YR1'!K8</f>
        <v>Enrollment  
FT in Distance Ed, 
(projected)</v>
      </c>
      <c r="L8" s="4"/>
      <c r="M8" s="284" t="s">
        <v>861</v>
      </c>
      <c r="N8" s="285" t="s">
        <v>862</v>
      </c>
      <c r="O8" s="108" t="s">
        <v>863</v>
      </c>
      <c r="P8" s="4"/>
      <c r="Q8" s="4"/>
      <c r="R8" s="4"/>
      <c r="S8" s="4"/>
      <c r="T8" s="4" t="s">
        <v>1243</v>
      </c>
      <c r="U8" s="4" t="s">
        <v>1245</v>
      </c>
    </row>
    <row r="9" spans="1:24" ht="18" thickTop="1" thickBot="1" x14ac:dyDescent="0.35">
      <c r="A9" s="457" t="s">
        <v>13</v>
      </c>
      <c r="B9" s="458">
        <v>13</v>
      </c>
      <c r="C9" s="458">
        <v>13</v>
      </c>
      <c r="D9" s="458"/>
      <c r="E9" s="457" t="s">
        <v>13</v>
      </c>
      <c r="G9" s="220">
        <f>'1.2 Budgeted Enrollment YR1'!G9+('1.2 Budgeted Enrollment YR1'!G9*$Q$2)</f>
        <v>7207.4987624368023</v>
      </c>
      <c r="H9" s="219">
        <v>719</v>
      </c>
      <c r="I9" s="220">
        <v>289</v>
      </c>
      <c r="J9" s="219">
        <v>385</v>
      </c>
      <c r="K9" s="220">
        <f>SUM(K102:K112)</f>
        <v>0</v>
      </c>
      <c r="L9" s="76"/>
      <c r="M9" s="694">
        <f>H9/G9</f>
        <v>9.975721449266145E-2</v>
      </c>
      <c r="N9" s="695">
        <f>I9/G9</f>
        <v>4.0097127939331234E-2</v>
      </c>
      <c r="O9" s="696">
        <f>J9/G9</f>
        <v>5.3416589123330534E-2</v>
      </c>
      <c r="T9" s="430" t="s">
        <v>13</v>
      </c>
      <c r="U9" s="497" t="s">
        <v>13</v>
      </c>
      <c r="V9" s="67"/>
      <c r="W9" s="67"/>
      <c r="X9" s="68"/>
    </row>
    <row r="10" spans="1:24" ht="18" thickTop="1" thickBot="1" x14ac:dyDescent="0.35">
      <c r="A10" s="457" t="s">
        <v>1</v>
      </c>
      <c r="B10" s="458">
        <v>1</v>
      </c>
      <c r="C10" s="458">
        <v>1</v>
      </c>
      <c r="D10" s="458"/>
      <c r="E10" s="457" t="s">
        <v>1</v>
      </c>
      <c r="G10" s="220">
        <f>'1.2 Budgeted Enrollment YR1'!G10+('1.2 Budgeted Enrollment YR1'!G10*$Q$2)</f>
        <v>3194.3177502985195</v>
      </c>
      <c r="H10" s="219">
        <v>111</v>
      </c>
      <c r="I10" s="220">
        <v>177</v>
      </c>
      <c r="J10" s="219">
        <v>0</v>
      </c>
      <c r="K10" s="220">
        <f>SUM(K113:K118)</f>
        <v>0</v>
      </c>
      <c r="L10" s="254"/>
      <c r="M10" s="460">
        <f t="shared" ref="M10:M25" si="0">H10/G10</f>
        <v>3.4749204267367169E-2</v>
      </c>
      <c r="N10" s="461">
        <f t="shared" ref="N10:N25" si="1">I10/G10</f>
        <v>5.5410893291207103E-2</v>
      </c>
      <c r="O10" s="462">
        <f t="shared" ref="O10:O25" si="2">J10/G10</f>
        <v>0</v>
      </c>
      <c r="T10" s="430" t="s">
        <v>1</v>
      </c>
      <c r="U10" s="497" t="s">
        <v>757</v>
      </c>
      <c r="V10" s="67"/>
      <c r="W10" s="67"/>
      <c r="X10" s="68"/>
    </row>
    <row r="11" spans="1:24" ht="18" thickTop="1" thickBot="1" x14ac:dyDescent="0.35">
      <c r="A11" s="457" t="s">
        <v>2</v>
      </c>
      <c r="B11" s="458">
        <v>2</v>
      </c>
      <c r="C11" s="458">
        <v>2</v>
      </c>
      <c r="D11" s="458"/>
      <c r="E11" s="457" t="s">
        <v>2</v>
      </c>
      <c r="G11" s="220">
        <f>'1.2 Budgeted Enrollment YR1'!G11+('1.2 Budgeted Enrollment YR1'!G11*$Q$2)</f>
        <v>293503.02038115874</v>
      </c>
      <c r="H11" s="219">
        <f>37616+16</f>
        <v>37632</v>
      </c>
      <c r="I11" s="220">
        <f>52655+19</f>
        <v>52674</v>
      </c>
      <c r="J11" s="219">
        <v>4545</v>
      </c>
      <c r="K11" s="220">
        <f>SUM(K119:K481)</f>
        <v>0</v>
      </c>
      <c r="L11" s="76"/>
      <c r="M11" s="460">
        <f t="shared" si="0"/>
        <v>0.12821673845512413</v>
      </c>
      <c r="N11" s="461">
        <f t="shared" si="1"/>
        <v>0.17946663694157125</v>
      </c>
      <c r="O11" s="462">
        <f t="shared" si="2"/>
        <v>1.5485360232741795E-2</v>
      </c>
      <c r="T11" s="683" t="s">
        <v>2</v>
      </c>
      <c r="U11" s="671" t="s">
        <v>759</v>
      </c>
      <c r="V11" s="67"/>
      <c r="W11" s="67"/>
      <c r="X11" s="68"/>
    </row>
    <row r="12" spans="1:24" ht="18" thickTop="1" thickBot="1" x14ac:dyDescent="0.35">
      <c r="A12" s="457" t="s">
        <v>3</v>
      </c>
      <c r="B12" s="458">
        <v>3</v>
      </c>
      <c r="C12" s="458">
        <v>3</v>
      </c>
      <c r="D12" s="458"/>
      <c r="E12" s="457" t="s">
        <v>3</v>
      </c>
      <c r="G12" s="220">
        <f>'1.2 Budgeted Enrollment YR1'!G12+('1.2 Budgeted Enrollment YR1'!G12*$Q$2)</f>
        <v>5170.6418474641814</v>
      </c>
      <c r="H12" s="219">
        <v>169</v>
      </c>
      <c r="I12" s="220">
        <v>171</v>
      </c>
      <c r="J12" s="219">
        <v>46</v>
      </c>
      <c r="K12" s="220">
        <f>SUM(K482:K496)</f>
        <v>57.491615100284598</v>
      </c>
      <c r="L12" s="76"/>
      <c r="M12" s="460">
        <f t="shared" si="0"/>
        <v>3.2684530274105533E-2</v>
      </c>
      <c r="N12" s="461">
        <f t="shared" si="1"/>
        <v>3.3071329448947015E-2</v>
      </c>
      <c r="O12" s="462">
        <f t="shared" si="2"/>
        <v>8.8963810213541685E-3</v>
      </c>
      <c r="T12" s="132"/>
      <c r="U12" s="143" t="s">
        <v>760</v>
      </c>
      <c r="V12" s="67"/>
      <c r="W12" s="67"/>
      <c r="X12" s="68"/>
    </row>
    <row r="13" spans="1:24" ht="18" thickTop="1" thickBot="1" x14ac:dyDescent="0.35">
      <c r="A13" s="457" t="s">
        <v>4</v>
      </c>
      <c r="B13" s="458">
        <v>4</v>
      </c>
      <c r="C13" s="458">
        <v>4</v>
      </c>
      <c r="D13" s="458"/>
      <c r="E13" s="457" t="s">
        <v>4</v>
      </c>
      <c r="G13" s="220">
        <f>'1.2 Budgeted Enrollment YR1'!G13+('1.2 Budgeted Enrollment YR1'!G13*$Q$2)</f>
        <v>9818.4043511504351</v>
      </c>
      <c r="H13" s="219">
        <v>677</v>
      </c>
      <c r="I13" s="220">
        <v>631</v>
      </c>
      <c r="J13" s="219">
        <v>97</v>
      </c>
      <c r="K13" s="220">
        <f>SUM(K497:K529)</f>
        <v>113.79311705937175</v>
      </c>
      <c r="L13" s="76"/>
      <c r="M13" s="460">
        <f t="shared" si="0"/>
        <v>6.8952140876197984E-2</v>
      </c>
      <c r="N13" s="461">
        <f t="shared" si="1"/>
        <v>6.4267061880178611E-2</v>
      </c>
      <c r="O13" s="462">
        <f t="shared" si="2"/>
        <v>9.879405708997346E-3</v>
      </c>
      <c r="T13" s="132"/>
      <c r="U13" s="143" t="s">
        <v>761</v>
      </c>
      <c r="V13" s="67"/>
      <c r="W13" s="67"/>
      <c r="X13" s="68"/>
    </row>
    <row r="14" spans="1:24" ht="18" thickTop="1" thickBot="1" x14ac:dyDescent="0.35">
      <c r="A14" s="457" t="s">
        <v>5</v>
      </c>
      <c r="B14" s="458">
        <v>5</v>
      </c>
      <c r="C14" s="458">
        <v>5</v>
      </c>
      <c r="D14" s="458"/>
      <c r="E14" s="457" t="s">
        <v>5</v>
      </c>
      <c r="G14" s="220">
        <f>'1.2 Budgeted Enrollment YR1'!G14+('1.2 Budgeted Enrollment YR1'!G14*$Q$2)</f>
        <v>77.392537325948581</v>
      </c>
      <c r="H14" s="219">
        <v>7</v>
      </c>
      <c r="I14" s="220">
        <v>8</v>
      </c>
      <c r="J14" s="219">
        <v>0</v>
      </c>
      <c r="K14" s="220">
        <f>SUM(K530:K533)</f>
        <v>15.278970774325909</v>
      </c>
      <c r="L14" s="76"/>
      <c r="M14" s="460">
        <f t="shared" si="0"/>
        <v>9.0447997208291595E-2</v>
      </c>
      <c r="N14" s="461">
        <f t="shared" si="1"/>
        <v>0.10336913966661897</v>
      </c>
      <c r="O14" s="462">
        <f t="shared" si="2"/>
        <v>0</v>
      </c>
      <c r="T14" s="132"/>
      <c r="U14" s="143" t="s">
        <v>762</v>
      </c>
      <c r="V14" s="67"/>
      <c r="W14" s="67"/>
      <c r="X14" s="68"/>
    </row>
    <row r="15" spans="1:24" ht="18" thickTop="1" thickBot="1" x14ac:dyDescent="0.35">
      <c r="A15" s="457" t="s">
        <v>6</v>
      </c>
      <c r="B15" s="458">
        <v>6</v>
      </c>
      <c r="C15" s="458">
        <v>6</v>
      </c>
      <c r="D15" s="458"/>
      <c r="E15" s="457" t="s">
        <v>6</v>
      </c>
      <c r="G15" s="220">
        <f>'1.2 Budgeted Enrollment YR1'!G15+('1.2 Budgeted Enrollment YR1'!G15*$Q$2)</f>
        <v>324.02623606097552</v>
      </c>
      <c r="H15" s="219">
        <v>3</v>
      </c>
      <c r="I15" s="220">
        <v>4</v>
      </c>
      <c r="J15" s="219">
        <v>0</v>
      </c>
      <c r="K15" s="220">
        <f>SUM(K534:K536)</f>
        <v>0</v>
      </c>
      <c r="L15" s="76"/>
      <c r="M15" s="460">
        <f t="shared" si="0"/>
        <v>9.2585095468487241E-3</v>
      </c>
      <c r="N15" s="461">
        <f t="shared" si="1"/>
        <v>1.2344679395798298E-2</v>
      </c>
      <c r="O15" s="462">
        <f t="shared" si="2"/>
        <v>0</v>
      </c>
      <c r="T15" s="132"/>
      <c r="U15" s="143" t="s">
        <v>1244</v>
      </c>
      <c r="V15" s="67"/>
      <c r="W15" s="67"/>
      <c r="X15" s="68"/>
    </row>
    <row r="16" spans="1:24" ht="18" thickTop="1" thickBot="1" x14ac:dyDescent="0.35">
      <c r="A16" s="457" t="s">
        <v>7</v>
      </c>
      <c r="B16" s="458">
        <v>7</v>
      </c>
      <c r="C16" s="458">
        <v>7</v>
      </c>
      <c r="D16" s="458"/>
      <c r="E16" s="457" t="s">
        <v>7</v>
      </c>
      <c r="G16" s="220">
        <f>'1.2 Budgeted Enrollment YR1'!G16+('1.2 Budgeted Enrollment YR1'!G16*$Q$2)</f>
        <v>3185.805194816955</v>
      </c>
      <c r="H16" s="219">
        <v>203</v>
      </c>
      <c r="I16" s="220">
        <v>81</v>
      </c>
      <c r="J16" s="219">
        <v>0</v>
      </c>
      <c r="K16" s="220">
        <f>SUM(K537:K549)</f>
        <v>0</v>
      </c>
      <c r="L16" s="76"/>
      <c r="M16" s="460">
        <f t="shared" si="0"/>
        <v>6.3720154744635493E-2</v>
      </c>
      <c r="N16" s="461">
        <f t="shared" si="1"/>
        <v>2.5425283420273274E-2</v>
      </c>
      <c r="O16" s="462">
        <f t="shared" si="2"/>
        <v>0</v>
      </c>
      <c r="T16" s="132"/>
      <c r="U16" s="143" t="s">
        <v>763</v>
      </c>
      <c r="V16" s="67"/>
      <c r="W16" s="67"/>
      <c r="X16" s="68"/>
    </row>
    <row r="17" spans="1:24" ht="18" thickTop="1" thickBot="1" x14ac:dyDescent="0.35">
      <c r="A17" s="457" t="s">
        <v>8</v>
      </c>
      <c r="B17" s="458">
        <v>8</v>
      </c>
      <c r="C17" s="458">
        <v>8</v>
      </c>
      <c r="D17" s="458"/>
      <c r="E17" s="457" t="s">
        <v>8</v>
      </c>
      <c r="G17" s="220">
        <f>'1.2 Budgeted Enrollment YR1'!G17+('1.2 Budgeted Enrollment YR1'!G17*$Q$2)</f>
        <v>1003.8754811636373</v>
      </c>
      <c r="H17" s="219">
        <v>33</v>
      </c>
      <c r="I17" s="220">
        <v>98</v>
      </c>
      <c r="J17" s="219">
        <v>0</v>
      </c>
      <c r="K17" s="220">
        <f>SUM(K550:K553)</f>
        <v>0</v>
      </c>
      <c r="L17" s="76"/>
      <c r="M17" s="460">
        <f t="shared" si="0"/>
        <v>3.2872602846867237E-2</v>
      </c>
      <c r="N17" s="461">
        <f t="shared" si="1"/>
        <v>9.7621669060393601E-2</v>
      </c>
      <c r="O17" s="462">
        <f t="shared" si="2"/>
        <v>0</v>
      </c>
      <c r="T17" s="132"/>
      <c r="U17" s="143" t="s">
        <v>764</v>
      </c>
      <c r="V17" s="67"/>
      <c r="W17" s="67"/>
      <c r="X17" s="68"/>
    </row>
    <row r="18" spans="1:24" ht="18" thickTop="1" thickBot="1" x14ac:dyDescent="0.35">
      <c r="A18" s="457" t="s">
        <v>9</v>
      </c>
      <c r="B18" s="458">
        <v>9</v>
      </c>
      <c r="C18" s="458">
        <v>9</v>
      </c>
      <c r="D18" s="458"/>
      <c r="E18" s="457" t="s">
        <v>9</v>
      </c>
      <c r="G18" s="220">
        <f>'1.2 Budgeted Enrollment YR1'!G18+('1.2 Budgeted Enrollment YR1'!G18*$Q$2)</f>
        <v>883.90246946271293</v>
      </c>
      <c r="H18" s="219">
        <v>6</v>
      </c>
      <c r="I18" s="220">
        <v>43</v>
      </c>
      <c r="J18" s="219">
        <v>0</v>
      </c>
      <c r="K18" s="220">
        <f>SUM(K554:K562)</f>
        <v>0</v>
      </c>
      <c r="L18" s="76"/>
      <c r="M18" s="460">
        <f t="shared" si="0"/>
        <v>6.788079236442395E-3</v>
      </c>
      <c r="N18" s="461">
        <f t="shared" si="1"/>
        <v>4.864790119450383E-2</v>
      </c>
      <c r="O18" s="462">
        <f t="shared" si="2"/>
        <v>0</v>
      </c>
      <c r="T18" s="132"/>
      <c r="U18" s="143" t="s">
        <v>765</v>
      </c>
      <c r="V18" s="67"/>
      <c r="W18" s="67"/>
      <c r="X18" s="68"/>
    </row>
    <row r="19" spans="1:24" ht="18" thickTop="1" thickBot="1" x14ac:dyDescent="0.35">
      <c r="A19" s="457" t="s">
        <v>10</v>
      </c>
      <c r="B19" s="458">
        <v>10</v>
      </c>
      <c r="C19" s="458">
        <v>10</v>
      </c>
      <c r="D19" s="458"/>
      <c r="E19" s="457" t="s">
        <v>10</v>
      </c>
      <c r="G19" s="220">
        <f>'1.2 Budgeted Enrollment YR1'!G19+('1.2 Budgeted Enrollment YR1'!G19*$Q$2)</f>
        <v>9045.069485259779</v>
      </c>
      <c r="H19" s="219">
        <v>485</v>
      </c>
      <c r="I19" s="220">
        <v>526</v>
      </c>
      <c r="J19" s="219">
        <v>0</v>
      </c>
      <c r="K19" s="220">
        <f>SUM(K563:K581)</f>
        <v>0</v>
      </c>
      <c r="L19" s="76"/>
      <c r="M19" s="460">
        <f t="shared" si="0"/>
        <v>5.3620373043056897E-2</v>
      </c>
      <c r="N19" s="461">
        <f t="shared" si="1"/>
        <v>5.8153229320923566E-2</v>
      </c>
      <c r="O19" s="462">
        <f t="shared" si="2"/>
        <v>0</v>
      </c>
      <c r="T19" s="132"/>
      <c r="U19" s="143" t="s">
        <v>766</v>
      </c>
      <c r="V19" s="67"/>
      <c r="W19" s="67"/>
      <c r="X19" s="68"/>
    </row>
    <row r="20" spans="1:24" ht="18" thickTop="1" thickBot="1" x14ac:dyDescent="0.35">
      <c r="A20" s="457" t="s">
        <v>11</v>
      </c>
      <c r="B20" s="458">
        <v>11</v>
      </c>
      <c r="C20" s="458">
        <v>11</v>
      </c>
      <c r="D20" s="458"/>
      <c r="E20" s="457" t="s">
        <v>11</v>
      </c>
      <c r="G20" s="220">
        <f>'1.2 Budgeted Enrollment YR1'!G20+('1.2 Budgeted Enrollment YR1'!G20*$Q$2)</f>
        <v>568.00070537479974</v>
      </c>
      <c r="H20" s="219">
        <v>34</v>
      </c>
      <c r="I20" s="220">
        <v>52</v>
      </c>
      <c r="J20" s="219">
        <v>0</v>
      </c>
      <c r="K20" s="220">
        <f>SUM(K582:K585)</f>
        <v>0</v>
      </c>
      <c r="L20" s="76"/>
      <c r="M20" s="460">
        <f t="shared" si="0"/>
        <v>5.9859080593156713E-2</v>
      </c>
      <c r="N20" s="461">
        <f t="shared" si="1"/>
        <v>9.1549182083651454E-2</v>
      </c>
      <c r="O20" s="462">
        <f t="shared" si="2"/>
        <v>0</v>
      </c>
      <c r="T20" s="132"/>
      <c r="U20" s="143" t="s">
        <v>767</v>
      </c>
      <c r="V20" s="67"/>
      <c r="W20" s="67"/>
      <c r="X20" s="68"/>
    </row>
    <row r="21" spans="1:24" ht="18" thickTop="1" thickBot="1" x14ac:dyDescent="0.35">
      <c r="A21" s="457" t="s">
        <v>12</v>
      </c>
      <c r="B21" s="458">
        <v>12</v>
      </c>
      <c r="C21" s="458">
        <v>12</v>
      </c>
      <c r="D21" s="458"/>
      <c r="E21" s="457" t="s">
        <v>12</v>
      </c>
      <c r="G21" s="220">
        <f>'1.2 Budgeted Enrollment YR1'!G21+('1.2 Budgeted Enrollment YR1'!G21*$Q$2)</f>
        <v>5594.5124332004871</v>
      </c>
      <c r="H21" s="219">
        <v>324</v>
      </c>
      <c r="I21" s="220">
        <v>449</v>
      </c>
      <c r="J21" s="219">
        <v>0</v>
      </c>
      <c r="K21" s="220">
        <f>SUM(K586:K611)</f>
        <v>0</v>
      </c>
      <c r="L21" s="76"/>
      <c r="M21" s="460">
        <f t="shared" si="0"/>
        <v>5.7913893993197782E-2</v>
      </c>
      <c r="N21" s="461">
        <f t="shared" si="1"/>
        <v>8.025721729304261E-2</v>
      </c>
      <c r="O21" s="462">
        <f t="shared" si="2"/>
        <v>0</v>
      </c>
      <c r="T21" s="195"/>
      <c r="U21" s="168" t="s">
        <v>768</v>
      </c>
      <c r="V21" s="67"/>
      <c r="W21" s="67"/>
      <c r="X21" s="68"/>
    </row>
    <row r="22" spans="1:24" ht="18" thickTop="1" thickBot="1" x14ac:dyDescent="0.35">
      <c r="A22" s="457" t="s">
        <v>14</v>
      </c>
      <c r="B22" s="458">
        <v>14</v>
      </c>
      <c r="C22" s="458">
        <v>14</v>
      </c>
      <c r="D22" s="458"/>
      <c r="E22" s="457" t="s">
        <v>14</v>
      </c>
      <c r="G22" s="220">
        <f>'1.2 Budgeted Enrollment YR1'!G22+('1.2 Budgeted Enrollment YR1'!G22*$Q$2)</f>
        <v>660.8205610348989</v>
      </c>
      <c r="H22" s="219">
        <v>23</v>
      </c>
      <c r="I22" s="220">
        <v>39</v>
      </c>
      <c r="J22" s="219">
        <v>0</v>
      </c>
      <c r="K22" s="220">
        <f>SUM(K612:K616)</f>
        <v>0</v>
      </c>
      <c r="L22" s="76"/>
      <c r="M22" s="460">
        <f t="shared" si="0"/>
        <v>3.4805212422537403E-2</v>
      </c>
      <c r="N22" s="461">
        <f t="shared" si="1"/>
        <v>5.9017534107780815E-2</v>
      </c>
      <c r="O22" s="462">
        <f t="shared" si="2"/>
        <v>0</v>
      </c>
      <c r="T22" s="443" t="s">
        <v>3</v>
      </c>
      <c r="U22" s="445" t="s">
        <v>769</v>
      </c>
      <c r="V22" s="67"/>
      <c r="W22" s="67"/>
      <c r="X22" s="68"/>
    </row>
    <row r="23" spans="1:24" ht="18" thickTop="1" thickBot="1" x14ac:dyDescent="0.35">
      <c r="A23" s="457" t="s">
        <v>15</v>
      </c>
      <c r="B23" s="458">
        <v>15</v>
      </c>
      <c r="C23" s="458">
        <v>15</v>
      </c>
      <c r="D23" s="458"/>
      <c r="E23" s="457" t="s">
        <v>15</v>
      </c>
      <c r="G23" s="220">
        <f>'1.2 Budgeted Enrollment YR1'!G23+('1.2 Budgeted Enrollment YR1'!G23*$Q$2)</f>
        <v>413.46750117998658</v>
      </c>
      <c r="H23" s="219">
        <v>1</v>
      </c>
      <c r="I23" s="220">
        <v>12</v>
      </c>
      <c r="J23" s="219">
        <v>5</v>
      </c>
      <c r="K23" s="220">
        <f>SUM(K617:K620)</f>
        <v>0</v>
      </c>
      <c r="L23" s="76"/>
      <c r="M23" s="460">
        <f t="shared" si="0"/>
        <v>2.4185697718590218E-3</v>
      </c>
      <c r="N23" s="461">
        <f t="shared" si="1"/>
        <v>2.9022837262308261E-2</v>
      </c>
      <c r="O23" s="462">
        <f t="shared" si="2"/>
        <v>1.2092848859295109E-2</v>
      </c>
      <c r="T23" s="132"/>
      <c r="U23" s="143" t="s">
        <v>812</v>
      </c>
      <c r="V23" s="67"/>
      <c r="W23" s="67"/>
      <c r="X23" s="68"/>
    </row>
    <row r="24" spans="1:24" ht="18" thickTop="1" thickBot="1" x14ac:dyDescent="0.35">
      <c r="A24" s="457" t="s">
        <v>16</v>
      </c>
      <c r="B24" s="458">
        <v>16</v>
      </c>
      <c r="C24" s="458">
        <v>16</v>
      </c>
      <c r="D24" s="458"/>
      <c r="E24" s="457" t="s">
        <v>16</v>
      </c>
      <c r="G24" s="220">
        <f>'1.2 Budgeted Enrollment YR1'!G24+('1.2 Budgeted Enrollment YR1'!G24*$Q$2)</f>
        <v>60608.138003589171</v>
      </c>
      <c r="H24" s="219">
        <v>6726</v>
      </c>
      <c r="I24" s="220">
        <v>4912</v>
      </c>
      <c r="J24" s="219">
        <v>1259</v>
      </c>
      <c r="K24" s="220">
        <f>SUM(K621:K722)</f>
        <v>622.50380762325506</v>
      </c>
      <c r="L24" s="76"/>
      <c r="M24" s="460">
        <f t="shared" si="0"/>
        <v>0.1109751960966313</v>
      </c>
      <c r="N24" s="461">
        <f t="shared" si="1"/>
        <v>8.1045222008125625E-2</v>
      </c>
      <c r="O24" s="462">
        <f t="shared" si="2"/>
        <v>2.0772787969916565E-2</v>
      </c>
      <c r="T24" s="195"/>
      <c r="U24" s="168" t="s">
        <v>770</v>
      </c>
      <c r="V24" s="67"/>
      <c r="W24" s="67"/>
      <c r="X24" s="68"/>
    </row>
    <row r="25" spans="1:24" ht="18" thickTop="1" thickBot="1" x14ac:dyDescent="0.35">
      <c r="A25" s="457" t="s">
        <v>17</v>
      </c>
      <c r="B25" s="458">
        <v>17</v>
      </c>
      <c r="C25" s="458">
        <v>17</v>
      </c>
      <c r="D25" s="458"/>
      <c r="E25" s="457" t="s">
        <v>17</v>
      </c>
      <c r="G25" s="220">
        <f>'1.2 Budgeted Enrollment YR1'!G25+('1.2 Budgeted Enrollment YR1'!G25*$Q$2)</f>
        <v>1260.6496409044739</v>
      </c>
      <c r="H25" s="219">
        <v>15</v>
      </c>
      <c r="I25" s="220">
        <v>109</v>
      </c>
      <c r="J25" s="219">
        <v>0</v>
      </c>
      <c r="K25" s="220">
        <f>SUM(K723:K732)</f>
        <v>0</v>
      </c>
      <c r="L25" s="76"/>
      <c r="M25" s="460">
        <f t="shared" si="0"/>
        <v>1.189862711517373E-2</v>
      </c>
      <c r="N25" s="461">
        <f t="shared" si="1"/>
        <v>8.6463357036929103E-2</v>
      </c>
      <c r="O25" s="462">
        <f t="shared" si="2"/>
        <v>0</v>
      </c>
      <c r="T25" s="683" t="s">
        <v>4</v>
      </c>
      <c r="U25" s="671" t="s">
        <v>771</v>
      </c>
      <c r="V25" s="67"/>
      <c r="W25" s="67"/>
      <c r="X25" s="68"/>
    </row>
    <row r="26" spans="1:24" ht="20.25" thickTop="1" thickBot="1" x14ac:dyDescent="0.5">
      <c r="A26" s="457" t="s">
        <v>1257</v>
      </c>
      <c r="B26" s="458">
        <v>18</v>
      </c>
      <c r="C26" s="458" t="s">
        <v>719</v>
      </c>
      <c r="D26" s="458"/>
      <c r="E26" s="457" t="s">
        <v>1262</v>
      </c>
      <c r="F26" s="457"/>
      <c r="G26" s="1105">
        <f>G92</f>
        <v>69072.499417353014</v>
      </c>
      <c r="H26" s="690">
        <f>H92</f>
        <v>5510</v>
      </c>
      <c r="I26" s="690">
        <f>I92</f>
        <v>3050</v>
      </c>
      <c r="J26" s="690">
        <f>J92</f>
        <v>1097</v>
      </c>
      <c r="K26" s="1105">
        <f>K92</f>
        <v>3495.4684508487881</v>
      </c>
      <c r="L26" s="448"/>
      <c r="M26" s="460">
        <f>H27/G27</f>
        <v>0</v>
      </c>
      <c r="N26" s="461">
        <f>I27/G27</f>
        <v>0</v>
      </c>
      <c r="O26" s="462">
        <f>J27/G27</f>
        <v>0</v>
      </c>
      <c r="T26" s="132"/>
      <c r="U26" s="143" t="s">
        <v>4</v>
      </c>
      <c r="V26" s="69"/>
      <c r="W26" s="67"/>
      <c r="X26" s="70"/>
    </row>
    <row r="27" spans="1:24" ht="20.25" thickTop="1" thickBot="1" x14ac:dyDescent="0.5">
      <c r="A27" s="692" t="s">
        <v>16</v>
      </c>
      <c r="B27" s="693">
        <v>19</v>
      </c>
      <c r="C27" s="693" t="s">
        <v>719</v>
      </c>
      <c r="D27" s="693"/>
      <c r="E27" s="692" t="s">
        <v>1256</v>
      </c>
      <c r="F27" s="692"/>
      <c r="G27" s="1101">
        <f>G98</f>
        <v>162.20612853670227</v>
      </c>
      <c r="H27" s="89">
        <f>H98</f>
        <v>0</v>
      </c>
      <c r="I27" s="89">
        <f>I98</f>
        <v>0</v>
      </c>
      <c r="J27" s="89">
        <f>J98</f>
        <v>0</v>
      </c>
      <c r="K27" s="1101">
        <f>K98</f>
        <v>0</v>
      </c>
      <c r="L27" s="448"/>
      <c r="M27" s="286">
        <f>H26/G26</f>
        <v>7.9771255513822165E-2</v>
      </c>
      <c r="N27" s="111">
        <f>I26/G26</f>
        <v>4.4156502598395209E-2</v>
      </c>
      <c r="O27" s="112">
        <f>J26/G26</f>
        <v>1.5881863393586736E-2</v>
      </c>
      <c r="T27" s="132"/>
      <c r="U27" s="143" t="s">
        <v>4</v>
      </c>
      <c r="V27" s="69"/>
      <c r="W27" s="67"/>
      <c r="X27" s="70"/>
    </row>
    <row r="28" spans="1:24" s="4" customFormat="1" ht="18" thickTop="1" thickBot="1" x14ac:dyDescent="0.35">
      <c r="B28" s="5"/>
      <c r="C28" s="5"/>
      <c r="D28" s="5"/>
      <c r="G28" s="1103">
        <f>SUM(G9:G27)</f>
        <v>471754.24888777226</v>
      </c>
      <c r="H28" s="689">
        <f>SUM(H9:H27)</f>
        <v>52678</v>
      </c>
      <c r="I28" s="689">
        <f>SUM(I9:I27)</f>
        <v>63325</v>
      </c>
      <c r="J28" s="689">
        <f>SUM(J9:J27)</f>
        <v>7434</v>
      </c>
      <c r="K28" s="1103">
        <f>SUM(K9:K27)</f>
        <v>4304.5359614060253</v>
      </c>
      <c r="L28" s="401"/>
      <c r="M28" s="287">
        <f>H28/G28</f>
        <v>0.11166407112219101</v>
      </c>
      <c r="N28" s="109">
        <f>I28/G28</f>
        <v>0.1342330252441768</v>
      </c>
      <c r="O28" s="110">
        <f>J28/G28</f>
        <v>1.575820465322085E-2</v>
      </c>
      <c r="T28" s="132"/>
      <c r="U28" s="143" t="s">
        <v>772</v>
      </c>
      <c r="V28" s="77"/>
      <c r="W28" s="77"/>
      <c r="X28" s="77"/>
    </row>
    <row r="29" spans="1:24" s="4" customFormat="1" ht="17.25" thickTop="1" x14ac:dyDescent="0.3">
      <c r="B29" s="5"/>
      <c r="C29" s="5"/>
      <c r="D29" s="5"/>
      <c r="G29" s="1093"/>
      <c r="H29" s="688">
        <f>H28-'1.2 Budgeted Enrollment YR1'!H28</f>
        <v>0</v>
      </c>
      <c r="I29" s="688">
        <f>I28-'1.2 Budgeted Enrollment YR1'!I28</f>
        <v>0</v>
      </c>
      <c r="J29" s="688">
        <f>J28-'1.2 Budgeted Enrollment YR1'!J28</f>
        <v>0</v>
      </c>
      <c r="K29" s="688"/>
      <c r="L29" s="401"/>
      <c r="M29" s="267" t="s">
        <v>970</v>
      </c>
      <c r="N29" s="288"/>
      <c r="O29" s="268">
        <f>(G28-G26)-G733-G27</f>
        <v>2.5411850401724223E-10</v>
      </c>
      <c r="T29" s="132"/>
      <c r="U29" s="143" t="s">
        <v>773</v>
      </c>
      <c r="V29" s="77"/>
      <c r="W29" s="77"/>
      <c r="X29" s="77"/>
    </row>
    <row r="30" spans="1:24" s="4" customFormat="1" x14ac:dyDescent="0.3">
      <c r="A30" s="4" t="s">
        <v>924</v>
      </c>
      <c r="B30" s="5"/>
      <c r="C30" s="5"/>
      <c r="D30" s="5"/>
      <c r="G30" s="1094"/>
      <c r="H30" s="10"/>
      <c r="I30" s="41"/>
      <c r="J30" s="10"/>
      <c r="K30" s="1115"/>
      <c r="L30" s="401"/>
      <c r="M30" s="270" t="s">
        <v>971</v>
      </c>
      <c r="N30" s="10"/>
      <c r="O30" s="271">
        <f>G26-G92</f>
        <v>0</v>
      </c>
      <c r="T30" s="132"/>
      <c r="U30" s="143" t="s">
        <v>813</v>
      </c>
      <c r="V30" s="77"/>
      <c r="W30" s="77"/>
      <c r="X30" s="77"/>
    </row>
    <row r="31" spans="1:24" s="4" customFormat="1" ht="17.25" thickBot="1" x14ac:dyDescent="0.35">
      <c r="A31" s="5" t="str">
        <f>A8</f>
        <v>County</v>
      </c>
      <c r="B31" s="5" t="str">
        <f>B8</f>
        <v>District #</v>
      </c>
      <c r="C31" s="5" t="str">
        <f>C8</f>
        <v>DOHQ#</v>
      </c>
      <c r="D31" s="5" t="str">
        <f>D8</f>
        <v>Attendance Area</v>
      </c>
      <c r="E31" s="4" t="s">
        <v>1148</v>
      </c>
      <c r="F31" s="4" t="s">
        <v>1198</v>
      </c>
      <c r="G31" s="1095"/>
      <c r="I31" s="90"/>
      <c r="K31" s="90"/>
      <c r="L31" s="401"/>
      <c r="M31" s="269" t="s">
        <v>972</v>
      </c>
      <c r="N31" s="114"/>
      <c r="O31" s="272">
        <f>K26-K92</f>
        <v>0</v>
      </c>
      <c r="T31" s="132"/>
      <c r="U31" s="143" t="s">
        <v>774</v>
      </c>
      <c r="V31" s="77"/>
      <c r="W31" s="77"/>
      <c r="X31" s="77"/>
    </row>
    <row r="32" spans="1:24" s="4" customFormat="1" ht="18" thickTop="1" thickBot="1" x14ac:dyDescent="0.35">
      <c r="A32" s="457" t="str">
        <f>'1.2 Budgeted Enrollment YR1'!A32</f>
        <v>Clark</v>
      </c>
      <c r="B32" s="459">
        <f>'1.2 Budgeted Enrollment YR1'!B32</f>
        <v>2</v>
      </c>
      <c r="C32" s="459">
        <f>'1.2 Budgeted Enrollment YR1'!C32</f>
        <v>2</v>
      </c>
      <c r="D32" s="457" t="str">
        <f>'1.2 Budgeted Enrollment YR1'!D32</f>
        <v>Las Vegas</v>
      </c>
      <c r="E32" s="457" t="str">
        <f>'1.2 Budgeted Enrollment YR1'!E32</f>
        <v>100 Academy Of Excellence</v>
      </c>
      <c r="F32" s="457" t="s">
        <v>1194</v>
      </c>
      <c r="G32" s="220">
        <f>'1.2 Budgeted Enrollment YR1'!G32+('1.2 Budgeted Enrollment YR1'!G32*$Q$2)</f>
        <v>317.62972370211571</v>
      </c>
      <c r="H32" s="219">
        <v>30</v>
      </c>
      <c r="I32" s="220">
        <v>161</v>
      </c>
      <c r="J32" s="219">
        <v>0</v>
      </c>
      <c r="K32" s="220">
        <v>0</v>
      </c>
      <c r="L32" s="401"/>
      <c r="M32" s="1492"/>
      <c r="N32" s="10"/>
      <c r="O32" s="10"/>
      <c r="T32" s="132"/>
      <c r="U32" s="143" t="s">
        <v>775</v>
      </c>
      <c r="V32" s="77"/>
      <c r="W32" s="77"/>
      <c r="X32" s="77"/>
    </row>
    <row r="33" spans="1:25" s="4" customFormat="1" ht="18" thickTop="1" thickBot="1" x14ac:dyDescent="0.35">
      <c r="A33" s="457" t="str">
        <f>'1.2 Budgeted Enrollment YR1'!A33</f>
        <v>Washoe</v>
      </c>
      <c r="B33" s="459">
        <f>'1.2 Budgeted Enrollment YR1'!B33</f>
        <v>16</v>
      </c>
      <c r="C33" s="459">
        <f>'1.2 Budgeted Enrollment YR1'!C33</f>
        <v>16</v>
      </c>
      <c r="D33" s="457" t="str">
        <f>'1.2 Budgeted Enrollment YR1'!D33</f>
        <v>Reno</v>
      </c>
      <c r="E33" s="457" t="str">
        <f>'1.2 Budgeted Enrollment YR1'!E33</f>
        <v>Academy For Career Education</v>
      </c>
      <c r="F33" s="457" t="s">
        <v>1195</v>
      </c>
      <c r="G33" s="220">
        <f>'1.2 Budgeted Enrollment YR1'!G33+('1.2 Budgeted Enrollment YR1'!G33*$Q$2)</f>
        <v>233.39983380980189</v>
      </c>
      <c r="H33" s="219">
        <v>22</v>
      </c>
      <c r="I33" s="220">
        <v>2</v>
      </c>
      <c r="J33" s="219">
        <v>0</v>
      </c>
      <c r="K33" s="220">
        <v>0</v>
      </c>
      <c r="L33" s="401"/>
      <c r="M33" s="1492"/>
      <c r="N33" s="10"/>
      <c r="O33" s="10"/>
      <c r="T33" s="132"/>
      <c r="U33" s="143" t="s">
        <v>776</v>
      </c>
      <c r="V33" s="77"/>
      <c r="W33" s="77"/>
      <c r="X33" s="77"/>
    </row>
    <row r="34" spans="1:25" s="4" customFormat="1" ht="18" thickTop="1" thickBot="1" x14ac:dyDescent="0.35">
      <c r="A34" s="457" t="str">
        <f>'1.2 Budgeted Enrollment YR1'!A34</f>
        <v>Washoe</v>
      </c>
      <c r="B34" s="459">
        <f>'1.2 Budgeted Enrollment YR1'!B34</f>
        <v>18</v>
      </c>
      <c r="C34" s="459">
        <f>'1.2 Budgeted Enrollment YR1'!C34</f>
        <v>16</v>
      </c>
      <c r="D34" s="457" t="str">
        <f>'1.2 Budgeted Enrollment YR1'!D34</f>
        <v>Reno</v>
      </c>
      <c r="E34" s="457" t="str">
        <f>'1.2 Budgeted Enrollment YR1'!E34</f>
        <v xml:space="preserve">Alpine Academy </v>
      </c>
      <c r="F34" s="457" t="s">
        <v>1196</v>
      </c>
      <c r="G34" s="220">
        <f>'1.2 Budgeted Enrollment YR1'!G34+('1.2 Budgeted Enrollment YR1'!G34*$Q$2)</f>
        <v>147.96290007070388</v>
      </c>
      <c r="H34" s="219">
        <v>0</v>
      </c>
      <c r="I34" s="220">
        <v>5</v>
      </c>
      <c r="J34" s="219">
        <v>0</v>
      </c>
      <c r="K34" s="220">
        <v>0</v>
      </c>
      <c r="L34" s="401"/>
      <c r="M34" s="38"/>
      <c r="N34" s="10"/>
      <c r="O34" s="10"/>
      <c r="T34" s="132"/>
      <c r="U34" s="143" t="s">
        <v>777</v>
      </c>
      <c r="V34" s="77"/>
    </row>
    <row r="35" spans="1:25" s="4" customFormat="1" ht="18" thickTop="1" thickBot="1" x14ac:dyDescent="0.35">
      <c r="A35" s="457" t="str">
        <f>'1.2 Budgeted Enrollment YR1'!A35</f>
        <v>Clark</v>
      </c>
      <c r="B35" s="459">
        <f>'1.2 Budgeted Enrollment YR1'!B35</f>
        <v>18</v>
      </c>
      <c r="C35" s="459">
        <f>'1.2 Budgeted Enrollment YR1'!C35</f>
        <v>2</v>
      </c>
      <c r="D35" s="457" t="str">
        <f>'1.2 Budgeted Enrollment YR1'!D35</f>
        <v>Las Vegas</v>
      </c>
      <c r="E35" s="457" t="str">
        <f>'1.2 Budgeted Enrollment YR1'!E35</f>
        <v xml:space="preserve">Amplus (Formerly American Preparatory Academy) </v>
      </c>
      <c r="F35" s="457" t="s">
        <v>1197</v>
      </c>
      <c r="G35" s="220">
        <f>'1.2 Budgeted Enrollment YR1'!G35+('1.2 Budgeted Enrollment YR1'!G35*$Q$2)</f>
        <v>2269.9763633103498</v>
      </c>
      <c r="H35" s="219">
        <v>174</v>
      </c>
      <c r="I35" s="220">
        <v>39</v>
      </c>
      <c r="J35" s="219">
        <v>40</v>
      </c>
      <c r="K35" s="220">
        <v>0</v>
      </c>
      <c r="L35" s="401"/>
      <c r="M35" s="38"/>
      <c r="N35" s="10"/>
      <c r="O35" s="10"/>
      <c r="P35" s="10"/>
      <c r="Q35" s="10"/>
      <c r="T35" s="132"/>
      <c r="U35" s="143" t="s">
        <v>778</v>
      </c>
      <c r="V35" s="77"/>
      <c r="W35" s="77"/>
      <c r="X35" s="77"/>
    </row>
    <row r="36" spans="1:25" ht="18" thickTop="1" thickBot="1" x14ac:dyDescent="0.35">
      <c r="A36" s="457" t="str">
        <f>'1.2 Budgeted Enrollment YR1'!A36</f>
        <v>Washoe</v>
      </c>
      <c r="B36" s="459">
        <f>'1.2 Budgeted Enrollment YR1'!B36</f>
        <v>16</v>
      </c>
      <c r="C36" s="459">
        <f>'1.2 Budgeted Enrollment YR1'!C36</f>
        <v>16</v>
      </c>
      <c r="D36" s="457" t="str">
        <f>'1.2 Budgeted Enrollment YR1'!D36</f>
        <v>Reno</v>
      </c>
      <c r="E36" s="457" t="str">
        <f>'1.2 Budgeted Enrollment YR1'!E36</f>
        <v>Bailey Charter School</v>
      </c>
      <c r="F36" s="457" t="s">
        <v>1199</v>
      </c>
      <c r="G36" s="220">
        <f>'1.2 Budgeted Enrollment YR1'!G36+('1.2 Budgeted Enrollment YR1'!G36*$Q$2)</f>
        <v>175.50477307407152</v>
      </c>
      <c r="H36" s="219">
        <v>75</v>
      </c>
      <c r="I36" s="220">
        <v>37</v>
      </c>
      <c r="J36" s="219">
        <v>0</v>
      </c>
      <c r="K36" s="220">
        <v>0</v>
      </c>
      <c r="L36" s="401"/>
      <c r="M36" s="38"/>
      <c r="T36" s="195"/>
      <c r="U36" s="168" t="s">
        <v>779</v>
      </c>
      <c r="V36" s="68"/>
      <c r="W36" s="71"/>
    </row>
    <row r="37" spans="1:25" ht="18" thickTop="1" thickBot="1" x14ac:dyDescent="0.35">
      <c r="A37" s="457" t="str">
        <f>'1.2 Budgeted Enrollment YR1'!A37</f>
        <v>Clark</v>
      </c>
      <c r="B37" s="459">
        <f>'1.2 Budgeted Enrollment YR1'!B37</f>
        <v>18</v>
      </c>
      <c r="C37" s="459">
        <f>'1.2 Budgeted Enrollment YR1'!C37</f>
        <v>2</v>
      </c>
      <c r="D37" s="457" t="str">
        <f>'1.2 Budgeted Enrollment YR1'!D37</f>
        <v>Las Vegas</v>
      </c>
      <c r="E37" s="457" t="str">
        <f>'1.2 Budgeted Enrollment YR1'!E37</f>
        <v>Battle Born Academy</v>
      </c>
      <c r="F37" s="457"/>
      <c r="G37" s="220">
        <f>'1.2 Budgeted Enrollment YR1'!G37+('1.2 Budgeted Enrollment YR1'!G37*$Q$2)</f>
        <v>132.30307201336225</v>
      </c>
      <c r="H37" s="219">
        <v>56</v>
      </c>
      <c r="I37" s="220">
        <v>0</v>
      </c>
      <c r="J37" s="219">
        <v>0</v>
      </c>
      <c r="K37" s="220"/>
      <c r="L37" s="401"/>
      <c r="M37" s="38"/>
      <c r="T37" s="683" t="s">
        <v>889</v>
      </c>
      <c r="U37" s="671" t="s">
        <v>781</v>
      </c>
      <c r="V37" s="68"/>
      <c r="W37" s="68"/>
      <c r="X37" s="68"/>
      <c r="Y37" s="71"/>
    </row>
    <row r="38" spans="1:25" ht="18" thickTop="1" thickBot="1" x14ac:dyDescent="0.35">
      <c r="A38" s="457" t="str">
        <f>'1.2 Budgeted Enrollment YR1'!A38</f>
        <v>Clark</v>
      </c>
      <c r="B38" s="459">
        <f>'1.2 Budgeted Enrollment YR1'!B38</f>
        <v>18</v>
      </c>
      <c r="C38" s="459">
        <f>'1.2 Budgeted Enrollment YR1'!C38</f>
        <v>2</v>
      </c>
      <c r="D38" s="457" t="str">
        <f>'1.2 Budgeted Enrollment YR1'!D38</f>
        <v>Las Vegas</v>
      </c>
      <c r="E38" s="457" t="str">
        <f>'1.2 Budgeted Enrollment YR1'!E38</f>
        <v>Beacon Academy</v>
      </c>
      <c r="F38" s="674" t="s">
        <v>1200</v>
      </c>
      <c r="G38" s="220">
        <f>'1.2 Budgeted Enrollment YR1'!G38+('1.2 Budgeted Enrollment YR1'!G38*$Q$2)</f>
        <v>601.80991881205171</v>
      </c>
      <c r="H38" s="219">
        <v>56</v>
      </c>
      <c r="I38" s="220">
        <v>168</v>
      </c>
      <c r="J38" s="219">
        <v>0</v>
      </c>
      <c r="K38" s="220">
        <v>0</v>
      </c>
      <c r="L38" s="401"/>
      <c r="M38" s="38"/>
      <c r="T38" s="132"/>
      <c r="U38" s="143" t="s">
        <v>782</v>
      </c>
      <c r="W38" s="65"/>
    </row>
    <row r="39" spans="1:25" ht="18" thickTop="1" thickBot="1" x14ac:dyDescent="0.35">
      <c r="A39" s="457" t="str">
        <f>'1.2 Budgeted Enrollment YR1'!A39</f>
        <v>Clark</v>
      </c>
      <c r="B39" s="459">
        <f>'1.2 Budgeted Enrollment YR1'!B39</f>
        <v>18</v>
      </c>
      <c r="C39" s="459">
        <f>'1.2 Budgeted Enrollment YR1'!C39</f>
        <v>2</v>
      </c>
      <c r="D39" s="457" t="str">
        <f>'1.2 Budgeted Enrollment YR1'!D39</f>
        <v>Las Vegas</v>
      </c>
      <c r="E39" s="457" t="str">
        <f>'1.2 Budgeted Enrollment YR1'!E39</f>
        <v>Cactus Park</v>
      </c>
      <c r="F39" s="674"/>
      <c r="G39" s="220">
        <f>'1.2 Budgeted Enrollment YR1'!G39+('1.2 Budgeted Enrollment YR1'!G39*$Q$2)</f>
        <v>108.63814205394173</v>
      </c>
      <c r="H39" s="219">
        <v>22</v>
      </c>
      <c r="I39" s="220">
        <v>0</v>
      </c>
      <c r="J39" s="219">
        <v>0</v>
      </c>
      <c r="K39" s="220"/>
      <c r="L39" s="401"/>
      <c r="M39" s="38"/>
      <c r="T39" s="195"/>
      <c r="U39" s="168" t="s">
        <v>780</v>
      </c>
      <c r="W39" s="65"/>
    </row>
    <row r="40" spans="1:25" ht="18" thickTop="1" thickBot="1" x14ac:dyDescent="0.35">
      <c r="A40" s="457" t="str">
        <f>'1.2 Budgeted Enrollment YR1'!A40</f>
        <v>Carson City</v>
      </c>
      <c r="B40" s="459">
        <f>'1.2 Budgeted Enrollment YR1'!B40</f>
        <v>13</v>
      </c>
      <c r="C40" s="459">
        <f>'1.2 Budgeted Enrollment YR1'!C40</f>
        <v>13</v>
      </c>
      <c r="D40" s="457" t="str">
        <f>'1.2 Budgeted Enrollment YR1'!D40</f>
        <v>Carson City</v>
      </c>
      <c r="E40" s="457" t="str">
        <f>'1.2 Budgeted Enrollment YR1'!E40</f>
        <v>Carson Montessori</v>
      </c>
      <c r="F40" s="457" t="s">
        <v>1201</v>
      </c>
      <c r="G40" s="220">
        <f>'1.2 Budgeted Enrollment YR1'!G40+('1.2 Budgeted Enrollment YR1'!G40*$Q$2)</f>
        <v>286.5624465080453</v>
      </c>
      <c r="H40" s="219">
        <v>9</v>
      </c>
      <c r="I40" s="220">
        <v>3</v>
      </c>
      <c r="J40" s="219">
        <v>0</v>
      </c>
      <c r="K40" s="220">
        <v>0</v>
      </c>
      <c r="L40" s="401"/>
      <c r="M40" s="38"/>
      <c r="T40" s="683" t="s">
        <v>6</v>
      </c>
      <c r="U40" s="671" t="s">
        <v>783</v>
      </c>
    </row>
    <row r="41" spans="1:25" ht="18" thickTop="1" thickBot="1" x14ac:dyDescent="0.35">
      <c r="A41" s="457" t="str">
        <f>'1.2 Budgeted Enrollment YR1'!A41</f>
        <v>Clark</v>
      </c>
      <c r="B41" s="459">
        <f>'1.2 Budgeted Enrollment YR1'!B41</f>
        <v>18</v>
      </c>
      <c r="C41" s="459">
        <f>'1.2 Budgeted Enrollment YR1'!C41</f>
        <v>2</v>
      </c>
      <c r="D41" s="457" t="str">
        <f>'1.2 Budgeted Enrollment YR1'!D41</f>
        <v>Las Vegas</v>
      </c>
      <c r="E41" s="457" t="str">
        <f>'1.2 Budgeted Enrollment YR1'!E41</f>
        <v>CIVICA Nevada Career &amp; Collegiate Academy</v>
      </c>
      <c r="F41" s="457" t="s">
        <v>1202</v>
      </c>
      <c r="G41" s="220">
        <f>'1.2 Budgeted Enrollment YR1'!G41+('1.2 Budgeted Enrollment YR1'!G41*$Q$2)</f>
        <v>766.82382275741224</v>
      </c>
      <c r="H41" s="219">
        <v>241</v>
      </c>
      <c r="I41" s="220">
        <v>49</v>
      </c>
      <c r="J41" s="219">
        <v>0</v>
      </c>
      <c r="K41" s="220">
        <v>0</v>
      </c>
      <c r="L41" s="401"/>
      <c r="M41" s="38"/>
      <c r="T41" s="195"/>
      <c r="U41" s="168" t="s">
        <v>6</v>
      </c>
    </row>
    <row r="42" spans="1:25" ht="18" thickTop="1" thickBot="1" x14ac:dyDescent="0.35">
      <c r="A42" s="457" t="str">
        <f>'1.2 Budgeted Enrollment YR1'!A42</f>
        <v>Clark</v>
      </c>
      <c r="B42" s="459">
        <f>'1.2 Budgeted Enrollment YR1'!B42</f>
        <v>18</v>
      </c>
      <c r="C42" s="459">
        <f>'1.2 Budgeted Enrollment YR1'!C42</f>
        <v>2</v>
      </c>
      <c r="D42" s="457" t="str">
        <f>'1.2 Budgeted Enrollment YR1'!D42</f>
        <v>Las Vegas</v>
      </c>
      <c r="E42" s="457" t="str">
        <f>'1.2 Budgeted Enrollment YR1'!E42</f>
        <v>Coral Academy of Science Las Vegas</v>
      </c>
      <c r="F42" s="457" t="s">
        <v>1203</v>
      </c>
      <c r="G42" s="220">
        <f>'1.2 Budgeted Enrollment YR1'!G42+('1.2 Budgeted Enrollment YR1'!G42*$Q$2)</f>
        <v>5181.6526046932322</v>
      </c>
      <c r="H42" s="219">
        <v>217</v>
      </c>
      <c r="I42" s="220">
        <v>29</v>
      </c>
      <c r="J42" s="219">
        <v>23</v>
      </c>
      <c r="K42" s="220">
        <v>0</v>
      </c>
      <c r="L42" s="401"/>
      <c r="M42" s="38"/>
      <c r="T42" s="683" t="s">
        <v>7</v>
      </c>
      <c r="U42" s="671" t="s">
        <v>509</v>
      </c>
    </row>
    <row r="43" spans="1:25" ht="18" thickTop="1" thickBot="1" x14ac:dyDescent="0.35">
      <c r="A43" s="457" t="str">
        <f>'1.2 Budgeted Enrollment YR1'!A43</f>
        <v>Washoe</v>
      </c>
      <c r="B43" s="459">
        <f>'1.2 Budgeted Enrollment YR1'!B43</f>
        <v>16</v>
      </c>
      <c r="C43" s="459">
        <f>'1.2 Budgeted Enrollment YR1'!C43</f>
        <v>16</v>
      </c>
      <c r="D43" s="457" t="str">
        <f>'1.2 Budgeted Enrollment YR1'!D43</f>
        <v>Reno</v>
      </c>
      <c r="E43" s="457" t="str">
        <f>'1.2 Budgeted Enrollment YR1'!E43</f>
        <v>Coral Academy Washoe</v>
      </c>
      <c r="F43" s="457" t="s">
        <v>1204</v>
      </c>
      <c r="G43" s="220">
        <f>'1.2 Budgeted Enrollment YR1'!G43+('1.2 Budgeted Enrollment YR1'!G43*$Q$2)</f>
        <v>1764.8271374062203</v>
      </c>
      <c r="H43" s="219">
        <v>128</v>
      </c>
      <c r="I43" s="220">
        <v>42</v>
      </c>
      <c r="J43" s="219">
        <v>4</v>
      </c>
      <c r="K43" s="220">
        <v>0</v>
      </c>
      <c r="L43" s="401"/>
      <c r="M43" s="38"/>
      <c r="Q43" s="10" t="s">
        <v>964</v>
      </c>
      <c r="T43" s="132"/>
      <c r="U43" s="143" t="s">
        <v>512</v>
      </c>
    </row>
    <row r="44" spans="1:25" ht="18" thickTop="1" thickBot="1" x14ac:dyDescent="0.35">
      <c r="A44" s="457" t="str">
        <f>'1.2 Budgeted Enrollment YR1'!A44</f>
        <v>Clark</v>
      </c>
      <c r="B44" s="459">
        <f>'1.2 Budgeted Enrollment YR1'!B44</f>
        <v>2</v>
      </c>
      <c r="C44" s="459">
        <f>'1.2 Budgeted Enrollment YR1'!C44</f>
        <v>2</v>
      </c>
      <c r="D44" s="457" t="str">
        <f>'1.2 Budgeted Enrollment YR1'!D44</f>
        <v>Las Vegas</v>
      </c>
      <c r="E44" s="457" t="str">
        <f>'1.2 Budgeted Enrollment YR1'!E44</f>
        <v>Delta Academy</v>
      </c>
      <c r="F44" s="457" t="s">
        <v>1206</v>
      </c>
      <c r="G44" s="220">
        <f>'1.2 Budgeted Enrollment YR1'!G44+('1.2 Budgeted Enrollment YR1'!G44*$Q$2)</f>
        <v>1260.4243542206814</v>
      </c>
      <c r="H44" s="219">
        <v>101</v>
      </c>
      <c r="I44" s="220">
        <v>332</v>
      </c>
      <c r="J44" s="219">
        <v>0</v>
      </c>
      <c r="K44" s="220">
        <v>0</v>
      </c>
      <c r="L44" s="401"/>
      <c r="M44" s="38"/>
      <c r="T44" s="132"/>
      <c r="U44" s="143" t="s">
        <v>814</v>
      </c>
    </row>
    <row r="45" spans="1:25" ht="18" thickTop="1" thickBot="1" x14ac:dyDescent="0.35">
      <c r="A45" s="457" t="str">
        <f>'1.2 Budgeted Enrollment YR1'!A45</f>
        <v>Clark</v>
      </c>
      <c r="B45" s="459">
        <f>'1.2 Budgeted Enrollment YR1'!B45</f>
        <v>18</v>
      </c>
      <c r="C45" s="459">
        <f>'1.2 Budgeted Enrollment YR1'!C45</f>
        <v>2</v>
      </c>
      <c r="D45" s="457" t="str">
        <f>'1.2 Budgeted Enrollment YR1'!D45</f>
        <v>Las Vegas</v>
      </c>
      <c r="E45" s="457" t="str">
        <f>'1.2 Budgeted Enrollment YR1'!E45</f>
        <v>Democracy Prep</v>
      </c>
      <c r="F45" s="457" t="s">
        <v>1207</v>
      </c>
      <c r="G45" s="220">
        <f>'1.2 Budgeted Enrollment YR1'!G45+('1.2 Budgeted Enrollment YR1'!G45*$Q$2)</f>
        <v>1204.5222970981536</v>
      </c>
      <c r="H45" s="219">
        <v>108</v>
      </c>
      <c r="I45" s="220">
        <v>194</v>
      </c>
      <c r="J45" s="219">
        <v>0</v>
      </c>
      <c r="K45" s="220">
        <v>0</v>
      </c>
      <c r="L45" s="401"/>
      <c r="M45" s="38"/>
      <c r="T45" s="132"/>
      <c r="U45" s="143" t="s">
        <v>815</v>
      </c>
    </row>
    <row r="46" spans="1:25" ht="18" thickTop="1" thickBot="1" x14ac:dyDescent="0.35">
      <c r="A46" s="457" t="str">
        <f>'1.2 Budgeted Enrollment YR1'!A46</f>
        <v>Clark</v>
      </c>
      <c r="B46" s="459">
        <f>'1.2 Budgeted Enrollment YR1'!B46</f>
        <v>18</v>
      </c>
      <c r="C46" s="459">
        <f>'1.2 Budgeted Enrollment YR1'!C46</f>
        <v>2</v>
      </c>
      <c r="D46" s="457" t="str">
        <f>'1.2 Budgeted Enrollment YR1'!D46</f>
        <v>Las Vegas</v>
      </c>
      <c r="E46" s="457" t="str">
        <f>'1.2 Budgeted Enrollment YR1'!E46</f>
        <v>Discovery Charter</v>
      </c>
      <c r="F46" s="457" t="s">
        <v>1208</v>
      </c>
      <c r="G46" s="220">
        <f>'1.2 Budgeted Enrollment YR1'!G46+('1.2 Budgeted Enrollment YR1'!G46*$Q$2)</f>
        <v>492.70232395441064</v>
      </c>
      <c r="H46" s="219">
        <v>23</v>
      </c>
      <c r="I46" s="220">
        <v>9</v>
      </c>
      <c r="J46" s="219">
        <v>43</v>
      </c>
      <c r="K46" s="220">
        <v>0</v>
      </c>
      <c r="L46" s="401"/>
      <c r="M46" s="38"/>
      <c r="T46" s="132"/>
      <c r="U46" s="143" t="s">
        <v>784</v>
      </c>
    </row>
    <row r="47" spans="1:25" ht="18" thickTop="1" thickBot="1" x14ac:dyDescent="0.35">
      <c r="A47" s="457" t="str">
        <f>'1.2 Budgeted Enrollment YR1'!A47</f>
        <v>Clark</v>
      </c>
      <c r="B47" s="459">
        <f>'1.2 Budgeted Enrollment YR1'!B47</f>
        <v>18</v>
      </c>
      <c r="C47" s="459">
        <f>'1.2 Budgeted Enrollment YR1'!C47</f>
        <v>2</v>
      </c>
      <c r="D47" s="457" t="str">
        <f>'1.2 Budgeted Enrollment YR1'!D47</f>
        <v>Las Vegas</v>
      </c>
      <c r="E47" s="457" t="str">
        <f>'1.2 Budgeted Enrollment YR1'!E47</f>
        <v>Doral Academy</v>
      </c>
      <c r="F47" s="457" t="s">
        <v>1209</v>
      </c>
      <c r="G47" s="220">
        <f>'1.2 Budgeted Enrollment YR1'!G47+('1.2 Budgeted Enrollment YR1'!G47*$Q$2)</f>
        <v>6286.4164943188516</v>
      </c>
      <c r="H47" s="219">
        <v>223</v>
      </c>
      <c r="I47" s="220">
        <v>37</v>
      </c>
      <c r="J47" s="219">
        <v>337</v>
      </c>
      <c r="K47" s="220">
        <v>0</v>
      </c>
      <c r="L47" s="401"/>
      <c r="M47" s="38"/>
      <c r="T47" s="195"/>
      <c r="U47" s="168" t="s">
        <v>816</v>
      </c>
    </row>
    <row r="48" spans="1:25" ht="18" thickTop="1" thickBot="1" x14ac:dyDescent="0.35">
      <c r="A48" s="457" t="str">
        <f>'1.2 Budgeted Enrollment YR1'!A48</f>
        <v>Washoe</v>
      </c>
      <c r="B48" s="459">
        <f>'1.2 Budgeted Enrollment YR1'!B48</f>
        <v>18</v>
      </c>
      <c r="C48" s="459">
        <f>'1.2 Budgeted Enrollment YR1'!C48</f>
        <v>16</v>
      </c>
      <c r="D48" s="457" t="str">
        <f>'1.2 Budgeted Enrollment YR1'!D48</f>
        <v>Reno</v>
      </c>
      <c r="E48" s="457" t="str">
        <f>'1.2 Budgeted Enrollment YR1'!E48</f>
        <v>Doral Academy of Northern Nevada</v>
      </c>
      <c r="F48" s="457" t="s">
        <v>1210</v>
      </c>
      <c r="G48" s="220">
        <f>'1.2 Budgeted Enrollment YR1'!G48+('1.2 Budgeted Enrollment YR1'!G48*$Q$2)</f>
        <v>958.37624221890496</v>
      </c>
      <c r="H48" s="219">
        <v>2</v>
      </c>
      <c r="I48" s="220">
        <v>0</v>
      </c>
      <c r="J48" s="219">
        <v>65</v>
      </c>
      <c r="K48" s="220">
        <v>0</v>
      </c>
      <c r="L48" s="401"/>
      <c r="M48" s="38"/>
      <c r="T48" s="683" t="s">
        <v>817</v>
      </c>
      <c r="U48" s="671" t="s">
        <v>785</v>
      </c>
    </row>
    <row r="49" spans="1:21" ht="18" thickTop="1" thickBot="1" x14ac:dyDescent="0.35">
      <c r="A49" s="237" t="str">
        <f>'1.2 Budgeted Enrollment YR1'!A49</f>
        <v>Clark</v>
      </c>
      <c r="B49" s="1351">
        <f>'1.2 Budgeted Enrollment YR1'!B49</f>
        <v>18</v>
      </c>
      <c r="C49" s="1351">
        <f>'1.2 Budgeted Enrollment YR1'!C49</f>
        <v>2</v>
      </c>
      <c r="D49" s="237" t="str">
        <f>'1.2 Budgeted Enrollment YR1'!D49</f>
        <v>Las Vegas</v>
      </c>
      <c r="E49" s="237" t="str">
        <f>'1.2 Budgeted Enrollment YR1'!E49</f>
        <v>Eagle Charter School</v>
      </c>
      <c r="F49" s="237" t="s">
        <v>1211</v>
      </c>
      <c r="G49" s="318">
        <f>'1.2 Budgeted Enrollment YR1'!G49+('1.2 Budgeted Enrollment YR1'!G49*$Q$2)</f>
        <v>540.54</v>
      </c>
      <c r="H49" s="239"/>
      <c r="I49" s="318"/>
      <c r="J49" s="239"/>
      <c r="K49" s="318">
        <v>0</v>
      </c>
      <c r="L49" s="401"/>
      <c r="M49" s="1510" t="s">
        <v>1840</v>
      </c>
      <c r="N49" s="237"/>
      <c r="O49" s="237"/>
      <c r="T49" s="195"/>
      <c r="U49" s="168" t="s">
        <v>786</v>
      </c>
    </row>
    <row r="50" spans="1:21" ht="18" thickTop="1" thickBot="1" x14ac:dyDescent="0.35">
      <c r="A50" s="457" t="str">
        <f>'1.2 Budgeted Enrollment YR1'!A50</f>
        <v>Elko</v>
      </c>
      <c r="B50" s="459">
        <f>'1.2 Budgeted Enrollment YR1'!B50</f>
        <v>18</v>
      </c>
      <c r="C50" s="459">
        <f>'1.2 Budgeted Enrollment YR1'!C50</f>
        <v>4</v>
      </c>
      <c r="D50" s="457" t="str">
        <f>'1.2 Budgeted Enrollment YR1'!D50</f>
        <v>Elko</v>
      </c>
      <c r="E50" s="457" t="str">
        <f>'1.2 Budgeted Enrollment YR1'!E50</f>
        <v>Elko Institute for Academic Achievement</v>
      </c>
      <c r="F50" s="457" t="s">
        <v>1212</v>
      </c>
      <c r="G50" s="220">
        <f>'1.2 Budgeted Enrollment YR1'!G50+('1.2 Budgeted Enrollment YR1'!G50*$Q$2)</f>
        <v>197.4407703597104</v>
      </c>
      <c r="H50" s="219">
        <v>2</v>
      </c>
      <c r="I50" s="220">
        <v>5</v>
      </c>
      <c r="J50" s="219">
        <v>0</v>
      </c>
      <c r="K50" s="220">
        <v>0</v>
      </c>
      <c r="L50" s="401"/>
      <c r="M50" s="38"/>
      <c r="T50" s="683" t="s">
        <v>9</v>
      </c>
      <c r="U50" s="671" t="s">
        <v>788</v>
      </c>
    </row>
    <row r="51" spans="1:21" ht="18" thickTop="1" thickBot="1" x14ac:dyDescent="0.35">
      <c r="A51" s="457" t="str">
        <f>'1.2 Budgeted Enrollment YR1'!A51</f>
        <v>Washoe</v>
      </c>
      <c r="B51" s="459">
        <f>'1.2 Budgeted Enrollment YR1'!B51</f>
        <v>16</v>
      </c>
      <c r="C51" s="459">
        <f>'1.2 Budgeted Enrollment YR1'!C51</f>
        <v>16</v>
      </c>
      <c r="D51" s="457" t="str">
        <f>'1.2 Budgeted Enrollment YR1'!D51</f>
        <v>Reno</v>
      </c>
      <c r="E51" s="457" t="str">
        <f>'1.2 Budgeted Enrollment YR1'!E51</f>
        <v>enCompass Academy</v>
      </c>
      <c r="F51" s="457" t="s">
        <v>1213</v>
      </c>
      <c r="G51" s="220">
        <f>'1.2 Budgeted Enrollment YR1'!G51+('1.2 Budgeted Enrollment YR1'!G51*$Q$2)</f>
        <v>114.98868933024798</v>
      </c>
      <c r="H51" s="219">
        <v>6</v>
      </c>
      <c r="I51" s="220">
        <v>20</v>
      </c>
      <c r="J51" s="219">
        <v>0</v>
      </c>
      <c r="K51" s="220">
        <v>0</v>
      </c>
      <c r="L51" s="401"/>
      <c r="M51" s="38"/>
      <c r="T51" s="132"/>
      <c r="U51" s="143" t="s">
        <v>787</v>
      </c>
    </row>
    <row r="52" spans="1:21" ht="18" thickTop="1" thickBot="1" x14ac:dyDescent="0.35">
      <c r="A52" s="457" t="str">
        <f>'1.2 Budgeted Enrollment YR1'!A52</f>
        <v>Clark</v>
      </c>
      <c r="B52" s="459">
        <f>'1.2 Budgeted Enrollment YR1'!B52</f>
        <v>18</v>
      </c>
      <c r="C52" s="459">
        <f>'1.2 Budgeted Enrollment YR1'!C52</f>
        <v>2</v>
      </c>
      <c r="D52" s="457" t="str">
        <f>'1.2 Budgeted Enrollment YR1'!D52</f>
        <v>Las Vegas</v>
      </c>
      <c r="E52" s="457" t="str">
        <f>'1.2 Budgeted Enrollment YR1'!E52</f>
        <v>Equipo Academy</v>
      </c>
      <c r="F52" s="457" t="s">
        <v>1214</v>
      </c>
      <c r="G52" s="220">
        <f>'1.2 Budgeted Enrollment YR1'!G52+('1.2 Budgeted Enrollment YR1'!G52*$Q$2)</f>
        <v>799.91961948830169</v>
      </c>
      <c r="H52" s="219">
        <v>168</v>
      </c>
      <c r="I52" s="220">
        <v>29</v>
      </c>
      <c r="J52" s="219">
        <v>0</v>
      </c>
      <c r="K52" s="220">
        <v>0</v>
      </c>
      <c r="L52" s="401"/>
      <c r="M52" s="38"/>
      <c r="T52" s="132"/>
      <c r="U52" s="143" t="s">
        <v>789</v>
      </c>
    </row>
    <row r="53" spans="1:21" ht="18" thickTop="1" thickBot="1" x14ac:dyDescent="0.35">
      <c r="A53" s="457" t="str">
        <f>'1.2 Budgeted Enrollment YR1'!A53</f>
        <v>Clark</v>
      </c>
      <c r="B53" s="459">
        <f>'1.2 Budgeted Enrollment YR1'!B53</f>
        <v>18</v>
      </c>
      <c r="C53" s="459">
        <f>'1.2 Budgeted Enrollment YR1'!C53</f>
        <v>2</v>
      </c>
      <c r="D53" s="457" t="str">
        <f>'1.2 Budgeted Enrollment YR1'!D53</f>
        <v>Las Vegas</v>
      </c>
      <c r="E53" s="457" t="str">
        <f>'1.2 Budgeted Enrollment YR1'!E53</f>
        <v>Explore Academy</v>
      </c>
      <c r="F53" s="457" t="s">
        <v>1219</v>
      </c>
      <c r="G53" s="220">
        <f>'1.2 Budgeted Enrollment YR1'!G53+('1.2 Budgeted Enrollment YR1'!G53*$Q$2)</f>
        <v>275.00799010221766</v>
      </c>
      <c r="H53" s="219">
        <v>11</v>
      </c>
      <c r="I53" s="220">
        <v>2</v>
      </c>
      <c r="J53" s="219">
        <v>0</v>
      </c>
      <c r="K53" s="220">
        <v>0</v>
      </c>
      <c r="L53" s="401"/>
      <c r="M53" s="38"/>
      <c r="T53" s="195"/>
      <c r="U53" s="168" t="s">
        <v>790</v>
      </c>
    </row>
    <row r="54" spans="1:21" ht="18" thickTop="1" thickBot="1" x14ac:dyDescent="0.35">
      <c r="A54" s="457" t="str">
        <f>'1.2 Budgeted Enrollment YR1'!A54</f>
        <v>Clark</v>
      </c>
      <c r="B54" s="459">
        <f>'1.2 Budgeted Enrollment YR1'!B54</f>
        <v>2</v>
      </c>
      <c r="C54" s="459">
        <f>'1.2 Budgeted Enrollment YR1'!C54</f>
        <v>2</v>
      </c>
      <c r="D54" s="457" t="str">
        <f>'1.2 Budgeted Enrollment YR1'!D54</f>
        <v>Las Vegas</v>
      </c>
      <c r="E54" s="457" t="str">
        <f>'1.2 Budgeted Enrollment YR1'!E54</f>
        <v>Explore Knowledge Academy</v>
      </c>
      <c r="F54" s="457" t="s">
        <v>1215</v>
      </c>
      <c r="G54" s="220">
        <f>'1.2 Budgeted Enrollment YR1'!G54+('1.2 Budgeted Enrollment YR1'!G54*$Q$2)</f>
        <v>672.490310086195</v>
      </c>
      <c r="H54" s="219">
        <v>59</v>
      </c>
      <c r="I54" s="220">
        <v>44</v>
      </c>
      <c r="J54" s="219">
        <v>0</v>
      </c>
      <c r="K54" s="220">
        <v>0</v>
      </c>
      <c r="L54" s="401"/>
      <c r="M54" s="38"/>
      <c r="T54" s="683" t="s">
        <v>10</v>
      </c>
      <c r="U54" s="671" t="s">
        <v>792</v>
      </c>
    </row>
    <row r="55" spans="1:21" ht="18" thickTop="1" thickBot="1" x14ac:dyDescent="0.35">
      <c r="A55" s="457" t="str">
        <f>'1.2 Budgeted Enrollment YR1'!A55</f>
        <v>Clark</v>
      </c>
      <c r="B55" s="459">
        <f>'1.2 Budgeted Enrollment YR1'!B55</f>
        <v>18</v>
      </c>
      <c r="C55" s="459">
        <f>'1.2 Budgeted Enrollment YR1'!C55</f>
        <v>2</v>
      </c>
      <c r="D55" s="457" t="str">
        <f>'1.2 Budgeted Enrollment YR1'!D55</f>
        <v>Las Vegas</v>
      </c>
      <c r="E55" s="457" t="str">
        <f>'1.2 Budgeted Enrollment YR1'!E55</f>
        <v>Founders Academy of Las Vegas</v>
      </c>
      <c r="F55" s="457" t="s">
        <v>1218</v>
      </c>
      <c r="G55" s="220">
        <f>'1.2 Budgeted Enrollment YR1'!G55+('1.2 Budgeted Enrollment YR1'!G55*$Q$2)</f>
        <v>943.25732389413508</v>
      </c>
      <c r="H55" s="219">
        <v>57</v>
      </c>
      <c r="I55" s="220">
        <v>23</v>
      </c>
      <c r="J55" s="219">
        <v>0</v>
      </c>
      <c r="K55" s="220">
        <v>0</v>
      </c>
      <c r="L55" s="401"/>
      <c r="M55" s="38"/>
      <c r="T55" s="132"/>
      <c r="U55" s="143" t="s">
        <v>791</v>
      </c>
    </row>
    <row r="56" spans="1:21" ht="18" thickTop="1" thickBot="1" x14ac:dyDescent="0.35">
      <c r="A56" s="457" t="str">
        <f>'1.2 Budgeted Enrollment YR1'!A56</f>
        <v>Clark</v>
      </c>
      <c r="B56" s="459">
        <f>'1.2 Budgeted Enrollment YR1'!B56</f>
        <v>18</v>
      </c>
      <c r="C56" s="459">
        <f>'1.2 Budgeted Enrollment YR1'!C56</f>
        <v>2</v>
      </c>
      <c r="D56" s="457" t="str">
        <f>'1.2 Budgeted Enrollment YR1'!D56</f>
        <v>Las Vegas</v>
      </c>
      <c r="E56" s="457" t="str">
        <f>'1.2 Budgeted Enrollment YR1'!E56</f>
        <v>Freedom Classical Academy</v>
      </c>
      <c r="F56" s="457" t="s">
        <v>1217</v>
      </c>
      <c r="G56" s="220">
        <f>'1.2 Budgeted Enrollment YR1'!G56+('1.2 Budgeted Enrollment YR1'!G56*$Q$2)</f>
        <v>1045.9981866482556</v>
      </c>
      <c r="H56" s="219">
        <v>83</v>
      </c>
      <c r="I56" s="220">
        <v>48</v>
      </c>
      <c r="J56" s="219">
        <v>0</v>
      </c>
      <c r="K56" s="220">
        <v>0</v>
      </c>
      <c r="L56" s="401"/>
      <c r="M56" s="38"/>
      <c r="T56" s="132"/>
      <c r="U56" s="143" t="s">
        <v>793</v>
      </c>
    </row>
    <row r="57" spans="1:21" ht="18" thickTop="1" thickBot="1" x14ac:dyDescent="0.35">
      <c r="A57" s="457" t="str">
        <f>'1.2 Budgeted Enrollment YR1'!A57</f>
        <v>Clark</v>
      </c>
      <c r="B57" s="459">
        <f>'1.2 Budgeted Enrollment YR1'!B57</f>
        <v>18</v>
      </c>
      <c r="C57" s="459">
        <f>'1.2 Budgeted Enrollment YR1'!C57</f>
        <v>2</v>
      </c>
      <c r="D57" s="457" t="str">
        <f>'1.2 Budgeted Enrollment YR1'!D57</f>
        <v>Las Vegas</v>
      </c>
      <c r="E57" s="457" t="str">
        <f>'1.2 Budgeted Enrollment YR1'!E57</f>
        <v>Futuro Academy Elementary</v>
      </c>
      <c r="F57" s="457" t="s">
        <v>1216</v>
      </c>
      <c r="G57" s="220">
        <f>'1.2 Budgeted Enrollment YR1'!G57+('1.2 Budgeted Enrollment YR1'!G57*$Q$2)</f>
        <v>464.17096223843089</v>
      </c>
      <c r="H57" s="219">
        <v>188</v>
      </c>
      <c r="I57" s="220">
        <v>40</v>
      </c>
      <c r="J57" s="219">
        <v>0</v>
      </c>
      <c r="K57" s="220">
        <v>0</v>
      </c>
      <c r="L57" s="401"/>
      <c r="M57" s="38"/>
      <c r="T57" s="132"/>
      <c r="U57" s="143" t="s">
        <v>818</v>
      </c>
    </row>
    <row r="58" spans="1:21" ht="18" thickTop="1" thickBot="1" x14ac:dyDescent="0.35">
      <c r="A58" s="1504" t="str">
        <f>'1.2 Budgeted Enrollment YR1'!A58</f>
        <v>Clark</v>
      </c>
      <c r="B58" s="1509">
        <f>'1.2 Budgeted Enrollment YR1'!B58</f>
        <v>18</v>
      </c>
      <c r="C58" s="1509">
        <f>'1.2 Budgeted Enrollment YR1'!C58</f>
        <v>2</v>
      </c>
      <c r="D58" s="1504" t="str">
        <f>'1.2 Budgeted Enrollment YR1'!D58</f>
        <v>Las Vegas</v>
      </c>
      <c r="E58" s="1504" t="str">
        <f>'1.2 Budgeted Enrollment YR1'!E58</f>
        <v>Girls Athletic Leadership Schools</v>
      </c>
      <c r="F58" s="1504" t="s">
        <v>1220</v>
      </c>
      <c r="G58" s="1507">
        <f>'1.2 Budgeted Enrollment YR1'!G58+('1.2 Budgeted Enrollment YR1'!G58*$Q$2)</f>
        <v>0</v>
      </c>
      <c r="H58" s="1506">
        <f>16-16</f>
        <v>0</v>
      </c>
      <c r="I58" s="1507">
        <f>19-19</f>
        <v>0</v>
      </c>
      <c r="J58" s="1506">
        <v>0</v>
      </c>
      <c r="K58" s="1507">
        <v>0</v>
      </c>
      <c r="L58" s="401"/>
      <c r="M58" s="1504" t="s">
        <v>1842</v>
      </c>
      <c r="N58" s="1504"/>
      <c r="O58" s="1504"/>
      <c r="P58" s="1504"/>
      <c r="Q58" s="1504"/>
      <c r="T58" s="195"/>
      <c r="U58" s="168" t="s">
        <v>794</v>
      </c>
    </row>
    <row r="59" spans="1:21" ht="18" thickTop="1" thickBot="1" x14ac:dyDescent="0.35">
      <c r="A59" s="457" t="str">
        <f>'1.2 Budgeted Enrollment YR1'!A59</f>
        <v>Washoe</v>
      </c>
      <c r="B59" s="459">
        <f>'1.2 Budgeted Enrollment YR1'!B59</f>
        <v>16</v>
      </c>
      <c r="C59" s="459">
        <f>'1.2 Budgeted Enrollment YR1'!C59</f>
        <v>16</v>
      </c>
      <c r="D59" s="457" t="str">
        <f>'1.2 Budgeted Enrollment YR1'!D59</f>
        <v>Reno</v>
      </c>
      <c r="E59" s="457" t="str">
        <f>'1.2 Budgeted Enrollment YR1'!E59</f>
        <v>High Desert Montessori</v>
      </c>
      <c r="F59" s="457" t="s">
        <v>1221</v>
      </c>
      <c r="G59" s="220">
        <f>'1.2 Budgeted Enrollment YR1'!G59+('1.2 Budgeted Enrollment YR1'!G59*$Q$2)</f>
        <v>392.72260172975848</v>
      </c>
      <c r="H59" s="219">
        <v>24</v>
      </c>
      <c r="I59" s="220">
        <v>11</v>
      </c>
      <c r="J59" s="219">
        <v>0</v>
      </c>
      <c r="K59" s="220">
        <v>0</v>
      </c>
      <c r="L59" s="401"/>
      <c r="M59" s="38"/>
      <c r="T59" s="683" t="s">
        <v>11</v>
      </c>
      <c r="U59" s="671" t="s">
        <v>795</v>
      </c>
    </row>
    <row r="60" spans="1:21" ht="18" thickTop="1" thickBot="1" x14ac:dyDescent="0.35">
      <c r="A60" s="457" t="str">
        <f>'1.2 Budgeted Enrollment YR1'!A60</f>
        <v>Washoe</v>
      </c>
      <c r="B60" s="459">
        <f>'1.2 Budgeted Enrollment YR1'!B60</f>
        <v>18</v>
      </c>
      <c r="C60" s="459">
        <f>'1.2 Budgeted Enrollment YR1'!C60</f>
        <v>16</v>
      </c>
      <c r="D60" s="457" t="str">
        <f>'1.2 Budgeted Enrollment YR1'!D60</f>
        <v>Reno</v>
      </c>
      <c r="E60" s="457" t="str">
        <f>'1.2 Budgeted Enrollment YR1'!E60</f>
        <v>Honors Academy of Literature</v>
      </c>
      <c r="F60" s="457" t="s">
        <v>1222</v>
      </c>
      <c r="G60" s="220">
        <f>'1.2 Budgeted Enrollment YR1'!G60+('1.2 Budgeted Enrollment YR1'!G60*$Q$2)</f>
        <v>216.78092314626417</v>
      </c>
      <c r="H60" s="219">
        <v>4</v>
      </c>
      <c r="I60" s="220">
        <v>3</v>
      </c>
      <c r="J60" s="219">
        <v>0</v>
      </c>
      <c r="K60" s="220">
        <v>0</v>
      </c>
      <c r="L60" s="401"/>
      <c r="M60" s="38"/>
      <c r="T60" s="195"/>
      <c r="U60" s="168" t="s">
        <v>819</v>
      </c>
    </row>
    <row r="61" spans="1:21" ht="18" thickTop="1" thickBot="1" x14ac:dyDescent="0.35">
      <c r="A61" s="457" t="str">
        <f>'1.2 Budgeted Enrollment YR1'!A61</f>
        <v>Clark</v>
      </c>
      <c r="B61" s="459">
        <f>'1.2 Budgeted Enrollment YR1'!B61</f>
        <v>18</v>
      </c>
      <c r="C61" s="459">
        <f>'1.2 Budgeted Enrollment YR1'!C61</f>
        <v>2</v>
      </c>
      <c r="D61" s="457" t="str">
        <f>'1.2 Budgeted Enrollment YR1'!D61</f>
        <v>Las Vegas</v>
      </c>
      <c r="E61" s="457" t="str">
        <f>'1.2 Budgeted Enrollment YR1'!E61</f>
        <v>Imagine School Mountain View</v>
      </c>
      <c r="F61" s="457" t="s">
        <v>1223</v>
      </c>
      <c r="G61" s="220">
        <f>'1.2 Budgeted Enrollment YR1'!G61+('1.2 Budgeted Enrollment YR1'!G61*$Q$2)</f>
        <v>672.04958495599931</v>
      </c>
      <c r="H61" s="219">
        <v>70</v>
      </c>
      <c r="I61" s="220">
        <v>2</v>
      </c>
      <c r="J61" s="219">
        <v>0</v>
      </c>
      <c r="K61" s="220">
        <v>0</v>
      </c>
      <c r="L61" s="401"/>
      <c r="M61" s="38"/>
      <c r="T61" s="683" t="s">
        <v>12</v>
      </c>
      <c r="U61" s="671" t="s">
        <v>796</v>
      </c>
    </row>
    <row r="62" spans="1:21" ht="18" thickTop="1" thickBot="1" x14ac:dyDescent="0.35">
      <c r="A62" s="457" t="str">
        <f>'1.2 Budgeted Enrollment YR1'!A62</f>
        <v>Clark</v>
      </c>
      <c r="B62" s="459">
        <f>'1.2 Budgeted Enrollment YR1'!B62</f>
        <v>2</v>
      </c>
      <c r="C62" s="459">
        <f>'1.2 Budgeted Enrollment YR1'!C62</f>
        <v>2</v>
      </c>
      <c r="D62" s="457" t="str">
        <f>'1.2 Budgeted Enrollment YR1'!D62</f>
        <v>Las Vegas</v>
      </c>
      <c r="E62" s="457" t="str">
        <f>'1.2 Budgeted Enrollment YR1'!E62</f>
        <v>Innovations Int'l Charter</v>
      </c>
      <c r="F62" s="457" t="s">
        <v>1224</v>
      </c>
      <c r="G62" s="220">
        <f>'1.2 Budgeted Enrollment YR1'!G62+('1.2 Budgeted Enrollment YR1'!G62*$Q$2)</f>
        <v>737.8298019390819</v>
      </c>
      <c r="H62" s="219">
        <v>189</v>
      </c>
      <c r="I62" s="220">
        <v>175</v>
      </c>
      <c r="J62" s="219">
        <v>0</v>
      </c>
      <c r="K62" s="220">
        <v>0</v>
      </c>
      <c r="L62" s="401"/>
      <c r="M62" s="38"/>
      <c r="T62" s="132"/>
      <c r="U62" s="143" t="s">
        <v>797</v>
      </c>
    </row>
    <row r="63" spans="1:21" ht="18" thickTop="1" thickBot="1" x14ac:dyDescent="0.35">
      <c r="A63" s="457" t="str">
        <f>'1.2 Budgeted Enrollment YR1'!A63</f>
        <v>Clark</v>
      </c>
      <c r="B63" s="459">
        <f>'1.2 Budgeted Enrollment YR1'!B63</f>
        <v>18</v>
      </c>
      <c r="C63" s="459">
        <f>'1.2 Budgeted Enrollment YR1'!C63</f>
        <v>2</v>
      </c>
      <c r="D63" s="457" t="str">
        <f>'1.2 Budgeted Enrollment YR1'!D63</f>
        <v>Las Vegas</v>
      </c>
      <c r="E63" s="457" t="str">
        <f>'1.2 Budgeted Enrollment YR1'!E63</f>
        <v>Leadership Academy of Nevada</v>
      </c>
      <c r="F63" s="457" t="s">
        <v>1225</v>
      </c>
      <c r="G63" s="220">
        <f>'1.2 Budgeted Enrollment YR1'!G63+('1.2 Budgeted Enrollment YR1'!G63*$Q$2)</f>
        <v>267.90731642854911</v>
      </c>
      <c r="H63" s="219">
        <v>1</v>
      </c>
      <c r="I63" s="220">
        <v>15</v>
      </c>
      <c r="J63" s="219">
        <v>0</v>
      </c>
      <c r="K63" s="220">
        <v>267.90731642854911</v>
      </c>
      <c r="L63" s="401"/>
      <c r="M63" s="38"/>
      <c r="T63" s="132"/>
      <c r="U63" s="143" t="s">
        <v>798</v>
      </c>
    </row>
    <row r="64" spans="1:21" ht="18" thickTop="1" thickBot="1" x14ac:dyDescent="0.35">
      <c r="A64" s="457" t="str">
        <f>'1.2 Budgeted Enrollment YR1'!A64</f>
        <v>White Pine</v>
      </c>
      <c r="B64" s="459">
        <f>'1.2 Budgeted Enrollment YR1'!B64</f>
        <v>18</v>
      </c>
      <c r="C64" s="459">
        <f>'1.2 Budgeted Enrollment YR1'!C64</f>
        <v>17</v>
      </c>
      <c r="D64" s="457" t="str">
        <f>'1.2 Budgeted Enrollment YR1'!D64</f>
        <v>Ely</v>
      </c>
      <c r="E64" s="457" t="str">
        <f>'1.2 Budgeted Enrollment YR1'!E64</f>
        <v>Learning Bridge</v>
      </c>
      <c r="F64" s="457" t="s">
        <v>1226</v>
      </c>
      <c r="G64" s="220">
        <f>'1.2 Budgeted Enrollment YR1'!G64+('1.2 Budgeted Enrollment YR1'!G64*$Q$2)</f>
        <v>175.37345354755249</v>
      </c>
      <c r="H64" s="219">
        <v>2</v>
      </c>
      <c r="I64" s="220">
        <v>0</v>
      </c>
      <c r="J64" s="219">
        <v>0</v>
      </c>
      <c r="K64" s="220">
        <v>0</v>
      </c>
      <c r="L64" s="401"/>
      <c r="M64" s="38"/>
      <c r="T64" s="132"/>
      <c r="U64" s="143" t="s">
        <v>800</v>
      </c>
    </row>
    <row r="65" spans="1:21" ht="18" thickTop="1" thickBot="1" x14ac:dyDescent="0.35">
      <c r="A65" s="457" t="str">
        <f>'1.2 Budgeted Enrollment YR1'!A65</f>
        <v>Clark</v>
      </c>
      <c r="B65" s="459">
        <f>'1.2 Budgeted Enrollment YR1'!B65</f>
        <v>18</v>
      </c>
      <c r="C65" s="459">
        <f>'1.2 Budgeted Enrollment YR1'!C65</f>
        <v>2</v>
      </c>
      <c r="D65" s="457" t="str">
        <f>'1.2 Budgeted Enrollment YR1'!D65</f>
        <v>Las Vegas</v>
      </c>
      <c r="E65" s="457" t="str">
        <f>'1.2 Budgeted Enrollment YR1'!E65</f>
        <v>Legacy Traditional Schools</v>
      </c>
      <c r="F65" s="457" t="s">
        <v>1227</v>
      </c>
      <c r="G65" s="220">
        <f>'1.2 Budgeted Enrollment YR1'!G65+('1.2 Budgeted Enrollment YR1'!G65*$Q$2)</f>
        <v>4018.3786872551959</v>
      </c>
      <c r="H65" s="219">
        <v>264</v>
      </c>
      <c r="I65" s="220">
        <v>158</v>
      </c>
      <c r="J65" s="219">
        <v>179</v>
      </c>
      <c r="K65" s="220">
        <v>0</v>
      </c>
      <c r="L65" s="401"/>
      <c r="M65" s="38"/>
      <c r="T65" s="212"/>
      <c r="U65" s="684" t="s">
        <v>799</v>
      </c>
    </row>
    <row r="66" spans="1:21" ht="18" thickTop="1" thickBot="1" x14ac:dyDescent="0.35">
      <c r="A66" s="457" t="str">
        <f>'1.2 Budgeted Enrollment YR1'!A66</f>
        <v>Washoe</v>
      </c>
      <c r="B66" s="459">
        <f>'1.2 Budgeted Enrollment YR1'!B66</f>
        <v>16</v>
      </c>
      <c r="C66" s="459">
        <f>'1.2 Budgeted Enrollment YR1'!C66</f>
        <v>16</v>
      </c>
      <c r="D66" s="457" t="str">
        <f>'1.2 Budgeted Enrollment YR1'!D66</f>
        <v>Reno</v>
      </c>
      <c r="E66" s="457" t="str">
        <f>'1.2 Budgeted Enrollment YR1'!E66</f>
        <v>Mariposa Dual Language Academy</v>
      </c>
      <c r="F66" s="457" t="s">
        <v>1230</v>
      </c>
      <c r="G66" s="220">
        <f>'1.2 Budgeted Enrollment YR1'!G66+('1.2 Budgeted Enrollment YR1'!G66*$Q$2)</f>
        <v>160.32246760830301</v>
      </c>
      <c r="H66" s="219">
        <v>35</v>
      </c>
      <c r="I66" s="220">
        <v>1</v>
      </c>
      <c r="J66" s="219">
        <v>0</v>
      </c>
      <c r="K66" s="220">
        <v>0</v>
      </c>
      <c r="L66" s="401"/>
      <c r="M66" s="38"/>
      <c r="T66" s="132"/>
      <c r="U66" s="143" t="s">
        <v>801</v>
      </c>
    </row>
    <row r="67" spans="1:21" ht="18" thickTop="1" thickBot="1" x14ac:dyDescent="0.35">
      <c r="A67" s="457" t="str">
        <f>'1.2 Budgeted Enrollment YR1'!A67</f>
        <v>Clark</v>
      </c>
      <c r="B67" s="459">
        <f>'1.2 Budgeted Enrollment YR1'!B67</f>
        <v>18</v>
      </c>
      <c r="C67" s="459">
        <f>'1.2 Budgeted Enrollment YR1'!C67</f>
        <v>2</v>
      </c>
      <c r="D67" s="457" t="str">
        <f>'1.2 Budgeted Enrollment YR1'!D67</f>
        <v>Las Vegas</v>
      </c>
      <c r="E67" s="457" t="str">
        <f>'1.2 Budgeted Enrollment YR1'!E67</f>
        <v>Mater Academy</v>
      </c>
      <c r="F67" s="457" t="s">
        <v>1231</v>
      </c>
      <c r="G67" s="220">
        <f>'1.2 Budgeted Enrollment YR1'!G67+('1.2 Budgeted Enrollment YR1'!G67*$Q$2)</f>
        <v>3961.4054733841613</v>
      </c>
      <c r="H67" s="219">
        <v>1373</v>
      </c>
      <c r="I67" s="220">
        <v>45</v>
      </c>
      <c r="J67" s="219">
        <v>0</v>
      </c>
      <c r="K67" s="220">
        <v>0</v>
      </c>
      <c r="L67" s="401"/>
      <c r="M67" s="38"/>
      <c r="T67" s="195"/>
      <c r="U67" s="168" t="s">
        <v>802</v>
      </c>
    </row>
    <row r="68" spans="1:21" ht="18" thickTop="1" thickBot="1" x14ac:dyDescent="0.35">
      <c r="A68" s="457" t="str">
        <f>'1.2 Budgeted Enrollment YR1'!A68</f>
        <v>Washoe</v>
      </c>
      <c r="B68" s="459">
        <f>'1.2 Budgeted Enrollment YR1'!B68</f>
        <v>18</v>
      </c>
      <c r="C68" s="459">
        <f>'1.2 Budgeted Enrollment YR1'!C68</f>
        <v>2</v>
      </c>
      <c r="D68" s="457" t="str">
        <f>'1.2 Budgeted Enrollment YR1'!D68</f>
        <v>Reno</v>
      </c>
      <c r="E68" s="457" t="str">
        <f>'1.2 Budgeted Enrollment YR1'!E68</f>
        <v>Mater Academy of Northern Nevada</v>
      </c>
      <c r="F68" s="457" t="s">
        <v>1232</v>
      </c>
      <c r="G68" s="220">
        <f>'1.2 Budgeted Enrollment YR1'!G68+('1.2 Budgeted Enrollment YR1'!G68*$Q$2)</f>
        <v>491.96676270841391</v>
      </c>
      <c r="H68" s="219">
        <v>152</v>
      </c>
      <c r="I68" s="220">
        <v>4</v>
      </c>
      <c r="J68" s="219">
        <v>0</v>
      </c>
      <c r="K68" s="220">
        <v>0</v>
      </c>
      <c r="L68" s="401"/>
      <c r="M68" s="38"/>
      <c r="T68" s="683" t="s">
        <v>820</v>
      </c>
      <c r="U68" s="671" t="s">
        <v>803</v>
      </c>
    </row>
    <row r="69" spans="1:21" ht="18" thickTop="1" thickBot="1" x14ac:dyDescent="0.35">
      <c r="A69" s="457" t="str">
        <f>'1.2 Budgeted Enrollment YR1'!A69</f>
        <v>Washoe</v>
      </c>
      <c r="B69" s="459">
        <f>'1.2 Budgeted Enrollment YR1'!B69</f>
        <v>18</v>
      </c>
      <c r="C69" s="459">
        <f>'1.2 Budgeted Enrollment YR1'!C69</f>
        <v>16</v>
      </c>
      <c r="D69" s="457" t="str">
        <f>'1.2 Budgeted Enrollment YR1'!D69</f>
        <v>Reno</v>
      </c>
      <c r="E69" s="457" t="str">
        <f>'1.2 Budgeted Enrollment YR1'!E69</f>
        <v>Nevada Connections Academy</v>
      </c>
      <c r="F69" s="457" t="s">
        <v>1233</v>
      </c>
      <c r="G69" s="220">
        <f>'1.2 Budgeted Enrollment YR1'!G69+('1.2 Budgeted Enrollment YR1'!G69*$Q$2)</f>
        <v>1067.0069745922351</v>
      </c>
      <c r="H69" s="219">
        <v>24</v>
      </c>
      <c r="I69" s="220">
        <v>28</v>
      </c>
      <c r="J69" s="219">
        <v>0</v>
      </c>
      <c r="K69" s="220">
        <v>1067.0069745922351</v>
      </c>
      <c r="L69" s="401"/>
      <c r="M69" s="38"/>
      <c r="T69" s="195"/>
      <c r="U69" s="168" t="s">
        <v>804</v>
      </c>
    </row>
    <row r="70" spans="1:21" ht="18" thickTop="1" thickBot="1" x14ac:dyDescent="0.35">
      <c r="A70" s="457" t="str">
        <f>'1.2 Budgeted Enrollment YR1'!A70</f>
        <v>Clark</v>
      </c>
      <c r="B70" s="459">
        <f>'1.2 Budgeted Enrollment YR1'!B70</f>
        <v>18</v>
      </c>
      <c r="C70" s="459">
        <f>'1.2 Budgeted Enrollment YR1'!C70</f>
        <v>2</v>
      </c>
      <c r="D70" s="457" t="str">
        <f>'1.2 Budgeted Enrollment YR1'!D70</f>
        <v>Las Vegas</v>
      </c>
      <c r="E70" s="457" t="str">
        <f>'1.2 Budgeted Enrollment YR1'!E70</f>
        <v>Nevada Prep</v>
      </c>
      <c r="F70" s="457" t="s">
        <v>1234</v>
      </c>
      <c r="G70" s="220">
        <f>'1.2 Budgeted Enrollment YR1'!G70+('1.2 Budgeted Enrollment YR1'!G70*$Q$2)</f>
        <v>281.61777384713741</v>
      </c>
      <c r="H70" s="219">
        <v>68</v>
      </c>
      <c r="I70" s="220">
        <v>12</v>
      </c>
      <c r="J70" s="219">
        <v>0</v>
      </c>
      <c r="K70" s="220">
        <v>0</v>
      </c>
      <c r="L70" s="401"/>
      <c r="M70" s="38"/>
      <c r="T70" s="683" t="s">
        <v>15</v>
      </c>
      <c r="U70" s="671" t="s">
        <v>805</v>
      </c>
    </row>
    <row r="71" spans="1:21" ht="18" thickTop="1" thickBot="1" x14ac:dyDescent="0.35">
      <c r="A71" s="457" t="str">
        <f>'1.2 Budgeted Enrollment YR1'!A71</f>
        <v>Clark</v>
      </c>
      <c r="B71" s="459">
        <f>'1.2 Budgeted Enrollment YR1'!B71</f>
        <v>18</v>
      </c>
      <c r="C71" s="459">
        <f>'1.2 Budgeted Enrollment YR1'!C71</f>
        <v>2</v>
      </c>
      <c r="D71" s="457" t="str">
        <f>'1.2 Budgeted Enrollment YR1'!D71</f>
        <v>Las Vegas</v>
      </c>
      <c r="E71" s="457" t="str">
        <f>'1.2 Budgeted Enrollment YR1'!E71</f>
        <v xml:space="preserve">Nevada Rise </v>
      </c>
      <c r="F71" s="457" t="s">
        <v>1234</v>
      </c>
      <c r="G71" s="220">
        <f>'1.2 Budgeted Enrollment YR1'!G71+('1.2 Budgeted Enrollment YR1'!G71*$Q$2)</f>
        <v>458.36661953837051</v>
      </c>
      <c r="H71" s="219">
        <v>73</v>
      </c>
      <c r="I71" s="220">
        <v>67</v>
      </c>
      <c r="J71" s="219">
        <v>0</v>
      </c>
      <c r="K71" s="220">
        <v>0</v>
      </c>
      <c r="L71" s="401"/>
      <c r="M71" s="38"/>
      <c r="T71" s="195"/>
      <c r="U71" s="168" t="s">
        <v>806</v>
      </c>
    </row>
    <row r="72" spans="1:21" ht="18" thickTop="1" thickBot="1" x14ac:dyDescent="0.35">
      <c r="A72" s="457" t="str">
        <f>'1.2 Budgeted Enrollment YR1'!A72</f>
        <v>Clark</v>
      </c>
      <c r="B72" s="459">
        <f>'1.2 Budgeted Enrollment YR1'!B72</f>
        <v>18</v>
      </c>
      <c r="C72" s="459">
        <f>'1.2 Budgeted Enrollment YR1'!C72</f>
        <v>2</v>
      </c>
      <c r="D72" s="457" t="str">
        <f>'1.2 Budgeted Enrollment YR1'!D72</f>
        <v>Las Vegas</v>
      </c>
      <c r="E72" s="457" t="str">
        <f>'1.2 Budgeted Enrollment YR1'!E72</f>
        <v>Nevada State High School</v>
      </c>
      <c r="F72" s="457" t="s">
        <v>1236</v>
      </c>
      <c r="G72" s="220">
        <f>'1.2 Budgeted Enrollment YR1'!G72+('1.2 Budgeted Enrollment YR1'!G72*$Q$2)</f>
        <v>984.30035161182957</v>
      </c>
      <c r="H72" s="219">
        <v>44</v>
      </c>
      <c r="I72" s="220">
        <v>1</v>
      </c>
      <c r="J72" s="219">
        <v>0</v>
      </c>
      <c r="K72" s="220">
        <v>0</v>
      </c>
      <c r="L72" s="401"/>
      <c r="M72" s="38"/>
      <c r="T72" s="683" t="s">
        <v>16</v>
      </c>
      <c r="U72" s="671" t="s">
        <v>821</v>
      </c>
    </row>
    <row r="73" spans="1:21" ht="18" thickTop="1" thickBot="1" x14ac:dyDescent="0.35">
      <c r="A73" s="457" t="str">
        <f>'1.2 Budgeted Enrollment YR1'!A73</f>
        <v>Washoe</v>
      </c>
      <c r="B73" s="459">
        <f>'1.2 Budgeted Enrollment YR1'!B73</f>
        <v>18</v>
      </c>
      <c r="C73" s="459">
        <f>'1.2 Budgeted Enrollment YR1'!C73</f>
        <v>2</v>
      </c>
      <c r="D73" s="457" t="str">
        <f>'1.2 Budgeted Enrollment YR1'!D73</f>
        <v>Reno</v>
      </c>
      <c r="E73" s="457" t="str">
        <f>'1.2 Budgeted Enrollment YR1'!E73</f>
        <v>Nevada State High School-Meadowwood</v>
      </c>
      <c r="F73" s="457" t="s">
        <v>1235</v>
      </c>
      <c r="G73" s="220">
        <f>'1.2 Budgeted Enrollment YR1'!G73+('1.2 Budgeted Enrollment YR1'!G73*$Q$2)</f>
        <v>31.853232783121751</v>
      </c>
      <c r="H73" s="219">
        <v>0</v>
      </c>
      <c r="I73" s="220">
        <v>0</v>
      </c>
      <c r="J73" s="219">
        <v>0</v>
      </c>
      <c r="K73" s="220">
        <v>0</v>
      </c>
      <c r="L73" s="401"/>
      <c r="M73" s="38"/>
      <c r="T73" s="132"/>
      <c r="U73" s="143" t="s">
        <v>822</v>
      </c>
    </row>
    <row r="74" spans="1:21" ht="18" thickTop="1" thickBot="1" x14ac:dyDescent="0.35">
      <c r="A74" s="457" t="str">
        <f>'1.2 Budgeted Enrollment YR1'!A74</f>
        <v>Clark</v>
      </c>
      <c r="B74" s="459">
        <f>'1.2 Budgeted Enrollment YR1'!B74</f>
        <v>18</v>
      </c>
      <c r="C74" s="459">
        <f>'1.2 Budgeted Enrollment YR1'!C74</f>
        <v>2</v>
      </c>
      <c r="D74" s="457" t="str">
        <f>'1.2 Budgeted Enrollment YR1'!D74</f>
        <v>Las Vegas</v>
      </c>
      <c r="E74" s="457" t="str">
        <f>'1.2 Budgeted Enrollment YR1'!E74</f>
        <v>Nevada Virtual Academy</v>
      </c>
      <c r="F74" s="457" t="s">
        <v>1237</v>
      </c>
      <c r="G74" s="220">
        <f>'1.2 Budgeted Enrollment YR1'!G74+('1.2 Budgeted Enrollment YR1'!G74*$Q$2)</f>
        <v>2160.5541598280038</v>
      </c>
      <c r="H74" s="219">
        <v>84</v>
      </c>
      <c r="I74" s="220">
        <v>160</v>
      </c>
      <c r="J74" s="219">
        <v>0</v>
      </c>
      <c r="K74" s="220">
        <v>2160.5541598280038</v>
      </c>
      <c r="L74" s="401"/>
      <c r="M74" s="38"/>
      <c r="T74" s="132"/>
      <c r="U74" s="143" t="s">
        <v>841</v>
      </c>
    </row>
    <row r="75" spans="1:21" ht="18" thickTop="1" thickBot="1" x14ac:dyDescent="0.35">
      <c r="A75" s="457" t="str">
        <f>'1.2 Budgeted Enrollment YR1'!A75</f>
        <v>Churchill</v>
      </c>
      <c r="B75" s="459">
        <f>'1.2 Budgeted Enrollment YR1'!B75</f>
        <v>18</v>
      </c>
      <c r="C75" s="459">
        <f>'1.2 Budgeted Enrollment YR1'!C75</f>
        <v>1</v>
      </c>
      <c r="D75" s="457" t="str">
        <f>'1.2 Budgeted Enrollment YR1'!D75</f>
        <v>Fallon</v>
      </c>
      <c r="E75" s="457" t="str">
        <f>'1.2 Budgeted Enrollment YR1'!E75</f>
        <v>Oasis Academy</v>
      </c>
      <c r="F75" s="457" t="s">
        <v>1238</v>
      </c>
      <c r="G75" s="220">
        <f>'1.2 Budgeted Enrollment YR1'!G75+('1.2 Budgeted Enrollment YR1'!G75*$Q$2)</f>
        <v>734.93884731429671</v>
      </c>
      <c r="H75" s="219">
        <v>28</v>
      </c>
      <c r="I75" s="220">
        <v>3</v>
      </c>
      <c r="J75" s="219">
        <v>0</v>
      </c>
      <c r="K75" s="220">
        <v>0</v>
      </c>
      <c r="L75" s="401"/>
      <c r="M75" s="38"/>
      <c r="T75" s="132"/>
      <c r="U75" s="143" t="s">
        <v>807</v>
      </c>
    </row>
    <row r="76" spans="1:21" ht="18" thickTop="1" thickBot="1" x14ac:dyDescent="0.35">
      <c r="A76" s="457" t="str">
        <f>'1.2 Budgeted Enrollment YR1'!A76</f>
        <v>Clark</v>
      </c>
      <c r="B76" s="459">
        <f>'1.2 Budgeted Enrollment YR1'!B76</f>
        <v>2</v>
      </c>
      <c r="C76" s="459">
        <f>'1.2 Budgeted Enrollment YR1'!C76</f>
        <v>2</v>
      </c>
      <c r="D76" s="457" t="str">
        <f>'1.2 Budgeted Enrollment YR1'!D76</f>
        <v>Las Vegas</v>
      </c>
      <c r="E76" s="457" t="str">
        <f>'1.2 Budgeted Enrollment YR1'!E76</f>
        <v>Odyssey Charter Schools</v>
      </c>
      <c r="F76" s="457" t="s">
        <v>1239</v>
      </c>
      <c r="G76" s="220">
        <f>'1.2 Budgeted Enrollment YR1'!G76+('1.2 Budgeted Enrollment YR1'!G76*$Q$2)</f>
        <v>2327.5551768725609</v>
      </c>
      <c r="H76" s="219">
        <v>100</v>
      </c>
      <c r="I76" s="220">
        <v>275</v>
      </c>
      <c r="J76" s="219">
        <v>0</v>
      </c>
      <c r="K76" s="220">
        <v>0</v>
      </c>
      <c r="L76" s="401"/>
      <c r="M76" s="38"/>
      <c r="T76" s="132"/>
      <c r="U76" s="143" t="s">
        <v>808</v>
      </c>
    </row>
    <row r="77" spans="1:21" ht="18" thickTop="1" thickBot="1" x14ac:dyDescent="0.35">
      <c r="A77" s="457" t="str">
        <f>'1.2 Budgeted Enrollment YR1'!A77</f>
        <v>Washoe</v>
      </c>
      <c r="B77" s="459">
        <f>'1.2 Budgeted Enrollment YR1'!B77</f>
        <v>18</v>
      </c>
      <c r="C77" s="459">
        <f>'1.2 Budgeted Enrollment YR1'!C77</f>
        <v>16</v>
      </c>
      <c r="D77" s="457" t="str">
        <f>'1.2 Budgeted Enrollment YR1'!D77</f>
        <v>Reno</v>
      </c>
      <c r="E77" s="457" t="str">
        <f>'1.2 Budgeted Enrollment YR1'!E77</f>
        <v>Pinecrest Academy of Northern Nevada</v>
      </c>
      <c r="F77" s="457" t="s">
        <v>1240</v>
      </c>
      <c r="G77" s="220">
        <f>'1.2 Budgeted Enrollment YR1'!G77+('1.2 Budgeted Enrollment YR1'!G77*$Q$2)</f>
        <v>927.90151170988167</v>
      </c>
      <c r="H77" s="219">
        <v>18</v>
      </c>
      <c r="I77" s="220">
        <v>0</v>
      </c>
      <c r="J77" s="219">
        <v>34</v>
      </c>
      <c r="K77" s="220">
        <v>0</v>
      </c>
      <c r="L77" s="401"/>
      <c r="M77" s="38"/>
      <c r="T77" s="132"/>
      <c r="U77" s="143" t="s">
        <v>824</v>
      </c>
    </row>
    <row r="78" spans="1:21" ht="18" thickTop="1" thickBot="1" x14ac:dyDescent="0.35">
      <c r="A78" s="457" t="str">
        <f>'1.2 Budgeted Enrollment YR1'!A78</f>
        <v>Clark</v>
      </c>
      <c r="B78" s="459">
        <f>'1.2 Budgeted Enrollment YR1'!B78</f>
        <v>18</v>
      </c>
      <c r="C78" s="459">
        <f>'1.2 Budgeted Enrollment YR1'!C78</f>
        <v>2</v>
      </c>
      <c r="D78" s="457" t="str">
        <f>'1.2 Budgeted Enrollment YR1'!D78</f>
        <v>Las Vegas</v>
      </c>
      <c r="E78" s="457" t="str">
        <f>'1.2 Budgeted Enrollment YR1'!E78</f>
        <v>Pinecrest Academy of Nevada</v>
      </c>
      <c r="F78" s="457" t="s">
        <v>1241</v>
      </c>
      <c r="G78" s="220">
        <f>'1.2 Budgeted Enrollment YR1'!G78+('1.2 Budgeted Enrollment YR1'!G78*$Q$2)</f>
        <v>7413.8513684858726</v>
      </c>
      <c r="H78" s="219">
        <v>160</v>
      </c>
      <c r="I78" s="220">
        <v>203</v>
      </c>
      <c r="J78" s="219">
        <v>259</v>
      </c>
      <c r="K78" s="220">
        <v>0</v>
      </c>
      <c r="L78" s="401"/>
      <c r="M78" s="38"/>
      <c r="T78" s="195"/>
      <c r="U78" s="168" t="s">
        <v>825</v>
      </c>
    </row>
    <row r="79" spans="1:21" ht="18" thickTop="1" thickBot="1" x14ac:dyDescent="0.35">
      <c r="A79" s="457" t="str">
        <f>'1.2 Budgeted Enrollment YR1'!A79</f>
        <v>Clark</v>
      </c>
      <c r="B79" s="459">
        <f>'1.2 Budgeted Enrollment YR1'!B79</f>
        <v>18</v>
      </c>
      <c r="C79" s="459">
        <f>'1.2 Budgeted Enrollment YR1'!C79</f>
        <v>2</v>
      </c>
      <c r="D79" s="457" t="str">
        <f>'1.2 Budgeted Enrollment YR1'!D79</f>
        <v>Las Vegas</v>
      </c>
      <c r="E79" s="457" t="str">
        <f>'1.2 Budgeted Enrollment YR1'!E79</f>
        <v>Quest Academy</v>
      </c>
      <c r="F79" s="457" t="s">
        <v>1242</v>
      </c>
      <c r="G79" s="220">
        <f>'1.2 Budgeted Enrollment YR1'!G79+('1.2 Budgeted Enrollment YR1'!G79*$Q$2)</f>
        <v>435.30441038798858</v>
      </c>
      <c r="H79" s="219">
        <v>34</v>
      </c>
      <c r="I79" s="220">
        <v>42</v>
      </c>
      <c r="J79" s="219">
        <v>0</v>
      </c>
      <c r="K79" s="220">
        <v>0</v>
      </c>
      <c r="L79" s="401"/>
      <c r="M79" s="38"/>
      <c r="T79" s="683" t="s">
        <v>844</v>
      </c>
      <c r="U79" s="671" t="s">
        <v>826</v>
      </c>
    </row>
    <row r="80" spans="1:21" ht="18" thickTop="1" thickBot="1" x14ac:dyDescent="0.35">
      <c r="A80" s="457" t="str">
        <f>'1.2 Budgeted Enrollment YR1'!A80</f>
        <v>Clark</v>
      </c>
      <c r="B80" s="459">
        <f>'1.2 Budgeted Enrollment YR1'!B80</f>
        <v>18</v>
      </c>
      <c r="C80" s="459">
        <f>'1.2 Budgeted Enrollment YR1'!C80</f>
        <v>2</v>
      </c>
      <c r="D80" s="457" t="str">
        <f>'1.2 Budgeted Enrollment YR1'!D80</f>
        <v>Las Vegas</v>
      </c>
      <c r="E80" s="457" t="str">
        <f>'1.2 Budgeted Enrollment YR1'!E80</f>
        <v>Rainbow Dreams Academy</v>
      </c>
      <c r="F80" s="457" t="s">
        <v>1246</v>
      </c>
      <c r="G80" s="220">
        <f>'1.2 Budgeted Enrollment YR1'!G80+('1.2 Budgeted Enrollment YR1'!G80*$Q$2)</f>
        <v>70.305537539337109</v>
      </c>
      <c r="H80" s="219">
        <v>8</v>
      </c>
      <c r="I80" s="220">
        <v>34</v>
      </c>
      <c r="J80" s="219">
        <v>0</v>
      </c>
      <c r="K80" s="220">
        <v>0</v>
      </c>
      <c r="L80" s="401"/>
      <c r="M80" s="38"/>
      <c r="T80" s="132"/>
      <c r="U80" s="143" t="s">
        <v>809</v>
      </c>
    </row>
    <row r="81" spans="1:21" ht="18" thickTop="1" thickBot="1" x14ac:dyDescent="0.35">
      <c r="A81" s="237" t="str">
        <f>'1.2 Budgeted Enrollment YR1'!A81</f>
        <v>Clark</v>
      </c>
      <c r="B81" s="1351">
        <f>'1.2 Budgeted Enrollment YR1'!B81</f>
        <v>18</v>
      </c>
      <c r="C81" s="1351">
        <f>'1.2 Budgeted Enrollment YR1'!C81</f>
        <v>2</v>
      </c>
      <c r="D81" s="237" t="str">
        <f>'1.2 Budgeted Enrollment YR1'!D81</f>
        <v>Las Vegas</v>
      </c>
      <c r="E81" s="237" t="str">
        <f>'1.2 Budgeted Enrollment YR1'!E81</f>
        <v>Rooted Charter School</v>
      </c>
      <c r="F81" s="237" t="s">
        <v>1247</v>
      </c>
      <c r="G81" s="318">
        <f>'1.2 Budgeted Enrollment YR1'!G81+('1.2 Budgeted Enrollment YR1'!G81*$Q$2)</f>
        <v>180.18</v>
      </c>
      <c r="H81" s="239">
        <v>0</v>
      </c>
      <c r="I81" s="318">
        <v>0</v>
      </c>
      <c r="J81" s="239">
        <v>0</v>
      </c>
      <c r="K81" s="318">
        <v>0</v>
      </c>
      <c r="L81" s="401"/>
      <c r="M81" s="1510" t="s">
        <v>1840</v>
      </c>
      <c r="N81" s="237"/>
      <c r="O81" s="237"/>
      <c r="T81" s="132"/>
      <c r="U81" s="143" t="s">
        <v>827</v>
      </c>
    </row>
    <row r="82" spans="1:21" ht="18" thickTop="1" thickBot="1" x14ac:dyDescent="0.35">
      <c r="A82" s="457" t="str">
        <f>'1.2 Budgeted Enrollment YR1'!A82</f>
        <v>Clark</v>
      </c>
      <c r="B82" s="459">
        <f>'1.2 Budgeted Enrollment YR1'!B82</f>
        <v>18</v>
      </c>
      <c r="C82" s="459">
        <f>'1.2 Budgeted Enrollment YR1'!C82</f>
        <v>2</v>
      </c>
      <c r="D82" s="457" t="str">
        <f>'1.2 Budgeted Enrollment YR1'!D82</f>
        <v>Las Vegas</v>
      </c>
      <c r="E82" s="457" t="str">
        <f>'1.2 Budgeted Enrollment YR1'!E82</f>
        <v>Sage Collegiate Academy</v>
      </c>
      <c r="F82" s="457" t="s">
        <v>1247</v>
      </c>
      <c r="G82" s="220">
        <f>'1.2 Budgeted Enrollment YR1'!G82+('1.2 Budgeted Enrollment YR1'!G82*$Q$2)</f>
        <v>199.07693671069981</v>
      </c>
      <c r="H82" s="219">
        <v>18</v>
      </c>
      <c r="I82" s="220">
        <v>0</v>
      </c>
      <c r="J82" s="219">
        <v>0</v>
      </c>
      <c r="K82" s="220">
        <v>0</v>
      </c>
      <c r="L82" s="401"/>
      <c r="M82" s="38"/>
      <c r="T82" s="132"/>
      <c r="U82" s="143" t="s">
        <v>827</v>
      </c>
    </row>
    <row r="83" spans="1:21" ht="18" thickTop="1" thickBot="1" x14ac:dyDescent="0.35">
      <c r="A83" s="457" t="str">
        <f>'1.2 Budgeted Enrollment YR1'!A83</f>
        <v>Washoe</v>
      </c>
      <c r="B83" s="459">
        <f>'1.2 Budgeted Enrollment YR1'!B83</f>
        <v>16</v>
      </c>
      <c r="C83" s="459">
        <f>'1.2 Budgeted Enrollment YR1'!C83</f>
        <v>16</v>
      </c>
      <c r="D83" s="457" t="str">
        <f>'1.2 Budgeted Enrollment YR1'!D83</f>
        <v>Stead</v>
      </c>
      <c r="E83" s="457" t="str">
        <f>'1.2 Budgeted Enrollment YR1'!E83</f>
        <v>Sierra Nevada Academy Charter</v>
      </c>
      <c r="F83" s="457" t="s">
        <v>1248</v>
      </c>
      <c r="G83" s="220">
        <f>'1.2 Budgeted Enrollment YR1'!G83+('1.2 Budgeted Enrollment YR1'!G83*$Q$2)</f>
        <v>324.28890145521717</v>
      </c>
      <c r="H83" s="219">
        <v>20</v>
      </c>
      <c r="I83" s="220">
        <v>32</v>
      </c>
      <c r="J83" s="219">
        <v>0</v>
      </c>
      <c r="K83" s="220">
        <v>0</v>
      </c>
      <c r="L83" s="401"/>
      <c r="M83" s="38"/>
      <c r="T83" s="195"/>
      <c r="U83" s="168" t="s">
        <v>810</v>
      </c>
    </row>
    <row r="84" spans="1:21" ht="18" thickTop="1" thickBot="1" x14ac:dyDescent="0.35">
      <c r="A84" s="457" t="str">
        <f>'1.2 Budgeted Enrollment YR1'!A84</f>
        <v>Clark</v>
      </c>
      <c r="B84" s="459">
        <f>'1.2 Budgeted Enrollment YR1'!B84</f>
        <v>18</v>
      </c>
      <c r="C84" s="459">
        <f>'1.2 Budgeted Enrollment YR1'!C84</f>
        <v>2</v>
      </c>
      <c r="D84" s="457" t="str">
        <f>'1.2 Budgeted Enrollment YR1'!D84</f>
        <v>Las Vegas</v>
      </c>
      <c r="E84" s="457" t="str">
        <f>'1.2 Budgeted Enrollment YR1'!E84</f>
        <v>Signature Preparatory</v>
      </c>
      <c r="F84" s="457" t="s">
        <v>1249</v>
      </c>
      <c r="G84" s="220">
        <f>'1.2 Budgeted Enrollment YR1'!G84+('1.2 Budgeted Enrollment YR1'!G84*$Q$2)</f>
        <v>974.64912726903549</v>
      </c>
      <c r="H84" s="219">
        <v>75</v>
      </c>
      <c r="I84" s="220">
        <v>5</v>
      </c>
      <c r="J84" s="219">
        <v>0</v>
      </c>
      <c r="K84" s="220">
        <v>0</v>
      </c>
      <c r="L84" s="401"/>
      <c r="M84" s="38"/>
    </row>
    <row r="85" spans="1:21" ht="18" thickTop="1" thickBot="1" x14ac:dyDescent="0.35">
      <c r="A85" s="457" t="str">
        <f>'1.2 Budgeted Enrollment YR1'!A85</f>
        <v>Clark</v>
      </c>
      <c r="B85" s="459">
        <f>'1.2 Budgeted Enrollment YR1'!B85</f>
        <v>18</v>
      </c>
      <c r="C85" s="459">
        <f>'1.2 Budgeted Enrollment YR1'!C85</f>
        <v>2</v>
      </c>
      <c r="D85" s="457" t="str">
        <f>'1.2 Budgeted Enrollment YR1'!D85</f>
        <v>Las Vegas</v>
      </c>
      <c r="E85" s="457" t="str">
        <f>'1.2 Budgeted Enrollment YR1'!E85</f>
        <v>Silver Sands Montessori</v>
      </c>
      <c r="F85" s="457" t="s">
        <v>1250</v>
      </c>
      <c r="G85" s="220">
        <f>'1.2 Budgeted Enrollment YR1'!G85+('1.2 Budgeted Enrollment YR1'!G85*$Q$2)</f>
        <v>240.38764208158702</v>
      </c>
      <c r="H85" s="219">
        <v>11</v>
      </c>
      <c r="I85" s="220">
        <v>12</v>
      </c>
      <c r="J85" s="219">
        <v>0</v>
      </c>
      <c r="K85" s="220">
        <v>0</v>
      </c>
      <c r="L85" s="401"/>
      <c r="M85" s="38"/>
    </row>
    <row r="86" spans="1:21" ht="18" thickTop="1" thickBot="1" x14ac:dyDescent="0.35">
      <c r="A86" s="457" t="str">
        <f>'1.2 Budgeted Enrollment YR1'!A86</f>
        <v>Clark</v>
      </c>
      <c r="B86" s="459">
        <f>'1.2 Budgeted Enrollment YR1'!B86</f>
        <v>18</v>
      </c>
      <c r="C86" s="459">
        <f>'1.2 Budgeted Enrollment YR1'!C86</f>
        <v>2</v>
      </c>
      <c r="D86" s="457" t="str">
        <f>'1.2 Budgeted Enrollment YR1'!D86</f>
        <v>Las Vegas</v>
      </c>
      <c r="E86" s="457" t="str">
        <f>'1.2 Budgeted Enrollment YR1'!E86</f>
        <v>Somerset Academy</v>
      </c>
      <c r="F86" s="457" t="s">
        <v>1251</v>
      </c>
      <c r="G86" s="220">
        <f>'1.2 Budgeted Enrollment YR1'!G86+('1.2 Budgeted Enrollment YR1'!G86*$Q$2)</f>
        <v>9475.6362211165433</v>
      </c>
      <c r="H86" s="219">
        <v>342</v>
      </c>
      <c r="I86" s="220">
        <v>302</v>
      </c>
      <c r="J86" s="219">
        <v>113</v>
      </c>
      <c r="K86" s="220">
        <v>0</v>
      </c>
      <c r="L86" s="401"/>
      <c r="M86" s="38"/>
    </row>
    <row r="87" spans="1:21" ht="18" thickTop="1" thickBot="1" x14ac:dyDescent="0.35">
      <c r="A87" s="237" t="str">
        <f>'1.2 Budgeted Enrollment YR1'!A87</f>
        <v>Clark</v>
      </c>
      <c r="B87" s="1351">
        <f>'1.2 Budgeted Enrollment YR1'!B87</f>
        <v>18</v>
      </c>
      <c r="C87" s="1351">
        <f>'1.2 Budgeted Enrollment YR1'!C87</f>
        <v>2</v>
      </c>
      <c r="D87" s="237" t="str">
        <f>'1.2 Budgeted Enrollment YR1'!D87</f>
        <v>Las Vegas</v>
      </c>
      <c r="E87" s="237" t="str">
        <f>'1.2 Budgeted Enrollment YR1'!E87</f>
        <v>Southern Nevada Trade High School</v>
      </c>
      <c r="F87" s="237" t="s">
        <v>1461</v>
      </c>
      <c r="G87" s="318">
        <f>'1.2 Budgeted Enrollment YR1'!G87+('1.2 Budgeted Enrollment YR1'!G87*$Q$2)</f>
        <v>200.2</v>
      </c>
      <c r="H87" s="239">
        <v>0</v>
      </c>
      <c r="I87" s="318">
        <v>0</v>
      </c>
      <c r="J87" s="239">
        <v>0</v>
      </c>
      <c r="K87" s="318">
        <v>0</v>
      </c>
      <c r="L87" s="401"/>
      <c r="M87" s="1510" t="s">
        <v>1840</v>
      </c>
      <c r="N87" s="237"/>
      <c r="O87" s="237"/>
    </row>
    <row r="88" spans="1:21" ht="18" thickTop="1" thickBot="1" x14ac:dyDescent="0.35">
      <c r="A88" s="457" t="str">
        <f>'1.2 Budgeted Enrollment YR1'!A88</f>
        <v>Clark</v>
      </c>
      <c r="B88" s="459">
        <f>'1.2 Budgeted Enrollment YR1'!B88</f>
        <v>18</v>
      </c>
      <c r="C88" s="459">
        <f>'1.2 Budgeted Enrollment YR1'!C88</f>
        <v>2</v>
      </c>
      <c r="D88" s="457" t="str">
        <f>'1.2 Budgeted Enrollment YR1'!D88</f>
        <v>Las Vegas</v>
      </c>
      <c r="E88" s="457" t="str">
        <f>'1.2 Budgeted Enrollment YR1'!E88</f>
        <v>Sports Leadership and Management Academy</v>
      </c>
      <c r="F88" s="457" t="s">
        <v>1461</v>
      </c>
      <c r="G88" s="220">
        <f>'1.2 Budgeted Enrollment YR1'!G88+('1.2 Budgeted Enrollment YR1'!G88*$Q$2)</f>
        <v>1788.0122702171184</v>
      </c>
      <c r="H88" s="219">
        <v>162</v>
      </c>
      <c r="I88" s="220">
        <v>124</v>
      </c>
      <c r="J88" s="219">
        <v>0</v>
      </c>
      <c r="K88" s="220">
        <v>0</v>
      </c>
      <c r="L88" s="401"/>
      <c r="M88" s="38"/>
    </row>
    <row r="89" spans="1:21" ht="18" thickTop="1" thickBot="1" x14ac:dyDescent="0.35">
      <c r="A89" s="457" t="str">
        <f>'1.2 Budgeted Enrollment YR1'!A89</f>
        <v>Clark</v>
      </c>
      <c r="B89" s="459">
        <f>'1.2 Budgeted Enrollment YR1'!B89</f>
        <v>18</v>
      </c>
      <c r="C89" s="459">
        <f>'1.2 Budgeted Enrollment YR1'!C89</f>
        <v>2</v>
      </c>
      <c r="D89" s="457" t="str">
        <f>'1.2 Budgeted Enrollment YR1'!D89</f>
        <v>Las Vegas</v>
      </c>
      <c r="E89" s="457" t="str">
        <f>'1.2 Budgeted Enrollment YR1'!E89</f>
        <v>Strong Start Academy</v>
      </c>
      <c r="F89" s="457"/>
      <c r="G89" s="220">
        <f>'1.2 Budgeted Enrollment YR1'!G89+('1.2 Budgeted Enrollment YR1'!G89*$Q$2)</f>
        <v>80.710975515445185</v>
      </c>
      <c r="H89" s="219">
        <v>16</v>
      </c>
      <c r="I89" s="220">
        <v>0</v>
      </c>
      <c r="J89" s="219">
        <v>0</v>
      </c>
      <c r="K89" s="220"/>
      <c r="L89" s="401"/>
      <c r="M89" s="38"/>
    </row>
    <row r="90" spans="1:21" ht="18" thickTop="1" thickBot="1" x14ac:dyDescent="0.35">
      <c r="A90" s="457" t="str">
        <f>'1.2 Budgeted Enrollment YR1'!A90</f>
        <v>Clark</v>
      </c>
      <c r="B90" s="459">
        <f>'1.2 Budgeted Enrollment YR1'!B90</f>
        <v>18</v>
      </c>
      <c r="C90" s="459">
        <f>'1.2 Budgeted Enrollment YR1'!C90</f>
        <v>2</v>
      </c>
      <c r="D90" s="457" t="str">
        <f>'1.2 Budgeted Enrollment YR1'!D90</f>
        <v>Las Vegas</v>
      </c>
      <c r="E90" s="457" t="str">
        <f>'1.2 Budgeted Enrollment YR1'!E90</f>
        <v>TEACH Las Vegas</v>
      </c>
      <c r="F90" s="457"/>
      <c r="G90" s="220">
        <f>'1.2 Budgeted Enrollment YR1'!G90+('1.2 Budgeted Enrollment YR1'!G90*$Q$2)</f>
        <v>321.30487536118619</v>
      </c>
      <c r="H90" s="219">
        <v>45</v>
      </c>
      <c r="I90" s="220">
        <v>18</v>
      </c>
      <c r="J90" s="219">
        <v>0</v>
      </c>
      <c r="K90" s="220">
        <v>0</v>
      </c>
      <c r="L90" s="401"/>
      <c r="M90" s="38"/>
    </row>
    <row r="91" spans="1:21" ht="18" thickTop="1" thickBot="1" x14ac:dyDescent="0.35">
      <c r="A91" s="692" t="str">
        <f>'1.2 Budgeted Enrollment YR1'!A91</f>
        <v>Clark</v>
      </c>
      <c r="B91" s="699">
        <f>'1.2 Budgeted Enrollment YR1'!B91</f>
        <v>18</v>
      </c>
      <c r="C91" s="699">
        <f>'1.2 Budgeted Enrollment YR1'!C91</f>
        <v>2</v>
      </c>
      <c r="D91" s="692" t="str">
        <f>'1.2 Budgeted Enrollment YR1'!D91</f>
        <v>Las Vegas</v>
      </c>
      <c r="E91" s="692" t="str">
        <f>'1.2 Budgeted Enrollment YR1'!E91</f>
        <v>Young Women's Leadership Academy</v>
      </c>
      <c r="F91" s="692" t="s">
        <v>1252</v>
      </c>
      <c r="G91" s="220">
        <f>'1.2 Budgeted Enrollment YR1'!G91+('1.2 Budgeted Enrollment YR1'!G91*$Q$2)</f>
        <v>56.413128242471004</v>
      </c>
      <c r="H91" s="219">
        <v>5</v>
      </c>
      <c r="I91" s="220">
        <v>0</v>
      </c>
      <c r="J91" s="219">
        <v>0</v>
      </c>
      <c r="K91" s="220">
        <v>0</v>
      </c>
      <c r="L91" s="401"/>
      <c r="T91" s="5"/>
      <c r="U91" s="5"/>
    </row>
    <row r="92" spans="1:21" ht="18" thickTop="1" thickBot="1" x14ac:dyDescent="0.35">
      <c r="A92" s="4"/>
      <c r="B92" s="5"/>
      <c r="C92" s="5"/>
      <c r="D92" s="5"/>
      <c r="E92" s="4" t="s">
        <v>722</v>
      </c>
      <c r="F92" s="4"/>
      <c r="G92" s="633">
        <f>SUM(G32:G91)</f>
        <v>69072.499417353014</v>
      </c>
      <c r="H92" s="632">
        <f>SUM(H32:H91)</f>
        <v>5510</v>
      </c>
      <c r="I92" s="632">
        <f>SUM(I32:I91)</f>
        <v>3050</v>
      </c>
      <c r="J92" s="632">
        <f>SUM(J32:J91)</f>
        <v>1097</v>
      </c>
      <c r="K92" s="633">
        <f>SUM(K32:K91)</f>
        <v>3495.4684508487881</v>
      </c>
    </row>
    <row r="93" spans="1:21" ht="17.25" thickTop="1" x14ac:dyDescent="0.3">
      <c r="A93" s="5"/>
      <c r="B93" s="5"/>
      <c r="C93" s="5"/>
      <c r="D93" s="5"/>
      <c r="E93" s="5"/>
      <c r="F93" s="5"/>
      <c r="G93" s="1352"/>
      <c r="H93" s="5"/>
      <c r="I93" s="5"/>
      <c r="J93" s="5"/>
      <c r="K93" s="1117"/>
      <c r="N93" s="4"/>
      <c r="O93" s="4"/>
    </row>
    <row r="94" spans="1:21" s="5" customFormat="1" x14ac:dyDescent="0.3">
      <c r="A94" s="4" t="s">
        <v>1254</v>
      </c>
      <c r="E94" s="4"/>
      <c r="F94" s="4"/>
      <c r="G94" s="1096"/>
      <c r="H94" s="401"/>
      <c r="I94" s="401"/>
      <c r="J94" s="401"/>
      <c r="K94" s="1116"/>
      <c r="M94" s="10"/>
      <c r="T94" s="10"/>
      <c r="U94" s="10"/>
    </row>
    <row r="95" spans="1:21" ht="17.25" thickBot="1" x14ac:dyDescent="0.35">
      <c r="A95" s="4" t="s">
        <v>601</v>
      </c>
      <c r="B95" s="5" t="s">
        <v>717</v>
      </c>
      <c r="C95" s="5" t="s">
        <v>718</v>
      </c>
      <c r="D95" s="5" t="s">
        <v>756</v>
      </c>
      <c r="E95" s="4" t="s">
        <v>1148</v>
      </c>
      <c r="F95" s="4" t="s">
        <v>1198</v>
      </c>
      <c r="G95" s="1096"/>
      <c r="H95" s="401"/>
      <c r="I95" s="401"/>
      <c r="J95" s="401"/>
      <c r="K95" s="1116"/>
      <c r="L95" s="73"/>
    </row>
    <row r="96" spans="1:21" ht="18" thickTop="1" thickBot="1" x14ac:dyDescent="0.35">
      <c r="A96" s="457" t="s">
        <v>16</v>
      </c>
      <c r="B96" s="458">
        <v>19</v>
      </c>
      <c r="C96" s="458">
        <v>16</v>
      </c>
      <c r="D96" s="458" t="s">
        <v>1229</v>
      </c>
      <c r="E96" s="457" t="s">
        <v>47</v>
      </c>
      <c r="F96" s="457" t="s">
        <v>1205</v>
      </c>
      <c r="G96" s="220">
        <f>'1.2 Budgeted Enrollment YR1'!G96+('1.2 Budgeted Enrollment YR1'!G96*$Q$2)</f>
        <v>162.20612853670227</v>
      </c>
      <c r="H96" s="219">
        <v>0</v>
      </c>
      <c r="I96" s="220">
        <v>0</v>
      </c>
      <c r="J96" s="219">
        <v>0</v>
      </c>
      <c r="K96" s="220">
        <v>0</v>
      </c>
      <c r="L96" s="73"/>
    </row>
    <row r="97" spans="1:21" ht="18" thickTop="1" thickBot="1" x14ac:dyDescent="0.35">
      <c r="A97" s="697"/>
      <c r="B97" s="698"/>
      <c r="C97" s="698"/>
      <c r="D97" s="698"/>
      <c r="E97" s="697"/>
      <c r="F97" s="697"/>
      <c r="G97" s="220">
        <f>'1.2 Budgeted Enrollment YR1'!G97+('1.2 Budgeted Enrollment YR1'!G97*$Q$2)</f>
        <v>0</v>
      </c>
      <c r="H97" s="219">
        <v>0</v>
      </c>
      <c r="I97" s="220">
        <v>0</v>
      </c>
      <c r="J97" s="219">
        <v>0</v>
      </c>
      <c r="K97" s="220">
        <v>0</v>
      </c>
      <c r="L97" s="73"/>
      <c r="N97"/>
      <c r="O97"/>
    </row>
    <row r="98" spans="1:21" ht="18" thickTop="1" thickBot="1" x14ac:dyDescent="0.35">
      <c r="A98" s="4"/>
      <c r="B98" s="5"/>
      <c r="C98" s="5"/>
      <c r="D98" s="5"/>
      <c r="E98" s="17" t="s">
        <v>1255</v>
      </c>
      <c r="F98" s="4"/>
      <c r="G98" s="633">
        <f>SUM(G96:G97)</f>
        <v>162.20612853670227</v>
      </c>
      <c r="H98" s="632">
        <f>SUM(H96:H97)</f>
        <v>0</v>
      </c>
      <c r="I98" s="632">
        <f>SUM(I96:I97)</f>
        <v>0</v>
      </c>
      <c r="J98" s="632">
        <f>SUM(J96:J97)</f>
        <v>0</v>
      </c>
      <c r="K98" s="633">
        <f>SUM(K96:K97)</f>
        <v>0</v>
      </c>
      <c r="L98" s="73"/>
      <c r="M98" s="4"/>
      <c r="N98"/>
      <c r="O98"/>
    </row>
    <row r="99" spans="1:21" ht="17.25" thickTop="1" x14ac:dyDescent="0.3">
      <c r="A99" s="4"/>
      <c r="B99" s="5"/>
      <c r="C99" s="5"/>
      <c r="D99" s="5"/>
      <c r="E99" s="4"/>
      <c r="F99" s="4"/>
      <c r="G99" s="1104">
        <f>G92+G98</f>
        <v>69234.705545889723</v>
      </c>
      <c r="H99" s="691">
        <f>H92+H98</f>
        <v>5510</v>
      </c>
      <c r="I99" s="691">
        <f>I92+I98</f>
        <v>3050</v>
      </c>
      <c r="J99" s="691">
        <f>J92+J98</f>
        <v>1097</v>
      </c>
      <c r="K99" s="1104">
        <f>K92+K98</f>
        <v>3495.4684508487881</v>
      </c>
      <c r="L99" s="73"/>
      <c r="M99" s="5"/>
      <c r="N99"/>
      <c r="O99"/>
    </row>
    <row r="100" spans="1:21" x14ac:dyDescent="0.3">
      <c r="A100" s="4" t="s">
        <v>723</v>
      </c>
      <c r="H100" s="75"/>
      <c r="I100" s="91"/>
      <c r="J100" s="75"/>
      <c r="K100" s="91"/>
      <c r="L100" s="73"/>
      <c r="N100"/>
      <c r="O100"/>
      <c r="P100" s="4"/>
      <c r="Q100" s="4"/>
    </row>
    <row r="101" spans="1:21" s="4" customFormat="1" ht="19.5" thickBot="1" x14ac:dyDescent="0.5">
      <c r="A101" s="5" t="str">
        <f>A8</f>
        <v>County</v>
      </c>
      <c r="B101" s="5" t="str">
        <f>B8</f>
        <v>District #</v>
      </c>
      <c r="C101" s="5" t="str">
        <f>C8</f>
        <v>DOHQ#</v>
      </c>
      <c r="D101" s="5" t="str">
        <f>D8</f>
        <v>Attendance Area</v>
      </c>
      <c r="E101" s="4" t="s">
        <v>1149</v>
      </c>
      <c r="G101" s="1095"/>
      <c r="I101" s="90"/>
      <c r="K101" s="90"/>
      <c r="L101" s="74"/>
      <c r="M101" s="10"/>
      <c r="N101"/>
      <c r="O101"/>
      <c r="P101" s="10"/>
      <c r="Q101" s="10"/>
      <c r="T101" s="10"/>
      <c r="U101" s="10"/>
    </row>
    <row r="102" spans="1:21" ht="18" thickTop="1" thickBot="1" x14ac:dyDescent="0.35">
      <c r="A102" s="38" t="str">
        <f>'1.2 Budgeted Enrollment YR1'!A102</f>
        <v>Carson City</v>
      </c>
      <c r="B102" s="40">
        <f>'1.2 Budgeted Enrollment YR1'!B102</f>
        <v>13</v>
      </c>
      <c r="C102" s="40">
        <f>'1.2 Budgeted Enrollment YR1'!C102</f>
        <v>13</v>
      </c>
      <c r="D102" s="40" t="str">
        <f>'1.2 Budgeted Enrollment YR1'!D102</f>
        <v>Carson City</v>
      </c>
      <c r="E102" s="38" t="str">
        <f>'1.2 Budgeted Enrollment YR1'!E102</f>
        <v>Al Seeliger Elementary</v>
      </c>
      <c r="F102" s="590"/>
      <c r="G102" s="220">
        <f>'1.2 Budgeted Enrollment YR1'!G102+('1.2 Budgeted Enrollment YR1'!G102*$Q$2)</f>
        <v>531.30549290484964</v>
      </c>
      <c r="H102" s="219">
        <v>0</v>
      </c>
      <c r="I102" s="220">
        <v>0</v>
      </c>
      <c r="J102" s="219">
        <v>0</v>
      </c>
      <c r="K102" s="220">
        <v>0</v>
      </c>
      <c r="L102" s="691"/>
      <c r="M102" s="2"/>
      <c r="N102"/>
      <c r="O102"/>
    </row>
    <row r="103" spans="1:21" ht="18" thickTop="1" thickBot="1" x14ac:dyDescent="0.35">
      <c r="A103" s="38" t="str">
        <f>'1.2 Budgeted Enrollment YR1'!A103</f>
        <v>Carson City</v>
      </c>
      <c r="B103" s="40">
        <f>'1.2 Budgeted Enrollment YR1'!B103</f>
        <v>13</v>
      </c>
      <c r="C103" s="40">
        <f>'1.2 Budgeted Enrollment YR1'!C103</f>
        <v>13</v>
      </c>
      <c r="D103" s="40" t="str">
        <f>'1.2 Budgeted Enrollment YR1'!D103</f>
        <v>Carson City</v>
      </c>
      <c r="E103" s="38" t="str">
        <f>'1.2 Budgeted Enrollment YR1'!E103</f>
        <v>Bordewich/Bray Elementary</v>
      </c>
      <c r="F103" s="590"/>
      <c r="G103" s="220">
        <f>'1.2 Budgeted Enrollment YR1'!G103+('1.2 Budgeted Enrollment YR1'!G103*$Q$2)</f>
        <v>551.56198021326429</v>
      </c>
      <c r="H103" s="219">
        <v>0</v>
      </c>
      <c r="I103" s="220">
        <v>0</v>
      </c>
      <c r="J103" s="219">
        <v>0</v>
      </c>
      <c r="K103" s="220">
        <v>0</v>
      </c>
      <c r="L103" s="75"/>
      <c r="M103" s="2"/>
      <c r="N103"/>
      <c r="O103"/>
      <c r="P103"/>
      <c r="Q103"/>
    </row>
    <row r="104" spans="1:21" ht="18" thickTop="1" thickBot="1" x14ac:dyDescent="0.35">
      <c r="A104" s="38" t="str">
        <f>'1.2 Budgeted Enrollment YR1'!A104</f>
        <v>Carson City</v>
      </c>
      <c r="B104" s="40">
        <f>'1.2 Budgeted Enrollment YR1'!B104</f>
        <v>13</v>
      </c>
      <c r="C104" s="40">
        <f>'1.2 Budgeted Enrollment YR1'!C104</f>
        <v>13</v>
      </c>
      <c r="D104" s="40" t="str">
        <f>'1.2 Budgeted Enrollment YR1'!D104</f>
        <v>Carson City</v>
      </c>
      <c r="E104" s="38" t="str">
        <f>'1.2 Budgeted Enrollment YR1'!E104</f>
        <v>Carson High School</v>
      </c>
      <c r="F104" s="590"/>
      <c r="G104" s="220">
        <f>'1.2 Budgeted Enrollment YR1'!G104+('1.2 Budgeted Enrollment YR1'!G104*$Q$2)</f>
        <v>2252.0876305413449</v>
      </c>
      <c r="H104" s="219">
        <v>0</v>
      </c>
      <c r="I104" s="220">
        <v>0</v>
      </c>
      <c r="J104" s="219">
        <v>0</v>
      </c>
      <c r="K104" s="220">
        <v>0</v>
      </c>
      <c r="L104" s="73"/>
      <c r="M104" s="2"/>
      <c r="N104"/>
      <c r="O104"/>
      <c r="P104"/>
      <c r="Q104"/>
    </row>
    <row r="105" spans="1:21" ht="18" thickTop="1" thickBot="1" x14ac:dyDescent="0.35">
      <c r="A105" s="38" t="str">
        <f>'1.2 Budgeted Enrollment YR1'!A105</f>
        <v>Carson City</v>
      </c>
      <c r="B105" s="40">
        <f>'1.2 Budgeted Enrollment YR1'!B105</f>
        <v>13</v>
      </c>
      <c r="C105" s="40">
        <f>'1.2 Budgeted Enrollment YR1'!C105</f>
        <v>13</v>
      </c>
      <c r="D105" s="40" t="str">
        <f>'1.2 Budgeted Enrollment YR1'!D105</f>
        <v>Carson City</v>
      </c>
      <c r="E105" s="38" t="str">
        <f>'1.2 Budgeted Enrollment YR1'!E105</f>
        <v>Carson Middle School</v>
      </c>
      <c r="F105" s="590"/>
      <c r="G105" s="220">
        <f>'1.2 Budgeted Enrollment YR1'!G105+('1.2 Budgeted Enrollment YR1'!G105*$Q$2)</f>
        <v>885.4754777053073</v>
      </c>
      <c r="H105" s="219">
        <v>0</v>
      </c>
      <c r="I105" s="220">
        <v>0</v>
      </c>
      <c r="J105" s="219">
        <v>0</v>
      </c>
      <c r="K105" s="220">
        <v>0</v>
      </c>
      <c r="L105" s="73"/>
      <c r="M105" s="2"/>
      <c r="N105"/>
      <c r="O105"/>
      <c r="P105"/>
      <c r="Q105"/>
    </row>
    <row r="106" spans="1:21" ht="18" thickTop="1" thickBot="1" x14ac:dyDescent="0.35">
      <c r="A106" s="38" t="str">
        <f>'1.2 Budgeted Enrollment YR1'!A106</f>
        <v>Carson City</v>
      </c>
      <c r="B106" s="40">
        <f>'1.2 Budgeted Enrollment YR1'!B106</f>
        <v>13</v>
      </c>
      <c r="C106" s="40">
        <f>'1.2 Budgeted Enrollment YR1'!C106</f>
        <v>13</v>
      </c>
      <c r="D106" s="40" t="str">
        <f>'1.2 Budgeted Enrollment YR1'!D106</f>
        <v>Carson City</v>
      </c>
      <c r="E106" s="38" t="str">
        <f>'1.2 Budgeted Enrollment YR1'!E106</f>
        <v>Eagle Valley Middle School</v>
      </c>
      <c r="F106" s="590"/>
      <c r="G106" s="220">
        <f>'1.2 Budgeted Enrollment YR1'!G106+('1.2 Budgeted Enrollment YR1'!G106*$Q$2)</f>
        <v>786.06777997843744</v>
      </c>
      <c r="H106" s="219">
        <v>0</v>
      </c>
      <c r="I106" s="220">
        <v>0</v>
      </c>
      <c r="J106" s="219">
        <v>0</v>
      </c>
      <c r="K106" s="220">
        <v>0</v>
      </c>
      <c r="L106" s="73"/>
      <c r="M106" s="2"/>
      <c r="N106"/>
      <c r="O106"/>
      <c r="P106"/>
      <c r="Q106"/>
    </row>
    <row r="107" spans="1:21" ht="18" thickTop="1" thickBot="1" x14ac:dyDescent="0.35">
      <c r="A107" s="38" t="str">
        <f>'1.2 Budgeted Enrollment YR1'!A107</f>
        <v>Carson City</v>
      </c>
      <c r="B107" s="40">
        <f>'1.2 Budgeted Enrollment YR1'!B107</f>
        <v>13</v>
      </c>
      <c r="C107" s="40">
        <f>'1.2 Budgeted Enrollment YR1'!C107</f>
        <v>13</v>
      </c>
      <c r="D107" s="40" t="str">
        <f>'1.2 Budgeted Enrollment YR1'!D107</f>
        <v>Carson City</v>
      </c>
      <c r="E107" s="38" t="str">
        <f>'1.2 Budgeted Enrollment YR1'!E107</f>
        <v>Early Childhood Center</v>
      </c>
      <c r="F107" s="590"/>
      <c r="G107" s="220">
        <f>'1.2 Budgeted Enrollment YR1'!G107+('1.2 Budgeted Enrollment YR1'!G107*$Q$2)</f>
        <v>15.835556395945845</v>
      </c>
      <c r="H107" s="219">
        <v>0</v>
      </c>
      <c r="I107" s="220">
        <v>0</v>
      </c>
      <c r="J107" s="219">
        <v>0</v>
      </c>
      <c r="K107" s="220">
        <v>0</v>
      </c>
      <c r="L107" s="73"/>
      <c r="M107" s="2"/>
      <c r="N107"/>
      <c r="O107"/>
      <c r="P107"/>
      <c r="Q107"/>
    </row>
    <row r="108" spans="1:21" ht="18" thickTop="1" thickBot="1" x14ac:dyDescent="0.35">
      <c r="A108" s="38" t="str">
        <f>'1.2 Budgeted Enrollment YR1'!A108</f>
        <v>Carson City</v>
      </c>
      <c r="B108" s="40">
        <f>'1.2 Budgeted Enrollment YR1'!B108</f>
        <v>13</v>
      </c>
      <c r="C108" s="40">
        <f>'1.2 Budgeted Enrollment YR1'!C108</f>
        <v>13</v>
      </c>
      <c r="D108" s="40" t="str">
        <f>'1.2 Budgeted Enrollment YR1'!D108</f>
        <v>Carson City</v>
      </c>
      <c r="E108" s="38" t="str">
        <f>'1.2 Budgeted Enrollment YR1'!E108</f>
        <v>Edith W. Fritsch Elementary</v>
      </c>
      <c r="F108" s="590"/>
      <c r="G108" s="220">
        <f>'1.2 Budgeted Enrollment YR1'!G108+('1.2 Budgeted Enrollment YR1'!G108*$Q$2)</f>
        <v>469.90966836840369</v>
      </c>
      <c r="H108" s="219">
        <v>0</v>
      </c>
      <c r="I108" s="220">
        <v>0</v>
      </c>
      <c r="J108" s="219">
        <v>0</v>
      </c>
      <c r="K108" s="220">
        <v>0</v>
      </c>
      <c r="L108" s="73"/>
      <c r="M108" s="2"/>
      <c r="N108"/>
      <c r="O108"/>
      <c r="P108"/>
      <c r="Q108"/>
    </row>
    <row r="109" spans="1:21" ht="18" thickTop="1" thickBot="1" x14ac:dyDescent="0.35">
      <c r="A109" s="38" t="str">
        <f>'1.2 Budgeted Enrollment YR1'!A109</f>
        <v>Carson City</v>
      </c>
      <c r="B109" s="40">
        <f>'1.2 Budgeted Enrollment YR1'!B109</f>
        <v>13</v>
      </c>
      <c r="C109" s="40">
        <f>'1.2 Budgeted Enrollment YR1'!C109</f>
        <v>13</v>
      </c>
      <c r="D109" s="40" t="str">
        <f>'1.2 Budgeted Enrollment YR1'!D109</f>
        <v>Carson City</v>
      </c>
      <c r="E109" s="38" t="str">
        <f>'1.2 Budgeted Enrollment YR1'!E109</f>
        <v>Empire Elementary</v>
      </c>
      <c r="F109" s="590"/>
      <c r="G109" s="220">
        <f>'1.2 Budgeted Enrollment YR1'!G109+('1.2 Budgeted Enrollment YR1'!G109*$Q$2)</f>
        <v>430.65437358408423</v>
      </c>
      <c r="H109" s="219">
        <v>0</v>
      </c>
      <c r="I109" s="220">
        <v>0</v>
      </c>
      <c r="J109" s="219">
        <v>0</v>
      </c>
      <c r="K109" s="220">
        <v>0</v>
      </c>
      <c r="L109" s="73"/>
      <c r="M109" s="2"/>
      <c r="N109"/>
      <c r="O109"/>
      <c r="P109"/>
      <c r="Q109"/>
    </row>
    <row r="110" spans="1:21" ht="18" thickTop="1" thickBot="1" x14ac:dyDescent="0.35">
      <c r="A110" s="38" t="str">
        <f>'1.2 Budgeted Enrollment YR1'!A110</f>
        <v>Carson City</v>
      </c>
      <c r="B110" s="40">
        <f>'1.2 Budgeted Enrollment YR1'!B110</f>
        <v>13</v>
      </c>
      <c r="C110" s="40">
        <f>'1.2 Budgeted Enrollment YR1'!C110</f>
        <v>13</v>
      </c>
      <c r="D110" s="40" t="str">
        <f>'1.2 Budgeted Enrollment YR1'!D110</f>
        <v>Carson City</v>
      </c>
      <c r="E110" s="38" t="str">
        <f>'1.2 Budgeted Enrollment YR1'!E110</f>
        <v>Fremont Elementary</v>
      </c>
      <c r="F110" s="590"/>
      <c r="G110" s="220">
        <f>'1.2 Budgeted Enrollment YR1'!G110+('1.2 Budgeted Enrollment YR1'!G110*$Q$2)</f>
        <v>547.63680012384964</v>
      </c>
      <c r="H110" s="219">
        <v>0</v>
      </c>
      <c r="I110" s="220">
        <v>0</v>
      </c>
      <c r="J110" s="219">
        <v>0</v>
      </c>
      <c r="K110" s="220">
        <v>0</v>
      </c>
      <c r="L110" s="73"/>
      <c r="M110" s="2"/>
      <c r="N110"/>
      <c r="O110"/>
      <c r="P110"/>
      <c r="Q110"/>
    </row>
    <row r="111" spans="1:21" ht="18" thickTop="1" thickBot="1" x14ac:dyDescent="0.35">
      <c r="A111" s="38" t="str">
        <f>'1.2 Budgeted Enrollment YR1'!A111</f>
        <v>Carson City</v>
      </c>
      <c r="B111" s="40">
        <f>'1.2 Budgeted Enrollment YR1'!B111</f>
        <v>13</v>
      </c>
      <c r="C111" s="40">
        <f>'1.2 Budgeted Enrollment YR1'!C111</f>
        <v>13</v>
      </c>
      <c r="D111" s="40" t="str">
        <f>'1.2 Budgeted Enrollment YR1'!D111</f>
        <v>Carson City</v>
      </c>
      <c r="E111" s="38" t="str">
        <f>'1.2 Budgeted Enrollment YR1'!E111</f>
        <v>Mark Twain Elementary</v>
      </c>
      <c r="F111" s="590"/>
      <c r="G111" s="220">
        <f>'1.2 Budgeted Enrollment YR1'!G111+('1.2 Budgeted Enrollment YR1'!G111*$Q$2)</f>
        <v>529.18676528989329</v>
      </c>
      <c r="H111" s="219">
        <v>0</v>
      </c>
      <c r="I111" s="220">
        <v>0</v>
      </c>
      <c r="J111" s="219">
        <v>0</v>
      </c>
      <c r="K111" s="220">
        <v>0</v>
      </c>
      <c r="L111" s="73"/>
      <c r="M111" s="2"/>
      <c r="N111"/>
      <c r="O111"/>
      <c r="P111"/>
      <c r="Q111"/>
    </row>
    <row r="112" spans="1:21" ht="18" thickTop="1" thickBot="1" x14ac:dyDescent="0.35">
      <c r="A112" s="38" t="str">
        <f>'1.2 Budgeted Enrollment YR1'!A112</f>
        <v>Carson City</v>
      </c>
      <c r="B112" s="40">
        <f>'1.2 Budgeted Enrollment YR1'!B112</f>
        <v>13</v>
      </c>
      <c r="C112" s="40">
        <f>'1.2 Budgeted Enrollment YR1'!C112</f>
        <v>13</v>
      </c>
      <c r="D112" s="40" t="str">
        <f>'1.2 Budgeted Enrollment YR1'!D112</f>
        <v>Carson City</v>
      </c>
      <c r="E112" s="38" t="str">
        <f>'1.2 Budgeted Enrollment YR1'!E112</f>
        <v>Pioneer High</v>
      </c>
      <c r="F112" s="590"/>
      <c r="G112" s="220">
        <f>'1.2 Budgeted Enrollment YR1'!G112+('1.2 Budgeted Enrollment YR1'!G112*$Q$2)</f>
        <v>207.77723733142216</v>
      </c>
      <c r="H112" s="219">
        <v>0</v>
      </c>
      <c r="I112" s="220">
        <v>0</v>
      </c>
      <c r="J112" s="219">
        <v>0</v>
      </c>
      <c r="K112" s="220">
        <v>0</v>
      </c>
      <c r="L112" s="73"/>
      <c r="M112" s="2"/>
      <c r="N112"/>
      <c r="O112"/>
      <c r="P112"/>
      <c r="Q112"/>
    </row>
    <row r="113" spans="1:19" ht="18" thickTop="1" thickBot="1" x14ac:dyDescent="0.35">
      <c r="A113" s="38" t="str">
        <f>'1.2 Budgeted Enrollment YR1'!A113</f>
        <v>Churchill</v>
      </c>
      <c r="B113" s="40">
        <f>'1.2 Budgeted Enrollment YR1'!B113</f>
        <v>1</v>
      </c>
      <c r="C113" s="40">
        <f>'1.2 Budgeted Enrollment YR1'!C113</f>
        <v>1</v>
      </c>
      <c r="D113" s="40" t="str">
        <f>'1.2 Budgeted Enrollment YR1'!D113</f>
        <v>Fallon</v>
      </c>
      <c r="E113" s="38" t="str">
        <f>'1.2 Budgeted Enrollment YR1'!E113</f>
        <v>Churchill County High School</v>
      </c>
      <c r="F113" s="590"/>
      <c r="G113" s="220">
        <f>'1.2 Budgeted Enrollment YR1'!G113+('1.2 Budgeted Enrollment YR1'!G113*$Q$2)</f>
        <v>1035.1314445468413</v>
      </c>
      <c r="H113" s="219">
        <v>0</v>
      </c>
      <c r="I113" s="220">
        <v>0</v>
      </c>
      <c r="J113" s="219">
        <v>0</v>
      </c>
      <c r="K113" s="220">
        <v>0</v>
      </c>
      <c r="L113" s="73"/>
      <c r="M113" s="2"/>
      <c r="N113"/>
      <c r="O113"/>
      <c r="P113"/>
      <c r="Q113"/>
    </row>
    <row r="114" spans="1:19" ht="18" thickTop="1" thickBot="1" x14ac:dyDescent="0.35">
      <c r="A114" s="38" t="str">
        <f>'1.2 Budgeted Enrollment YR1'!A114</f>
        <v>Churchill</v>
      </c>
      <c r="B114" s="40">
        <f>'1.2 Budgeted Enrollment YR1'!B114</f>
        <v>1</v>
      </c>
      <c r="C114" s="40">
        <f>'1.2 Budgeted Enrollment YR1'!C114</f>
        <v>1</v>
      </c>
      <c r="D114" s="40" t="str">
        <f>'1.2 Budgeted Enrollment YR1'!D114</f>
        <v>Fallon</v>
      </c>
      <c r="E114" s="38" t="str">
        <f>'1.2 Budgeted Enrollment YR1'!E114</f>
        <v>Churchill County Middle School</v>
      </c>
      <c r="F114" s="590"/>
      <c r="G114" s="220">
        <f>'1.2 Budgeted Enrollment YR1'!G114+('1.2 Budgeted Enrollment YR1'!G114*$Q$2)</f>
        <v>739.26493728312244</v>
      </c>
      <c r="H114" s="219">
        <v>0</v>
      </c>
      <c r="I114" s="220">
        <v>0</v>
      </c>
      <c r="J114" s="219">
        <v>0</v>
      </c>
      <c r="K114" s="220">
        <v>0</v>
      </c>
      <c r="L114" s="73"/>
      <c r="M114" s="2"/>
      <c r="N114"/>
      <c r="O114"/>
      <c r="P114"/>
      <c r="Q114"/>
    </row>
    <row r="115" spans="1:19" ht="18" thickTop="1" thickBot="1" x14ac:dyDescent="0.35">
      <c r="A115" s="38" t="str">
        <f>'1.2 Budgeted Enrollment YR1'!A115</f>
        <v>Churchill</v>
      </c>
      <c r="B115" s="40">
        <f>'1.2 Budgeted Enrollment YR1'!B115</f>
        <v>1</v>
      </c>
      <c r="C115" s="40">
        <f>'1.2 Budgeted Enrollment YR1'!C115</f>
        <v>1</v>
      </c>
      <c r="D115" s="40" t="str">
        <f>'1.2 Budgeted Enrollment YR1'!D115</f>
        <v>Fallon</v>
      </c>
      <c r="E115" s="38" t="str">
        <f>'1.2 Budgeted Enrollment YR1'!E115</f>
        <v>E C Best Elementary</v>
      </c>
      <c r="F115" s="590"/>
      <c r="G115" s="220">
        <f>'1.2 Budgeted Enrollment YR1'!G115+('1.2 Budgeted Enrollment YR1'!G115*$Q$2)</f>
        <v>440.94953307006193</v>
      </c>
      <c r="H115" s="219">
        <v>0</v>
      </c>
      <c r="I115" s="220">
        <v>0</v>
      </c>
      <c r="J115" s="219">
        <v>0</v>
      </c>
      <c r="K115" s="220">
        <v>0</v>
      </c>
      <c r="L115" s="73"/>
      <c r="M115" s="2"/>
      <c r="N115"/>
      <c r="O115"/>
      <c r="P115"/>
      <c r="Q115"/>
    </row>
    <row r="116" spans="1:19" ht="18" thickTop="1" thickBot="1" x14ac:dyDescent="0.35">
      <c r="A116" s="38" t="str">
        <f>'1.2 Budgeted Enrollment YR1'!A116</f>
        <v>Churchill</v>
      </c>
      <c r="B116" s="40">
        <f>'1.2 Budgeted Enrollment YR1'!B116</f>
        <v>1</v>
      </c>
      <c r="C116" s="40">
        <f>'1.2 Budgeted Enrollment YR1'!C116</f>
        <v>1</v>
      </c>
      <c r="D116" s="40" t="str">
        <f>'1.2 Budgeted Enrollment YR1'!D116</f>
        <v>Fallon</v>
      </c>
      <c r="E116" s="38" t="str">
        <f>'1.2 Budgeted Enrollment YR1'!E116</f>
        <v>Lahontan Elementary School</v>
      </c>
      <c r="F116" s="590"/>
      <c r="G116" s="220">
        <f>'1.2 Budgeted Enrollment YR1'!G116+('1.2 Budgeted Enrollment YR1'!G116*$Q$2)</f>
        <v>477.2722568158668</v>
      </c>
      <c r="H116" s="219">
        <v>0</v>
      </c>
      <c r="I116" s="220">
        <v>0</v>
      </c>
      <c r="J116" s="219">
        <v>0</v>
      </c>
      <c r="K116" s="220">
        <v>0</v>
      </c>
      <c r="L116" s="73"/>
      <c r="M116" s="2"/>
      <c r="N116"/>
      <c r="O116"/>
      <c r="P116"/>
      <c r="Q116"/>
    </row>
    <row r="117" spans="1:19" ht="18" thickTop="1" thickBot="1" x14ac:dyDescent="0.35">
      <c r="A117" s="38" t="str">
        <f>'1.2 Budgeted Enrollment YR1'!A117</f>
        <v>Churchill</v>
      </c>
      <c r="B117" s="40">
        <f>'1.2 Budgeted Enrollment YR1'!B117</f>
        <v>1</v>
      </c>
      <c r="C117" s="40">
        <f>'1.2 Budgeted Enrollment YR1'!C117</f>
        <v>1</v>
      </c>
      <c r="D117" s="40" t="str">
        <f>'1.2 Budgeted Enrollment YR1'!D117</f>
        <v>Fallon</v>
      </c>
      <c r="E117" s="38" t="str">
        <f>'1.2 Budgeted Enrollment YR1'!E117</f>
        <v>Northside Early Learning Center</v>
      </c>
      <c r="F117" s="590"/>
      <c r="G117" s="220">
        <f>'1.2 Budgeted Enrollment YR1'!G117+('1.2 Budgeted Enrollment YR1'!G117*$Q$2)</f>
        <v>27.970098633767346</v>
      </c>
      <c r="H117" s="219">
        <v>0</v>
      </c>
      <c r="I117" s="220">
        <v>0</v>
      </c>
      <c r="J117" s="219">
        <v>0</v>
      </c>
      <c r="K117" s="220">
        <v>0</v>
      </c>
      <c r="L117" s="73"/>
      <c r="M117" s="2"/>
      <c r="N117"/>
      <c r="O117"/>
      <c r="P117"/>
      <c r="Q117"/>
    </row>
    <row r="118" spans="1:19" ht="18" thickTop="1" thickBot="1" x14ac:dyDescent="0.35">
      <c r="A118" s="38" t="str">
        <f>'1.2 Budgeted Enrollment YR1'!A118</f>
        <v>Churchill</v>
      </c>
      <c r="B118" s="40">
        <f>'1.2 Budgeted Enrollment YR1'!B118</f>
        <v>1</v>
      </c>
      <c r="C118" s="40">
        <f>'1.2 Budgeted Enrollment YR1'!C118</f>
        <v>1</v>
      </c>
      <c r="D118" s="40" t="str">
        <f>'1.2 Budgeted Enrollment YR1'!D118</f>
        <v>Fallon</v>
      </c>
      <c r="E118" s="38" t="str">
        <f>'1.2 Budgeted Enrollment YR1'!E118</f>
        <v>Numa Elementary School-Includes Out of State</v>
      </c>
      <c r="F118" s="590"/>
      <c r="G118" s="220">
        <f>'1.2 Budgeted Enrollment YR1'!G118+('1.2 Budgeted Enrollment YR1'!G118*$Q$2)</f>
        <v>473.72947994885999</v>
      </c>
      <c r="H118" s="219">
        <v>0</v>
      </c>
      <c r="I118" s="220">
        <v>0</v>
      </c>
      <c r="J118" s="219">
        <v>0</v>
      </c>
      <c r="K118" s="220">
        <v>0</v>
      </c>
      <c r="L118" s="73"/>
      <c r="M118" s="2"/>
      <c r="N118"/>
      <c r="O118"/>
      <c r="P118"/>
      <c r="Q118"/>
    </row>
    <row r="119" spans="1:19" ht="18" thickTop="1" thickBot="1" x14ac:dyDescent="0.35">
      <c r="A119" s="38" t="str">
        <f>'1.2 Budgeted Enrollment YR1'!A119</f>
        <v>Clark</v>
      </c>
      <c r="B119" s="40">
        <f>'1.2 Budgeted Enrollment YR1'!B119</f>
        <v>2</v>
      </c>
      <c r="C119" s="40">
        <f>'1.2 Budgeted Enrollment YR1'!C119</f>
        <v>2</v>
      </c>
      <c r="D119" s="40" t="str">
        <f>'1.2 Budgeted Enrollment YR1'!D119</f>
        <v>Las Vegas</v>
      </c>
      <c r="E119" s="38" t="str">
        <f>'1.2 Budgeted Enrollment YR1'!E119</f>
        <v>Abston, Sandra B ES</v>
      </c>
      <c r="F119" s="590"/>
      <c r="G119" s="220">
        <f>'1.2 Budgeted Enrollment YR1'!G119+('1.2 Budgeted Enrollment YR1'!G119*$Q$2)</f>
        <v>707.81001686907291</v>
      </c>
      <c r="H119" s="219"/>
      <c r="I119" s="220"/>
      <c r="J119" s="219"/>
      <c r="K119" s="220">
        <v>0</v>
      </c>
      <c r="L119" s="73"/>
      <c r="M119" s="2"/>
      <c r="N119"/>
      <c r="O119"/>
      <c r="P119"/>
      <c r="Q119"/>
    </row>
    <row r="120" spans="1:19" ht="18" thickTop="1" thickBot="1" x14ac:dyDescent="0.35">
      <c r="A120" s="38" t="str">
        <f>'1.2 Budgeted Enrollment YR1'!A120</f>
        <v>Clark</v>
      </c>
      <c r="B120" s="40">
        <f>'1.2 Budgeted Enrollment YR1'!B120</f>
        <v>3</v>
      </c>
      <c r="C120" s="40">
        <f>'1.2 Budgeted Enrollment YR1'!C120</f>
        <v>2</v>
      </c>
      <c r="D120" s="40" t="str">
        <f>'1.2 Budgeted Enrollment YR1'!D120</f>
        <v>Las Vegas</v>
      </c>
      <c r="E120" s="38" t="str">
        <f>'1.2 Budgeted Enrollment YR1'!E120</f>
        <v>Acceleration Academy</v>
      </c>
      <c r="F120" s="590"/>
      <c r="G120" s="220">
        <f>'1.2 Budgeted Enrollment YR1'!G120+('1.2 Budgeted Enrollment YR1'!G120*$Q$2)</f>
        <v>1233.8717562387837</v>
      </c>
      <c r="H120" s="219">
        <v>0</v>
      </c>
      <c r="I120" s="220">
        <v>0</v>
      </c>
      <c r="J120" s="219">
        <v>0</v>
      </c>
      <c r="K120" s="220"/>
      <c r="L120" s="73"/>
      <c r="M120" s="2"/>
      <c r="N120"/>
      <c r="O120"/>
      <c r="P120"/>
      <c r="Q120"/>
    </row>
    <row r="121" spans="1:19" ht="18" thickTop="1" thickBot="1" x14ac:dyDescent="0.35">
      <c r="A121" s="38" t="str">
        <f>'1.2 Budgeted Enrollment YR1'!A121</f>
        <v>Clark</v>
      </c>
      <c r="B121" s="40">
        <f>'1.2 Budgeted Enrollment YR1'!B121</f>
        <v>2</v>
      </c>
      <c r="C121" s="40">
        <f>'1.2 Budgeted Enrollment YR1'!C121</f>
        <v>2</v>
      </c>
      <c r="D121" s="40" t="str">
        <f>'1.2 Budgeted Enrollment YR1'!D121</f>
        <v>Las Vegas</v>
      </c>
      <c r="E121" s="38" t="str">
        <f>'1.2 Budgeted Enrollment YR1'!E121</f>
        <v>Adams, Kirk ES</v>
      </c>
      <c r="F121" s="590"/>
      <c r="G121" s="220">
        <f>'1.2 Budgeted Enrollment YR1'!G121+('1.2 Budgeted Enrollment YR1'!G121*$Q$2)</f>
        <v>398.57753509645732</v>
      </c>
      <c r="H121" s="219"/>
      <c r="I121" s="220"/>
      <c r="J121" s="219"/>
      <c r="K121" s="220">
        <v>0</v>
      </c>
      <c r="L121" s="73"/>
      <c r="M121" s="2"/>
      <c r="N121"/>
      <c r="O121"/>
      <c r="P121"/>
      <c r="Q121"/>
    </row>
    <row r="122" spans="1:19" ht="18" thickTop="1" thickBot="1" x14ac:dyDescent="0.35">
      <c r="A122" s="38" t="str">
        <f>'1.2 Budgeted Enrollment YR1'!A122</f>
        <v>Clark</v>
      </c>
      <c r="B122" s="40">
        <f>'1.2 Budgeted Enrollment YR1'!B122</f>
        <v>2</v>
      </c>
      <c r="C122" s="40">
        <f>'1.2 Budgeted Enrollment YR1'!C122</f>
        <v>2</v>
      </c>
      <c r="D122" s="40" t="str">
        <f>'1.2 Budgeted Enrollment YR1'!D122</f>
        <v>Las Vegas</v>
      </c>
      <c r="E122" s="38" t="str">
        <f>'1.2 Budgeted Enrollment YR1'!E122</f>
        <v>Adcock, O K ES</v>
      </c>
      <c r="F122" s="590"/>
      <c r="G122" s="220">
        <f>'1.2 Budgeted Enrollment YR1'!G122+('1.2 Budgeted Enrollment YR1'!G122*$Q$2)</f>
        <v>420.58914014584741</v>
      </c>
      <c r="H122" s="219">
        <v>0</v>
      </c>
      <c r="I122" s="220">
        <v>0</v>
      </c>
      <c r="J122" s="219">
        <v>0</v>
      </c>
      <c r="K122" s="220">
        <v>0</v>
      </c>
      <c r="L122" s="73"/>
      <c r="M122" s="2"/>
      <c r="N122"/>
      <c r="O122"/>
      <c r="P122"/>
      <c r="Q122"/>
      <c r="S122"/>
    </row>
    <row r="123" spans="1:19" ht="18" thickTop="1" thickBot="1" x14ac:dyDescent="0.35">
      <c r="A123" s="38" t="str">
        <f>'1.2 Budgeted Enrollment YR1'!A123</f>
        <v>Clark</v>
      </c>
      <c r="B123" s="40">
        <f>'1.2 Budgeted Enrollment YR1'!B123</f>
        <v>2</v>
      </c>
      <c r="C123" s="40">
        <f>'1.2 Budgeted Enrollment YR1'!C123</f>
        <v>2</v>
      </c>
      <c r="D123" s="40" t="str">
        <f>'1.2 Budgeted Enrollment YR1'!D123</f>
        <v>Las Vegas</v>
      </c>
      <c r="E123" s="38" t="str">
        <f>'1.2 Budgeted Enrollment YR1'!E123</f>
        <v>Advanced Technologies Academy HS</v>
      </c>
      <c r="F123" s="590"/>
      <c r="G123" s="220">
        <f>'1.2 Budgeted Enrollment YR1'!G123+('1.2 Budgeted Enrollment YR1'!G123*$Q$2)</f>
        <v>1186.3959078676708</v>
      </c>
      <c r="H123" s="219">
        <v>0</v>
      </c>
      <c r="I123" s="220">
        <v>0</v>
      </c>
      <c r="J123" s="219">
        <v>0</v>
      </c>
      <c r="K123" s="220">
        <v>0</v>
      </c>
      <c r="L123" s="73"/>
      <c r="M123" s="2"/>
      <c r="N123"/>
      <c r="O123"/>
      <c r="P123"/>
      <c r="Q123"/>
      <c r="S123"/>
    </row>
    <row r="124" spans="1:19" ht="18" thickTop="1" thickBot="1" x14ac:dyDescent="0.35">
      <c r="A124" s="38" t="str">
        <f>'1.2 Budgeted Enrollment YR1'!A124</f>
        <v>Clark</v>
      </c>
      <c r="B124" s="40">
        <f>'1.2 Budgeted Enrollment YR1'!B124</f>
        <v>2</v>
      </c>
      <c r="C124" s="40">
        <f>'1.2 Budgeted Enrollment YR1'!C124</f>
        <v>2</v>
      </c>
      <c r="D124" s="40" t="str">
        <f>'1.2 Budgeted Enrollment YR1'!D124</f>
        <v>Las Vegas</v>
      </c>
      <c r="E124" s="38" t="str">
        <f>'1.2 Budgeted Enrollment YR1'!E124</f>
        <v>Alamo, Tony ES</v>
      </c>
      <c r="F124" s="590"/>
      <c r="G124" s="220">
        <f>'1.2 Budgeted Enrollment YR1'!G124+('1.2 Budgeted Enrollment YR1'!G124*$Q$2)</f>
        <v>826.62414459689342</v>
      </c>
      <c r="H124" s="219">
        <v>0</v>
      </c>
      <c r="I124" s="220">
        <v>0</v>
      </c>
      <c r="J124" s="219">
        <v>0</v>
      </c>
      <c r="K124" s="220">
        <v>0</v>
      </c>
      <c r="L124" s="73"/>
      <c r="M124" s="2"/>
      <c r="N124"/>
      <c r="O124"/>
      <c r="P124"/>
      <c r="Q124"/>
    </row>
    <row r="125" spans="1:19" ht="18" thickTop="1" thickBot="1" x14ac:dyDescent="0.35">
      <c r="A125" s="38" t="str">
        <f>'1.2 Budgeted Enrollment YR1'!A125</f>
        <v>Clark</v>
      </c>
      <c r="B125" s="40">
        <f>'1.2 Budgeted Enrollment YR1'!B125</f>
        <v>2</v>
      </c>
      <c r="C125" s="40">
        <f>'1.2 Budgeted Enrollment YR1'!C125</f>
        <v>2</v>
      </c>
      <c r="D125" s="40" t="str">
        <f>'1.2 Budgeted Enrollment YR1'!D125</f>
        <v>Las Vegas</v>
      </c>
      <c r="E125" s="38" t="str">
        <f>'1.2 Budgeted Enrollment YR1'!E125</f>
        <v>Allen, Dean LaMar ES</v>
      </c>
      <c r="F125" s="590"/>
      <c r="G125" s="220">
        <f>'1.2 Budgeted Enrollment YR1'!G125+('1.2 Budgeted Enrollment YR1'!G125*$Q$2)</f>
        <v>428.86191328824259</v>
      </c>
      <c r="H125" s="219">
        <v>0</v>
      </c>
      <c r="I125" s="220">
        <v>0</v>
      </c>
      <c r="J125" s="219">
        <v>0</v>
      </c>
      <c r="K125" s="220">
        <v>0</v>
      </c>
      <c r="L125" s="73"/>
      <c r="M125" s="2"/>
      <c r="N125"/>
      <c r="O125"/>
      <c r="P125"/>
      <c r="Q125"/>
    </row>
    <row r="126" spans="1:19" ht="18" thickTop="1" thickBot="1" x14ac:dyDescent="0.35">
      <c r="A126" s="38" t="str">
        <f>'1.2 Budgeted Enrollment YR1'!A126</f>
        <v>Clark</v>
      </c>
      <c r="B126" s="40">
        <f>'1.2 Budgeted Enrollment YR1'!B126</f>
        <v>2</v>
      </c>
      <c r="C126" s="40">
        <f>'1.2 Budgeted Enrollment YR1'!C126</f>
        <v>2</v>
      </c>
      <c r="D126" s="40" t="str">
        <f>'1.2 Budgeted Enrollment YR1'!D126</f>
        <v>Las Vegas</v>
      </c>
      <c r="E126" s="38" t="str">
        <f>'1.2 Budgeted Enrollment YR1'!E126</f>
        <v>Antonello, Lee ES</v>
      </c>
      <c r="F126" s="590"/>
      <c r="G126" s="220">
        <f>'1.2 Budgeted Enrollment YR1'!G126+('1.2 Budgeted Enrollment YR1'!G126*$Q$2)</f>
        <v>487.86890898302329</v>
      </c>
      <c r="H126" s="219">
        <v>0</v>
      </c>
      <c r="I126" s="220">
        <v>0</v>
      </c>
      <c r="J126" s="219">
        <v>0</v>
      </c>
      <c r="K126" s="220">
        <v>0</v>
      </c>
      <c r="L126" s="73"/>
      <c r="M126" s="2"/>
      <c r="N126"/>
      <c r="O126"/>
      <c r="P126"/>
      <c r="Q126"/>
    </row>
    <row r="127" spans="1:19" ht="18" thickTop="1" thickBot="1" x14ac:dyDescent="0.35">
      <c r="A127" s="38" t="str">
        <f>'1.2 Budgeted Enrollment YR1'!A127</f>
        <v>Clark</v>
      </c>
      <c r="B127" s="40">
        <f>'1.2 Budgeted Enrollment YR1'!B127</f>
        <v>2</v>
      </c>
      <c r="C127" s="40">
        <f>'1.2 Budgeted Enrollment YR1'!C127</f>
        <v>2</v>
      </c>
      <c r="D127" s="40" t="str">
        <f>'1.2 Budgeted Enrollment YR1'!D127</f>
        <v>Las Vegas</v>
      </c>
      <c r="E127" s="38" t="str">
        <f>'1.2 Budgeted Enrollment YR1'!E127</f>
        <v>Arbor View HS</v>
      </c>
      <c r="F127" s="590"/>
      <c r="G127" s="220">
        <f>'1.2 Budgeted Enrollment YR1'!G127+('1.2 Budgeted Enrollment YR1'!G127*$Q$2)</f>
        <v>3194.3128200813767</v>
      </c>
      <c r="H127" s="219">
        <v>0</v>
      </c>
      <c r="I127" s="220">
        <v>0</v>
      </c>
      <c r="J127" s="219">
        <v>0</v>
      </c>
      <c r="K127" s="220">
        <v>0</v>
      </c>
      <c r="L127" s="73"/>
      <c r="M127" s="2"/>
      <c r="N127"/>
      <c r="O127"/>
      <c r="P127"/>
      <c r="Q127"/>
    </row>
    <row r="128" spans="1:19" ht="18" thickTop="1" thickBot="1" x14ac:dyDescent="0.35">
      <c r="A128" s="38" t="str">
        <f>'1.2 Budgeted Enrollment YR1'!A128</f>
        <v>Clark</v>
      </c>
      <c r="B128" s="40">
        <f>'1.2 Budgeted Enrollment YR1'!B128</f>
        <v>2</v>
      </c>
      <c r="C128" s="40">
        <f>'1.2 Budgeted Enrollment YR1'!C128</f>
        <v>2</v>
      </c>
      <c r="D128" s="40" t="str">
        <f>'1.2 Budgeted Enrollment YR1'!D128</f>
        <v>Las Vegas</v>
      </c>
      <c r="E128" s="38" t="str">
        <f>'1.2 Budgeted Enrollment YR1'!E128</f>
        <v>Bailey, Dr William H MS</v>
      </c>
      <c r="F128" s="590"/>
      <c r="G128" s="220">
        <f>'1.2 Budgeted Enrollment YR1'!G128+('1.2 Budgeted Enrollment YR1'!G128*$Q$2)</f>
        <v>1239.111909411329</v>
      </c>
      <c r="H128" s="219">
        <v>0</v>
      </c>
      <c r="I128" s="220">
        <v>0</v>
      </c>
      <c r="J128" s="219">
        <v>0</v>
      </c>
      <c r="K128" s="220">
        <v>0</v>
      </c>
      <c r="L128" s="73"/>
      <c r="M128" s="2"/>
      <c r="N128"/>
      <c r="O128"/>
      <c r="P128"/>
      <c r="Q128"/>
    </row>
    <row r="129" spans="1:17" ht="18" thickTop="1" thickBot="1" x14ac:dyDescent="0.35">
      <c r="A129" s="38" t="str">
        <f>'1.2 Budgeted Enrollment YR1'!A129</f>
        <v>Clark</v>
      </c>
      <c r="B129" s="40">
        <f>'1.2 Budgeted Enrollment YR1'!B129</f>
        <v>2</v>
      </c>
      <c r="C129" s="40">
        <f>'1.2 Budgeted Enrollment YR1'!C129</f>
        <v>2</v>
      </c>
      <c r="D129" s="40" t="str">
        <f>'1.2 Budgeted Enrollment YR1'!D129</f>
        <v>Las Vegas</v>
      </c>
      <c r="E129" s="38" t="str">
        <f>'1.2 Budgeted Enrollment YR1'!E129</f>
        <v>Bailey, Sister Robert Joseph ES</v>
      </c>
      <c r="F129" s="590"/>
      <c r="G129" s="220">
        <f>'1.2 Budgeted Enrollment YR1'!G129+('1.2 Budgeted Enrollment YR1'!G129*$Q$2)</f>
        <v>546.45366828856299</v>
      </c>
      <c r="H129" s="219">
        <v>0</v>
      </c>
      <c r="I129" s="220">
        <v>0</v>
      </c>
      <c r="J129" s="219">
        <v>0</v>
      </c>
      <c r="K129" s="220">
        <v>0</v>
      </c>
      <c r="L129" s="73"/>
      <c r="M129" s="2"/>
      <c r="N129"/>
      <c r="O129"/>
      <c r="P129"/>
      <c r="Q129"/>
    </row>
    <row r="130" spans="1:17" ht="18" thickTop="1" thickBot="1" x14ac:dyDescent="0.35">
      <c r="A130" s="38" t="str">
        <f>'1.2 Budgeted Enrollment YR1'!A130</f>
        <v>Clark</v>
      </c>
      <c r="B130" s="40">
        <f>'1.2 Budgeted Enrollment YR1'!B130</f>
        <v>2</v>
      </c>
      <c r="C130" s="40">
        <f>'1.2 Budgeted Enrollment YR1'!C130</f>
        <v>2</v>
      </c>
      <c r="D130" s="40" t="str">
        <f>'1.2 Budgeted Enrollment YR1'!D130</f>
        <v>Las Vegas</v>
      </c>
      <c r="E130" s="38" t="str">
        <f>'1.2 Budgeted Enrollment YR1'!E130</f>
        <v>Barber, Shirley A ES</v>
      </c>
      <c r="F130" s="590"/>
      <c r="G130" s="220">
        <f>'1.2 Budgeted Enrollment YR1'!G130+('1.2 Budgeted Enrollment YR1'!G130*$Q$2)</f>
        <v>741.56107789670057</v>
      </c>
      <c r="H130" s="219">
        <v>0</v>
      </c>
      <c r="I130" s="220">
        <v>0</v>
      </c>
      <c r="J130" s="219">
        <v>0</v>
      </c>
      <c r="K130" s="220">
        <v>0</v>
      </c>
      <c r="L130" s="73"/>
      <c r="M130" s="2"/>
      <c r="N130"/>
      <c r="O130"/>
      <c r="P130"/>
      <c r="Q130"/>
    </row>
    <row r="131" spans="1:17" ht="18" thickTop="1" thickBot="1" x14ac:dyDescent="0.35">
      <c r="A131" s="38" t="str">
        <f>'1.2 Budgeted Enrollment YR1'!A131</f>
        <v>Clark</v>
      </c>
      <c r="B131" s="40">
        <f>'1.2 Budgeted Enrollment YR1'!B131</f>
        <v>2</v>
      </c>
      <c r="C131" s="40">
        <f>'1.2 Budgeted Enrollment YR1'!C131</f>
        <v>2</v>
      </c>
      <c r="D131" s="40" t="str">
        <f>'1.2 Budgeted Enrollment YR1'!D131</f>
        <v>Las Vegas</v>
      </c>
      <c r="E131" s="38" t="str">
        <f>'1.2 Budgeted Enrollment YR1'!E131</f>
        <v>Bartlett, Selma F ES</v>
      </c>
      <c r="F131" s="590"/>
      <c r="G131" s="220">
        <f>'1.2 Budgeted Enrollment YR1'!G131+('1.2 Budgeted Enrollment YR1'!G131*$Q$2)</f>
        <v>541.3491790460281</v>
      </c>
      <c r="H131" s="219">
        <v>0</v>
      </c>
      <c r="I131" s="220">
        <v>0</v>
      </c>
      <c r="J131" s="219">
        <v>0</v>
      </c>
      <c r="K131" s="220">
        <v>0</v>
      </c>
      <c r="L131" s="73"/>
      <c r="M131" s="2"/>
      <c r="N131"/>
      <c r="O131"/>
      <c r="P131"/>
      <c r="Q131"/>
    </row>
    <row r="132" spans="1:17" ht="18" thickTop="1" thickBot="1" x14ac:dyDescent="0.35">
      <c r="A132" s="38" t="str">
        <f>'1.2 Budgeted Enrollment YR1'!A132</f>
        <v>Clark</v>
      </c>
      <c r="B132" s="40">
        <f>'1.2 Budgeted Enrollment YR1'!B132</f>
        <v>2</v>
      </c>
      <c r="C132" s="40">
        <f>'1.2 Budgeted Enrollment YR1'!C132</f>
        <v>2</v>
      </c>
      <c r="D132" s="40" t="str">
        <f>'1.2 Budgeted Enrollment YR1'!D132</f>
        <v>Las Vegas</v>
      </c>
      <c r="E132" s="38" t="str">
        <f>'1.2 Budgeted Enrollment YR1'!E132</f>
        <v>Basic Academy of Int'l Studies HS</v>
      </c>
      <c r="F132" s="590"/>
      <c r="G132" s="220">
        <f>'1.2 Budgeted Enrollment YR1'!G132+('1.2 Budgeted Enrollment YR1'!G132*$Q$2)</f>
        <v>2516.4985761397779</v>
      </c>
      <c r="H132" s="219">
        <v>0</v>
      </c>
      <c r="I132" s="220">
        <v>0</v>
      </c>
      <c r="J132" s="219">
        <v>0</v>
      </c>
      <c r="K132" s="220">
        <v>0</v>
      </c>
      <c r="L132" s="73"/>
      <c r="M132" s="2"/>
      <c r="N132"/>
      <c r="O132"/>
      <c r="P132"/>
      <c r="Q132"/>
    </row>
    <row r="133" spans="1:17" ht="18" thickTop="1" thickBot="1" x14ac:dyDescent="0.35">
      <c r="A133" s="38" t="str">
        <f>'1.2 Budgeted Enrollment YR1'!A133</f>
        <v>Clark</v>
      </c>
      <c r="B133" s="40">
        <f>'1.2 Budgeted Enrollment YR1'!B133</f>
        <v>2</v>
      </c>
      <c r="C133" s="40">
        <f>'1.2 Budgeted Enrollment YR1'!C133</f>
        <v>2</v>
      </c>
      <c r="D133" s="40" t="str">
        <f>'1.2 Budgeted Enrollment YR1'!D133</f>
        <v>Las Vegas</v>
      </c>
      <c r="E133" s="38" t="str">
        <f>'1.2 Budgeted Enrollment YR1'!E133</f>
        <v>Bass, John C ES</v>
      </c>
      <c r="F133" s="590"/>
      <c r="G133" s="220">
        <f>'1.2 Budgeted Enrollment YR1'!G133+('1.2 Budgeted Enrollment YR1'!G133*$Q$2)</f>
        <v>555.25219198947877</v>
      </c>
      <c r="H133" s="219">
        <v>0</v>
      </c>
      <c r="I133" s="220">
        <v>0</v>
      </c>
      <c r="J133" s="219">
        <v>0</v>
      </c>
      <c r="K133" s="220">
        <v>0</v>
      </c>
      <c r="L133" s="73"/>
      <c r="M133" s="2"/>
      <c r="N133"/>
      <c r="O133"/>
      <c r="P133"/>
      <c r="Q133"/>
    </row>
    <row r="134" spans="1:17" ht="18" thickTop="1" thickBot="1" x14ac:dyDescent="0.35">
      <c r="A134" s="38" t="str">
        <f>'1.2 Budgeted Enrollment YR1'!A134</f>
        <v>Clark</v>
      </c>
      <c r="B134" s="40">
        <f>'1.2 Budgeted Enrollment YR1'!B134</f>
        <v>2</v>
      </c>
      <c r="C134" s="40">
        <f>'1.2 Budgeted Enrollment YR1'!C134</f>
        <v>2</v>
      </c>
      <c r="D134" s="40" t="str">
        <f>'1.2 Budgeted Enrollment YR1'!D134</f>
        <v>Las Vegas</v>
      </c>
      <c r="E134" s="38" t="str">
        <f>'1.2 Budgeted Enrollment YR1'!E134</f>
        <v>Batterman, Kathy L ES</v>
      </c>
      <c r="F134" s="590"/>
      <c r="G134" s="220">
        <f>'1.2 Budgeted Enrollment YR1'!G134+('1.2 Budgeted Enrollment YR1'!G134*$Q$2)</f>
        <v>635.9523095756357</v>
      </c>
      <c r="H134" s="219">
        <v>0</v>
      </c>
      <c r="I134" s="220">
        <v>0</v>
      </c>
      <c r="J134" s="219">
        <v>0</v>
      </c>
      <c r="K134" s="220">
        <v>0</v>
      </c>
      <c r="L134" s="73"/>
      <c r="M134" s="2"/>
      <c r="N134"/>
      <c r="O134"/>
      <c r="P134"/>
      <c r="Q134"/>
    </row>
    <row r="135" spans="1:17" ht="18" thickTop="1" thickBot="1" x14ac:dyDescent="0.35">
      <c r="A135" s="38" t="str">
        <f>'1.2 Budgeted Enrollment YR1'!A135</f>
        <v>Clark</v>
      </c>
      <c r="B135" s="40">
        <f>'1.2 Budgeted Enrollment YR1'!B135</f>
        <v>2</v>
      </c>
      <c r="C135" s="40">
        <f>'1.2 Budgeted Enrollment YR1'!C135</f>
        <v>2</v>
      </c>
      <c r="D135" s="40" t="str">
        <f>'1.2 Budgeted Enrollment YR1'!D135</f>
        <v>Las Vegas</v>
      </c>
      <c r="E135" s="38" t="str">
        <f>'1.2 Budgeted Enrollment YR1'!E135</f>
        <v>Beatty, John R ES</v>
      </c>
      <c r="F135" s="590"/>
      <c r="G135" s="220">
        <f>'1.2 Budgeted Enrollment YR1'!G135+('1.2 Budgeted Enrollment YR1'!G135*$Q$2)</f>
        <v>469.88896928927988</v>
      </c>
      <c r="H135" s="219">
        <v>0</v>
      </c>
      <c r="I135" s="220">
        <v>0</v>
      </c>
      <c r="J135" s="219">
        <v>0</v>
      </c>
      <c r="K135" s="220">
        <v>0</v>
      </c>
      <c r="L135" s="73"/>
      <c r="M135" s="2"/>
      <c r="N135"/>
      <c r="O135"/>
      <c r="P135"/>
      <c r="Q135"/>
    </row>
    <row r="136" spans="1:17" ht="18" thickTop="1" thickBot="1" x14ac:dyDescent="0.35">
      <c r="A136" s="38" t="str">
        <f>'1.2 Budgeted Enrollment YR1'!A136</f>
        <v>Clark</v>
      </c>
      <c r="B136" s="40">
        <f>'1.2 Budgeted Enrollment YR1'!B136</f>
        <v>2</v>
      </c>
      <c r="C136" s="40">
        <f>'1.2 Budgeted Enrollment YR1'!C136</f>
        <v>2</v>
      </c>
      <c r="D136" s="40" t="str">
        <f>'1.2 Budgeted Enrollment YR1'!D136</f>
        <v>Las Vegas</v>
      </c>
      <c r="E136" s="38" t="str">
        <f>'1.2 Budgeted Enrollment YR1'!E136</f>
        <v>Becker, Ernest MS</v>
      </c>
      <c r="F136" s="590"/>
      <c r="G136" s="220">
        <f>'1.2 Budgeted Enrollment YR1'!G136+('1.2 Budgeted Enrollment YR1'!G136*$Q$2)</f>
        <v>1103.9838227843222</v>
      </c>
      <c r="H136" s="219">
        <v>0</v>
      </c>
      <c r="I136" s="220">
        <v>0</v>
      </c>
      <c r="J136" s="219">
        <v>0</v>
      </c>
      <c r="K136" s="220">
        <v>0</v>
      </c>
      <c r="L136" s="73"/>
      <c r="M136" s="2"/>
      <c r="N136"/>
      <c r="O136"/>
      <c r="P136"/>
      <c r="Q136"/>
    </row>
    <row r="137" spans="1:17" ht="18" thickTop="1" thickBot="1" x14ac:dyDescent="0.35">
      <c r="A137" s="38" t="str">
        <f>'1.2 Budgeted Enrollment YR1'!A137</f>
        <v>Clark</v>
      </c>
      <c r="B137" s="40">
        <f>'1.2 Budgeted Enrollment YR1'!B137</f>
        <v>2</v>
      </c>
      <c r="C137" s="40">
        <f>'1.2 Budgeted Enrollment YR1'!C137</f>
        <v>2</v>
      </c>
      <c r="D137" s="40" t="str">
        <f>'1.2 Budgeted Enrollment YR1'!D137</f>
        <v>Las Vegas</v>
      </c>
      <c r="E137" s="38" t="str">
        <f>'1.2 Budgeted Enrollment YR1'!E137</f>
        <v>Beckley, Will ES</v>
      </c>
      <c r="F137" s="590"/>
      <c r="G137" s="220">
        <f>'1.2 Budgeted Enrollment YR1'!G137+('1.2 Budgeted Enrollment YR1'!G137*$Q$2)</f>
        <v>725.04234835999341</v>
      </c>
      <c r="H137" s="219">
        <v>0</v>
      </c>
      <c r="I137" s="220">
        <v>0</v>
      </c>
      <c r="J137" s="219">
        <v>0</v>
      </c>
      <c r="K137" s="220">
        <v>0</v>
      </c>
      <c r="L137" s="73"/>
      <c r="M137" s="2"/>
      <c r="N137"/>
      <c r="O137"/>
      <c r="P137"/>
      <c r="Q137"/>
    </row>
    <row r="138" spans="1:17" ht="18" thickTop="1" thickBot="1" x14ac:dyDescent="0.35">
      <c r="A138" s="38" t="str">
        <f>'1.2 Budgeted Enrollment YR1'!A138</f>
        <v>Clark</v>
      </c>
      <c r="B138" s="40">
        <f>'1.2 Budgeted Enrollment YR1'!B138</f>
        <v>2</v>
      </c>
      <c r="C138" s="40">
        <f>'1.2 Budgeted Enrollment YR1'!C138</f>
        <v>2</v>
      </c>
      <c r="D138" s="40" t="str">
        <f>'1.2 Budgeted Enrollment YR1'!D138</f>
        <v>Las Vegas</v>
      </c>
      <c r="E138" s="38" t="str">
        <f>'1.2 Budgeted Enrollment YR1'!E138</f>
        <v>Bell, Rex ES</v>
      </c>
      <c r="F138" s="590"/>
      <c r="G138" s="220">
        <f>'1.2 Budgeted Enrollment YR1'!G138+('1.2 Budgeted Enrollment YR1'!G138*$Q$2)</f>
        <v>543.96531779530198</v>
      </c>
      <c r="H138" s="219">
        <v>0</v>
      </c>
      <c r="I138" s="220">
        <v>0</v>
      </c>
      <c r="J138" s="219">
        <v>0</v>
      </c>
      <c r="K138" s="220">
        <v>0</v>
      </c>
      <c r="L138" s="73"/>
      <c r="M138" s="2"/>
      <c r="N138"/>
      <c r="O138"/>
      <c r="P138"/>
      <c r="Q138"/>
    </row>
    <row r="139" spans="1:17" ht="18" thickTop="1" thickBot="1" x14ac:dyDescent="0.35">
      <c r="A139" s="38" t="str">
        <f>'1.2 Budgeted Enrollment YR1'!A139</f>
        <v>Clark</v>
      </c>
      <c r="B139" s="40">
        <f>'1.2 Budgeted Enrollment YR1'!B139</f>
        <v>2</v>
      </c>
      <c r="C139" s="40">
        <f>'1.2 Budgeted Enrollment YR1'!C139</f>
        <v>2</v>
      </c>
      <c r="D139" s="40" t="str">
        <f>'1.2 Budgeted Enrollment YR1'!D139</f>
        <v>Las Vegas</v>
      </c>
      <c r="E139" s="38" t="str">
        <f>'1.2 Budgeted Enrollment YR1'!E139</f>
        <v>Bendorf, Patricia A ES</v>
      </c>
      <c r="F139" s="590"/>
      <c r="G139" s="220">
        <f>'1.2 Budgeted Enrollment YR1'!G139+('1.2 Budgeted Enrollment YR1'!G139*$Q$2)</f>
        <v>551.54774671067287</v>
      </c>
      <c r="H139" s="219">
        <v>0</v>
      </c>
      <c r="I139" s="220">
        <v>0</v>
      </c>
      <c r="J139" s="219">
        <v>0</v>
      </c>
      <c r="K139" s="220">
        <v>0</v>
      </c>
      <c r="L139" s="73"/>
      <c r="M139" s="2"/>
      <c r="N139"/>
      <c r="O139"/>
      <c r="P139"/>
      <c r="Q139"/>
    </row>
    <row r="140" spans="1:17" ht="18" thickTop="1" thickBot="1" x14ac:dyDescent="0.35">
      <c r="A140" s="38" t="str">
        <f>'1.2 Budgeted Enrollment YR1'!A140</f>
        <v>Clark</v>
      </c>
      <c r="B140" s="40">
        <f>'1.2 Budgeted Enrollment YR1'!B140</f>
        <v>2</v>
      </c>
      <c r="C140" s="40">
        <f>'1.2 Budgeted Enrollment YR1'!C140</f>
        <v>2</v>
      </c>
      <c r="D140" s="40" t="str">
        <f>'1.2 Budgeted Enrollment YR1'!D140</f>
        <v>Laughlin</v>
      </c>
      <c r="E140" s="38" t="str">
        <f>'1.2 Budgeted Enrollment YR1'!E140</f>
        <v>Bennett, William G ES</v>
      </c>
      <c r="F140" s="590"/>
      <c r="G140" s="220">
        <f>'1.2 Budgeted Enrollment YR1'!G140+('1.2 Budgeted Enrollment YR1'!G140*$Q$2)</f>
        <v>328.90979575850639</v>
      </c>
      <c r="H140" s="219">
        <v>0</v>
      </c>
      <c r="I140" s="220">
        <v>0</v>
      </c>
      <c r="J140" s="219">
        <v>0</v>
      </c>
      <c r="K140" s="220">
        <v>0</v>
      </c>
      <c r="L140" s="73"/>
      <c r="M140" s="2"/>
      <c r="N140"/>
      <c r="O140"/>
      <c r="P140"/>
      <c r="Q140"/>
    </row>
    <row r="141" spans="1:17" ht="18" thickTop="1" thickBot="1" x14ac:dyDescent="0.35">
      <c r="A141" s="38" t="str">
        <f>'1.2 Budgeted Enrollment YR1'!A141</f>
        <v>Clark</v>
      </c>
      <c r="B141" s="40">
        <f>'1.2 Budgeted Enrollment YR1'!B141</f>
        <v>2</v>
      </c>
      <c r="C141" s="40">
        <f>'1.2 Budgeted Enrollment YR1'!C141</f>
        <v>2</v>
      </c>
      <c r="D141" s="40" t="str">
        <f>'1.2 Budgeted Enrollment YR1'!D141</f>
        <v>Las Vegas</v>
      </c>
      <c r="E141" s="38" t="str">
        <f>'1.2 Budgeted Enrollment YR1'!E141</f>
        <v>Berkley, Shelley ES</v>
      </c>
      <c r="F141" s="590"/>
      <c r="G141" s="220">
        <f>'1.2 Budgeted Enrollment YR1'!G141+('1.2 Budgeted Enrollment YR1'!G141*$Q$2)</f>
        <v>700.4739341588828</v>
      </c>
      <c r="H141" s="219">
        <v>0</v>
      </c>
      <c r="I141" s="220">
        <v>0</v>
      </c>
      <c r="J141" s="219">
        <v>0</v>
      </c>
      <c r="K141" s="220">
        <v>0</v>
      </c>
      <c r="L141" s="73"/>
      <c r="M141" s="2"/>
      <c r="N141"/>
      <c r="O141"/>
      <c r="P141"/>
      <c r="Q141"/>
    </row>
    <row r="142" spans="1:17" ht="18" thickTop="1" thickBot="1" x14ac:dyDescent="0.35">
      <c r="A142" s="38" t="str">
        <f>'1.2 Budgeted Enrollment YR1'!A142</f>
        <v>Clark</v>
      </c>
      <c r="B142" s="40">
        <f>'1.2 Budgeted Enrollment YR1'!B142</f>
        <v>2</v>
      </c>
      <c r="C142" s="40">
        <f>'1.2 Budgeted Enrollment YR1'!C142</f>
        <v>2</v>
      </c>
      <c r="D142" s="40" t="str">
        <f>'1.2 Budgeted Enrollment YR1'!D142</f>
        <v>Las Vegas</v>
      </c>
      <c r="E142" s="38" t="str">
        <f>'1.2 Budgeted Enrollment YR1'!E142</f>
        <v>Bilbray, James ES</v>
      </c>
      <c r="F142" s="590"/>
      <c r="G142" s="220">
        <f>'1.2 Budgeted Enrollment YR1'!G142+('1.2 Budgeted Enrollment YR1'!G142*$Q$2)</f>
        <v>593.98356872267709</v>
      </c>
      <c r="H142" s="219">
        <v>0</v>
      </c>
      <c r="I142" s="220">
        <v>0</v>
      </c>
      <c r="J142" s="219">
        <v>0</v>
      </c>
      <c r="K142" s="220">
        <v>0</v>
      </c>
      <c r="L142" s="73"/>
      <c r="M142" s="2"/>
      <c r="N142"/>
      <c r="O142"/>
      <c r="P142"/>
      <c r="Q142"/>
    </row>
    <row r="143" spans="1:17" ht="18" thickTop="1" thickBot="1" x14ac:dyDescent="0.35">
      <c r="A143" s="38" t="str">
        <f>'1.2 Budgeted Enrollment YR1'!A143</f>
        <v>Clark</v>
      </c>
      <c r="B143" s="40">
        <f>'1.2 Budgeted Enrollment YR1'!B143</f>
        <v>2</v>
      </c>
      <c r="C143" s="40">
        <f>'1.2 Budgeted Enrollment YR1'!C143</f>
        <v>2</v>
      </c>
      <c r="D143" s="40" t="str">
        <f>'1.2 Budgeted Enrollment YR1'!D143</f>
        <v>Blue Diamond</v>
      </c>
      <c r="E143" s="38" t="str">
        <f>'1.2 Budgeted Enrollment YR1'!E143</f>
        <v>Blue Diamond ES</v>
      </c>
      <c r="F143" s="590"/>
      <c r="G143" s="220">
        <f>'1.2 Budgeted Enrollment YR1'!G143+('1.2 Budgeted Enrollment YR1'!G143*$Q$2)</f>
        <v>37.009488860181918</v>
      </c>
      <c r="H143" s="219">
        <v>0</v>
      </c>
      <c r="I143" s="220">
        <v>0</v>
      </c>
      <c r="J143" s="219">
        <v>0</v>
      </c>
      <c r="K143" s="220">
        <v>0</v>
      </c>
      <c r="L143" s="73"/>
      <c r="M143" s="2"/>
      <c r="N143"/>
      <c r="O143"/>
      <c r="P143"/>
      <c r="Q143"/>
    </row>
    <row r="144" spans="1:17" ht="18" thickTop="1" thickBot="1" x14ac:dyDescent="0.35">
      <c r="A144" s="38" t="str">
        <f>'1.2 Budgeted Enrollment YR1'!A144</f>
        <v>Clark</v>
      </c>
      <c r="B144" s="40">
        <f>'1.2 Budgeted Enrollment YR1'!B144</f>
        <v>2</v>
      </c>
      <c r="C144" s="40">
        <f>'1.2 Budgeted Enrollment YR1'!C144</f>
        <v>2</v>
      </c>
      <c r="D144" s="40" t="str">
        <f>'1.2 Budgeted Enrollment YR1'!D144</f>
        <v>Las Vegas</v>
      </c>
      <c r="E144" s="38" t="str">
        <f>'1.2 Budgeted Enrollment YR1'!E144</f>
        <v>Bonanza HS</v>
      </c>
      <c r="F144" s="590"/>
      <c r="G144" s="220">
        <f>'1.2 Budgeted Enrollment YR1'!G144+('1.2 Budgeted Enrollment YR1'!G144*$Q$2)</f>
        <v>1994.9306700003758</v>
      </c>
      <c r="H144" s="219">
        <v>0</v>
      </c>
      <c r="I144" s="220">
        <v>0</v>
      </c>
      <c r="J144" s="219">
        <v>0</v>
      </c>
      <c r="K144" s="220">
        <v>0</v>
      </c>
      <c r="L144" s="73"/>
      <c r="M144" s="2"/>
      <c r="N144"/>
      <c r="O144"/>
      <c r="P144"/>
      <c r="Q144"/>
    </row>
    <row r="145" spans="1:17" ht="18" thickTop="1" thickBot="1" x14ac:dyDescent="0.35">
      <c r="A145" s="38" t="str">
        <f>'1.2 Budgeted Enrollment YR1'!A145</f>
        <v>Clark</v>
      </c>
      <c r="B145" s="40">
        <f>'1.2 Budgeted Enrollment YR1'!B145</f>
        <v>2</v>
      </c>
      <c r="C145" s="40">
        <f>'1.2 Budgeted Enrollment YR1'!C145</f>
        <v>2</v>
      </c>
      <c r="D145" s="40" t="str">
        <f>'1.2 Budgeted Enrollment YR1'!D145</f>
        <v>Las Vegas</v>
      </c>
      <c r="E145" s="38" t="str">
        <f>'1.2 Budgeted Enrollment YR1'!E145</f>
        <v>Bonner, John W ES</v>
      </c>
      <c r="F145" s="590"/>
      <c r="G145" s="220">
        <f>'1.2 Budgeted Enrollment YR1'!G145+('1.2 Budgeted Enrollment YR1'!G145*$Q$2)</f>
        <v>784.06291870390771</v>
      </c>
      <c r="H145" s="219">
        <v>0</v>
      </c>
      <c r="I145" s="220">
        <v>0</v>
      </c>
      <c r="J145" s="219">
        <v>0</v>
      </c>
      <c r="K145" s="220">
        <v>0</v>
      </c>
      <c r="L145" s="73"/>
      <c r="M145" s="2"/>
      <c r="N145"/>
      <c r="O145"/>
      <c r="P145"/>
      <c r="Q145"/>
    </row>
    <row r="146" spans="1:17" ht="18" thickTop="1" thickBot="1" x14ac:dyDescent="0.35">
      <c r="A146" s="38" t="str">
        <f>'1.2 Budgeted Enrollment YR1'!A146</f>
        <v>Clark</v>
      </c>
      <c r="B146" s="40">
        <f>'1.2 Budgeted Enrollment YR1'!B146</f>
        <v>2</v>
      </c>
      <c r="C146" s="40">
        <f>'1.2 Budgeted Enrollment YR1'!C146</f>
        <v>2</v>
      </c>
      <c r="D146" s="40" t="str">
        <f>'1.2 Budgeted Enrollment YR1'!D146</f>
        <v>Las Vegas</v>
      </c>
      <c r="E146" s="38" t="str">
        <f>'1.2 Budgeted Enrollment YR1'!E146</f>
        <v>Booker, Kermit R Sr ES</v>
      </c>
      <c r="F146" s="590"/>
      <c r="G146" s="220">
        <f>'1.2 Budgeted Enrollment YR1'!G146+('1.2 Budgeted Enrollment YR1'!G146*$Q$2)</f>
        <v>336.09808583506151</v>
      </c>
      <c r="H146" s="219">
        <v>0</v>
      </c>
      <c r="I146" s="220">
        <v>0</v>
      </c>
      <c r="J146" s="219">
        <v>0</v>
      </c>
      <c r="K146" s="220">
        <v>0</v>
      </c>
      <c r="L146" s="73"/>
      <c r="M146" s="2"/>
      <c r="N146"/>
      <c r="O146"/>
      <c r="P146"/>
      <c r="Q146"/>
    </row>
    <row r="147" spans="1:17" ht="18" thickTop="1" thickBot="1" x14ac:dyDescent="0.35">
      <c r="A147" s="38" t="str">
        <f>'1.2 Budgeted Enrollment YR1'!A147</f>
        <v>Clark</v>
      </c>
      <c r="B147" s="40">
        <f>'1.2 Budgeted Enrollment YR1'!B147</f>
        <v>2</v>
      </c>
      <c r="C147" s="40">
        <f>'1.2 Budgeted Enrollment YR1'!C147</f>
        <v>2</v>
      </c>
      <c r="D147" s="40" t="str">
        <f>'1.2 Budgeted Enrollment YR1'!D147</f>
        <v>Boulder City</v>
      </c>
      <c r="E147" s="38" t="str">
        <f>'1.2 Budgeted Enrollment YR1'!E147</f>
        <v>Boulder City HS</v>
      </c>
      <c r="F147" s="590"/>
      <c r="G147" s="220">
        <f>'1.2 Budgeted Enrollment YR1'!G147+('1.2 Budgeted Enrollment YR1'!G147*$Q$2)</f>
        <v>644.71379771394527</v>
      </c>
      <c r="H147" s="219">
        <v>0</v>
      </c>
      <c r="I147" s="220">
        <v>0</v>
      </c>
      <c r="J147" s="219">
        <v>0</v>
      </c>
      <c r="K147" s="220">
        <v>0</v>
      </c>
      <c r="L147" s="73"/>
      <c r="M147" s="2"/>
      <c r="N147"/>
      <c r="O147"/>
      <c r="P147"/>
      <c r="Q147"/>
    </row>
    <row r="148" spans="1:17" ht="18" thickTop="1" thickBot="1" x14ac:dyDescent="0.35">
      <c r="A148" s="38" t="str">
        <f>'1.2 Budgeted Enrollment YR1'!A148</f>
        <v>Clark</v>
      </c>
      <c r="B148" s="40">
        <f>'1.2 Budgeted Enrollment YR1'!B148</f>
        <v>2</v>
      </c>
      <c r="C148" s="40">
        <f>'1.2 Budgeted Enrollment YR1'!C148</f>
        <v>2</v>
      </c>
      <c r="D148" s="40" t="str">
        <f>'1.2 Budgeted Enrollment YR1'!D148</f>
        <v>Moapa Valley</v>
      </c>
      <c r="E148" s="38" t="str">
        <f>'1.2 Budgeted Enrollment YR1'!E148</f>
        <v>Bowler, Grant ES</v>
      </c>
      <c r="F148" s="590"/>
      <c r="G148" s="220">
        <f>'1.2 Budgeted Enrollment YR1'!G148+('1.2 Budgeted Enrollment YR1'!G148*$Q$2)</f>
        <v>645.49478429368492</v>
      </c>
      <c r="H148" s="219">
        <v>0</v>
      </c>
      <c r="I148" s="220">
        <v>0</v>
      </c>
      <c r="J148" s="219">
        <v>0</v>
      </c>
      <c r="K148" s="220">
        <v>0</v>
      </c>
      <c r="L148" s="73"/>
      <c r="M148" s="2"/>
      <c r="N148"/>
      <c r="O148"/>
      <c r="P148"/>
      <c r="Q148"/>
    </row>
    <row r="149" spans="1:17" ht="18" thickTop="1" thickBot="1" x14ac:dyDescent="0.35">
      <c r="A149" s="38" t="str">
        <f>'1.2 Budgeted Enrollment YR1'!A149</f>
        <v>Clark</v>
      </c>
      <c r="B149" s="40">
        <f>'1.2 Budgeted Enrollment YR1'!B149</f>
        <v>2</v>
      </c>
      <c r="C149" s="40">
        <f>'1.2 Budgeted Enrollment YR1'!C149</f>
        <v>2</v>
      </c>
      <c r="D149" s="40" t="str">
        <f>'1.2 Budgeted Enrollment YR1'!D149</f>
        <v>Mesquite</v>
      </c>
      <c r="E149" s="38" t="str">
        <f>'1.2 Budgeted Enrollment YR1'!E149</f>
        <v>Bowler, Joseph L ES</v>
      </c>
      <c r="F149" s="590"/>
      <c r="G149" s="220">
        <f>'1.2 Budgeted Enrollment YR1'!G149+('1.2 Budgeted Enrollment YR1'!G149*$Q$2)</f>
        <v>437.69056153312806</v>
      </c>
      <c r="H149" s="219">
        <v>0</v>
      </c>
      <c r="I149" s="220">
        <v>0</v>
      </c>
      <c r="J149" s="219">
        <v>0</v>
      </c>
      <c r="K149" s="220">
        <v>0</v>
      </c>
      <c r="L149" s="73"/>
      <c r="M149" s="2"/>
      <c r="N149"/>
      <c r="O149"/>
      <c r="P149"/>
      <c r="Q149"/>
    </row>
    <row r="150" spans="1:17" ht="18" thickTop="1" thickBot="1" x14ac:dyDescent="0.35">
      <c r="A150" s="38" t="str">
        <f>'1.2 Budgeted Enrollment YR1'!A150</f>
        <v>Clark</v>
      </c>
      <c r="B150" s="40">
        <f>'1.2 Budgeted Enrollment YR1'!B150</f>
        <v>2</v>
      </c>
      <c r="C150" s="40">
        <f>'1.2 Budgeted Enrollment YR1'!C150</f>
        <v>2</v>
      </c>
      <c r="D150" s="40" t="str">
        <f>'1.2 Budgeted Enrollment YR1'!D150</f>
        <v>Las Vegas</v>
      </c>
      <c r="E150" s="38" t="str">
        <f>'1.2 Budgeted Enrollment YR1'!E150</f>
        <v>Bozarth, Henry &amp; Evelyn ES</v>
      </c>
      <c r="F150" s="590"/>
      <c r="G150" s="220">
        <f>'1.2 Budgeted Enrollment YR1'!G150+('1.2 Budgeted Enrollment YR1'!G150*$Q$2)</f>
        <v>763.33482223336716</v>
      </c>
      <c r="H150" s="219">
        <v>0</v>
      </c>
      <c r="I150" s="220">
        <v>0</v>
      </c>
      <c r="J150" s="219">
        <v>0</v>
      </c>
      <c r="K150" s="220">
        <v>0</v>
      </c>
      <c r="L150" s="73"/>
      <c r="M150" s="2"/>
      <c r="N150"/>
      <c r="O150"/>
      <c r="P150"/>
      <c r="Q150"/>
    </row>
    <row r="151" spans="1:17" ht="18" thickTop="1" thickBot="1" x14ac:dyDescent="0.35">
      <c r="A151" s="38" t="str">
        <f>'1.2 Budgeted Enrollment YR1'!A151</f>
        <v>Clark</v>
      </c>
      <c r="B151" s="40">
        <f>'1.2 Budgeted Enrollment YR1'!B151</f>
        <v>2</v>
      </c>
      <c r="C151" s="40">
        <f>'1.2 Budgeted Enrollment YR1'!C151</f>
        <v>2</v>
      </c>
      <c r="D151" s="40" t="str">
        <f>'1.2 Budgeted Enrollment YR1'!D151</f>
        <v>Las Vegas</v>
      </c>
      <c r="E151" s="38" t="str">
        <f>'1.2 Budgeted Enrollment YR1'!E151</f>
        <v>Bracken, Walter ES</v>
      </c>
      <c r="F151" s="590"/>
      <c r="G151" s="220">
        <f>'1.2 Budgeted Enrollment YR1'!G151+('1.2 Budgeted Enrollment YR1'!G151*$Q$2)</f>
        <v>540.041634138419</v>
      </c>
      <c r="H151" s="219">
        <v>0</v>
      </c>
      <c r="I151" s="220">
        <v>0</v>
      </c>
      <c r="J151" s="219">
        <v>0</v>
      </c>
      <c r="K151" s="220">
        <v>0</v>
      </c>
      <c r="L151" s="73"/>
      <c r="M151" s="2"/>
      <c r="N151"/>
      <c r="O151"/>
      <c r="P151"/>
      <c r="Q151"/>
    </row>
    <row r="152" spans="1:17" ht="18" thickTop="1" thickBot="1" x14ac:dyDescent="0.35">
      <c r="A152" s="38" t="str">
        <f>'1.2 Budgeted Enrollment YR1'!A152</f>
        <v>Clark</v>
      </c>
      <c r="B152" s="40">
        <f>'1.2 Budgeted Enrollment YR1'!B152</f>
        <v>2</v>
      </c>
      <c r="C152" s="40">
        <f>'1.2 Budgeted Enrollment YR1'!C152</f>
        <v>2</v>
      </c>
      <c r="D152" s="40" t="str">
        <f>'1.2 Budgeted Enrollment YR1'!D152</f>
        <v>Las Vegas</v>
      </c>
      <c r="E152" s="38" t="str">
        <f>'1.2 Budgeted Enrollment YR1'!E152</f>
        <v>Bridger, Jim MS</v>
      </c>
      <c r="F152" s="590"/>
      <c r="G152" s="220">
        <f>'1.2 Budgeted Enrollment YR1'!G152+('1.2 Budgeted Enrollment YR1'!G152*$Q$2)</f>
        <v>1126.673844247005</v>
      </c>
      <c r="H152" s="219">
        <v>0</v>
      </c>
      <c r="I152" s="220">
        <v>0</v>
      </c>
      <c r="J152" s="219">
        <v>0</v>
      </c>
      <c r="K152" s="220">
        <v>0</v>
      </c>
      <c r="L152" s="73"/>
      <c r="M152" s="2"/>
      <c r="N152"/>
      <c r="O152"/>
      <c r="P152"/>
      <c r="Q152"/>
    </row>
    <row r="153" spans="1:17" ht="18" thickTop="1" thickBot="1" x14ac:dyDescent="0.35">
      <c r="A153" s="38" t="str">
        <f>'1.2 Budgeted Enrollment YR1'!A153</f>
        <v>Clark</v>
      </c>
      <c r="B153" s="40">
        <f>'1.2 Budgeted Enrollment YR1'!B153</f>
        <v>2</v>
      </c>
      <c r="C153" s="40">
        <f>'1.2 Budgeted Enrollment YR1'!C153</f>
        <v>2</v>
      </c>
      <c r="D153" s="40" t="str">
        <f>'1.2 Budgeted Enrollment YR1'!D153</f>
        <v>Las Vegas</v>
      </c>
      <c r="E153" s="38" t="str">
        <f>'1.2 Budgeted Enrollment YR1'!E153</f>
        <v>Brinley, J Harold MS</v>
      </c>
      <c r="F153" s="590"/>
      <c r="G153" s="220">
        <f>'1.2 Budgeted Enrollment YR1'!G153+('1.2 Budgeted Enrollment YR1'!G153*$Q$2)</f>
        <v>922.19255382375081</v>
      </c>
      <c r="H153" s="219">
        <v>0</v>
      </c>
      <c r="I153" s="220">
        <v>0</v>
      </c>
      <c r="J153" s="219">
        <v>0</v>
      </c>
      <c r="K153" s="220">
        <v>0</v>
      </c>
      <c r="L153" s="73"/>
      <c r="M153" s="2"/>
      <c r="N153"/>
      <c r="O153"/>
      <c r="P153"/>
      <c r="Q153"/>
    </row>
    <row r="154" spans="1:17" ht="18" thickTop="1" thickBot="1" x14ac:dyDescent="0.35">
      <c r="A154" s="38" t="str">
        <f>'1.2 Budgeted Enrollment YR1'!A154</f>
        <v>Clark</v>
      </c>
      <c r="B154" s="40">
        <f>'1.2 Budgeted Enrollment YR1'!B154</f>
        <v>2</v>
      </c>
      <c r="C154" s="40">
        <f>'1.2 Budgeted Enrollment YR1'!C154</f>
        <v>2</v>
      </c>
      <c r="D154" s="40" t="str">
        <f>'1.2 Budgeted Enrollment YR1'!D154</f>
        <v>Las Vegas</v>
      </c>
      <c r="E154" s="38" t="str">
        <f>'1.2 Budgeted Enrollment YR1'!E154</f>
        <v>Brookman, Eileen B ES</v>
      </c>
      <c r="F154" s="590"/>
      <c r="G154" s="220">
        <f>'1.2 Budgeted Enrollment YR1'!G154+('1.2 Budgeted Enrollment YR1'!G154*$Q$2)</f>
        <v>590.36108532217452</v>
      </c>
      <c r="H154" s="219">
        <v>0</v>
      </c>
      <c r="I154" s="220">
        <v>0</v>
      </c>
      <c r="J154" s="219">
        <v>0</v>
      </c>
      <c r="K154" s="220">
        <v>0</v>
      </c>
      <c r="L154" s="73"/>
      <c r="M154" s="2"/>
      <c r="N154"/>
      <c r="O154"/>
      <c r="P154"/>
      <c r="Q154"/>
    </row>
    <row r="155" spans="1:17" ht="18" thickTop="1" thickBot="1" x14ac:dyDescent="0.35">
      <c r="A155" s="38" t="str">
        <f>'1.2 Budgeted Enrollment YR1'!A155</f>
        <v>Clark</v>
      </c>
      <c r="B155" s="40">
        <f>'1.2 Budgeted Enrollment YR1'!B155</f>
        <v>2</v>
      </c>
      <c r="C155" s="40">
        <f>'1.2 Budgeted Enrollment YR1'!C155</f>
        <v>2</v>
      </c>
      <c r="D155" s="40" t="str">
        <f>'1.2 Budgeted Enrollment YR1'!D155</f>
        <v>Las Vegas</v>
      </c>
      <c r="E155" s="38" t="str">
        <f>'1.2 Budgeted Enrollment YR1'!E155</f>
        <v>Brown, B Mahlon JHS</v>
      </c>
      <c r="F155" s="590"/>
      <c r="G155" s="220">
        <f>'1.2 Budgeted Enrollment YR1'!G155+('1.2 Budgeted Enrollment YR1'!G155*$Q$2)</f>
        <v>797.45798717233265</v>
      </c>
      <c r="H155" s="219">
        <v>0</v>
      </c>
      <c r="I155" s="220">
        <v>0</v>
      </c>
      <c r="J155" s="219">
        <v>0</v>
      </c>
      <c r="K155" s="220">
        <v>0</v>
      </c>
      <c r="L155" s="73"/>
      <c r="M155" s="2"/>
      <c r="N155"/>
      <c r="O155"/>
      <c r="P155"/>
      <c r="Q155"/>
    </row>
    <row r="156" spans="1:17" ht="18" thickTop="1" thickBot="1" x14ac:dyDescent="0.35">
      <c r="A156" s="38" t="str">
        <f>'1.2 Budgeted Enrollment YR1'!A156</f>
        <v>Clark</v>
      </c>
      <c r="B156" s="40">
        <f>'1.2 Budgeted Enrollment YR1'!B156</f>
        <v>2</v>
      </c>
      <c r="C156" s="40">
        <f>'1.2 Budgeted Enrollment YR1'!C156</f>
        <v>2</v>
      </c>
      <c r="D156" s="40" t="str">
        <f>'1.2 Budgeted Enrollment YR1'!D156</f>
        <v>Las Vegas</v>
      </c>
      <c r="E156" s="38" t="str">
        <f>'1.2 Budgeted Enrollment YR1'!E156</f>
        <v>Brown, Hannah Marie ES</v>
      </c>
      <c r="F156" s="590"/>
      <c r="G156" s="220">
        <f>'1.2 Budgeted Enrollment YR1'!G156+('1.2 Budgeted Enrollment YR1'!G156*$Q$2)</f>
        <v>611.74337702392518</v>
      </c>
      <c r="H156" s="219">
        <v>0</v>
      </c>
      <c r="I156" s="220">
        <v>0</v>
      </c>
      <c r="J156" s="219">
        <v>0</v>
      </c>
      <c r="K156" s="220">
        <v>0</v>
      </c>
      <c r="L156" s="73"/>
      <c r="M156" s="2"/>
      <c r="N156"/>
      <c r="O156"/>
      <c r="P156"/>
      <c r="Q156"/>
    </row>
    <row r="157" spans="1:17" ht="18" thickTop="1" thickBot="1" x14ac:dyDescent="0.35">
      <c r="A157" s="38" t="str">
        <f>'1.2 Budgeted Enrollment YR1'!A157</f>
        <v>Clark</v>
      </c>
      <c r="B157" s="40">
        <f>'1.2 Budgeted Enrollment YR1'!B157</f>
        <v>2</v>
      </c>
      <c r="C157" s="40">
        <f>'1.2 Budgeted Enrollment YR1'!C157</f>
        <v>2</v>
      </c>
      <c r="D157" s="40" t="str">
        <f>'1.2 Budgeted Enrollment YR1'!D157</f>
        <v>Las Vegas</v>
      </c>
      <c r="E157" s="38" t="str">
        <f>'1.2 Budgeted Enrollment YR1'!E157</f>
        <v>Bruner, Lucile ES</v>
      </c>
      <c r="F157" s="590"/>
      <c r="G157" s="220">
        <f>'1.2 Budgeted Enrollment YR1'!G157+('1.2 Budgeted Enrollment YR1'!G157*$Q$2)</f>
        <v>535.1824571823754</v>
      </c>
      <c r="H157" s="219">
        <v>0</v>
      </c>
      <c r="I157" s="220">
        <v>0</v>
      </c>
      <c r="J157" s="219">
        <v>0</v>
      </c>
      <c r="K157" s="220">
        <v>0</v>
      </c>
      <c r="L157" s="73"/>
      <c r="M157" s="2"/>
      <c r="N157"/>
      <c r="O157"/>
      <c r="P157"/>
      <c r="Q157"/>
    </row>
    <row r="158" spans="1:17" ht="18" thickTop="1" thickBot="1" x14ac:dyDescent="0.35">
      <c r="A158" s="38" t="str">
        <f>'1.2 Budgeted Enrollment YR1'!A158</f>
        <v>Clark</v>
      </c>
      <c r="B158" s="40">
        <f>'1.2 Budgeted Enrollment YR1'!B158</f>
        <v>2</v>
      </c>
      <c r="C158" s="40">
        <f>'1.2 Budgeted Enrollment YR1'!C158</f>
        <v>2</v>
      </c>
      <c r="D158" s="40" t="str">
        <f>'1.2 Budgeted Enrollment YR1'!D158</f>
        <v>Las Vegas</v>
      </c>
      <c r="E158" s="38" t="str">
        <f>'1.2 Budgeted Enrollment YR1'!E158</f>
        <v>Bryan, Richard H ES</v>
      </c>
      <c r="F158" s="590"/>
      <c r="G158" s="220">
        <f>'1.2 Budgeted Enrollment YR1'!G158+('1.2 Budgeted Enrollment YR1'!G158*$Q$2)</f>
        <v>426.44413149660056</v>
      </c>
      <c r="H158" s="219">
        <v>0</v>
      </c>
      <c r="I158" s="220">
        <v>0</v>
      </c>
      <c r="J158" s="219">
        <v>0</v>
      </c>
      <c r="K158" s="220">
        <v>0</v>
      </c>
      <c r="L158" s="73"/>
      <c r="M158" s="2"/>
      <c r="N158"/>
      <c r="O158"/>
      <c r="P158"/>
      <c r="Q158"/>
    </row>
    <row r="159" spans="1:17" ht="18" thickTop="1" thickBot="1" x14ac:dyDescent="0.35">
      <c r="A159" s="38" t="str">
        <f>'1.2 Budgeted Enrollment YR1'!A159</f>
        <v>Clark</v>
      </c>
      <c r="B159" s="40">
        <f>'1.2 Budgeted Enrollment YR1'!B159</f>
        <v>2</v>
      </c>
      <c r="C159" s="40">
        <f>'1.2 Budgeted Enrollment YR1'!C159</f>
        <v>2</v>
      </c>
      <c r="D159" s="40" t="str">
        <f>'1.2 Budgeted Enrollment YR1'!D159</f>
        <v>Las Vegas</v>
      </c>
      <c r="E159" s="38" t="str">
        <f>'1.2 Budgeted Enrollment YR1'!E159</f>
        <v>Bryan, Roger M ES</v>
      </c>
      <c r="F159" s="590"/>
      <c r="G159" s="220">
        <f>'1.2 Budgeted Enrollment YR1'!G159+('1.2 Budgeted Enrollment YR1'!G159*$Q$2)</f>
        <v>544.73921474599933</v>
      </c>
      <c r="H159" s="219">
        <v>0</v>
      </c>
      <c r="I159" s="220">
        <v>0</v>
      </c>
      <c r="J159" s="219">
        <v>0</v>
      </c>
      <c r="K159" s="220">
        <v>0</v>
      </c>
      <c r="L159" s="73"/>
      <c r="M159" s="2"/>
      <c r="N159"/>
      <c r="O159"/>
      <c r="P159"/>
      <c r="Q159"/>
    </row>
    <row r="160" spans="1:17" ht="18" thickTop="1" thickBot="1" x14ac:dyDescent="0.35">
      <c r="A160" s="38" t="str">
        <f>'1.2 Budgeted Enrollment YR1'!A160</f>
        <v>Clark</v>
      </c>
      <c r="B160" s="40">
        <f>'1.2 Budgeted Enrollment YR1'!B160</f>
        <v>2</v>
      </c>
      <c r="C160" s="40">
        <f>'1.2 Budgeted Enrollment YR1'!C160</f>
        <v>2</v>
      </c>
      <c r="D160" s="40" t="str">
        <f>'1.2 Budgeted Enrollment YR1'!D160</f>
        <v>Las Vegas</v>
      </c>
      <c r="E160" s="38" t="str">
        <f>'1.2 Budgeted Enrollment YR1'!E160</f>
        <v>Bunker, Berkeley L ES</v>
      </c>
      <c r="F160" s="590"/>
      <c r="G160" s="220">
        <f>'1.2 Budgeted Enrollment YR1'!G160+('1.2 Budgeted Enrollment YR1'!G160*$Q$2)</f>
        <v>627.88767575750273</v>
      </c>
      <c r="H160" s="219">
        <v>0</v>
      </c>
      <c r="I160" s="220">
        <v>0</v>
      </c>
      <c r="J160" s="219">
        <v>0</v>
      </c>
      <c r="K160" s="220">
        <v>0</v>
      </c>
      <c r="L160" s="73"/>
      <c r="M160" s="2"/>
      <c r="N160"/>
      <c r="O160"/>
      <c r="P160"/>
      <c r="Q160"/>
    </row>
    <row r="161" spans="1:17" ht="18" thickTop="1" thickBot="1" x14ac:dyDescent="0.35">
      <c r="A161" s="38" t="str">
        <f>'1.2 Budgeted Enrollment YR1'!A161</f>
        <v>Clark</v>
      </c>
      <c r="B161" s="40">
        <f>'1.2 Budgeted Enrollment YR1'!B161</f>
        <v>2</v>
      </c>
      <c r="C161" s="40">
        <f>'1.2 Budgeted Enrollment YR1'!C161</f>
        <v>2</v>
      </c>
      <c r="D161" s="40" t="str">
        <f>'1.2 Budgeted Enrollment YR1'!D161</f>
        <v>Las Vegas</v>
      </c>
      <c r="E161" s="38" t="str">
        <f>'1.2 Budgeted Enrollment YR1'!E161</f>
        <v>Burk Horizon-Southwest Sunset HS</v>
      </c>
      <c r="F161" s="590"/>
      <c r="G161" s="220">
        <f>'1.2 Budgeted Enrollment YR1'!G161+('1.2 Budgeted Enrollment YR1'!G161*$Q$2)</f>
        <v>48.92296611773466</v>
      </c>
      <c r="H161" s="219">
        <v>0</v>
      </c>
      <c r="I161" s="220">
        <v>0</v>
      </c>
      <c r="J161" s="219">
        <v>0</v>
      </c>
      <c r="K161" s="220">
        <v>0</v>
      </c>
      <c r="L161" s="73"/>
      <c r="M161" s="2"/>
      <c r="N161"/>
      <c r="O161"/>
      <c r="P161"/>
      <c r="Q161"/>
    </row>
    <row r="162" spans="1:17" ht="18" thickTop="1" thickBot="1" x14ac:dyDescent="0.35">
      <c r="A162" s="38" t="str">
        <f>'1.2 Budgeted Enrollment YR1'!A162</f>
        <v>Clark</v>
      </c>
      <c r="B162" s="40">
        <f>'1.2 Budgeted Enrollment YR1'!B162</f>
        <v>2</v>
      </c>
      <c r="C162" s="40">
        <f>'1.2 Budgeted Enrollment YR1'!C162</f>
        <v>2</v>
      </c>
      <c r="D162" s="40" t="str">
        <f>'1.2 Budgeted Enrollment YR1'!D162</f>
        <v>Las Vegas</v>
      </c>
      <c r="E162" s="38" t="str">
        <f>'1.2 Budgeted Enrollment YR1'!E162</f>
        <v>Burkholder, Lyal MS</v>
      </c>
      <c r="F162" s="590"/>
      <c r="G162" s="220">
        <f>'1.2 Budgeted Enrollment YR1'!G162+('1.2 Budgeted Enrollment YR1'!G162*$Q$2)</f>
        <v>486.32431753030158</v>
      </c>
      <c r="H162" s="219">
        <v>0</v>
      </c>
      <c r="I162" s="220">
        <v>0</v>
      </c>
      <c r="J162" s="219">
        <v>0</v>
      </c>
      <c r="K162" s="220">
        <v>0</v>
      </c>
      <c r="L162" s="73"/>
      <c r="M162" s="2"/>
      <c r="N162"/>
      <c r="O162"/>
      <c r="P162"/>
      <c r="Q162"/>
    </row>
    <row r="163" spans="1:17" ht="18" thickTop="1" thickBot="1" x14ac:dyDescent="0.35">
      <c r="A163" s="38" t="str">
        <f>'1.2 Budgeted Enrollment YR1'!A163</f>
        <v>Clark</v>
      </c>
      <c r="B163" s="40">
        <f>'1.2 Budgeted Enrollment YR1'!B163</f>
        <v>2</v>
      </c>
      <c r="C163" s="40">
        <f>'1.2 Budgeted Enrollment YR1'!C163</f>
        <v>2</v>
      </c>
      <c r="D163" s="40" t="str">
        <f>'1.2 Budgeted Enrollment YR1'!D163</f>
        <v>Las Vegas</v>
      </c>
      <c r="E163" s="38" t="str">
        <f>'1.2 Budgeted Enrollment YR1'!E163</f>
        <v>Cadwallader, Ralph MS</v>
      </c>
      <c r="F163" s="590"/>
      <c r="G163" s="220">
        <f>'1.2 Budgeted Enrollment YR1'!G163+('1.2 Budgeted Enrollment YR1'!G163*$Q$2)</f>
        <v>1392.2075092253503</v>
      </c>
      <c r="H163" s="219">
        <v>0</v>
      </c>
      <c r="I163" s="220">
        <v>0</v>
      </c>
      <c r="J163" s="219">
        <v>0</v>
      </c>
      <c r="K163" s="220">
        <v>0</v>
      </c>
      <c r="L163" s="73"/>
      <c r="M163" s="2"/>
      <c r="N163"/>
      <c r="O163"/>
      <c r="P163"/>
      <c r="Q163"/>
    </row>
    <row r="164" spans="1:17" ht="18" thickTop="1" thickBot="1" x14ac:dyDescent="0.35">
      <c r="A164" s="38" t="str">
        <f>'1.2 Budgeted Enrollment YR1'!A164</f>
        <v>Clark</v>
      </c>
      <c r="B164" s="40">
        <f>'1.2 Budgeted Enrollment YR1'!B164</f>
        <v>2</v>
      </c>
      <c r="C164" s="40">
        <f>'1.2 Budgeted Enrollment YR1'!C164</f>
        <v>2</v>
      </c>
      <c r="D164" s="40" t="str">
        <f>'1.2 Budgeted Enrollment YR1'!D164</f>
        <v>Las Vegas</v>
      </c>
      <c r="E164" s="38" t="str">
        <f>'1.2 Budgeted Enrollment YR1'!E164</f>
        <v>Cahlan, Marion ES</v>
      </c>
      <c r="F164" s="590"/>
      <c r="G164" s="220">
        <f>'1.2 Budgeted Enrollment YR1'!G164+('1.2 Budgeted Enrollment YR1'!G164*$Q$2)</f>
        <v>535.71870219629545</v>
      </c>
      <c r="H164" s="219">
        <v>0</v>
      </c>
      <c r="I164" s="220">
        <v>0</v>
      </c>
      <c r="J164" s="219">
        <v>0</v>
      </c>
      <c r="K164" s="220">
        <v>0</v>
      </c>
      <c r="L164" s="73"/>
      <c r="M164" s="2"/>
      <c r="N164"/>
      <c r="O164"/>
      <c r="P164"/>
      <c r="Q164"/>
    </row>
    <row r="165" spans="1:17" ht="18" thickTop="1" thickBot="1" x14ac:dyDescent="0.35">
      <c r="A165" s="38" t="str">
        <f>'1.2 Budgeted Enrollment YR1'!A165</f>
        <v>Clark</v>
      </c>
      <c r="B165" s="40">
        <f>'1.2 Budgeted Enrollment YR1'!B165</f>
        <v>2</v>
      </c>
      <c r="C165" s="40">
        <f>'1.2 Budgeted Enrollment YR1'!C165</f>
        <v>2</v>
      </c>
      <c r="D165" s="40" t="str">
        <f>'1.2 Budgeted Enrollment YR1'!D165</f>
        <v>Las Vegas</v>
      </c>
      <c r="E165" s="38" t="str">
        <f>'1.2 Budgeted Enrollment YR1'!E165</f>
        <v>Cambeiro, Arturo ES</v>
      </c>
      <c r="F165" s="590"/>
      <c r="G165" s="220">
        <f>'1.2 Budgeted Enrollment YR1'!G165+('1.2 Budgeted Enrollment YR1'!G165*$Q$2)</f>
        <v>486.14276023487736</v>
      </c>
      <c r="H165" s="219">
        <v>0</v>
      </c>
      <c r="I165" s="220">
        <v>0</v>
      </c>
      <c r="J165" s="219">
        <v>0</v>
      </c>
      <c r="K165" s="220">
        <v>0</v>
      </c>
      <c r="L165" s="73"/>
      <c r="M165" s="2"/>
      <c r="N165"/>
      <c r="O165"/>
      <c r="P165"/>
      <c r="Q165"/>
    </row>
    <row r="166" spans="1:17" ht="18" thickTop="1" thickBot="1" x14ac:dyDescent="0.35">
      <c r="A166" s="38" t="str">
        <f>'1.2 Budgeted Enrollment YR1'!A166</f>
        <v>Clark</v>
      </c>
      <c r="B166" s="40">
        <f>'1.2 Budgeted Enrollment YR1'!B166</f>
        <v>2</v>
      </c>
      <c r="C166" s="40">
        <f>'1.2 Budgeted Enrollment YR1'!C166</f>
        <v>2</v>
      </c>
      <c r="D166" s="40" t="str">
        <f>'1.2 Budgeted Enrollment YR1'!D166</f>
        <v>Las Vegas</v>
      </c>
      <c r="E166" s="38" t="str">
        <f>'1.2 Budgeted Enrollment YR1'!E166</f>
        <v>Canarelli, Lawrence &amp; Heidi MS</v>
      </c>
      <c r="F166" s="590"/>
      <c r="G166" s="220">
        <f>'1.2 Budgeted Enrollment YR1'!G166+('1.2 Budgeted Enrollment YR1'!G166*$Q$2)</f>
        <v>1490.0251249254857</v>
      </c>
      <c r="H166" s="219">
        <v>0</v>
      </c>
      <c r="I166" s="220">
        <v>0</v>
      </c>
      <c r="J166" s="219">
        <v>0</v>
      </c>
      <c r="K166" s="220">
        <v>0</v>
      </c>
      <c r="L166" s="73"/>
      <c r="M166" s="2"/>
      <c r="N166"/>
      <c r="O166"/>
      <c r="P166"/>
      <c r="Q166"/>
    </row>
    <row r="167" spans="1:17" ht="18" thickTop="1" thickBot="1" x14ac:dyDescent="0.35">
      <c r="A167" s="38" t="str">
        <f>'1.2 Budgeted Enrollment YR1'!A167</f>
        <v>Clark</v>
      </c>
      <c r="B167" s="40">
        <f>'1.2 Budgeted Enrollment YR1'!B167</f>
        <v>2</v>
      </c>
      <c r="C167" s="40">
        <f>'1.2 Budgeted Enrollment YR1'!C167</f>
        <v>2</v>
      </c>
      <c r="D167" s="40" t="str">
        <f>'1.2 Budgeted Enrollment YR1'!D167</f>
        <v>Las Vegas</v>
      </c>
      <c r="E167" s="38" t="str">
        <f>'1.2 Budgeted Enrollment YR1'!E167</f>
        <v>Cannon, Helen C JHS</v>
      </c>
      <c r="F167" s="590"/>
      <c r="G167" s="220">
        <f>'1.2 Budgeted Enrollment YR1'!G167+('1.2 Budgeted Enrollment YR1'!G167*$Q$2)</f>
        <v>743.06964138015383</v>
      </c>
      <c r="H167" s="219">
        <v>0</v>
      </c>
      <c r="I167" s="220">
        <v>0</v>
      </c>
      <c r="J167" s="219">
        <v>0</v>
      </c>
      <c r="K167" s="220">
        <v>0</v>
      </c>
      <c r="L167" s="73"/>
      <c r="M167" s="2"/>
      <c r="N167"/>
      <c r="O167"/>
      <c r="P167"/>
      <c r="Q167"/>
    </row>
    <row r="168" spans="1:17" ht="18" thickTop="1" thickBot="1" x14ac:dyDescent="0.35">
      <c r="A168" s="38" t="str">
        <f>'1.2 Budgeted Enrollment YR1'!A168</f>
        <v>Clark</v>
      </c>
      <c r="B168" s="40">
        <f>'1.2 Budgeted Enrollment YR1'!B168</f>
        <v>2</v>
      </c>
      <c r="C168" s="40">
        <f>'1.2 Budgeted Enrollment YR1'!C168</f>
        <v>2</v>
      </c>
      <c r="D168" s="40" t="str">
        <f>'1.2 Budgeted Enrollment YR1'!D168</f>
        <v>Las Vegas</v>
      </c>
      <c r="E168" s="38" t="str">
        <f>'1.2 Budgeted Enrollment YR1'!E168</f>
        <v>Canyon Springs HS</v>
      </c>
      <c r="F168" s="590"/>
      <c r="G168" s="220">
        <f>'1.2 Budgeted Enrollment YR1'!G168+('1.2 Budgeted Enrollment YR1'!G168*$Q$2)</f>
        <v>2639.6887539478066</v>
      </c>
      <c r="H168" s="219">
        <v>0</v>
      </c>
      <c r="I168" s="220">
        <v>0</v>
      </c>
      <c r="J168" s="219">
        <v>0</v>
      </c>
      <c r="K168" s="220">
        <v>0</v>
      </c>
      <c r="L168" s="73"/>
      <c r="M168" s="2"/>
      <c r="N168"/>
      <c r="O168"/>
      <c r="P168"/>
      <c r="Q168"/>
    </row>
    <row r="169" spans="1:17" ht="18" thickTop="1" thickBot="1" x14ac:dyDescent="0.35">
      <c r="A169" s="38" t="str">
        <f>'1.2 Budgeted Enrollment YR1'!A169</f>
        <v>Clark</v>
      </c>
      <c r="B169" s="40">
        <f>'1.2 Budgeted Enrollment YR1'!B169</f>
        <v>2</v>
      </c>
      <c r="C169" s="40">
        <f>'1.2 Budgeted Enrollment YR1'!C169</f>
        <v>2</v>
      </c>
      <c r="D169" s="40" t="str">
        <f>'1.2 Budgeted Enrollment YR1'!D169</f>
        <v>Las Vegas</v>
      </c>
      <c r="E169" s="38" t="str">
        <f>'1.2 Budgeted Enrollment YR1'!E169</f>
        <v>Carl, Kay ES</v>
      </c>
      <c r="F169" s="590"/>
      <c r="G169" s="220">
        <f>'1.2 Budgeted Enrollment YR1'!G169+('1.2 Budgeted Enrollment YR1'!G169*$Q$2)</f>
        <v>685.72572339778367</v>
      </c>
      <c r="H169" s="219">
        <v>0</v>
      </c>
      <c r="I169" s="220">
        <v>0</v>
      </c>
      <c r="J169" s="219">
        <v>0</v>
      </c>
      <c r="K169" s="220">
        <v>0</v>
      </c>
      <c r="L169" s="73"/>
      <c r="M169" s="2"/>
      <c r="N169"/>
      <c r="O169"/>
      <c r="P169"/>
      <c r="Q169"/>
    </row>
    <row r="170" spans="1:17" ht="18" thickTop="1" thickBot="1" x14ac:dyDescent="0.35">
      <c r="A170" s="38" t="str">
        <f>'1.2 Budgeted Enrollment YR1'!A170</f>
        <v>Clark</v>
      </c>
      <c r="B170" s="40">
        <f>'1.2 Budgeted Enrollment YR1'!B170</f>
        <v>2</v>
      </c>
      <c r="C170" s="40">
        <f>'1.2 Budgeted Enrollment YR1'!C170</f>
        <v>2</v>
      </c>
      <c r="D170" s="40" t="str">
        <f>'1.2 Budgeted Enrollment YR1'!D170</f>
        <v>Las Vegas</v>
      </c>
      <c r="E170" s="38" t="str">
        <f>'1.2 Budgeted Enrollment YR1'!E170</f>
        <v>Cartwright, Roberta C ES</v>
      </c>
      <c r="F170" s="590"/>
      <c r="G170" s="220">
        <f>'1.2 Budgeted Enrollment YR1'!G170+('1.2 Budgeted Enrollment YR1'!G170*$Q$2)</f>
        <v>498.71828194619906</v>
      </c>
      <c r="H170" s="219">
        <v>0</v>
      </c>
      <c r="I170" s="220">
        <v>0</v>
      </c>
      <c r="J170" s="219">
        <v>0</v>
      </c>
      <c r="K170" s="220">
        <v>0</v>
      </c>
      <c r="L170" s="73"/>
      <c r="M170" s="2"/>
      <c r="N170"/>
      <c r="O170"/>
      <c r="P170"/>
      <c r="Q170"/>
    </row>
    <row r="171" spans="1:17" ht="18" thickTop="1" thickBot="1" x14ac:dyDescent="0.35">
      <c r="A171" s="38" t="str">
        <f>'1.2 Budgeted Enrollment YR1'!A171</f>
        <v>Clark</v>
      </c>
      <c r="B171" s="40">
        <f>'1.2 Budgeted Enrollment YR1'!B171</f>
        <v>2</v>
      </c>
      <c r="C171" s="40">
        <f>'1.2 Budgeted Enrollment YR1'!C171</f>
        <v>2</v>
      </c>
      <c r="D171" s="40" t="str">
        <f>'1.2 Budgeted Enrollment YR1'!D171</f>
        <v>Las Vegas</v>
      </c>
      <c r="E171" s="38" t="str">
        <f>'1.2 Budgeted Enrollment YR1'!E171</f>
        <v>Cashman, James MS</v>
      </c>
      <c r="F171" s="590"/>
      <c r="G171" s="220">
        <f>'1.2 Budgeted Enrollment YR1'!G171+('1.2 Budgeted Enrollment YR1'!G171*$Q$2)</f>
        <v>1163.0014148136304</v>
      </c>
      <c r="H171" s="219">
        <v>0</v>
      </c>
      <c r="I171" s="220">
        <v>0</v>
      </c>
      <c r="J171" s="219">
        <v>0</v>
      </c>
      <c r="K171" s="220">
        <v>0</v>
      </c>
      <c r="L171" s="73"/>
      <c r="M171" s="2"/>
      <c r="N171"/>
      <c r="O171"/>
      <c r="P171"/>
      <c r="Q171"/>
    </row>
    <row r="172" spans="1:17" ht="18" thickTop="1" thickBot="1" x14ac:dyDescent="0.35">
      <c r="A172" s="38" t="str">
        <f>'1.2 Budgeted Enrollment YR1'!A172</f>
        <v>Clark</v>
      </c>
      <c r="B172" s="40">
        <f>'1.2 Budgeted Enrollment YR1'!B172</f>
        <v>2</v>
      </c>
      <c r="C172" s="40">
        <f>'1.2 Budgeted Enrollment YR1'!C172</f>
        <v>2</v>
      </c>
      <c r="D172" s="40" t="str">
        <f>'1.2 Budgeted Enrollment YR1'!D172</f>
        <v>Las Vegas</v>
      </c>
      <c r="E172" s="38" t="str">
        <f>'1.2 Budgeted Enrollment YR1'!E172</f>
        <v>Centennial HS</v>
      </c>
      <c r="F172" s="590"/>
      <c r="G172" s="220">
        <f>'1.2 Budgeted Enrollment YR1'!G172+('1.2 Budgeted Enrollment YR1'!G172*$Q$2)</f>
        <v>2823.5146999735553</v>
      </c>
      <c r="H172" s="219">
        <v>0</v>
      </c>
      <c r="I172" s="220">
        <v>0</v>
      </c>
      <c r="J172" s="219">
        <v>0</v>
      </c>
      <c r="K172" s="220">
        <v>0</v>
      </c>
      <c r="L172" s="73"/>
      <c r="M172" s="2"/>
      <c r="N172"/>
      <c r="O172"/>
      <c r="P172"/>
      <c r="Q172"/>
    </row>
    <row r="173" spans="1:17" ht="18" thickTop="1" thickBot="1" x14ac:dyDescent="0.35">
      <c r="A173" s="38" t="str">
        <f>'1.2 Budgeted Enrollment YR1'!A173</f>
        <v>Clark</v>
      </c>
      <c r="B173" s="40">
        <f>'1.2 Budgeted Enrollment YR1'!B173</f>
        <v>2</v>
      </c>
      <c r="C173" s="40">
        <f>'1.2 Budgeted Enrollment YR1'!C173</f>
        <v>2</v>
      </c>
      <c r="D173" s="40" t="str">
        <f>'1.2 Budgeted Enrollment YR1'!D173</f>
        <v>Las Vegas</v>
      </c>
      <c r="E173" s="38" t="str">
        <f>'1.2 Budgeted Enrollment YR1'!E173</f>
        <v>Central Technical Training Academy</v>
      </c>
      <c r="F173" s="590"/>
      <c r="G173" s="220">
        <f>'1.2 Budgeted Enrollment YR1'!G173+('1.2 Budgeted Enrollment YR1'!G173*$Q$2)</f>
        <v>86.006398836973503</v>
      </c>
      <c r="H173" s="219">
        <v>0</v>
      </c>
      <c r="I173" s="220">
        <v>0</v>
      </c>
      <c r="J173" s="219">
        <v>0</v>
      </c>
      <c r="K173" s="220">
        <v>0</v>
      </c>
      <c r="L173" s="73"/>
      <c r="M173" s="2"/>
      <c r="N173"/>
      <c r="O173"/>
      <c r="P173"/>
      <c r="Q173"/>
    </row>
    <row r="174" spans="1:17" ht="18" thickTop="1" thickBot="1" x14ac:dyDescent="0.35">
      <c r="A174" s="38" t="str">
        <f>'1.2 Budgeted Enrollment YR1'!A174</f>
        <v>Clark</v>
      </c>
      <c r="B174" s="40">
        <f>'1.2 Budgeted Enrollment YR1'!B174</f>
        <v>2</v>
      </c>
      <c r="C174" s="40">
        <f>'1.2 Budgeted Enrollment YR1'!C174</f>
        <v>2</v>
      </c>
      <c r="D174" s="40" t="str">
        <f>'1.2 Budgeted Enrollment YR1'!D174</f>
        <v>Las Vegas</v>
      </c>
      <c r="E174" s="38" t="str">
        <f>'1.2 Budgeted Enrollment YR1'!E174</f>
        <v>Chaparral HS</v>
      </c>
      <c r="F174" s="590"/>
      <c r="G174" s="220">
        <f>'1.2 Budgeted Enrollment YR1'!G174+('1.2 Budgeted Enrollment YR1'!G174*$Q$2)</f>
        <v>2174.7276389495819</v>
      </c>
      <c r="H174" s="219">
        <v>0</v>
      </c>
      <c r="I174" s="220">
        <v>0</v>
      </c>
      <c r="J174" s="219">
        <v>0</v>
      </c>
      <c r="K174" s="220">
        <v>0</v>
      </c>
      <c r="L174" s="73"/>
      <c r="M174" s="2"/>
      <c r="N174"/>
      <c r="O174"/>
      <c r="P174"/>
      <c r="Q174"/>
    </row>
    <row r="175" spans="1:17" ht="18" thickTop="1" thickBot="1" x14ac:dyDescent="0.35">
      <c r="A175" s="38" t="str">
        <f>'1.2 Budgeted Enrollment YR1'!A175</f>
        <v>Clark</v>
      </c>
      <c r="B175" s="40">
        <f>'1.2 Budgeted Enrollment YR1'!B175</f>
        <v>2</v>
      </c>
      <c r="C175" s="40">
        <f>'1.2 Budgeted Enrollment YR1'!C175</f>
        <v>2</v>
      </c>
      <c r="D175" s="40" t="str">
        <f>'1.2 Budgeted Enrollment YR1'!D175</f>
        <v>Las Vegas</v>
      </c>
      <c r="E175" s="38" t="str">
        <f>'1.2 Budgeted Enrollment YR1'!E175</f>
        <v>Cheyenne HS</v>
      </c>
      <c r="F175" s="590"/>
      <c r="G175" s="220">
        <f>'1.2 Budgeted Enrollment YR1'!G175+('1.2 Budgeted Enrollment YR1'!G175*$Q$2)</f>
        <v>2034.6889112834274</v>
      </c>
      <c r="H175" s="219">
        <v>0</v>
      </c>
      <c r="I175" s="220">
        <v>0</v>
      </c>
      <c r="J175" s="219">
        <v>0</v>
      </c>
      <c r="K175" s="220">
        <v>0</v>
      </c>
      <c r="L175" s="73"/>
      <c r="M175" s="2"/>
      <c r="N175"/>
      <c r="O175"/>
      <c r="P175"/>
      <c r="Q175"/>
    </row>
    <row r="176" spans="1:17" ht="18" thickTop="1" thickBot="1" x14ac:dyDescent="0.35">
      <c r="A176" s="38" t="str">
        <f>'1.2 Budgeted Enrollment YR1'!A176</f>
        <v>Clark</v>
      </c>
      <c r="B176" s="40">
        <f>'1.2 Budgeted Enrollment YR1'!B176</f>
        <v>2</v>
      </c>
      <c r="C176" s="40">
        <f>'1.2 Budgeted Enrollment YR1'!C176</f>
        <v>2</v>
      </c>
      <c r="D176" s="40" t="str">
        <f>'1.2 Budgeted Enrollment YR1'!D176</f>
        <v>Las Vegas</v>
      </c>
      <c r="E176" s="38" t="str">
        <f>'1.2 Budgeted Enrollment YR1'!E176</f>
        <v>Christensen, M J ES</v>
      </c>
      <c r="F176" s="590"/>
      <c r="G176" s="220">
        <f>'1.2 Budgeted Enrollment YR1'!G176+('1.2 Budgeted Enrollment YR1'!G176*$Q$2)</f>
        <v>530.31176912146429</v>
      </c>
      <c r="H176" s="219">
        <v>0</v>
      </c>
      <c r="I176" s="220">
        <v>0</v>
      </c>
      <c r="J176" s="219">
        <v>0</v>
      </c>
      <c r="K176" s="220">
        <v>0</v>
      </c>
      <c r="L176" s="73"/>
      <c r="M176" s="2"/>
      <c r="N176"/>
      <c r="O176"/>
      <c r="P176"/>
      <c r="Q176"/>
    </row>
    <row r="177" spans="1:17" ht="18" thickTop="1" thickBot="1" x14ac:dyDescent="0.35">
      <c r="A177" s="38" t="str">
        <f>'1.2 Budgeted Enrollment YR1'!A177</f>
        <v>Clark</v>
      </c>
      <c r="B177" s="40">
        <f>'1.2 Budgeted Enrollment YR1'!B177</f>
        <v>2</v>
      </c>
      <c r="C177" s="40">
        <f>'1.2 Budgeted Enrollment YR1'!C177</f>
        <v>2</v>
      </c>
      <c r="D177" s="40" t="str">
        <f>'1.2 Budgeted Enrollment YR1'!D177</f>
        <v>Las Vegas</v>
      </c>
      <c r="E177" s="38" t="str">
        <f>'1.2 Budgeted Enrollment YR1'!E177</f>
        <v>Cimarron-Memorial HS</v>
      </c>
      <c r="F177" s="590"/>
      <c r="G177" s="220">
        <f>'1.2 Budgeted Enrollment YR1'!G177+('1.2 Budgeted Enrollment YR1'!G177*$Q$2)</f>
        <v>2420.834536908179</v>
      </c>
      <c r="H177" s="219">
        <v>0</v>
      </c>
      <c r="I177" s="220">
        <v>0</v>
      </c>
      <c r="J177" s="219">
        <v>0</v>
      </c>
      <c r="K177" s="220">
        <v>0</v>
      </c>
      <c r="L177" s="73"/>
      <c r="M177" s="2"/>
      <c r="N177"/>
      <c r="O177"/>
      <c r="P177"/>
      <c r="Q177"/>
    </row>
    <row r="178" spans="1:17" ht="18" thickTop="1" thickBot="1" x14ac:dyDescent="0.35">
      <c r="A178" s="38" t="str">
        <f>'1.2 Budgeted Enrollment YR1'!A178</f>
        <v>Clark</v>
      </c>
      <c r="B178" s="40">
        <f>'1.2 Budgeted Enrollment YR1'!B178</f>
        <v>2</v>
      </c>
      <c r="C178" s="40">
        <f>'1.2 Budgeted Enrollment YR1'!C178</f>
        <v>2</v>
      </c>
      <c r="D178" s="40" t="str">
        <f>'1.2 Budgeted Enrollment YR1'!D178</f>
        <v>Las Vegas</v>
      </c>
      <c r="E178" s="38" t="str">
        <f>'1.2 Budgeted Enrollment YR1'!E178</f>
        <v>Clark County Detention Ctr J-SHS</v>
      </c>
      <c r="F178" s="590"/>
      <c r="G178" s="220">
        <f>'1.2 Budgeted Enrollment YR1'!G178+('1.2 Budgeted Enrollment YR1'!G178*$Q$2)</f>
        <v>29.468540688356651</v>
      </c>
      <c r="H178" s="219">
        <v>0</v>
      </c>
      <c r="I178" s="220">
        <v>0</v>
      </c>
      <c r="J178" s="219">
        <v>0</v>
      </c>
      <c r="K178" s="220">
        <v>0</v>
      </c>
      <c r="L178" s="73"/>
      <c r="M178" s="2"/>
      <c r="N178"/>
      <c r="O178"/>
      <c r="P178"/>
      <c r="Q178"/>
    </row>
    <row r="179" spans="1:17" ht="18" thickTop="1" thickBot="1" x14ac:dyDescent="0.35">
      <c r="A179" s="38" t="str">
        <f>'1.2 Budgeted Enrollment YR1'!A179</f>
        <v>Clark</v>
      </c>
      <c r="B179" s="40">
        <f>'1.2 Budgeted Enrollment YR1'!B179</f>
        <v>2</v>
      </c>
      <c r="C179" s="40">
        <f>'1.2 Budgeted Enrollment YR1'!C179</f>
        <v>2</v>
      </c>
      <c r="D179" s="40" t="str">
        <f>'1.2 Budgeted Enrollment YR1'!D179</f>
        <v>Las Vegas</v>
      </c>
      <c r="E179" s="38" t="str">
        <f>'1.2 Budgeted Enrollment YR1'!E179</f>
        <v>Clark, Ed W HS</v>
      </c>
      <c r="F179" s="590"/>
      <c r="G179" s="220">
        <f>'1.2 Budgeted Enrollment YR1'!G179+('1.2 Budgeted Enrollment YR1'!G179*$Q$2)</f>
        <v>2992.1255614802853</v>
      </c>
      <c r="H179" s="219">
        <v>0</v>
      </c>
      <c r="I179" s="220">
        <v>0</v>
      </c>
      <c r="J179" s="219">
        <v>0</v>
      </c>
      <c r="K179" s="220">
        <v>0</v>
      </c>
      <c r="L179" s="73"/>
      <c r="M179" s="2"/>
      <c r="N179"/>
      <c r="O179"/>
      <c r="P179"/>
      <c r="Q179"/>
    </row>
    <row r="180" spans="1:17" ht="18" thickTop="1" thickBot="1" x14ac:dyDescent="0.35">
      <c r="A180" s="38" t="str">
        <f>'1.2 Budgeted Enrollment YR1'!A180</f>
        <v>Clark</v>
      </c>
      <c r="B180" s="40">
        <f>'1.2 Budgeted Enrollment YR1'!B180</f>
        <v>2</v>
      </c>
      <c r="C180" s="40">
        <f>'1.2 Budgeted Enrollment YR1'!C180</f>
        <v>2</v>
      </c>
      <c r="D180" s="40" t="str">
        <f>'1.2 Budgeted Enrollment YR1'!D180</f>
        <v>Las Vegas</v>
      </c>
      <c r="E180" s="38" t="str">
        <f>'1.2 Budgeted Enrollment YR1'!E180</f>
        <v>College of So NV HS East</v>
      </c>
      <c r="F180" s="590"/>
      <c r="G180" s="220">
        <f>'1.2 Budgeted Enrollment YR1'!G180+('1.2 Budgeted Enrollment YR1'!G180*$Q$2)</f>
        <v>124.96332706154615</v>
      </c>
      <c r="H180" s="219">
        <v>0</v>
      </c>
      <c r="I180" s="220">
        <v>0</v>
      </c>
      <c r="J180" s="219">
        <v>0</v>
      </c>
      <c r="K180" s="220">
        <v>0</v>
      </c>
      <c r="L180" s="73"/>
      <c r="M180" s="2"/>
      <c r="N180"/>
      <c r="O180"/>
      <c r="P180"/>
      <c r="Q180"/>
    </row>
    <row r="181" spans="1:17" ht="18" thickTop="1" thickBot="1" x14ac:dyDescent="0.35">
      <c r="A181" s="38" t="str">
        <f>'1.2 Budgeted Enrollment YR1'!A181</f>
        <v>Clark</v>
      </c>
      <c r="B181" s="40">
        <f>'1.2 Budgeted Enrollment YR1'!B181</f>
        <v>2</v>
      </c>
      <c r="C181" s="40">
        <f>'1.2 Budgeted Enrollment YR1'!C181</f>
        <v>2</v>
      </c>
      <c r="D181" s="40" t="str">
        <f>'1.2 Budgeted Enrollment YR1'!D181</f>
        <v>Las Vegas</v>
      </c>
      <c r="E181" s="38" t="str">
        <f>'1.2 Budgeted Enrollment YR1'!E181</f>
        <v>College of So NV HS South</v>
      </c>
      <c r="F181" s="590"/>
      <c r="G181" s="220">
        <f>'1.2 Budgeted Enrollment YR1'!G181+('1.2 Budgeted Enrollment YR1'!G181*$Q$2)</f>
        <v>119.63730341409469</v>
      </c>
      <c r="H181" s="219">
        <v>0</v>
      </c>
      <c r="I181" s="220">
        <v>0</v>
      </c>
      <c r="J181" s="219">
        <v>0</v>
      </c>
      <c r="K181" s="220">
        <v>0</v>
      </c>
      <c r="L181" s="73"/>
      <c r="M181" s="2"/>
      <c r="N181"/>
      <c r="O181"/>
      <c r="P181"/>
      <c r="Q181"/>
    </row>
    <row r="182" spans="1:17" ht="18" thickTop="1" thickBot="1" x14ac:dyDescent="0.35">
      <c r="A182" s="38" t="str">
        <f>'1.2 Budgeted Enrollment YR1'!A182</f>
        <v>Clark</v>
      </c>
      <c r="B182" s="40">
        <f>'1.2 Budgeted Enrollment YR1'!B182</f>
        <v>2</v>
      </c>
      <c r="C182" s="40">
        <f>'1.2 Budgeted Enrollment YR1'!C182</f>
        <v>2</v>
      </c>
      <c r="D182" s="40" t="str">
        <f>'1.2 Budgeted Enrollment YR1'!D182</f>
        <v>Las Vegas</v>
      </c>
      <c r="E182" s="38" t="str">
        <f>'1.2 Budgeted Enrollment YR1'!E182</f>
        <v>College of So NV HS West</v>
      </c>
      <c r="F182" s="590"/>
      <c r="G182" s="220">
        <f>'1.2 Budgeted Enrollment YR1'!G182+('1.2 Budgeted Enrollment YR1'!G182*$Q$2)</f>
        <v>185.57878003449218</v>
      </c>
      <c r="H182" s="219">
        <v>0</v>
      </c>
      <c r="I182" s="220">
        <v>0</v>
      </c>
      <c r="J182" s="219">
        <v>0</v>
      </c>
      <c r="K182" s="220">
        <v>0</v>
      </c>
      <c r="L182" s="73"/>
      <c r="M182" s="2"/>
      <c r="N182"/>
      <c r="O182"/>
      <c r="P182"/>
      <c r="Q182"/>
    </row>
    <row r="183" spans="1:17" ht="18" thickTop="1" thickBot="1" x14ac:dyDescent="0.35">
      <c r="A183" s="38" t="str">
        <f>'1.2 Budgeted Enrollment YR1'!A183</f>
        <v>Clark</v>
      </c>
      <c r="B183" s="40">
        <f>'1.2 Budgeted Enrollment YR1'!B183</f>
        <v>2</v>
      </c>
      <c r="C183" s="40">
        <f>'1.2 Budgeted Enrollment YR1'!C183</f>
        <v>2</v>
      </c>
      <c r="D183" s="40" t="str">
        <f>'1.2 Budgeted Enrollment YR1'!D183</f>
        <v>Las Vegas</v>
      </c>
      <c r="E183" s="38" t="str">
        <f>'1.2 Budgeted Enrollment YR1'!E183</f>
        <v>Conners, Eileen ES</v>
      </c>
      <c r="F183" s="590"/>
      <c r="G183" s="220">
        <f>'1.2 Budgeted Enrollment YR1'!G183+('1.2 Budgeted Enrollment YR1'!G183*$Q$2)</f>
        <v>567.08610199898953</v>
      </c>
      <c r="H183" s="219">
        <v>0</v>
      </c>
      <c r="I183" s="220">
        <v>0</v>
      </c>
      <c r="J183" s="219">
        <v>0</v>
      </c>
      <c r="K183" s="220">
        <v>0</v>
      </c>
      <c r="L183" s="73"/>
      <c r="M183" s="2"/>
      <c r="N183"/>
      <c r="O183"/>
      <c r="P183"/>
      <c r="Q183"/>
    </row>
    <row r="184" spans="1:17" ht="18" thickTop="1" thickBot="1" x14ac:dyDescent="0.35">
      <c r="A184" s="38" t="str">
        <f>'1.2 Budgeted Enrollment YR1'!A184</f>
        <v>Clark</v>
      </c>
      <c r="B184" s="40">
        <f>'1.2 Budgeted Enrollment YR1'!B184</f>
        <v>2</v>
      </c>
      <c r="C184" s="40">
        <f>'1.2 Budgeted Enrollment YR1'!C184</f>
        <v>2</v>
      </c>
      <c r="D184" s="40" t="str">
        <f>'1.2 Budgeted Enrollment YR1'!D184</f>
        <v>Las Vegas</v>
      </c>
      <c r="E184" s="38" t="str">
        <f>'1.2 Budgeted Enrollment YR1'!E184</f>
        <v>Coronado HS</v>
      </c>
      <c r="F184" s="590"/>
      <c r="G184" s="220">
        <f>'1.2 Budgeted Enrollment YR1'!G184+('1.2 Budgeted Enrollment YR1'!G184*$Q$2)</f>
        <v>3114.5140705281201</v>
      </c>
      <c r="H184" s="219">
        <v>0</v>
      </c>
      <c r="I184" s="220">
        <v>0</v>
      </c>
      <c r="J184" s="219">
        <v>0</v>
      </c>
      <c r="K184" s="220">
        <v>0</v>
      </c>
      <c r="L184" s="73"/>
      <c r="M184" s="2"/>
      <c r="N184"/>
      <c r="O184"/>
      <c r="P184"/>
      <c r="Q184"/>
    </row>
    <row r="185" spans="1:17" ht="18" thickTop="1" thickBot="1" x14ac:dyDescent="0.35">
      <c r="A185" s="38" t="str">
        <f>'1.2 Budgeted Enrollment YR1'!A185</f>
        <v>Clark</v>
      </c>
      <c r="B185" s="40">
        <f>'1.2 Budgeted Enrollment YR1'!B185</f>
        <v>2</v>
      </c>
      <c r="C185" s="40">
        <f>'1.2 Budgeted Enrollment YR1'!C185</f>
        <v>2</v>
      </c>
      <c r="D185" s="40" t="str">
        <f>'1.2 Budgeted Enrollment YR1'!D185</f>
        <v>Las Vegas</v>
      </c>
      <c r="E185" s="38" t="str">
        <f>'1.2 Budgeted Enrollment YR1'!E185</f>
        <v>Cortez, Manuel J ES</v>
      </c>
      <c r="F185" s="590"/>
      <c r="G185" s="220">
        <f>'1.2 Budgeted Enrollment YR1'!G185+('1.2 Budgeted Enrollment YR1'!G185*$Q$2)</f>
        <v>638.04356416514065</v>
      </c>
      <c r="H185" s="219">
        <v>0</v>
      </c>
      <c r="I185" s="220">
        <v>0</v>
      </c>
      <c r="J185" s="219">
        <v>0</v>
      </c>
      <c r="K185" s="220">
        <v>0</v>
      </c>
      <c r="L185" s="73"/>
      <c r="M185" s="2"/>
      <c r="N185"/>
      <c r="O185"/>
      <c r="P185"/>
      <c r="Q185"/>
    </row>
    <row r="186" spans="1:17" ht="18" thickTop="1" thickBot="1" x14ac:dyDescent="0.35">
      <c r="A186" s="38" t="str">
        <f>'1.2 Budgeted Enrollment YR1'!A186</f>
        <v>Clark</v>
      </c>
      <c r="B186" s="40">
        <f>'1.2 Budgeted Enrollment YR1'!B186</f>
        <v>2</v>
      </c>
      <c r="C186" s="40">
        <f>'1.2 Budgeted Enrollment YR1'!C186</f>
        <v>2</v>
      </c>
      <c r="D186" s="40" t="str">
        <f>'1.2 Budgeted Enrollment YR1'!D186</f>
        <v>Las Vegas</v>
      </c>
      <c r="E186" s="38" t="str">
        <f>'1.2 Budgeted Enrollment YR1'!E186</f>
        <v>Cortney, Francis H JHS</v>
      </c>
      <c r="F186" s="590"/>
      <c r="G186" s="220">
        <f>'1.2 Budgeted Enrollment YR1'!G186+('1.2 Budgeted Enrollment YR1'!G186*$Q$2)</f>
        <v>1062.9277701611898</v>
      </c>
      <c r="H186" s="219">
        <v>0</v>
      </c>
      <c r="I186" s="220">
        <v>0</v>
      </c>
      <c r="J186" s="219">
        <v>0</v>
      </c>
      <c r="K186" s="220">
        <v>0</v>
      </c>
      <c r="L186" s="73"/>
      <c r="M186" s="2"/>
      <c r="N186"/>
      <c r="O186"/>
      <c r="P186"/>
      <c r="Q186"/>
    </row>
    <row r="187" spans="1:17" ht="18" thickTop="1" thickBot="1" x14ac:dyDescent="0.35">
      <c r="A187" s="38" t="str">
        <f>'1.2 Budgeted Enrollment YR1'!A187</f>
        <v>Clark</v>
      </c>
      <c r="B187" s="40">
        <f>'1.2 Budgeted Enrollment YR1'!B187</f>
        <v>2</v>
      </c>
      <c r="C187" s="40">
        <f>'1.2 Budgeted Enrollment YR1'!C187</f>
        <v>2</v>
      </c>
      <c r="D187" s="40" t="str">
        <f>'1.2 Budgeted Enrollment YR1'!D187</f>
        <v>Las Vegas</v>
      </c>
      <c r="E187" s="38" t="str">
        <f>'1.2 Budgeted Enrollment YR1'!E187</f>
        <v>Cowan Academic Center J-SHS</v>
      </c>
      <c r="F187" s="590"/>
      <c r="G187" s="220">
        <f>'1.2 Budgeted Enrollment YR1'!G187+('1.2 Budgeted Enrollment YR1'!G187*$Q$2)</f>
        <v>112.77753973249271</v>
      </c>
      <c r="H187" s="219">
        <v>0</v>
      </c>
      <c r="I187" s="220">
        <v>0</v>
      </c>
      <c r="J187" s="219">
        <v>0</v>
      </c>
      <c r="K187" s="220">
        <v>0</v>
      </c>
      <c r="L187" s="73"/>
      <c r="M187" s="2"/>
      <c r="N187"/>
      <c r="O187"/>
      <c r="P187"/>
      <c r="Q187"/>
    </row>
    <row r="188" spans="1:17" ht="18" thickTop="1" thickBot="1" x14ac:dyDescent="0.35">
      <c r="A188" s="38" t="str">
        <f>'1.2 Budgeted Enrollment YR1'!A188</f>
        <v>Clark</v>
      </c>
      <c r="B188" s="40">
        <f>'1.2 Budgeted Enrollment YR1'!B188</f>
        <v>2</v>
      </c>
      <c r="C188" s="40">
        <f>'1.2 Budgeted Enrollment YR1'!C188</f>
        <v>2</v>
      </c>
      <c r="D188" s="40" t="str">
        <f>'1.2 Budgeted Enrollment YR1'!D188</f>
        <v>Las Vegas</v>
      </c>
      <c r="E188" s="38" t="str">
        <f>'1.2 Budgeted Enrollment YR1'!E188</f>
        <v>Cowan Sunset Southeast HS</v>
      </c>
      <c r="F188" s="590"/>
      <c r="G188" s="220">
        <f>'1.2 Budgeted Enrollment YR1'!G188+('1.2 Budgeted Enrollment YR1'!G188*$Q$2)</f>
        <v>32.216223374132134</v>
      </c>
      <c r="H188" s="219">
        <v>0</v>
      </c>
      <c r="I188" s="220">
        <v>0</v>
      </c>
      <c r="J188" s="219">
        <v>0</v>
      </c>
      <c r="K188" s="220">
        <v>0</v>
      </c>
      <c r="L188" s="73"/>
      <c r="M188" s="2"/>
      <c r="N188"/>
      <c r="O188"/>
      <c r="P188"/>
      <c r="Q188"/>
    </row>
    <row r="189" spans="1:17" ht="18" thickTop="1" thickBot="1" x14ac:dyDescent="0.35">
      <c r="A189" s="38" t="str">
        <f>'1.2 Budgeted Enrollment YR1'!A189</f>
        <v>Clark</v>
      </c>
      <c r="B189" s="40">
        <f>'1.2 Budgeted Enrollment YR1'!B189</f>
        <v>2</v>
      </c>
      <c r="C189" s="40">
        <f>'1.2 Budgeted Enrollment YR1'!C189</f>
        <v>2</v>
      </c>
      <c r="D189" s="40" t="str">
        <f>'1.2 Budgeted Enrollment YR1'!D189</f>
        <v>Las Vegas</v>
      </c>
      <c r="E189" s="38" t="str">
        <f>'1.2 Budgeted Enrollment YR1'!E189</f>
        <v>Cox, Clyde C ES</v>
      </c>
      <c r="F189" s="590"/>
      <c r="G189" s="220">
        <f>'1.2 Budgeted Enrollment YR1'!G189+('1.2 Budgeted Enrollment YR1'!G189*$Q$2)</f>
        <v>627.94822062454921</v>
      </c>
      <c r="H189" s="219">
        <v>0</v>
      </c>
      <c r="I189" s="220">
        <v>0</v>
      </c>
      <c r="J189" s="219">
        <v>0</v>
      </c>
      <c r="K189" s="220">
        <v>0</v>
      </c>
      <c r="L189" s="73"/>
      <c r="M189" s="2"/>
      <c r="N189"/>
      <c r="O189"/>
      <c r="P189"/>
      <c r="Q189"/>
    </row>
    <row r="190" spans="1:17" ht="18" thickTop="1" thickBot="1" x14ac:dyDescent="0.35">
      <c r="A190" s="38" t="str">
        <f>'1.2 Budgeted Enrollment YR1'!A190</f>
        <v>Clark</v>
      </c>
      <c r="B190" s="40">
        <f>'1.2 Budgeted Enrollment YR1'!B190</f>
        <v>2</v>
      </c>
      <c r="C190" s="40">
        <f>'1.2 Budgeted Enrollment YR1'!C190</f>
        <v>2</v>
      </c>
      <c r="D190" s="40" t="str">
        <f>'1.2 Budgeted Enrollment YR1'!D190</f>
        <v>Las Vegas</v>
      </c>
      <c r="E190" s="38" t="str">
        <f>'1.2 Budgeted Enrollment YR1'!E190</f>
        <v>Cox, David M ES</v>
      </c>
      <c r="F190" s="590"/>
      <c r="G190" s="220">
        <f>'1.2 Budgeted Enrollment YR1'!G190+('1.2 Budgeted Enrollment YR1'!G190*$Q$2)</f>
        <v>479.44258156038711</v>
      </c>
      <c r="H190" s="219">
        <v>0</v>
      </c>
      <c r="I190" s="220">
        <v>0</v>
      </c>
      <c r="J190" s="219">
        <v>0</v>
      </c>
      <c r="K190" s="220">
        <v>0</v>
      </c>
      <c r="L190" s="73"/>
      <c r="M190" s="2"/>
      <c r="N190"/>
      <c r="O190"/>
      <c r="P190"/>
      <c r="Q190"/>
    </row>
    <row r="191" spans="1:17" ht="18" thickTop="1" thickBot="1" x14ac:dyDescent="0.35">
      <c r="A191" s="38" t="str">
        <f>'1.2 Budgeted Enrollment YR1'!A191</f>
        <v>Clark</v>
      </c>
      <c r="B191" s="40">
        <f>'1.2 Budgeted Enrollment YR1'!B191</f>
        <v>2</v>
      </c>
      <c r="C191" s="40">
        <f>'1.2 Budgeted Enrollment YR1'!C191</f>
        <v>2</v>
      </c>
      <c r="D191" s="40" t="str">
        <f>'1.2 Budgeted Enrollment YR1'!D191</f>
        <v>Las Vegas</v>
      </c>
      <c r="E191" s="38" t="str">
        <f>'1.2 Budgeted Enrollment YR1'!E191</f>
        <v>Cozine, Steve and Linda ES</v>
      </c>
      <c r="F191" s="590"/>
      <c r="G191" s="220">
        <f>'1.2 Budgeted Enrollment YR1'!G191+('1.2 Budgeted Enrollment YR1'!G191*$Q$2)</f>
        <v>634.15149141178836</v>
      </c>
      <c r="H191" s="219">
        <v>0</v>
      </c>
      <c r="I191" s="220">
        <v>0</v>
      </c>
      <c r="J191" s="219">
        <v>0</v>
      </c>
      <c r="K191" s="220">
        <v>0</v>
      </c>
      <c r="L191" s="73"/>
      <c r="M191" s="2"/>
      <c r="N191"/>
      <c r="O191"/>
      <c r="P191"/>
      <c r="Q191"/>
    </row>
    <row r="192" spans="1:17" ht="18" thickTop="1" thickBot="1" x14ac:dyDescent="0.35">
      <c r="A192" s="38" t="str">
        <f>'1.2 Budgeted Enrollment YR1'!A192</f>
        <v>Clark</v>
      </c>
      <c r="B192" s="40">
        <f>'1.2 Budgeted Enrollment YR1'!B192</f>
        <v>2</v>
      </c>
      <c r="C192" s="40">
        <f>'1.2 Budgeted Enrollment YR1'!C192</f>
        <v>2</v>
      </c>
      <c r="D192" s="40" t="str">
        <f>'1.2 Budgeted Enrollment YR1'!D192</f>
        <v>Las Vegas</v>
      </c>
      <c r="E192" s="38" t="str">
        <f>'1.2 Budgeted Enrollment YR1'!E192</f>
        <v>Craig, Lois ES</v>
      </c>
      <c r="F192" s="590"/>
      <c r="G192" s="220">
        <f>'1.2 Budgeted Enrollment YR1'!G192+('1.2 Budgeted Enrollment YR1'!G192*$Q$2)</f>
        <v>478.2830837481539</v>
      </c>
      <c r="H192" s="219">
        <v>0</v>
      </c>
      <c r="I192" s="220">
        <v>0</v>
      </c>
      <c r="J192" s="219">
        <v>0</v>
      </c>
      <c r="K192" s="220">
        <v>0</v>
      </c>
      <c r="L192" s="73"/>
      <c r="M192" s="2"/>
      <c r="N192"/>
      <c r="O192"/>
      <c r="P192"/>
      <c r="Q192"/>
    </row>
    <row r="193" spans="1:17" ht="18" thickTop="1" thickBot="1" x14ac:dyDescent="0.35">
      <c r="A193" s="38" t="str">
        <f>'1.2 Budgeted Enrollment YR1'!A193</f>
        <v>Clark</v>
      </c>
      <c r="B193" s="40">
        <f>'1.2 Budgeted Enrollment YR1'!B193</f>
        <v>2</v>
      </c>
      <c r="C193" s="40">
        <f>'1.2 Budgeted Enrollment YR1'!C193</f>
        <v>2</v>
      </c>
      <c r="D193" s="40" t="str">
        <f>'1.2 Budgeted Enrollment YR1'!D193</f>
        <v>Las Vegas</v>
      </c>
      <c r="E193" s="38" t="str">
        <f>'1.2 Budgeted Enrollment YR1'!E193</f>
        <v>Cram, Brian &amp; Teri MS</v>
      </c>
      <c r="F193" s="590"/>
      <c r="G193" s="220">
        <f>'1.2 Budgeted Enrollment YR1'!G193+('1.2 Budgeted Enrollment YR1'!G193*$Q$2)</f>
        <v>1396.5602303811879</v>
      </c>
      <c r="H193" s="219">
        <v>0</v>
      </c>
      <c r="I193" s="220">
        <v>0</v>
      </c>
      <c r="J193" s="219">
        <v>0</v>
      </c>
      <c r="K193" s="220">
        <v>0</v>
      </c>
      <c r="L193" s="73"/>
      <c r="M193" s="2"/>
      <c r="N193"/>
      <c r="O193"/>
      <c r="P193"/>
      <c r="Q193"/>
    </row>
    <row r="194" spans="1:17" ht="18" thickTop="1" thickBot="1" x14ac:dyDescent="0.35">
      <c r="A194" s="38" t="str">
        <f>'1.2 Budgeted Enrollment YR1'!A194</f>
        <v>Clark</v>
      </c>
      <c r="B194" s="40">
        <f>'1.2 Budgeted Enrollment YR1'!B194</f>
        <v>2</v>
      </c>
      <c r="C194" s="40">
        <f>'1.2 Budgeted Enrollment YR1'!C194</f>
        <v>2</v>
      </c>
      <c r="D194" s="40" t="str">
        <f>'1.2 Budgeted Enrollment YR1'!D194</f>
        <v>Las Vegas</v>
      </c>
      <c r="E194" s="38" t="str">
        <f>'1.2 Budgeted Enrollment YR1'!E194</f>
        <v>Crestwood ES</v>
      </c>
      <c r="F194" s="590"/>
      <c r="G194" s="220">
        <f>'1.2 Budgeted Enrollment YR1'!G194+('1.2 Budgeted Enrollment YR1'!G194*$Q$2)</f>
        <v>566.88379510018422</v>
      </c>
      <c r="H194" s="219">
        <v>0</v>
      </c>
      <c r="I194" s="220">
        <v>0</v>
      </c>
      <c r="J194" s="219">
        <v>0</v>
      </c>
      <c r="K194" s="220">
        <v>0</v>
      </c>
      <c r="L194" s="73"/>
      <c r="M194" s="2"/>
      <c r="N194"/>
      <c r="O194"/>
      <c r="P194"/>
      <c r="Q194"/>
    </row>
    <row r="195" spans="1:17" ht="18" thickTop="1" thickBot="1" x14ac:dyDescent="0.35">
      <c r="A195" s="38" t="str">
        <f>'1.2 Budgeted Enrollment YR1'!A195</f>
        <v>Clark</v>
      </c>
      <c r="B195" s="40">
        <f>'1.2 Budgeted Enrollment YR1'!B195</f>
        <v>2</v>
      </c>
      <c r="C195" s="40">
        <f>'1.2 Budgeted Enrollment YR1'!C195</f>
        <v>2</v>
      </c>
      <c r="D195" s="40" t="str">
        <f>'1.2 Budgeted Enrollment YR1'!D195</f>
        <v>Las Vegas</v>
      </c>
      <c r="E195" s="38" t="str">
        <f>'1.2 Budgeted Enrollment YR1'!E195</f>
        <v>Culley, Paul E ES</v>
      </c>
      <c r="F195" s="590"/>
      <c r="G195" s="220">
        <f>'1.2 Budgeted Enrollment YR1'!G195+('1.2 Budgeted Enrollment YR1'!G195*$Q$2)</f>
        <v>569.50789083052587</v>
      </c>
      <c r="H195" s="219">
        <v>0</v>
      </c>
      <c r="I195" s="220">
        <v>0</v>
      </c>
      <c r="J195" s="219">
        <v>0</v>
      </c>
      <c r="K195" s="220">
        <v>0</v>
      </c>
      <c r="L195" s="73"/>
      <c r="M195" s="2"/>
      <c r="N195"/>
      <c r="O195"/>
      <c r="P195"/>
      <c r="Q195"/>
    </row>
    <row r="196" spans="1:17" ht="18" thickTop="1" thickBot="1" x14ac:dyDescent="0.35">
      <c r="A196" s="38" t="str">
        <f>'1.2 Budgeted Enrollment YR1'!A196</f>
        <v>Clark</v>
      </c>
      <c r="B196" s="40">
        <f>'1.2 Budgeted Enrollment YR1'!B196</f>
        <v>2</v>
      </c>
      <c r="C196" s="40">
        <f>'1.2 Budgeted Enrollment YR1'!C196</f>
        <v>2</v>
      </c>
      <c r="D196" s="40" t="str">
        <f>'1.2 Budgeted Enrollment YR1'!D196</f>
        <v>Las Vegas</v>
      </c>
      <c r="E196" s="38" t="str">
        <f>'1.2 Budgeted Enrollment YR1'!E196</f>
        <v>Cunningham, Cynthia ES</v>
      </c>
      <c r="F196" s="590"/>
      <c r="G196" s="220">
        <f>'1.2 Budgeted Enrollment YR1'!G196+('1.2 Budgeted Enrollment YR1'!G196*$Q$2)</f>
        <v>644.61999264003282</v>
      </c>
      <c r="H196" s="219">
        <v>0</v>
      </c>
      <c r="I196" s="220">
        <v>0</v>
      </c>
      <c r="J196" s="219">
        <v>0</v>
      </c>
      <c r="K196" s="220">
        <v>0</v>
      </c>
      <c r="L196" s="73"/>
      <c r="M196" s="2"/>
      <c r="N196"/>
      <c r="O196"/>
      <c r="P196"/>
      <c r="Q196"/>
    </row>
    <row r="197" spans="1:17" ht="18" thickTop="1" thickBot="1" x14ac:dyDescent="0.35">
      <c r="A197" s="38" t="str">
        <f>'1.2 Budgeted Enrollment YR1'!A197</f>
        <v>Clark</v>
      </c>
      <c r="B197" s="40">
        <f>'1.2 Budgeted Enrollment YR1'!B197</f>
        <v>2</v>
      </c>
      <c r="C197" s="40">
        <f>'1.2 Budgeted Enrollment YR1'!C197</f>
        <v>2</v>
      </c>
      <c r="D197" s="40" t="str">
        <f>'1.2 Budgeted Enrollment YR1'!D197</f>
        <v>Las Vegas</v>
      </c>
      <c r="E197" s="38" t="str">
        <f>'1.2 Budgeted Enrollment YR1'!E197</f>
        <v>Dailey, Jack ES</v>
      </c>
      <c r="F197" s="590"/>
      <c r="G197" s="220">
        <f>'1.2 Budgeted Enrollment YR1'!G197+('1.2 Budgeted Enrollment YR1'!G197*$Q$2)</f>
        <v>497.97926701190795</v>
      </c>
      <c r="H197" s="219">
        <v>0</v>
      </c>
      <c r="I197" s="220">
        <v>0</v>
      </c>
      <c r="J197" s="219">
        <v>0</v>
      </c>
      <c r="K197" s="220">
        <v>0</v>
      </c>
      <c r="L197" s="73"/>
      <c r="M197" s="2"/>
      <c r="N197"/>
      <c r="O197"/>
      <c r="P197"/>
      <c r="Q197"/>
    </row>
    <row r="198" spans="1:17" ht="18" thickTop="1" thickBot="1" x14ac:dyDescent="0.35">
      <c r="A198" s="38" t="str">
        <f>'1.2 Budgeted Enrollment YR1'!A198</f>
        <v>Clark</v>
      </c>
      <c r="B198" s="40">
        <f>'1.2 Budgeted Enrollment YR1'!B198</f>
        <v>2</v>
      </c>
      <c r="C198" s="40">
        <f>'1.2 Budgeted Enrollment YR1'!C198</f>
        <v>2</v>
      </c>
      <c r="D198" s="40" t="str">
        <f>'1.2 Budgeted Enrollment YR1'!D198</f>
        <v>Las Vegas</v>
      </c>
      <c r="E198" s="38" t="str">
        <f>'1.2 Budgeted Enrollment YR1'!E198</f>
        <v>Darnell, Marshall C ES</v>
      </c>
      <c r="F198" s="590"/>
      <c r="G198" s="220">
        <f>'1.2 Budgeted Enrollment YR1'!G198+('1.2 Budgeted Enrollment YR1'!G198*$Q$2)</f>
        <v>542.27086460325802</v>
      </c>
      <c r="H198" s="219">
        <v>0</v>
      </c>
      <c r="I198" s="220">
        <v>0</v>
      </c>
      <c r="J198" s="219">
        <v>0</v>
      </c>
      <c r="K198" s="220">
        <v>0</v>
      </c>
      <c r="L198" s="73"/>
      <c r="M198" s="2"/>
      <c r="N198"/>
      <c r="O198"/>
      <c r="P198"/>
      <c r="Q198"/>
    </row>
    <row r="199" spans="1:17" ht="18" thickTop="1" thickBot="1" x14ac:dyDescent="0.35">
      <c r="A199" s="38" t="str">
        <f>'1.2 Budgeted Enrollment YR1'!A199</f>
        <v>Clark</v>
      </c>
      <c r="B199" s="40">
        <f>'1.2 Budgeted Enrollment YR1'!B199</f>
        <v>2</v>
      </c>
      <c r="C199" s="40">
        <f>'1.2 Budgeted Enrollment YR1'!C199</f>
        <v>2</v>
      </c>
      <c r="D199" s="40" t="str">
        <f>'1.2 Budgeted Enrollment YR1'!D199</f>
        <v>Las Vegas</v>
      </c>
      <c r="E199" s="38" t="str">
        <f>'1.2 Budgeted Enrollment YR1'!E199</f>
        <v>Dearing, Laura ES</v>
      </c>
      <c r="F199" s="590"/>
      <c r="G199" s="220">
        <f>'1.2 Budgeted Enrollment YR1'!G199+('1.2 Budgeted Enrollment YR1'!G199*$Q$2)</f>
        <v>784.73462166646743</v>
      </c>
      <c r="H199" s="219">
        <v>0</v>
      </c>
      <c r="I199" s="220">
        <v>0</v>
      </c>
      <c r="J199" s="219">
        <v>0</v>
      </c>
      <c r="K199" s="220">
        <v>0</v>
      </c>
      <c r="L199" s="73"/>
      <c r="M199" s="2"/>
      <c r="N199"/>
      <c r="O199"/>
      <c r="P199"/>
      <c r="Q199"/>
    </row>
    <row r="200" spans="1:17" ht="18" thickTop="1" thickBot="1" x14ac:dyDescent="0.35">
      <c r="A200" s="38" t="str">
        <f>'1.2 Budgeted Enrollment YR1'!A200</f>
        <v>Clark</v>
      </c>
      <c r="B200" s="40">
        <f>'1.2 Budgeted Enrollment YR1'!B200</f>
        <v>2</v>
      </c>
      <c r="C200" s="40">
        <f>'1.2 Budgeted Enrollment YR1'!C200</f>
        <v>2</v>
      </c>
      <c r="D200" s="40" t="str">
        <f>'1.2 Budgeted Enrollment YR1'!D200</f>
        <v>Las Vegas</v>
      </c>
      <c r="E200" s="38" t="str">
        <f>'1.2 Budgeted Enrollment YR1'!E200</f>
        <v>Decker, C H ES</v>
      </c>
      <c r="F200" s="590"/>
      <c r="G200" s="220">
        <f>'1.2 Budgeted Enrollment YR1'!G200+('1.2 Budgeted Enrollment YR1'!G200*$Q$2)</f>
        <v>591.4466786626773</v>
      </c>
      <c r="H200" s="219">
        <v>0</v>
      </c>
      <c r="I200" s="220">
        <v>0</v>
      </c>
      <c r="J200" s="219">
        <v>0</v>
      </c>
      <c r="K200" s="220">
        <v>0</v>
      </c>
      <c r="L200" s="73"/>
      <c r="M200" s="2"/>
      <c r="N200"/>
      <c r="O200"/>
      <c r="P200"/>
      <c r="Q200"/>
    </row>
    <row r="201" spans="1:17" ht="18" thickTop="1" thickBot="1" x14ac:dyDescent="0.35">
      <c r="A201" s="38" t="str">
        <f>'1.2 Budgeted Enrollment YR1'!A201</f>
        <v>Clark</v>
      </c>
      <c r="B201" s="40">
        <f>'1.2 Budgeted Enrollment YR1'!B201</f>
        <v>2</v>
      </c>
      <c r="C201" s="40">
        <f>'1.2 Budgeted Enrollment YR1'!C201</f>
        <v>2</v>
      </c>
      <c r="D201" s="40" t="str">
        <f>'1.2 Budgeted Enrollment YR1'!D201</f>
        <v>Las Vegas</v>
      </c>
      <c r="E201" s="38" t="str">
        <f>'1.2 Budgeted Enrollment YR1'!E201</f>
        <v>Del Sol Academy of Performing Arts HS</v>
      </c>
      <c r="F201" s="590"/>
      <c r="G201" s="220">
        <f>'1.2 Budgeted Enrollment YR1'!G201+('1.2 Budgeted Enrollment YR1'!G201*$Q$2)</f>
        <v>2450.5359985342789</v>
      </c>
      <c r="H201" s="219">
        <v>0</v>
      </c>
      <c r="I201" s="220">
        <v>0</v>
      </c>
      <c r="J201" s="219">
        <v>0</v>
      </c>
      <c r="K201" s="220">
        <v>0</v>
      </c>
      <c r="L201" s="73"/>
      <c r="M201" s="2"/>
      <c r="N201"/>
      <c r="O201"/>
      <c r="P201"/>
      <c r="Q201"/>
    </row>
    <row r="202" spans="1:17" ht="18" thickTop="1" thickBot="1" x14ac:dyDescent="0.35">
      <c r="A202" s="38" t="str">
        <f>'1.2 Budgeted Enrollment YR1'!A202</f>
        <v>Clark</v>
      </c>
      <c r="B202" s="40">
        <f>'1.2 Budgeted Enrollment YR1'!B202</f>
        <v>2</v>
      </c>
      <c r="C202" s="40">
        <f>'1.2 Budgeted Enrollment YR1'!C202</f>
        <v>2</v>
      </c>
      <c r="D202" s="40" t="str">
        <f>'1.2 Budgeted Enrollment YR1'!D202</f>
        <v>Las Vegas</v>
      </c>
      <c r="E202" s="38" t="str">
        <f>'1.2 Budgeted Enrollment YR1'!E202</f>
        <v>Derfelt, Herbert A ES</v>
      </c>
      <c r="F202" s="590"/>
      <c r="G202" s="220">
        <f>'1.2 Budgeted Enrollment YR1'!G202+('1.2 Budgeted Enrollment YR1'!G202*$Q$2)</f>
        <v>542.83804200718464</v>
      </c>
      <c r="H202" s="219">
        <v>0</v>
      </c>
      <c r="I202" s="220">
        <v>0</v>
      </c>
      <c r="J202" s="219">
        <v>0</v>
      </c>
      <c r="K202" s="220">
        <v>0</v>
      </c>
      <c r="L202" s="73"/>
      <c r="M202" s="2"/>
      <c r="N202"/>
      <c r="O202"/>
      <c r="P202"/>
      <c r="Q202"/>
    </row>
    <row r="203" spans="1:17" ht="18" thickTop="1" thickBot="1" x14ac:dyDescent="0.35">
      <c r="A203" s="38" t="str">
        <f>'1.2 Budgeted Enrollment YR1'!A203</f>
        <v>Clark</v>
      </c>
      <c r="B203" s="40">
        <f>'1.2 Budgeted Enrollment YR1'!B203</f>
        <v>2</v>
      </c>
      <c r="C203" s="40">
        <f>'1.2 Budgeted Enrollment YR1'!C203</f>
        <v>2</v>
      </c>
      <c r="D203" s="40" t="str">
        <f>'1.2 Budgeted Enrollment YR1'!D203</f>
        <v>Las Vegas</v>
      </c>
      <c r="E203" s="38" t="str">
        <f>'1.2 Budgeted Enrollment YR1'!E203</f>
        <v>Desert Oasis HS</v>
      </c>
      <c r="F203" s="590"/>
      <c r="G203" s="220">
        <f>'1.2 Budgeted Enrollment YR1'!G203+('1.2 Budgeted Enrollment YR1'!G203*$Q$2)</f>
        <v>3093.6257374743395</v>
      </c>
      <c r="H203" s="219">
        <v>0</v>
      </c>
      <c r="I203" s="220">
        <v>0</v>
      </c>
      <c r="J203" s="219">
        <v>0</v>
      </c>
      <c r="K203" s="220">
        <v>0</v>
      </c>
      <c r="L203" s="73"/>
      <c r="M203" s="2"/>
      <c r="N203"/>
      <c r="O203"/>
      <c r="P203"/>
      <c r="Q203"/>
    </row>
    <row r="204" spans="1:17" ht="18" thickTop="1" thickBot="1" x14ac:dyDescent="0.35">
      <c r="A204" s="38" t="str">
        <f>'1.2 Budgeted Enrollment YR1'!A204</f>
        <v>Clark</v>
      </c>
      <c r="B204" s="40">
        <f>'1.2 Budgeted Enrollment YR1'!B204</f>
        <v>2</v>
      </c>
      <c r="C204" s="40">
        <f>'1.2 Budgeted Enrollment YR1'!C204</f>
        <v>2</v>
      </c>
      <c r="D204" s="40" t="str">
        <f>'1.2 Budgeted Enrollment YR1'!D204</f>
        <v>Las Vegas</v>
      </c>
      <c r="E204" s="38" t="str">
        <f>'1.2 Budgeted Enrollment YR1'!E204</f>
        <v>Desert Pines HS</v>
      </c>
      <c r="F204" s="590"/>
      <c r="G204" s="220">
        <f>'1.2 Budgeted Enrollment YR1'!G204+('1.2 Budgeted Enrollment YR1'!G204*$Q$2)</f>
        <v>3022.6057179528548</v>
      </c>
      <c r="H204" s="219">
        <v>0</v>
      </c>
      <c r="I204" s="220">
        <v>0</v>
      </c>
      <c r="J204" s="219">
        <v>0</v>
      </c>
      <c r="K204" s="220">
        <v>0</v>
      </c>
      <c r="L204" s="73"/>
      <c r="M204" s="2"/>
      <c r="N204"/>
      <c r="O204"/>
      <c r="P204"/>
      <c r="Q204"/>
    </row>
    <row r="205" spans="1:17" ht="18" thickTop="1" thickBot="1" x14ac:dyDescent="0.35">
      <c r="A205" s="38" t="str">
        <f>'1.2 Budgeted Enrollment YR1'!A205</f>
        <v>Clark</v>
      </c>
      <c r="B205" s="40">
        <f>'1.2 Budgeted Enrollment YR1'!B205</f>
        <v>2</v>
      </c>
      <c r="C205" s="40">
        <f>'1.2 Budgeted Enrollment YR1'!C205</f>
        <v>2</v>
      </c>
      <c r="D205" s="40" t="str">
        <f>'1.2 Budgeted Enrollment YR1'!D205</f>
        <v>Las Vegas</v>
      </c>
      <c r="E205" s="38" t="str">
        <f>'1.2 Budgeted Enrollment YR1'!E205</f>
        <v>Desert Rose HS</v>
      </c>
      <c r="F205" s="590"/>
      <c r="G205" s="220">
        <f>'1.2 Budgeted Enrollment YR1'!G205+('1.2 Budgeted Enrollment YR1'!G205*$Q$2)</f>
        <v>145.77309382788866</v>
      </c>
      <c r="H205" s="219">
        <v>0</v>
      </c>
      <c r="I205" s="220">
        <v>0</v>
      </c>
      <c r="J205" s="219">
        <v>0</v>
      </c>
      <c r="K205" s="220">
        <v>0</v>
      </c>
      <c r="L205" s="73"/>
      <c r="M205" s="2"/>
      <c r="N205"/>
      <c r="O205"/>
      <c r="P205"/>
      <c r="Q205"/>
    </row>
    <row r="206" spans="1:17" ht="18" thickTop="1" thickBot="1" x14ac:dyDescent="0.35">
      <c r="A206" s="38" t="str">
        <f>'1.2 Budgeted Enrollment YR1'!A206</f>
        <v>Clark</v>
      </c>
      <c r="B206" s="40">
        <f>'1.2 Budgeted Enrollment YR1'!B206</f>
        <v>2</v>
      </c>
      <c r="C206" s="40">
        <f>'1.2 Budgeted Enrollment YR1'!C206</f>
        <v>2</v>
      </c>
      <c r="D206" s="40" t="str">
        <f>'1.2 Budgeted Enrollment YR1'!D206</f>
        <v>Las Vegas</v>
      </c>
      <c r="E206" s="38" t="str">
        <f>'1.2 Budgeted Enrollment YR1'!E206</f>
        <v>Desert Willow J-SHS</v>
      </c>
      <c r="F206" s="590"/>
      <c r="G206" s="220">
        <f>'1.2 Budgeted Enrollment YR1'!G206+('1.2 Budgeted Enrollment YR1'!G206*$Q$2)</f>
        <v>15.242469597179323</v>
      </c>
      <c r="H206" s="219">
        <v>0</v>
      </c>
      <c r="I206" s="220">
        <v>0</v>
      </c>
      <c r="J206" s="219">
        <v>0</v>
      </c>
      <c r="K206" s="220">
        <v>0</v>
      </c>
      <c r="L206" s="73"/>
      <c r="M206" s="2"/>
      <c r="N206"/>
      <c r="O206"/>
      <c r="P206"/>
      <c r="Q206"/>
    </row>
    <row r="207" spans="1:17" ht="18" thickTop="1" thickBot="1" x14ac:dyDescent="0.35">
      <c r="A207" s="38" t="str">
        <f>'1.2 Budgeted Enrollment YR1'!A207</f>
        <v>Clark</v>
      </c>
      <c r="B207" s="40">
        <f>'1.2 Budgeted Enrollment YR1'!B207</f>
        <v>2</v>
      </c>
      <c r="C207" s="40">
        <f>'1.2 Budgeted Enrollment YR1'!C207</f>
        <v>2</v>
      </c>
      <c r="D207" s="40" t="str">
        <f>'1.2 Budgeted Enrollment YR1'!D207</f>
        <v>Las Vegas</v>
      </c>
      <c r="E207" s="38" t="str">
        <f>'1.2 Budgeted Enrollment YR1'!E207</f>
        <v>Deskin, Ruthe ES</v>
      </c>
      <c r="F207" s="590"/>
      <c r="G207" s="220">
        <f>'1.2 Budgeted Enrollment YR1'!G207+('1.2 Budgeted Enrollment YR1'!G207*$Q$2)</f>
        <v>435.89977164320362</v>
      </c>
      <c r="H207" s="219">
        <v>0</v>
      </c>
      <c r="I207" s="220">
        <v>0</v>
      </c>
      <c r="J207" s="219">
        <v>0</v>
      </c>
      <c r="K207" s="220">
        <v>0</v>
      </c>
      <c r="L207" s="73"/>
      <c r="M207" s="2"/>
      <c r="N207"/>
      <c r="O207"/>
      <c r="P207"/>
      <c r="Q207"/>
    </row>
    <row r="208" spans="1:17" ht="18" thickTop="1" thickBot="1" x14ac:dyDescent="0.35">
      <c r="A208" s="38" t="str">
        <f>'1.2 Budgeted Enrollment YR1'!A208</f>
        <v>Clark</v>
      </c>
      <c r="B208" s="40">
        <f>'1.2 Budgeted Enrollment YR1'!B208</f>
        <v>2</v>
      </c>
      <c r="C208" s="40">
        <f>'1.2 Budgeted Enrollment YR1'!C208</f>
        <v>2</v>
      </c>
      <c r="D208" s="40" t="str">
        <f>'1.2 Budgeted Enrollment YR1'!D208</f>
        <v>Las Vegas</v>
      </c>
      <c r="E208" s="38" t="str">
        <f>'1.2 Budgeted Enrollment YR1'!E208</f>
        <v>Detwiler, Ollie ES</v>
      </c>
      <c r="F208" s="590"/>
      <c r="G208" s="220">
        <f>'1.2 Budgeted Enrollment YR1'!G208+('1.2 Budgeted Enrollment YR1'!G208*$Q$2)</f>
        <v>484.3627885684333</v>
      </c>
      <c r="H208" s="219">
        <v>0</v>
      </c>
      <c r="I208" s="220">
        <v>0</v>
      </c>
      <c r="J208" s="219">
        <v>0</v>
      </c>
      <c r="K208" s="220">
        <v>0</v>
      </c>
      <c r="L208" s="73"/>
      <c r="M208" s="2"/>
      <c r="N208"/>
      <c r="O208"/>
      <c r="P208"/>
      <c r="Q208"/>
    </row>
    <row r="209" spans="1:17" ht="18" thickTop="1" thickBot="1" x14ac:dyDescent="0.35">
      <c r="A209" s="38" t="str">
        <f>'1.2 Budgeted Enrollment YR1'!A209</f>
        <v>Clark</v>
      </c>
      <c r="B209" s="40">
        <f>'1.2 Budgeted Enrollment YR1'!B209</f>
        <v>2</v>
      </c>
      <c r="C209" s="40">
        <f>'1.2 Budgeted Enrollment YR1'!C209</f>
        <v>2</v>
      </c>
      <c r="D209" s="40" t="str">
        <f>'1.2 Budgeted Enrollment YR1'!D209</f>
        <v>Las Vegas</v>
      </c>
      <c r="E209" s="38" t="str">
        <f>'1.2 Budgeted Enrollment YR1'!E209</f>
        <v>Diaz, Ruben P ES</v>
      </c>
      <c r="F209" s="590"/>
      <c r="G209" s="220">
        <f>'1.2 Budgeted Enrollment YR1'!G209+('1.2 Budgeted Enrollment YR1'!G209*$Q$2)</f>
        <v>570.75092984765911</v>
      </c>
      <c r="H209" s="219">
        <v>0</v>
      </c>
      <c r="I209" s="220">
        <v>0</v>
      </c>
      <c r="J209" s="219">
        <v>0</v>
      </c>
      <c r="K209" s="220">
        <v>0</v>
      </c>
      <c r="L209" s="73"/>
      <c r="M209" s="2"/>
      <c r="N209"/>
      <c r="O209"/>
      <c r="P209"/>
      <c r="Q209"/>
    </row>
    <row r="210" spans="1:17" ht="18" thickTop="1" thickBot="1" x14ac:dyDescent="0.35">
      <c r="A210" s="38" t="str">
        <f>'1.2 Budgeted Enrollment YR1'!A210</f>
        <v>Clark</v>
      </c>
      <c r="B210" s="40">
        <f>'1.2 Budgeted Enrollment YR1'!B210</f>
        <v>2</v>
      </c>
      <c r="C210" s="40">
        <f>'1.2 Budgeted Enrollment YR1'!C210</f>
        <v>2</v>
      </c>
      <c r="D210" s="40" t="str">
        <f>'1.2 Budgeted Enrollment YR1'!D210</f>
        <v>Las Vegas</v>
      </c>
      <c r="E210" s="38" t="str">
        <f>'1.2 Budgeted Enrollment YR1'!E210</f>
        <v>Dickens, D L Dusty ES</v>
      </c>
      <c r="F210" s="590"/>
      <c r="G210" s="220">
        <f>'1.2 Budgeted Enrollment YR1'!G210+('1.2 Budgeted Enrollment YR1'!G210*$Q$2)</f>
        <v>739.09598589792108</v>
      </c>
      <c r="H210" s="219">
        <v>0</v>
      </c>
      <c r="I210" s="220">
        <v>0</v>
      </c>
      <c r="J210" s="219">
        <v>0</v>
      </c>
      <c r="K210" s="220">
        <v>0</v>
      </c>
      <c r="L210" s="73"/>
      <c r="M210" s="2"/>
      <c r="N210"/>
      <c r="O210"/>
      <c r="P210"/>
      <c r="Q210"/>
    </row>
    <row r="211" spans="1:17" ht="18" thickTop="1" thickBot="1" x14ac:dyDescent="0.35">
      <c r="A211" s="38" t="str">
        <f>'1.2 Budgeted Enrollment YR1'!A211</f>
        <v>Clark</v>
      </c>
      <c r="B211" s="40">
        <f>'1.2 Budgeted Enrollment YR1'!B211</f>
        <v>2</v>
      </c>
      <c r="C211" s="40">
        <f>'1.2 Budgeted Enrollment YR1'!C211</f>
        <v>2</v>
      </c>
      <c r="D211" s="40" t="str">
        <f>'1.2 Budgeted Enrollment YR1'!D211</f>
        <v>Las Vegas</v>
      </c>
      <c r="E211" s="38" t="str">
        <f>'1.2 Budgeted Enrollment YR1'!E211</f>
        <v>Diskin, P A ES</v>
      </c>
      <c r="F211" s="590"/>
      <c r="G211" s="220">
        <f>'1.2 Budgeted Enrollment YR1'!G211+('1.2 Budgeted Enrollment YR1'!G211*$Q$2)</f>
        <v>525.14071264655036</v>
      </c>
      <c r="H211" s="219">
        <v>0</v>
      </c>
      <c r="I211" s="220">
        <v>0</v>
      </c>
      <c r="J211" s="219">
        <v>0</v>
      </c>
      <c r="K211" s="220">
        <v>0</v>
      </c>
      <c r="L211" s="73"/>
      <c r="M211" s="2"/>
      <c r="N211"/>
      <c r="O211"/>
      <c r="P211"/>
      <c r="Q211"/>
    </row>
    <row r="212" spans="1:17" ht="18" thickTop="1" thickBot="1" x14ac:dyDescent="0.35">
      <c r="A212" s="38" t="str">
        <f>'1.2 Budgeted Enrollment YR1'!A212</f>
        <v>Clark</v>
      </c>
      <c r="B212" s="40">
        <f>'1.2 Budgeted Enrollment YR1'!B212</f>
        <v>2</v>
      </c>
      <c r="C212" s="40">
        <f>'1.2 Budgeted Enrollment YR1'!C212</f>
        <v>2</v>
      </c>
      <c r="D212" s="40" t="str">
        <f>'1.2 Budgeted Enrollment YR1'!D212</f>
        <v>Las Vegas</v>
      </c>
      <c r="E212" s="38" t="str">
        <f>'1.2 Budgeted Enrollment YR1'!E212</f>
        <v>Divich, Kenneth ES</v>
      </c>
      <c r="F212" s="590"/>
      <c r="G212" s="220">
        <f>'1.2 Budgeted Enrollment YR1'!G212+('1.2 Budgeted Enrollment YR1'!G212*$Q$2)</f>
        <v>970.09350260226108</v>
      </c>
      <c r="H212" s="219">
        <v>0</v>
      </c>
      <c r="I212" s="220">
        <v>0</v>
      </c>
      <c r="J212" s="219">
        <v>0</v>
      </c>
      <c r="K212" s="220">
        <v>0</v>
      </c>
      <c r="L212" s="73"/>
      <c r="M212" s="2"/>
      <c r="N212"/>
      <c r="O212"/>
      <c r="P212"/>
      <c r="Q212"/>
    </row>
    <row r="213" spans="1:17" ht="18" thickTop="1" thickBot="1" x14ac:dyDescent="0.35">
      <c r="A213" s="38" t="str">
        <f>'1.2 Budgeted Enrollment YR1'!A213</f>
        <v>Clark</v>
      </c>
      <c r="B213" s="40">
        <f>'1.2 Budgeted Enrollment YR1'!B213</f>
        <v>2</v>
      </c>
      <c r="C213" s="40">
        <f>'1.2 Budgeted Enrollment YR1'!C213</f>
        <v>2</v>
      </c>
      <c r="D213" s="40" t="str">
        <f>'1.2 Budgeted Enrollment YR1'!D213</f>
        <v>Las Vegas</v>
      </c>
      <c r="E213" s="38" t="str">
        <f>'1.2 Budgeted Enrollment YR1'!E213</f>
        <v>Dondero, Harvey N ES</v>
      </c>
      <c r="F213" s="590"/>
      <c r="G213" s="220">
        <f>'1.2 Budgeted Enrollment YR1'!G213+('1.2 Budgeted Enrollment YR1'!G213*$Q$2)</f>
        <v>714.74551443097118</v>
      </c>
      <c r="H213" s="219">
        <v>0</v>
      </c>
      <c r="I213" s="220">
        <v>0</v>
      </c>
      <c r="J213" s="219">
        <v>0</v>
      </c>
      <c r="K213" s="220">
        <v>0</v>
      </c>
      <c r="L213" s="73"/>
      <c r="M213" s="2"/>
      <c r="N213"/>
      <c r="O213"/>
      <c r="P213"/>
      <c r="Q213"/>
    </row>
    <row r="214" spans="1:17" ht="18" thickTop="1" thickBot="1" x14ac:dyDescent="0.35">
      <c r="A214" s="38" t="str">
        <f>'1.2 Budgeted Enrollment YR1'!A214</f>
        <v>Clark</v>
      </c>
      <c r="B214" s="40">
        <f>'1.2 Budgeted Enrollment YR1'!B214</f>
        <v>2</v>
      </c>
      <c r="C214" s="40">
        <f>'1.2 Budgeted Enrollment YR1'!C214</f>
        <v>2</v>
      </c>
      <c r="D214" s="40" t="str">
        <f>'1.2 Budgeted Enrollment YR1'!D214</f>
        <v>Las Vegas</v>
      </c>
      <c r="E214" s="38" t="str">
        <f>'1.2 Budgeted Enrollment YR1'!E214</f>
        <v>Dooley, John ES</v>
      </c>
      <c r="F214" s="590"/>
      <c r="G214" s="220">
        <f>'1.2 Budgeted Enrollment YR1'!G214+('1.2 Budgeted Enrollment YR1'!G214*$Q$2)</f>
        <v>311.21532801301908</v>
      </c>
      <c r="H214" s="219">
        <v>0</v>
      </c>
      <c r="I214" s="220">
        <v>0</v>
      </c>
      <c r="J214" s="219">
        <v>0</v>
      </c>
      <c r="K214" s="220">
        <v>0</v>
      </c>
      <c r="L214" s="73"/>
      <c r="M214" s="2"/>
      <c r="N214"/>
      <c r="O214"/>
      <c r="P214"/>
      <c r="Q214"/>
    </row>
    <row r="215" spans="1:17" ht="18" thickTop="1" thickBot="1" x14ac:dyDescent="0.35">
      <c r="A215" s="38" t="str">
        <f>'1.2 Budgeted Enrollment YR1'!A215</f>
        <v>Clark</v>
      </c>
      <c r="B215" s="40">
        <f>'1.2 Budgeted Enrollment YR1'!B215</f>
        <v>2</v>
      </c>
      <c r="C215" s="40">
        <f>'1.2 Budgeted Enrollment YR1'!C215</f>
        <v>2</v>
      </c>
      <c r="D215" s="40" t="str">
        <f>'1.2 Budgeted Enrollment YR1'!D215</f>
        <v>Las Vegas</v>
      </c>
      <c r="E215" s="38" t="str">
        <f>'1.2 Budgeted Enrollment YR1'!E215</f>
        <v>Duncan, Ruby ES</v>
      </c>
      <c r="F215" s="590"/>
      <c r="G215" s="220">
        <f>'1.2 Budgeted Enrollment YR1'!G215+('1.2 Budgeted Enrollment YR1'!G215*$Q$2)</f>
        <v>622.38429286053156</v>
      </c>
      <c r="H215" s="219">
        <v>0</v>
      </c>
      <c r="I215" s="220">
        <v>0</v>
      </c>
      <c r="J215" s="219">
        <v>0</v>
      </c>
      <c r="K215" s="220">
        <v>0</v>
      </c>
      <c r="L215" s="73"/>
      <c r="M215" s="2"/>
      <c r="N215"/>
      <c r="O215"/>
      <c r="P215"/>
      <c r="Q215"/>
    </row>
    <row r="216" spans="1:17" ht="18" thickTop="1" thickBot="1" x14ac:dyDescent="0.35">
      <c r="A216" s="38" t="str">
        <f>'1.2 Budgeted Enrollment YR1'!A216</f>
        <v>Clark</v>
      </c>
      <c r="B216" s="40">
        <f>'1.2 Budgeted Enrollment YR1'!B216</f>
        <v>2</v>
      </c>
      <c r="C216" s="40">
        <f>'1.2 Budgeted Enrollment YR1'!C216</f>
        <v>2</v>
      </c>
      <c r="D216" s="40" t="str">
        <f>'1.2 Budgeted Enrollment YR1'!D216</f>
        <v>Las Vegas</v>
      </c>
      <c r="E216" s="38" t="str">
        <f>'1.2 Budgeted Enrollment YR1'!E216</f>
        <v>Durango HS</v>
      </c>
      <c r="F216" s="590"/>
      <c r="G216" s="220">
        <f>'1.2 Budgeted Enrollment YR1'!G216+('1.2 Budgeted Enrollment YR1'!G216*$Q$2)</f>
        <v>2265.0226216714318</v>
      </c>
      <c r="H216" s="219">
        <v>0</v>
      </c>
      <c r="I216" s="220">
        <v>0</v>
      </c>
      <c r="J216" s="219">
        <v>0</v>
      </c>
      <c r="K216" s="220">
        <v>0</v>
      </c>
      <c r="L216" s="73"/>
      <c r="M216" s="2"/>
      <c r="N216"/>
      <c r="O216"/>
      <c r="P216"/>
      <c r="Q216"/>
    </row>
    <row r="217" spans="1:17" ht="18" thickTop="1" thickBot="1" x14ac:dyDescent="0.35">
      <c r="A217" s="38" t="str">
        <f>'1.2 Budgeted Enrollment YR1'!A217</f>
        <v>Clark</v>
      </c>
      <c r="B217" s="40">
        <f>'1.2 Budgeted Enrollment YR1'!B217</f>
        <v>2</v>
      </c>
      <c r="C217" s="40">
        <f>'1.2 Budgeted Enrollment YR1'!C217</f>
        <v>2</v>
      </c>
      <c r="D217" s="40" t="str">
        <f>'1.2 Budgeted Enrollment YR1'!D217</f>
        <v>Las Vegas</v>
      </c>
      <c r="E217" s="38" t="str">
        <f>'1.2 Budgeted Enrollment YR1'!E217</f>
        <v>Earl, Ira J ES</v>
      </c>
      <c r="F217" s="590"/>
      <c r="G217" s="220">
        <f>'1.2 Budgeted Enrollment YR1'!G217+('1.2 Budgeted Enrollment YR1'!G217*$Q$2)</f>
        <v>595.59374933012282</v>
      </c>
      <c r="H217" s="219">
        <v>0</v>
      </c>
      <c r="I217" s="220">
        <v>0</v>
      </c>
      <c r="J217" s="219">
        <v>0</v>
      </c>
      <c r="K217" s="220">
        <v>0</v>
      </c>
      <c r="L217" s="73"/>
      <c r="M217" s="2"/>
      <c r="N217"/>
      <c r="O217"/>
      <c r="P217"/>
      <c r="Q217"/>
    </row>
    <row r="218" spans="1:17" ht="18" thickTop="1" thickBot="1" x14ac:dyDescent="0.35">
      <c r="A218" s="38" t="str">
        <f>'1.2 Budgeted Enrollment YR1'!A218</f>
        <v>Clark</v>
      </c>
      <c r="B218" s="40">
        <f>'1.2 Budgeted Enrollment YR1'!B218</f>
        <v>2</v>
      </c>
      <c r="C218" s="40">
        <f>'1.2 Budgeted Enrollment YR1'!C218</f>
        <v>2</v>
      </c>
      <c r="D218" s="40" t="str">
        <f>'1.2 Budgeted Enrollment YR1'!D218</f>
        <v>Las Vegas</v>
      </c>
      <c r="E218" s="38" t="str">
        <f>'1.2 Budgeted Enrollment YR1'!E218</f>
        <v>Earl, Marion B ES</v>
      </c>
      <c r="F218" s="590"/>
      <c r="G218" s="220">
        <f>'1.2 Budgeted Enrollment YR1'!G218+('1.2 Budgeted Enrollment YR1'!G218*$Q$2)</f>
        <v>482.62562140898098</v>
      </c>
      <c r="H218" s="219">
        <v>0</v>
      </c>
      <c r="I218" s="220">
        <v>0</v>
      </c>
      <c r="J218" s="219">
        <v>0</v>
      </c>
      <c r="K218" s="220">
        <v>0</v>
      </c>
      <c r="L218" s="73"/>
      <c r="M218" s="2"/>
      <c r="N218"/>
      <c r="O218"/>
      <c r="P218"/>
      <c r="Q218"/>
    </row>
    <row r="219" spans="1:17" ht="18" thickTop="1" thickBot="1" x14ac:dyDescent="0.35">
      <c r="A219" s="38" t="str">
        <f>'1.2 Budgeted Enrollment YR1'!A219</f>
        <v>Clark</v>
      </c>
      <c r="B219" s="40">
        <f>'1.2 Budgeted Enrollment YR1'!B219</f>
        <v>2</v>
      </c>
      <c r="C219" s="40">
        <f>'1.2 Budgeted Enrollment YR1'!C219</f>
        <v>2</v>
      </c>
      <c r="D219" s="40" t="str">
        <f>'1.2 Budgeted Enrollment YR1'!D219</f>
        <v>Las Vegas</v>
      </c>
      <c r="E219" s="38" t="str">
        <f>'1.2 Budgeted Enrollment YR1'!E219</f>
        <v>Early Childhood ES</v>
      </c>
      <c r="F219" s="590"/>
      <c r="G219" s="220">
        <f>'1.2 Budgeted Enrollment YR1'!G219+('1.2 Budgeted Enrollment YR1'!G219*$Q$2)</f>
        <v>22.777073098056363</v>
      </c>
      <c r="H219" s="219">
        <v>0</v>
      </c>
      <c r="I219" s="220">
        <v>0</v>
      </c>
      <c r="J219" s="219">
        <v>0</v>
      </c>
      <c r="K219" s="220">
        <v>0</v>
      </c>
      <c r="L219" s="73"/>
      <c r="M219" s="2"/>
      <c r="N219"/>
      <c r="O219"/>
      <c r="P219"/>
      <c r="Q219"/>
    </row>
    <row r="220" spans="1:17" ht="18" thickTop="1" thickBot="1" x14ac:dyDescent="0.35">
      <c r="A220" s="38" t="str">
        <f>'1.2 Budgeted Enrollment YR1'!A220</f>
        <v>Clark</v>
      </c>
      <c r="B220" s="40">
        <f>'1.2 Budgeted Enrollment YR1'!B220</f>
        <v>2</v>
      </c>
      <c r="C220" s="40">
        <f>'1.2 Budgeted Enrollment YR1'!C220</f>
        <v>2</v>
      </c>
      <c r="D220" s="40" t="str">
        <f>'1.2 Budgeted Enrollment YR1'!D220</f>
        <v>Las Vegas</v>
      </c>
      <c r="E220" s="38" t="str">
        <f>'1.2 Budgeted Enrollment YR1'!E220</f>
        <v>East Career and Technical Academy HS</v>
      </c>
      <c r="F220" s="590"/>
      <c r="G220" s="220">
        <f>'1.2 Budgeted Enrollment YR1'!G220+('1.2 Budgeted Enrollment YR1'!G220*$Q$2)</f>
        <v>1974.7224305387642</v>
      </c>
      <c r="H220" s="219">
        <v>0</v>
      </c>
      <c r="I220" s="220">
        <v>0</v>
      </c>
      <c r="J220" s="219">
        <v>0</v>
      </c>
      <c r="K220" s="220">
        <v>0</v>
      </c>
      <c r="L220" s="73"/>
      <c r="M220" s="2"/>
      <c r="N220"/>
      <c r="O220"/>
      <c r="P220"/>
      <c r="Q220"/>
    </row>
    <row r="221" spans="1:17" ht="18" thickTop="1" thickBot="1" x14ac:dyDescent="0.35">
      <c r="A221" s="38" t="str">
        <f>'1.2 Budgeted Enrollment YR1'!A221</f>
        <v>Clark</v>
      </c>
      <c r="B221" s="40">
        <f>'1.2 Budgeted Enrollment YR1'!B221</f>
        <v>2</v>
      </c>
      <c r="C221" s="40">
        <f>'1.2 Budgeted Enrollment YR1'!C221</f>
        <v>2</v>
      </c>
      <c r="D221" s="40" t="str">
        <f>'1.2 Budgeted Enrollment YR1'!D221</f>
        <v>Las Vegas</v>
      </c>
      <c r="E221" s="38" t="str">
        <f>'1.2 Budgeted Enrollment YR1'!E221</f>
        <v>Edwards, Elbert ES</v>
      </c>
      <c r="F221" s="590"/>
      <c r="G221" s="220">
        <f>'1.2 Budgeted Enrollment YR1'!G221+('1.2 Budgeted Enrollment YR1'!G221*$Q$2)</f>
        <v>508.73965794950811</v>
      </c>
      <c r="H221" s="219">
        <v>0</v>
      </c>
      <c r="I221" s="220">
        <v>0</v>
      </c>
      <c r="J221" s="219">
        <v>0</v>
      </c>
      <c r="K221" s="220">
        <v>0</v>
      </c>
      <c r="L221" s="73"/>
      <c r="M221" s="2"/>
      <c r="N221"/>
      <c r="O221"/>
      <c r="P221"/>
      <c r="Q221"/>
    </row>
    <row r="222" spans="1:17" ht="18" thickTop="1" thickBot="1" x14ac:dyDescent="0.35">
      <c r="A222" s="38" t="str">
        <f>'1.2 Budgeted Enrollment YR1'!A222</f>
        <v>Clark</v>
      </c>
      <c r="B222" s="40">
        <f>'1.2 Budgeted Enrollment YR1'!B222</f>
        <v>2</v>
      </c>
      <c r="C222" s="40">
        <f>'1.2 Budgeted Enrollment YR1'!C222</f>
        <v>2</v>
      </c>
      <c r="D222" s="40" t="str">
        <f>'1.2 Budgeted Enrollment YR1'!D222</f>
        <v>Las Vegas</v>
      </c>
      <c r="E222" s="38" t="str">
        <f>'1.2 Budgeted Enrollment YR1'!E222</f>
        <v>Eisenberg, Dorothy ES</v>
      </c>
      <c r="F222" s="590"/>
      <c r="G222" s="220">
        <f>'1.2 Budgeted Enrollment YR1'!G222+('1.2 Budgeted Enrollment YR1'!G222*$Q$2)</f>
        <v>466.38812167734801</v>
      </c>
      <c r="H222" s="219">
        <v>0</v>
      </c>
      <c r="I222" s="220">
        <v>0</v>
      </c>
      <c r="J222" s="219">
        <v>0</v>
      </c>
      <c r="K222" s="220">
        <v>0</v>
      </c>
      <c r="L222" s="73"/>
      <c r="M222" s="2"/>
      <c r="N222"/>
      <c r="O222"/>
      <c r="P222"/>
      <c r="Q222"/>
    </row>
    <row r="223" spans="1:17" ht="18" thickTop="1" thickBot="1" x14ac:dyDescent="0.35">
      <c r="A223" s="38" t="str">
        <f>'1.2 Budgeted Enrollment YR1'!A223</f>
        <v>Clark</v>
      </c>
      <c r="B223" s="40">
        <f>'1.2 Budgeted Enrollment YR1'!B223</f>
        <v>2</v>
      </c>
      <c r="C223" s="40">
        <f>'1.2 Budgeted Enrollment YR1'!C223</f>
        <v>2</v>
      </c>
      <c r="D223" s="40" t="str">
        <f>'1.2 Budgeted Enrollment YR1'!D223</f>
        <v>Las Vegas</v>
      </c>
      <c r="E223" s="38" t="str">
        <f>'1.2 Budgeted Enrollment YR1'!E223</f>
        <v>Eldorado HS</v>
      </c>
      <c r="F223" s="590"/>
      <c r="G223" s="220">
        <f>'1.2 Budgeted Enrollment YR1'!G223+('1.2 Budgeted Enrollment YR1'!G223*$Q$2)</f>
        <v>2045.2395887171626</v>
      </c>
      <c r="H223" s="219">
        <v>0</v>
      </c>
      <c r="I223" s="220">
        <v>0</v>
      </c>
      <c r="J223" s="219">
        <v>0</v>
      </c>
      <c r="K223" s="220">
        <v>0</v>
      </c>
      <c r="L223" s="73"/>
      <c r="M223" s="2"/>
      <c r="N223"/>
      <c r="O223"/>
      <c r="P223"/>
      <c r="Q223"/>
    </row>
    <row r="224" spans="1:17" ht="18" thickTop="1" thickBot="1" x14ac:dyDescent="0.35">
      <c r="A224" s="38" t="str">
        <f>'1.2 Budgeted Enrollment YR1'!A224</f>
        <v>Clark</v>
      </c>
      <c r="B224" s="40">
        <f>'1.2 Budgeted Enrollment YR1'!B224</f>
        <v>2</v>
      </c>
      <c r="C224" s="40">
        <f>'1.2 Budgeted Enrollment YR1'!C224</f>
        <v>2</v>
      </c>
      <c r="D224" s="40" t="str">
        <f>'1.2 Budgeted Enrollment YR1'!D224</f>
        <v>Las Vegas</v>
      </c>
      <c r="E224" s="38" t="str">
        <f>'1.2 Budgeted Enrollment YR1'!E224</f>
        <v>Elizondo, Raul P ES</v>
      </c>
      <c r="F224" s="590"/>
      <c r="G224" s="220">
        <f>'1.2 Budgeted Enrollment YR1'!G224+('1.2 Budgeted Enrollment YR1'!G224*$Q$2)</f>
        <v>585.59780501657985</v>
      </c>
      <c r="H224" s="219">
        <v>0</v>
      </c>
      <c r="I224" s="220">
        <v>0</v>
      </c>
      <c r="J224" s="219">
        <v>0</v>
      </c>
      <c r="K224" s="220">
        <v>0</v>
      </c>
      <c r="L224" s="73"/>
      <c r="M224" s="2"/>
      <c r="N224"/>
      <c r="O224"/>
      <c r="P224"/>
      <c r="Q224"/>
    </row>
    <row r="225" spans="1:17" ht="18" thickTop="1" thickBot="1" x14ac:dyDescent="0.35">
      <c r="A225" s="38" t="str">
        <f>'1.2 Budgeted Enrollment YR1'!A225</f>
        <v>Clark</v>
      </c>
      <c r="B225" s="40">
        <f>'1.2 Budgeted Enrollment YR1'!B225</f>
        <v>2</v>
      </c>
      <c r="C225" s="40">
        <f>'1.2 Budgeted Enrollment YR1'!C225</f>
        <v>2</v>
      </c>
      <c r="D225" s="40" t="str">
        <f>'1.2 Budgeted Enrollment YR1'!D225</f>
        <v>Las Vegas</v>
      </c>
      <c r="E225" s="38" t="str">
        <f>'1.2 Budgeted Enrollment YR1'!E225</f>
        <v>Ellis, Robert &amp; Sandy ES</v>
      </c>
      <c r="F225" s="590"/>
      <c r="G225" s="220">
        <f>'1.2 Budgeted Enrollment YR1'!G225+('1.2 Budgeted Enrollment YR1'!G225*$Q$2)</f>
        <v>990.77318165879751</v>
      </c>
      <c r="H225" s="219">
        <v>0</v>
      </c>
      <c r="I225" s="220">
        <v>0</v>
      </c>
      <c r="J225" s="219">
        <v>0</v>
      </c>
      <c r="K225" s="220">
        <v>0</v>
      </c>
      <c r="L225" s="73"/>
      <c r="M225" s="2"/>
      <c r="N225"/>
      <c r="O225"/>
      <c r="P225"/>
      <c r="Q225"/>
    </row>
    <row r="226" spans="1:17" ht="18" thickTop="1" thickBot="1" x14ac:dyDescent="0.35">
      <c r="A226" s="38" t="str">
        <f>'1.2 Budgeted Enrollment YR1'!A226</f>
        <v>Clark</v>
      </c>
      <c r="B226" s="40">
        <f>'1.2 Budgeted Enrollment YR1'!B226</f>
        <v>2</v>
      </c>
      <c r="C226" s="40">
        <f>'1.2 Budgeted Enrollment YR1'!C226</f>
        <v>2</v>
      </c>
      <c r="D226" s="40" t="str">
        <f>'1.2 Budgeted Enrollment YR1'!D226</f>
        <v>Las Vegas</v>
      </c>
      <c r="E226" s="38" t="str">
        <f>'1.2 Budgeted Enrollment YR1'!E226</f>
        <v>Escobedo, Edmundo Eddie Sr MS</v>
      </c>
      <c r="F226" s="590"/>
      <c r="G226" s="220">
        <f>'1.2 Budgeted Enrollment YR1'!G226+('1.2 Budgeted Enrollment YR1'!G226*$Q$2)</f>
        <v>874.18625735626972</v>
      </c>
      <c r="H226" s="219">
        <v>0</v>
      </c>
      <c r="I226" s="220">
        <v>0</v>
      </c>
      <c r="J226" s="219">
        <v>0</v>
      </c>
      <c r="K226" s="220">
        <v>0</v>
      </c>
      <c r="L226" s="73"/>
      <c r="M226" s="2"/>
      <c r="N226"/>
      <c r="O226"/>
      <c r="P226"/>
      <c r="Q226"/>
    </row>
    <row r="227" spans="1:17" ht="18" thickTop="1" thickBot="1" x14ac:dyDescent="0.35">
      <c r="A227" s="38" t="str">
        <f>'1.2 Budgeted Enrollment YR1'!A227</f>
        <v>Clark</v>
      </c>
      <c r="B227" s="40">
        <f>'1.2 Budgeted Enrollment YR1'!B227</f>
        <v>2</v>
      </c>
      <c r="C227" s="40">
        <f>'1.2 Budgeted Enrollment YR1'!C227</f>
        <v>2</v>
      </c>
      <c r="D227" s="40" t="str">
        <f>'1.2 Budgeted Enrollment YR1'!D227</f>
        <v>Las Vegas</v>
      </c>
      <c r="E227" s="38" t="str">
        <f>'1.2 Budgeted Enrollment YR1'!E227</f>
        <v>Faiss, Wilbur &amp; Theresa MS</v>
      </c>
      <c r="F227" s="590"/>
      <c r="G227" s="220">
        <f>'1.2 Budgeted Enrollment YR1'!G227+('1.2 Budgeted Enrollment YR1'!G227*$Q$2)</f>
        <v>1270.167367183742</v>
      </c>
      <c r="H227" s="219">
        <v>0</v>
      </c>
      <c r="I227" s="220">
        <v>0</v>
      </c>
      <c r="J227" s="219">
        <v>0</v>
      </c>
      <c r="K227" s="220">
        <v>0</v>
      </c>
      <c r="L227" s="73"/>
      <c r="M227" s="2"/>
      <c r="N227"/>
      <c r="O227"/>
      <c r="P227"/>
      <c r="Q227"/>
    </row>
    <row r="228" spans="1:17" ht="18" thickTop="1" thickBot="1" x14ac:dyDescent="0.35">
      <c r="A228" s="38" t="str">
        <f>'1.2 Budgeted Enrollment YR1'!A228</f>
        <v>Clark</v>
      </c>
      <c r="B228" s="40">
        <f>'1.2 Budgeted Enrollment YR1'!B228</f>
        <v>2</v>
      </c>
      <c r="C228" s="40">
        <f>'1.2 Budgeted Enrollment YR1'!C228</f>
        <v>2</v>
      </c>
      <c r="D228" s="40" t="str">
        <f>'1.2 Budgeted Enrollment YR1'!D228</f>
        <v>Las Vegas</v>
      </c>
      <c r="E228" s="38" t="str">
        <f>'1.2 Budgeted Enrollment YR1'!E228</f>
        <v>Ferron, William E ES</v>
      </c>
      <c r="F228" s="590"/>
      <c r="G228" s="220">
        <f>'1.2 Budgeted Enrollment YR1'!G228+('1.2 Budgeted Enrollment YR1'!G228*$Q$2)</f>
        <v>540.3211319212478</v>
      </c>
      <c r="H228" s="219">
        <v>0</v>
      </c>
      <c r="I228" s="220">
        <v>0</v>
      </c>
      <c r="J228" s="219">
        <v>0</v>
      </c>
      <c r="K228" s="220">
        <v>0</v>
      </c>
      <c r="L228" s="73"/>
      <c r="M228" s="2"/>
      <c r="N228"/>
      <c r="O228"/>
      <c r="P228"/>
      <c r="Q228"/>
    </row>
    <row r="229" spans="1:17" ht="18" thickTop="1" thickBot="1" x14ac:dyDescent="0.35">
      <c r="A229" s="38" t="str">
        <f>'1.2 Budgeted Enrollment YR1'!A229</f>
        <v>Clark</v>
      </c>
      <c r="B229" s="40">
        <f>'1.2 Budgeted Enrollment YR1'!B229</f>
        <v>2</v>
      </c>
      <c r="C229" s="40">
        <f>'1.2 Budgeted Enrollment YR1'!C229</f>
        <v>2</v>
      </c>
      <c r="D229" s="40" t="str">
        <f>'1.2 Budgeted Enrollment YR1'!D229</f>
        <v>Las Vegas</v>
      </c>
      <c r="E229" s="38" t="str">
        <f>'1.2 Budgeted Enrollment YR1'!E229</f>
        <v>Fertitta, Victoria MS</v>
      </c>
      <c r="F229" s="590"/>
      <c r="G229" s="220">
        <f>'1.2 Budgeted Enrollment YR1'!G229+('1.2 Budgeted Enrollment YR1'!G229*$Q$2)</f>
        <v>1239.9373625991177</v>
      </c>
      <c r="H229" s="219">
        <v>0</v>
      </c>
      <c r="I229" s="220">
        <v>0</v>
      </c>
      <c r="J229" s="219">
        <v>0</v>
      </c>
      <c r="K229" s="220">
        <v>0</v>
      </c>
      <c r="L229" s="73"/>
      <c r="M229" s="2"/>
      <c r="N229"/>
      <c r="O229"/>
      <c r="P229"/>
      <c r="Q229"/>
    </row>
    <row r="230" spans="1:17" ht="18" thickTop="1" thickBot="1" x14ac:dyDescent="0.35">
      <c r="A230" s="38" t="str">
        <f>'1.2 Budgeted Enrollment YR1'!A230</f>
        <v>Clark</v>
      </c>
      <c r="B230" s="40">
        <f>'1.2 Budgeted Enrollment YR1'!B230</f>
        <v>2</v>
      </c>
      <c r="C230" s="40">
        <f>'1.2 Budgeted Enrollment YR1'!C230</f>
        <v>2</v>
      </c>
      <c r="D230" s="40" t="str">
        <f>'1.2 Budgeted Enrollment YR1'!D230</f>
        <v>Las Vegas</v>
      </c>
      <c r="E230" s="38" t="str">
        <f>'1.2 Budgeted Enrollment YR1'!E230</f>
        <v>Findlay, Clifford O MS</v>
      </c>
      <c r="F230" s="590"/>
      <c r="G230" s="220">
        <f>'1.2 Budgeted Enrollment YR1'!G230+('1.2 Budgeted Enrollment YR1'!G230*$Q$2)</f>
        <v>1176.7912580804248</v>
      </c>
      <c r="H230" s="219">
        <v>0</v>
      </c>
      <c r="I230" s="220">
        <v>0</v>
      </c>
      <c r="J230" s="219">
        <v>0</v>
      </c>
      <c r="K230" s="220">
        <v>0</v>
      </c>
      <c r="L230" s="73"/>
      <c r="M230" s="2"/>
      <c r="N230"/>
      <c r="O230"/>
      <c r="P230"/>
      <c r="Q230"/>
    </row>
    <row r="231" spans="1:17" ht="18" thickTop="1" thickBot="1" x14ac:dyDescent="0.35">
      <c r="A231" s="38" t="str">
        <f>'1.2 Budgeted Enrollment YR1'!A231</f>
        <v>Clark</v>
      </c>
      <c r="B231" s="40">
        <f>'1.2 Budgeted Enrollment YR1'!B231</f>
        <v>2</v>
      </c>
      <c r="C231" s="40">
        <f>'1.2 Budgeted Enrollment YR1'!C231</f>
        <v>2</v>
      </c>
      <c r="D231" s="40" t="str">
        <f>'1.2 Budgeted Enrollment YR1'!D231</f>
        <v>Las Vegas</v>
      </c>
      <c r="E231" s="38" t="str">
        <f>'1.2 Budgeted Enrollment YR1'!E231</f>
        <v>Fine, Mark L ES</v>
      </c>
      <c r="F231" s="590"/>
      <c r="G231" s="220">
        <f>'1.2 Budgeted Enrollment YR1'!G231+('1.2 Budgeted Enrollment YR1'!G231*$Q$2)</f>
        <v>721.0220230085755</v>
      </c>
      <c r="H231" s="219">
        <v>0</v>
      </c>
      <c r="I231" s="220">
        <v>0</v>
      </c>
      <c r="J231" s="219">
        <v>0</v>
      </c>
      <c r="K231" s="220">
        <v>0</v>
      </c>
      <c r="L231" s="73"/>
      <c r="M231" s="2"/>
      <c r="N231"/>
      <c r="O231"/>
      <c r="P231"/>
      <c r="Q231"/>
    </row>
    <row r="232" spans="1:17" ht="18" thickTop="1" thickBot="1" x14ac:dyDescent="0.35">
      <c r="A232" s="38" t="str">
        <f>'1.2 Budgeted Enrollment YR1'!A232</f>
        <v>Clark</v>
      </c>
      <c r="B232" s="40">
        <f>'1.2 Budgeted Enrollment YR1'!B232</f>
        <v>2</v>
      </c>
      <c r="C232" s="40">
        <f>'1.2 Budgeted Enrollment YR1'!C232</f>
        <v>2</v>
      </c>
      <c r="D232" s="40" t="str">
        <f>'1.2 Budgeted Enrollment YR1'!D232</f>
        <v>Las Vegas</v>
      </c>
      <c r="E232" s="38" t="str">
        <f>'1.2 Budgeted Enrollment YR1'!E232</f>
        <v>Fitzgerald, H P ES</v>
      </c>
      <c r="F232" s="590"/>
      <c r="G232" s="220">
        <f>'1.2 Budgeted Enrollment YR1'!G232+('1.2 Budgeted Enrollment YR1'!G232*$Q$2)</f>
        <v>345.81024963068649</v>
      </c>
      <c r="H232" s="219">
        <v>0</v>
      </c>
      <c r="I232" s="220">
        <v>0</v>
      </c>
      <c r="J232" s="219">
        <v>0</v>
      </c>
      <c r="K232" s="220">
        <v>0</v>
      </c>
      <c r="L232" s="73"/>
      <c r="M232" s="2"/>
      <c r="N232"/>
      <c r="O232"/>
      <c r="P232"/>
      <c r="Q232"/>
    </row>
    <row r="233" spans="1:17" ht="18" thickTop="1" thickBot="1" x14ac:dyDescent="0.35">
      <c r="A233" s="38" t="str">
        <f>'1.2 Budgeted Enrollment YR1'!A233</f>
        <v>Clark</v>
      </c>
      <c r="B233" s="40">
        <f>'1.2 Budgeted Enrollment YR1'!B233</f>
        <v>2</v>
      </c>
      <c r="C233" s="40">
        <f>'1.2 Budgeted Enrollment YR1'!C233</f>
        <v>2</v>
      </c>
      <c r="D233" s="40" t="str">
        <f>'1.2 Budgeted Enrollment YR1'!D233</f>
        <v>Las Vegas</v>
      </c>
      <c r="E233" s="38" t="str">
        <f>'1.2 Budgeted Enrollment YR1'!E233</f>
        <v>Fong, Wing and Lilly ES</v>
      </c>
      <c r="F233" s="590"/>
      <c r="G233" s="220">
        <f>'1.2 Budgeted Enrollment YR1'!G233+('1.2 Budgeted Enrollment YR1'!G233*$Q$2)</f>
        <v>617.82599513745799</v>
      </c>
      <c r="H233" s="219">
        <v>0</v>
      </c>
      <c r="I233" s="220">
        <v>0</v>
      </c>
      <c r="J233" s="219">
        <v>0</v>
      </c>
      <c r="K233" s="220">
        <v>0</v>
      </c>
      <c r="L233" s="73"/>
      <c r="M233" s="2"/>
      <c r="N233"/>
      <c r="O233"/>
      <c r="P233"/>
      <c r="Q233"/>
    </row>
    <row r="234" spans="1:17" ht="18" thickTop="1" thickBot="1" x14ac:dyDescent="0.35">
      <c r="A234" s="38" t="str">
        <f>'1.2 Budgeted Enrollment YR1'!A234</f>
        <v>Clark</v>
      </c>
      <c r="B234" s="40">
        <f>'1.2 Budgeted Enrollment YR1'!B234</f>
        <v>2</v>
      </c>
      <c r="C234" s="40">
        <f>'1.2 Budgeted Enrollment YR1'!C234</f>
        <v>2</v>
      </c>
      <c r="D234" s="40" t="str">
        <f>'1.2 Budgeted Enrollment YR1'!D234</f>
        <v>Las Vegas</v>
      </c>
      <c r="E234" s="38" t="str">
        <f>'1.2 Budgeted Enrollment YR1'!E234</f>
        <v>Foothill HS</v>
      </c>
      <c r="F234" s="590"/>
      <c r="G234" s="220">
        <f>'1.2 Budgeted Enrollment YR1'!G234+('1.2 Budgeted Enrollment YR1'!G234*$Q$2)</f>
        <v>2339.0240841555487</v>
      </c>
      <c r="H234" s="219">
        <v>0</v>
      </c>
      <c r="I234" s="220">
        <v>0</v>
      </c>
      <c r="J234" s="219">
        <v>0</v>
      </c>
      <c r="K234" s="220">
        <v>0</v>
      </c>
      <c r="L234" s="73"/>
      <c r="M234" s="2"/>
      <c r="N234"/>
      <c r="O234"/>
      <c r="P234"/>
      <c r="Q234"/>
    </row>
    <row r="235" spans="1:17" ht="18" thickTop="1" thickBot="1" x14ac:dyDescent="0.35">
      <c r="A235" s="38" t="str">
        <f>'1.2 Budgeted Enrollment YR1'!A235</f>
        <v>Clark</v>
      </c>
      <c r="B235" s="40">
        <f>'1.2 Budgeted Enrollment YR1'!B235</f>
        <v>2</v>
      </c>
      <c r="C235" s="40">
        <f>'1.2 Budgeted Enrollment YR1'!C235</f>
        <v>2</v>
      </c>
      <c r="D235" s="40" t="str">
        <f>'1.2 Budgeted Enrollment YR1'!D235</f>
        <v>Las Vegas</v>
      </c>
      <c r="E235" s="38" t="str">
        <f>'1.2 Budgeted Enrollment YR1'!E235</f>
        <v>Forbuss, Robert L ES</v>
      </c>
      <c r="F235" s="590"/>
      <c r="G235" s="220">
        <f>'1.2 Budgeted Enrollment YR1'!G235+('1.2 Budgeted Enrollment YR1'!G235*$Q$2)</f>
        <v>596.92760378933178</v>
      </c>
      <c r="H235" s="219">
        <v>0</v>
      </c>
      <c r="I235" s="220">
        <v>0</v>
      </c>
      <c r="J235" s="219">
        <v>0</v>
      </c>
      <c r="K235" s="220">
        <v>0</v>
      </c>
      <c r="L235" s="73"/>
      <c r="M235" s="2"/>
      <c r="N235"/>
      <c r="O235"/>
      <c r="P235"/>
      <c r="Q235"/>
    </row>
    <row r="236" spans="1:17" ht="18" thickTop="1" thickBot="1" x14ac:dyDescent="0.35">
      <c r="A236" s="38" t="str">
        <f>'1.2 Budgeted Enrollment YR1'!A236</f>
        <v>Clark</v>
      </c>
      <c r="B236" s="40">
        <f>'1.2 Budgeted Enrollment YR1'!B236</f>
        <v>2</v>
      </c>
      <c r="C236" s="40">
        <f>'1.2 Budgeted Enrollment YR1'!C236</f>
        <v>2</v>
      </c>
      <c r="D236" s="40" t="str">
        <f>'1.2 Budgeted Enrollment YR1'!D236</f>
        <v>Las Vegas</v>
      </c>
      <c r="E236" s="38" t="str">
        <f>'1.2 Budgeted Enrollment YR1'!E236</f>
        <v>Fremont, John C Professional Dev MS</v>
      </c>
      <c r="F236" s="590"/>
      <c r="G236" s="220">
        <f>'1.2 Budgeted Enrollment YR1'!G236+('1.2 Budgeted Enrollment YR1'!G236*$Q$2)</f>
        <v>640.66224358190755</v>
      </c>
      <c r="H236" s="219">
        <v>0</v>
      </c>
      <c r="I236" s="220">
        <v>0</v>
      </c>
      <c r="J236" s="219">
        <v>0</v>
      </c>
      <c r="K236" s="220">
        <v>0</v>
      </c>
      <c r="L236" s="73"/>
      <c r="M236" s="2"/>
      <c r="N236"/>
      <c r="O236"/>
      <c r="P236"/>
      <c r="Q236"/>
    </row>
    <row r="237" spans="1:17" ht="18" thickTop="1" thickBot="1" x14ac:dyDescent="0.35">
      <c r="A237" s="38" t="str">
        <f>'1.2 Budgeted Enrollment YR1'!A237</f>
        <v>Clark</v>
      </c>
      <c r="B237" s="40">
        <f>'1.2 Budgeted Enrollment YR1'!B237</f>
        <v>2</v>
      </c>
      <c r="C237" s="40">
        <f>'1.2 Budgeted Enrollment YR1'!C237</f>
        <v>2</v>
      </c>
      <c r="D237" s="40" t="str">
        <f>'1.2 Budgeted Enrollment YR1'!D237</f>
        <v>Las Vegas</v>
      </c>
      <c r="E237" s="38" t="str">
        <f>'1.2 Budgeted Enrollment YR1'!E237</f>
        <v>French, Doris ES</v>
      </c>
      <c r="F237" s="590"/>
      <c r="G237" s="220">
        <f>'1.2 Budgeted Enrollment YR1'!G237+('1.2 Budgeted Enrollment YR1'!G237*$Q$2)</f>
        <v>442.18618929199255</v>
      </c>
      <c r="H237" s="219">
        <v>0</v>
      </c>
      <c r="I237" s="220">
        <v>0</v>
      </c>
      <c r="J237" s="219">
        <v>0</v>
      </c>
      <c r="K237" s="220">
        <v>0</v>
      </c>
      <c r="L237" s="73"/>
      <c r="M237" s="2"/>
      <c r="N237"/>
      <c r="O237"/>
      <c r="P237"/>
      <c r="Q237"/>
    </row>
    <row r="238" spans="1:17" ht="18" thickTop="1" thickBot="1" x14ac:dyDescent="0.35">
      <c r="A238" s="38" t="str">
        <f>'1.2 Budgeted Enrollment YR1'!A238</f>
        <v>Clark</v>
      </c>
      <c r="B238" s="40">
        <f>'1.2 Budgeted Enrollment YR1'!B238</f>
        <v>2</v>
      </c>
      <c r="C238" s="40">
        <f>'1.2 Budgeted Enrollment YR1'!C238</f>
        <v>2</v>
      </c>
      <c r="D238" s="40" t="str">
        <f>'1.2 Budgeted Enrollment YR1'!D238</f>
        <v>Las Vegas</v>
      </c>
      <c r="E238" s="38" t="str">
        <f>'1.2 Budgeted Enrollment YR1'!E238</f>
        <v>Frias, Charles &amp; Phyllis ES</v>
      </c>
      <c r="F238" s="590"/>
      <c r="G238" s="220">
        <f>'1.2 Budgeted Enrollment YR1'!G238+('1.2 Budgeted Enrollment YR1'!G238*$Q$2)</f>
        <v>626.96077539681949</v>
      </c>
      <c r="H238" s="219">
        <v>0</v>
      </c>
      <c r="I238" s="220">
        <v>0</v>
      </c>
      <c r="J238" s="219">
        <v>0</v>
      </c>
      <c r="K238" s="220">
        <v>0</v>
      </c>
      <c r="L238" s="73"/>
      <c r="M238" s="2"/>
      <c r="N238"/>
      <c r="O238"/>
      <c r="P238"/>
      <c r="Q238"/>
    </row>
    <row r="239" spans="1:17" ht="18" thickTop="1" thickBot="1" x14ac:dyDescent="0.35">
      <c r="A239" s="38" t="str">
        <f>'1.2 Budgeted Enrollment YR1'!A239</f>
        <v>Clark</v>
      </c>
      <c r="B239" s="40">
        <f>'1.2 Budgeted Enrollment YR1'!B239</f>
        <v>2</v>
      </c>
      <c r="C239" s="40">
        <f>'1.2 Budgeted Enrollment YR1'!C239</f>
        <v>2</v>
      </c>
      <c r="D239" s="40" t="str">
        <f>'1.2 Budgeted Enrollment YR1'!D239</f>
        <v>Las Vegas</v>
      </c>
      <c r="E239" s="38" t="str">
        <f>'1.2 Budgeted Enrollment YR1'!E239</f>
        <v>Galloway, Fay ES</v>
      </c>
      <c r="F239" s="590"/>
      <c r="G239" s="220">
        <f>'1.2 Budgeted Enrollment YR1'!G239+('1.2 Budgeted Enrollment YR1'!G239*$Q$2)</f>
        <v>522.27875783865568</v>
      </c>
      <c r="H239" s="219">
        <v>0</v>
      </c>
      <c r="I239" s="220">
        <v>0</v>
      </c>
      <c r="J239" s="219">
        <v>0</v>
      </c>
      <c r="K239" s="220">
        <v>0</v>
      </c>
      <c r="L239" s="73"/>
      <c r="M239" s="2"/>
      <c r="N239"/>
      <c r="O239"/>
      <c r="P239"/>
      <c r="Q239"/>
    </row>
    <row r="240" spans="1:17" ht="18" thickTop="1" thickBot="1" x14ac:dyDescent="0.35">
      <c r="A240" s="38" t="str">
        <f>'1.2 Budgeted Enrollment YR1'!A240</f>
        <v>Clark</v>
      </c>
      <c r="B240" s="40">
        <f>'1.2 Budgeted Enrollment YR1'!B240</f>
        <v>2</v>
      </c>
      <c r="C240" s="40">
        <f>'1.2 Budgeted Enrollment YR1'!C240</f>
        <v>2</v>
      </c>
      <c r="D240" s="40" t="str">
        <f>'1.2 Budgeted Enrollment YR1'!D240</f>
        <v>Las Vegas</v>
      </c>
      <c r="E240" s="38" t="str">
        <f>'1.2 Budgeted Enrollment YR1'!E240</f>
        <v>Garehime, Edith ES</v>
      </c>
      <c r="F240" s="590"/>
      <c r="G240" s="220">
        <f>'1.2 Budgeted Enrollment YR1'!G240+('1.2 Budgeted Enrollment YR1'!G240*$Q$2)</f>
        <v>616.4749772943029</v>
      </c>
      <c r="H240" s="219">
        <v>0</v>
      </c>
      <c r="I240" s="220">
        <v>0</v>
      </c>
      <c r="J240" s="219">
        <v>0</v>
      </c>
      <c r="K240" s="220">
        <v>0</v>
      </c>
      <c r="L240" s="73"/>
      <c r="M240" s="2"/>
      <c r="N240"/>
      <c r="O240"/>
      <c r="P240"/>
      <c r="Q240"/>
    </row>
    <row r="241" spans="1:17" ht="18" thickTop="1" thickBot="1" x14ac:dyDescent="0.35">
      <c r="A241" s="38" t="str">
        <f>'1.2 Budgeted Enrollment YR1'!A241</f>
        <v>Clark</v>
      </c>
      <c r="B241" s="40">
        <f>'1.2 Budgeted Enrollment YR1'!B241</f>
        <v>2</v>
      </c>
      <c r="C241" s="40">
        <f>'1.2 Budgeted Enrollment YR1'!C241</f>
        <v>2</v>
      </c>
      <c r="D241" s="40" t="str">
        <f>'1.2 Budgeted Enrollment YR1'!D241</f>
        <v>Boulder City</v>
      </c>
      <c r="E241" s="38" t="str">
        <f>'1.2 Budgeted Enrollment YR1'!E241</f>
        <v>Garrett, Elton M JHS</v>
      </c>
      <c r="F241" s="590"/>
      <c r="G241" s="220">
        <f>'1.2 Budgeted Enrollment YR1'!G241+('1.2 Budgeted Enrollment YR1'!G241*$Q$2)</f>
        <v>385.18113559556025</v>
      </c>
      <c r="H241" s="219">
        <v>0</v>
      </c>
      <c r="I241" s="220">
        <v>0</v>
      </c>
      <c r="J241" s="219">
        <v>0</v>
      </c>
      <c r="K241" s="220">
        <v>0</v>
      </c>
      <c r="L241" s="73"/>
      <c r="M241" s="2"/>
      <c r="N241"/>
      <c r="O241"/>
      <c r="P241"/>
      <c r="Q241"/>
    </row>
    <row r="242" spans="1:17" ht="18" thickTop="1" thickBot="1" x14ac:dyDescent="0.35">
      <c r="A242" s="38" t="str">
        <f>'1.2 Budgeted Enrollment YR1'!A242</f>
        <v>Clark</v>
      </c>
      <c r="B242" s="40">
        <f>'1.2 Budgeted Enrollment YR1'!B242</f>
        <v>2</v>
      </c>
      <c r="C242" s="40">
        <f>'1.2 Budgeted Enrollment YR1'!C242</f>
        <v>2</v>
      </c>
      <c r="D242" s="40" t="str">
        <f>'1.2 Budgeted Enrollment YR1'!D242</f>
        <v>Las Vegas</v>
      </c>
      <c r="E242" s="38" t="str">
        <f>'1.2 Budgeted Enrollment YR1'!E242</f>
        <v>Garside, Frank F JHS</v>
      </c>
      <c r="F242" s="590"/>
      <c r="G242" s="220">
        <f>'1.2 Budgeted Enrollment YR1'!G242+('1.2 Budgeted Enrollment YR1'!G242*$Q$2)</f>
        <v>1072.4839960440549</v>
      </c>
      <c r="H242" s="219">
        <v>0</v>
      </c>
      <c r="I242" s="220">
        <v>0</v>
      </c>
      <c r="J242" s="219">
        <v>0</v>
      </c>
      <c r="K242" s="220">
        <v>0</v>
      </c>
      <c r="L242" s="73"/>
      <c r="M242" s="2"/>
      <c r="N242"/>
      <c r="O242"/>
      <c r="P242"/>
      <c r="Q242"/>
    </row>
    <row r="243" spans="1:17" ht="18" thickTop="1" thickBot="1" x14ac:dyDescent="0.35">
      <c r="A243" s="38" t="str">
        <f>'1.2 Budgeted Enrollment YR1'!A243</f>
        <v>Clark</v>
      </c>
      <c r="B243" s="40">
        <f>'1.2 Budgeted Enrollment YR1'!B243</f>
        <v>2</v>
      </c>
      <c r="C243" s="40">
        <f>'1.2 Budgeted Enrollment YR1'!C243</f>
        <v>2</v>
      </c>
      <c r="D243" s="40" t="str">
        <f>'1.2 Budgeted Enrollment YR1'!D243</f>
        <v>Las Vegas</v>
      </c>
      <c r="E243" s="38" t="str">
        <f>'1.2 Budgeted Enrollment YR1'!E243</f>
        <v>Gehring, Roger D Acad of Science &amp; Technology ES</v>
      </c>
      <c r="F243" s="590"/>
      <c r="G243" s="220">
        <f>'1.2 Budgeted Enrollment YR1'!G243+('1.2 Budgeted Enrollment YR1'!G243*$Q$2)</f>
        <v>642.24942196055054</v>
      </c>
      <c r="H243" s="219">
        <v>0</v>
      </c>
      <c r="I243" s="220">
        <v>0</v>
      </c>
      <c r="J243" s="219">
        <v>0</v>
      </c>
      <c r="K243" s="220">
        <v>0</v>
      </c>
      <c r="L243" s="73"/>
      <c r="M243" s="2"/>
      <c r="N243"/>
      <c r="O243"/>
      <c r="P243"/>
      <c r="Q243"/>
    </row>
    <row r="244" spans="1:17" ht="18" thickTop="1" thickBot="1" x14ac:dyDescent="0.35">
      <c r="A244" s="38" t="str">
        <f>'1.2 Budgeted Enrollment YR1'!A244</f>
        <v>Clark</v>
      </c>
      <c r="B244" s="40">
        <f>'1.2 Budgeted Enrollment YR1'!B244</f>
        <v>2</v>
      </c>
      <c r="C244" s="40">
        <f>'1.2 Budgeted Enrollment YR1'!C244</f>
        <v>2</v>
      </c>
      <c r="D244" s="40" t="str">
        <f>'1.2 Budgeted Enrollment YR1'!D244</f>
        <v>Las Vegas</v>
      </c>
      <c r="E244" s="38" t="str">
        <f>'1.2 Budgeted Enrollment YR1'!E244</f>
        <v>Gibson, James ES</v>
      </c>
      <c r="F244" s="590"/>
      <c r="G244" s="220">
        <f>'1.2 Budgeted Enrollment YR1'!G244+('1.2 Budgeted Enrollment YR1'!G244*$Q$2)</f>
        <v>438.0186224337973</v>
      </c>
      <c r="H244" s="219">
        <v>0</v>
      </c>
      <c r="I244" s="220">
        <v>0</v>
      </c>
      <c r="J244" s="219">
        <v>0</v>
      </c>
      <c r="K244" s="220">
        <v>0</v>
      </c>
      <c r="L244" s="73"/>
      <c r="M244" s="2"/>
      <c r="N244"/>
      <c r="O244"/>
      <c r="P244"/>
      <c r="Q244"/>
    </row>
    <row r="245" spans="1:17" ht="18" thickTop="1" thickBot="1" x14ac:dyDescent="0.35">
      <c r="A245" s="38" t="str">
        <f>'1.2 Budgeted Enrollment YR1'!A245</f>
        <v>Clark</v>
      </c>
      <c r="B245" s="40">
        <f>'1.2 Budgeted Enrollment YR1'!B245</f>
        <v>2</v>
      </c>
      <c r="C245" s="40">
        <f>'1.2 Budgeted Enrollment YR1'!C245</f>
        <v>2</v>
      </c>
      <c r="D245" s="40" t="str">
        <f>'1.2 Budgeted Enrollment YR1'!D245</f>
        <v>Las Vegas</v>
      </c>
      <c r="E245" s="38" t="str">
        <f>'1.2 Budgeted Enrollment YR1'!E245</f>
        <v>Gibson, Robert O MS</v>
      </c>
      <c r="F245" s="590"/>
      <c r="G245" s="220">
        <f>'1.2 Budgeted Enrollment YR1'!G245+('1.2 Budgeted Enrollment YR1'!G245*$Q$2)</f>
        <v>1183.7325317483951</v>
      </c>
      <c r="H245" s="219">
        <v>0</v>
      </c>
      <c r="I245" s="220">
        <v>0</v>
      </c>
      <c r="J245" s="219">
        <v>0</v>
      </c>
      <c r="K245" s="220">
        <v>0</v>
      </c>
      <c r="L245" s="73"/>
      <c r="M245" s="2"/>
      <c r="N245"/>
      <c r="O245"/>
      <c r="P245"/>
      <c r="Q245"/>
    </row>
    <row r="246" spans="1:17" ht="18" thickTop="1" thickBot="1" x14ac:dyDescent="0.35">
      <c r="A246" s="38" t="str">
        <f>'1.2 Budgeted Enrollment YR1'!A246</f>
        <v>Clark</v>
      </c>
      <c r="B246" s="40">
        <f>'1.2 Budgeted Enrollment YR1'!B246</f>
        <v>2</v>
      </c>
      <c r="C246" s="40">
        <f>'1.2 Budgeted Enrollment YR1'!C246</f>
        <v>2</v>
      </c>
      <c r="D246" s="40" t="str">
        <f>'1.2 Budgeted Enrollment YR1'!D246</f>
        <v>Las Vegas</v>
      </c>
      <c r="E246" s="38" t="str">
        <f>'1.2 Budgeted Enrollment YR1'!E246</f>
        <v>Gilbert, CVT ES</v>
      </c>
      <c r="F246" s="590"/>
      <c r="G246" s="220">
        <f>'1.2 Budgeted Enrollment YR1'!G246+('1.2 Budgeted Enrollment YR1'!G246*$Q$2)</f>
        <v>498.27889643093476</v>
      </c>
      <c r="H246" s="219">
        <v>0</v>
      </c>
      <c r="I246" s="220">
        <v>0</v>
      </c>
      <c r="J246" s="219">
        <v>0</v>
      </c>
      <c r="K246" s="220">
        <v>0</v>
      </c>
      <c r="L246" s="73"/>
      <c r="M246" s="2"/>
      <c r="N246"/>
      <c r="O246"/>
      <c r="P246"/>
      <c r="Q246"/>
    </row>
    <row r="247" spans="1:17" ht="18" thickTop="1" thickBot="1" x14ac:dyDescent="0.35">
      <c r="A247" s="38" t="str">
        <f>'1.2 Budgeted Enrollment YR1'!A247</f>
        <v>Clark</v>
      </c>
      <c r="B247" s="40">
        <f>'1.2 Budgeted Enrollment YR1'!B247</f>
        <v>2</v>
      </c>
      <c r="C247" s="40">
        <f>'1.2 Budgeted Enrollment YR1'!C247</f>
        <v>2</v>
      </c>
      <c r="D247" s="40" t="str">
        <f>'1.2 Budgeted Enrollment YR1'!D247</f>
        <v>Las Vegas</v>
      </c>
      <c r="E247" s="38" t="str">
        <f>'1.2 Budgeted Enrollment YR1'!E247</f>
        <v>Givens, Linda Rankin ES</v>
      </c>
      <c r="F247" s="590"/>
      <c r="G247" s="220">
        <f>'1.2 Budgeted Enrollment YR1'!G247+('1.2 Budgeted Enrollment YR1'!G247*$Q$2)</f>
        <v>653.20376585532608</v>
      </c>
      <c r="H247" s="219">
        <v>0</v>
      </c>
      <c r="I247" s="220">
        <v>0</v>
      </c>
      <c r="J247" s="219">
        <v>0</v>
      </c>
      <c r="K247" s="220">
        <v>0</v>
      </c>
      <c r="L247" s="73"/>
      <c r="M247" s="2"/>
      <c r="N247"/>
      <c r="O247"/>
      <c r="P247"/>
      <c r="Q247"/>
    </row>
    <row r="248" spans="1:17" ht="18" thickTop="1" thickBot="1" x14ac:dyDescent="0.35">
      <c r="A248" s="38" t="str">
        <f>'1.2 Budgeted Enrollment YR1'!A248</f>
        <v>Clark</v>
      </c>
      <c r="B248" s="40">
        <f>'1.2 Budgeted Enrollment YR1'!B248</f>
        <v>2</v>
      </c>
      <c r="C248" s="40">
        <f>'1.2 Budgeted Enrollment YR1'!C248</f>
        <v>2</v>
      </c>
      <c r="D248" s="40" t="str">
        <f>'1.2 Budgeted Enrollment YR1'!D248</f>
        <v>Las Vegas</v>
      </c>
      <c r="E248" s="38" t="str">
        <f>'1.2 Budgeted Enrollment YR1'!E248</f>
        <v>Global Community HS</v>
      </c>
      <c r="F248" s="590"/>
      <c r="G248" s="220">
        <f>'1.2 Budgeted Enrollment YR1'!G248+('1.2 Budgeted Enrollment YR1'!G248*$Q$2)</f>
        <v>182.24717250707516</v>
      </c>
      <c r="H248" s="219">
        <v>0</v>
      </c>
      <c r="I248" s="220">
        <v>0</v>
      </c>
      <c r="J248" s="219">
        <v>0</v>
      </c>
      <c r="K248" s="220">
        <v>0</v>
      </c>
      <c r="L248" s="73"/>
      <c r="M248" s="2"/>
      <c r="N248"/>
      <c r="O248"/>
      <c r="P248"/>
      <c r="Q248"/>
    </row>
    <row r="249" spans="1:17" ht="18" thickTop="1" thickBot="1" x14ac:dyDescent="0.35">
      <c r="A249" s="38" t="str">
        <f>'1.2 Budgeted Enrollment YR1'!A249</f>
        <v>Clark</v>
      </c>
      <c r="B249" s="40">
        <f>'1.2 Budgeted Enrollment YR1'!B249</f>
        <v>2</v>
      </c>
      <c r="C249" s="40">
        <f>'1.2 Budgeted Enrollment YR1'!C249</f>
        <v>2</v>
      </c>
      <c r="D249" s="40" t="str">
        <f>'1.2 Budgeted Enrollment YR1'!D249</f>
        <v>Las Vegas</v>
      </c>
      <c r="E249" s="38" t="str">
        <f>'1.2 Budgeted Enrollment YR1'!E249</f>
        <v>Goldfarb, Daniel ES</v>
      </c>
      <c r="F249" s="590"/>
      <c r="G249" s="220">
        <f>'1.2 Budgeted Enrollment YR1'!G249+('1.2 Budgeted Enrollment YR1'!G249*$Q$2)</f>
        <v>602.19844558144746</v>
      </c>
      <c r="H249" s="219">
        <v>0</v>
      </c>
      <c r="I249" s="220">
        <v>0</v>
      </c>
      <c r="J249" s="219">
        <v>0</v>
      </c>
      <c r="K249" s="220">
        <v>0</v>
      </c>
      <c r="L249" s="73"/>
      <c r="M249" s="2"/>
      <c r="N249"/>
      <c r="O249"/>
      <c r="P249"/>
      <c r="Q249"/>
    </row>
    <row r="250" spans="1:17" ht="18" thickTop="1" thickBot="1" x14ac:dyDescent="0.35">
      <c r="A250" s="38" t="str">
        <f>'1.2 Budgeted Enrollment YR1'!A250</f>
        <v>Clark</v>
      </c>
      <c r="B250" s="40">
        <f>'1.2 Budgeted Enrollment YR1'!B250</f>
        <v>2</v>
      </c>
      <c r="C250" s="40">
        <f>'1.2 Budgeted Enrollment YR1'!C250</f>
        <v>2</v>
      </c>
      <c r="D250" s="40" t="str">
        <f>'1.2 Budgeted Enrollment YR1'!D250</f>
        <v>Goodsprings</v>
      </c>
      <c r="E250" s="38" t="str">
        <f>'1.2 Budgeted Enrollment YR1'!E250</f>
        <v>Goodsprings ES</v>
      </c>
      <c r="F250" s="590"/>
      <c r="G250" s="220">
        <f>'1.2 Budgeted Enrollment YR1'!G250+('1.2 Budgeted Enrollment YR1'!G250*$Q$2)</f>
        <v>2.4265700924688223</v>
      </c>
      <c r="H250" s="219">
        <v>0</v>
      </c>
      <c r="I250" s="220">
        <v>0</v>
      </c>
      <c r="J250" s="219">
        <v>0</v>
      </c>
      <c r="K250" s="220">
        <v>0</v>
      </c>
      <c r="L250" s="73"/>
      <c r="M250" s="2"/>
      <c r="N250"/>
      <c r="O250"/>
      <c r="P250"/>
      <c r="Q250"/>
    </row>
    <row r="251" spans="1:17" ht="18" thickTop="1" thickBot="1" x14ac:dyDescent="0.35">
      <c r="A251" s="38" t="str">
        <f>'1.2 Budgeted Enrollment YR1'!A251</f>
        <v>Clark</v>
      </c>
      <c r="B251" s="40">
        <f>'1.2 Budgeted Enrollment YR1'!B251</f>
        <v>2</v>
      </c>
      <c r="C251" s="40">
        <f>'1.2 Budgeted Enrollment YR1'!C251</f>
        <v>2</v>
      </c>
      <c r="D251" s="40" t="str">
        <f>'1.2 Budgeted Enrollment YR1'!D251</f>
        <v>Las Vegas</v>
      </c>
      <c r="E251" s="38" t="str">
        <f>'1.2 Budgeted Enrollment YR1'!E251</f>
        <v>Goolsby, Judy &amp; John L ES</v>
      </c>
      <c r="F251" s="590"/>
      <c r="G251" s="220">
        <f>'1.2 Budgeted Enrollment YR1'!G251+('1.2 Budgeted Enrollment YR1'!G251*$Q$2)</f>
        <v>702.24080704978462</v>
      </c>
      <c r="H251" s="219">
        <v>0</v>
      </c>
      <c r="I251" s="220">
        <v>0</v>
      </c>
      <c r="J251" s="219">
        <v>0</v>
      </c>
      <c r="K251" s="220">
        <v>0</v>
      </c>
      <c r="L251" s="73"/>
      <c r="M251" s="2"/>
      <c r="N251"/>
      <c r="O251"/>
      <c r="P251"/>
      <c r="Q251"/>
    </row>
    <row r="252" spans="1:17" ht="18" thickTop="1" thickBot="1" x14ac:dyDescent="0.35">
      <c r="A252" s="38" t="str">
        <f>'1.2 Budgeted Enrollment YR1'!A252</f>
        <v>Clark</v>
      </c>
      <c r="B252" s="40">
        <f>'1.2 Budgeted Enrollment YR1'!B252</f>
        <v>2</v>
      </c>
      <c r="C252" s="40">
        <f>'1.2 Budgeted Enrollment YR1'!C252</f>
        <v>2</v>
      </c>
      <c r="D252" s="40" t="str">
        <f>'1.2 Budgeted Enrollment YR1'!D252</f>
        <v>Las Vegas</v>
      </c>
      <c r="E252" s="38" t="str">
        <f>'1.2 Budgeted Enrollment YR1'!E252</f>
        <v>Goynes, Theron H &amp; Naomi D ES</v>
      </c>
      <c r="F252" s="590"/>
      <c r="G252" s="220">
        <f>'1.2 Budgeted Enrollment YR1'!G252+('1.2 Budgeted Enrollment YR1'!G252*$Q$2)</f>
        <v>677.89684495230676</v>
      </c>
      <c r="H252" s="219">
        <v>0</v>
      </c>
      <c r="I252" s="220">
        <v>0</v>
      </c>
      <c r="J252" s="219">
        <v>0</v>
      </c>
      <c r="K252" s="220">
        <v>0</v>
      </c>
      <c r="L252" s="73"/>
      <c r="M252" s="2"/>
      <c r="N252"/>
      <c r="O252"/>
      <c r="P252"/>
      <c r="Q252"/>
    </row>
    <row r="253" spans="1:17" ht="18" thickTop="1" thickBot="1" x14ac:dyDescent="0.35">
      <c r="A253" s="38" t="str">
        <f>'1.2 Budgeted Enrollment YR1'!A253</f>
        <v>Clark</v>
      </c>
      <c r="B253" s="40">
        <f>'1.2 Budgeted Enrollment YR1'!B253</f>
        <v>2</v>
      </c>
      <c r="C253" s="40">
        <f>'1.2 Budgeted Enrollment YR1'!C253</f>
        <v>2</v>
      </c>
      <c r="D253" s="40" t="str">
        <f>'1.2 Budgeted Enrollment YR1'!D253</f>
        <v>Las Vegas</v>
      </c>
      <c r="E253" s="38" t="str">
        <f>'1.2 Budgeted Enrollment YR1'!E253</f>
        <v>Gragson, Oran K ES</v>
      </c>
      <c r="F253" s="590"/>
      <c r="G253" s="220">
        <f>'1.2 Budgeted Enrollment YR1'!G253+('1.2 Budgeted Enrollment YR1'!G253*$Q$2)</f>
        <v>543.34298352465726</v>
      </c>
      <c r="H253" s="219">
        <v>0</v>
      </c>
      <c r="I253" s="220">
        <v>0</v>
      </c>
      <c r="J253" s="219">
        <v>0</v>
      </c>
      <c r="K253" s="220">
        <v>0</v>
      </c>
      <c r="L253" s="73"/>
      <c r="M253" s="2"/>
      <c r="N253"/>
      <c r="O253"/>
      <c r="P253"/>
      <c r="Q253"/>
    </row>
    <row r="254" spans="1:17" ht="18" thickTop="1" thickBot="1" x14ac:dyDescent="0.35">
      <c r="A254" s="38" t="str">
        <f>'1.2 Budgeted Enrollment YR1'!A254</f>
        <v>Clark</v>
      </c>
      <c r="B254" s="40">
        <f>'1.2 Budgeted Enrollment YR1'!B254</f>
        <v>2</v>
      </c>
      <c r="C254" s="40">
        <f>'1.2 Budgeted Enrollment YR1'!C254</f>
        <v>2</v>
      </c>
      <c r="D254" s="40" t="str">
        <f>'1.2 Budgeted Enrollment YR1'!D254</f>
        <v>Las Vegas</v>
      </c>
      <c r="E254" s="38" t="str">
        <f>'1.2 Budgeted Enrollment YR1'!E254</f>
        <v>Gray, R Guild ES</v>
      </c>
      <c r="F254" s="590"/>
      <c r="G254" s="220">
        <f>'1.2 Budgeted Enrollment YR1'!G254+('1.2 Budgeted Enrollment YR1'!G254*$Q$2)</f>
        <v>360.26225070932139</v>
      </c>
      <c r="H254" s="219">
        <v>0</v>
      </c>
      <c r="I254" s="220">
        <v>0</v>
      </c>
      <c r="J254" s="219">
        <v>0</v>
      </c>
      <c r="K254" s="220">
        <v>0</v>
      </c>
      <c r="L254" s="73"/>
      <c r="M254" s="2"/>
      <c r="N254"/>
      <c r="O254"/>
      <c r="P254"/>
      <c r="Q254"/>
    </row>
    <row r="255" spans="1:17" ht="18" thickTop="1" thickBot="1" x14ac:dyDescent="0.35">
      <c r="A255" s="38" t="str">
        <f>'1.2 Budgeted Enrollment YR1'!A255</f>
        <v>Clark</v>
      </c>
      <c r="B255" s="40">
        <f>'1.2 Budgeted Enrollment YR1'!B255</f>
        <v>2</v>
      </c>
      <c r="C255" s="40">
        <f>'1.2 Budgeted Enrollment YR1'!C255</f>
        <v>2</v>
      </c>
      <c r="D255" s="40" t="str">
        <f>'1.2 Budgeted Enrollment YR1'!D255</f>
        <v>Las Vegas</v>
      </c>
      <c r="E255" s="38" t="str">
        <f>'1.2 Budgeted Enrollment YR1'!E255</f>
        <v>Green Valley HS</v>
      </c>
      <c r="F255" s="590"/>
      <c r="G255" s="220">
        <f>'1.2 Budgeted Enrollment YR1'!G255+('1.2 Budgeted Enrollment YR1'!G255*$Q$2)</f>
        <v>2585.3523332978689</v>
      </c>
      <c r="H255" s="219">
        <v>0</v>
      </c>
      <c r="I255" s="220">
        <v>0</v>
      </c>
      <c r="J255" s="219">
        <v>0</v>
      </c>
      <c r="K255" s="220">
        <v>0</v>
      </c>
      <c r="L255" s="73"/>
      <c r="M255" s="2"/>
      <c r="N255"/>
      <c r="O255"/>
      <c r="P255"/>
      <c r="Q255"/>
    </row>
    <row r="256" spans="1:17" ht="18" thickTop="1" thickBot="1" x14ac:dyDescent="0.35">
      <c r="A256" s="38" t="str">
        <f>'1.2 Budgeted Enrollment YR1'!A256</f>
        <v>Clark</v>
      </c>
      <c r="B256" s="40">
        <f>'1.2 Budgeted Enrollment YR1'!B256</f>
        <v>2</v>
      </c>
      <c r="C256" s="40">
        <f>'1.2 Budgeted Enrollment YR1'!C256</f>
        <v>2</v>
      </c>
      <c r="D256" s="40" t="str">
        <f>'1.2 Budgeted Enrollment YR1'!D256</f>
        <v>Las Vegas</v>
      </c>
      <c r="E256" s="38" t="str">
        <f>'1.2 Budgeted Enrollment YR1'!E256</f>
        <v>Greenspun, Barbara &amp; Hank JHS</v>
      </c>
      <c r="F256" s="590"/>
      <c r="G256" s="220">
        <f>'1.2 Budgeted Enrollment YR1'!G256+('1.2 Budgeted Enrollment YR1'!G256*$Q$2)</f>
        <v>1332.2804461542382</v>
      </c>
      <c r="H256" s="219">
        <v>0</v>
      </c>
      <c r="I256" s="220">
        <v>0</v>
      </c>
      <c r="J256" s="219">
        <v>0</v>
      </c>
      <c r="K256" s="220">
        <v>0</v>
      </c>
      <c r="L256" s="73"/>
      <c r="M256" s="2"/>
      <c r="N256"/>
      <c r="O256"/>
      <c r="P256"/>
      <c r="Q256"/>
    </row>
    <row r="257" spans="1:17" ht="18" thickTop="1" thickBot="1" x14ac:dyDescent="0.35">
      <c r="A257" s="38" t="str">
        <f>'1.2 Budgeted Enrollment YR1'!A257</f>
        <v>Clark</v>
      </c>
      <c r="B257" s="40">
        <f>'1.2 Budgeted Enrollment YR1'!B257</f>
        <v>2</v>
      </c>
      <c r="C257" s="40">
        <f>'1.2 Budgeted Enrollment YR1'!C257</f>
        <v>2</v>
      </c>
      <c r="D257" s="40" t="str">
        <f>'1.2 Budgeted Enrollment YR1'!D257</f>
        <v>Las Vegas</v>
      </c>
      <c r="E257" s="38" t="str">
        <f>'1.2 Budgeted Enrollment YR1'!E257</f>
        <v>Griffith, E W ES</v>
      </c>
      <c r="F257" s="590"/>
      <c r="G257" s="220">
        <f>'1.2 Budgeted Enrollment YR1'!G257+('1.2 Budgeted Enrollment YR1'!G257*$Q$2)</f>
        <v>551.43941051992203</v>
      </c>
      <c r="H257" s="219">
        <v>0</v>
      </c>
      <c r="I257" s="220">
        <v>0</v>
      </c>
      <c r="J257" s="219">
        <v>0</v>
      </c>
      <c r="K257" s="220">
        <v>0</v>
      </c>
      <c r="L257" s="73"/>
      <c r="M257" s="2"/>
      <c r="N257"/>
      <c r="O257"/>
      <c r="P257"/>
      <c r="Q257"/>
    </row>
    <row r="258" spans="1:17" ht="18" thickTop="1" thickBot="1" x14ac:dyDescent="0.35">
      <c r="A258" s="38" t="str">
        <f>'1.2 Budgeted Enrollment YR1'!A258</f>
        <v>Clark</v>
      </c>
      <c r="B258" s="40">
        <f>'1.2 Budgeted Enrollment YR1'!B258</f>
        <v>2</v>
      </c>
      <c r="C258" s="40">
        <f>'1.2 Budgeted Enrollment YR1'!C258</f>
        <v>2</v>
      </c>
      <c r="D258" s="40" t="str">
        <f>'1.2 Budgeted Enrollment YR1'!D258</f>
        <v>Las Vegas</v>
      </c>
      <c r="E258" s="38" t="str">
        <f>'1.2 Budgeted Enrollment YR1'!E258</f>
        <v>Guinn, Kenny C MS</v>
      </c>
      <c r="F258" s="590"/>
      <c r="G258" s="220">
        <f>'1.2 Budgeted Enrollment YR1'!G258+('1.2 Budgeted Enrollment YR1'!G258*$Q$2)</f>
        <v>1052.4921917827278</v>
      </c>
      <c r="H258" s="219">
        <v>0</v>
      </c>
      <c r="I258" s="220">
        <v>0</v>
      </c>
      <c r="J258" s="219">
        <v>0</v>
      </c>
      <c r="K258" s="220">
        <v>0</v>
      </c>
      <c r="L258" s="73"/>
      <c r="M258" s="2"/>
      <c r="N258"/>
      <c r="O258"/>
      <c r="P258"/>
      <c r="Q258"/>
    </row>
    <row r="259" spans="1:17" ht="18" thickTop="1" thickBot="1" x14ac:dyDescent="0.35">
      <c r="A259" s="38" t="str">
        <f>'1.2 Budgeted Enrollment YR1'!A259</f>
        <v>Clark</v>
      </c>
      <c r="B259" s="40">
        <f>'1.2 Budgeted Enrollment YR1'!B259</f>
        <v>2</v>
      </c>
      <c r="C259" s="40">
        <f>'1.2 Budgeted Enrollment YR1'!C259</f>
        <v>2</v>
      </c>
      <c r="D259" s="40" t="str">
        <f>'1.2 Budgeted Enrollment YR1'!D259</f>
        <v>Las Vegas</v>
      </c>
      <c r="E259" s="38" t="str">
        <f>'1.2 Budgeted Enrollment YR1'!E259</f>
        <v>Gunderson, Barry and June MS</v>
      </c>
      <c r="F259" s="590"/>
      <c r="G259" s="220">
        <f>'1.2 Budgeted Enrollment YR1'!G259+('1.2 Budgeted Enrollment YR1'!G259*$Q$2)</f>
        <v>1337.5353436484027</v>
      </c>
      <c r="H259" s="219">
        <v>0</v>
      </c>
      <c r="I259" s="220">
        <v>0</v>
      </c>
      <c r="J259" s="219">
        <v>0</v>
      </c>
      <c r="K259" s="220">
        <v>0</v>
      </c>
      <c r="L259" s="73"/>
      <c r="M259" s="2"/>
      <c r="N259"/>
      <c r="O259"/>
      <c r="P259"/>
      <c r="Q259"/>
    </row>
    <row r="260" spans="1:17" ht="18" thickTop="1" thickBot="1" x14ac:dyDescent="0.35">
      <c r="A260" s="38" t="str">
        <f>'1.2 Budgeted Enrollment YR1'!A260</f>
        <v>Clark</v>
      </c>
      <c r="B260" s="40">
        <f>'1.2 Budgeted Enrollment YR1'!B260</f>
        <v>2</v>
      </c>
      <c r="C260" s="40">
        <f>'1.2 Budgeted Enrollment YR1'!C260</f>
        <v>2</v>
      </c>
      <c r="D260" s="40" t="str">
        <f>'1.2 Budgeted Enrollment YR1'!D260</f>
        <v>Las Vegas</v>
      </c>
      <c r="E260" s="38" t="str">
        <f>'1.2 Budgeted Enrollment YR1'!E260</f>
        <v>Guy, Addeliar D III ES</v>
      </c>
      <c r="F260" s="590"/>
      <c r="G260" s="220">
        <f>'1.2 Budgeted Enrollment YR1'!G260+('1.2 Budgeted Enrollment YR1'!G260*$Q$2)</f>
        <v>460.20218509609236</v>
      </c>
      <c r="H260" s="219">
        <v>0</v>
      </c>
      <c r="I260" s="220">
        <v>0</v>
      </c>
      <c r="J260" s="219">
        <v>0</v>
      </c>
      <c r="K260" s="220">
        <v>0</v>
      </c>
      <c r="L260" s="73"/>
      <c r="M260" s="2"/>
      <c r="N260"/>
      <c r="O260"/>
      <c r="P260"/>
      <c r="Q260"/>
    </row>
    <row r="261" spans="1:17" ht="18" thickTop="1" thickBot="1" x14ac:dyDescent="0.35">
      <c r="A261" s="38" t="str">
        <f>'1.2 Budgeted Enrollment YR1'!A261</f>
        <v>Clark</v>
      </c>
      <c r="B261" s="40">
        <f>'1.2 Budgeted Enrollment YR1'!B261</f>
        <v>2</v>
      </c>
      <c r="C261" s="40">
        <f>'1.2 Budgeted Enrollment YR1'!C261</f>
        <v>2</v>
      </c>
      <c r="D261" s="40" t="str">
        <f>'1.2 Budgeted Enrollment YR1'!D261</f>
        <v>Las Vegas</v>
      </c>
      <c r="E261" s="38" t="str">
        <f>'1.2 Budgeted Enrollment YR1'!E261</f>
        <v>Hancock, Doris ES</v>
      </c>
      <c r="F261" s="590"/>
      <c r="G261" s="220">
        <f>'1.2 Budgeted Enrollment YR1'!G261+('1.2 Budgeted Enrollment YR1'!G261*$Q$2)</f>
        <v>464.31711992510009</v>
      </c>
      <c r="H261" s="219">
        <v>0</v>
      </c>
      <c r="I261" s="220">
        <v>0</v>
      </c>
      <c r="J261" s="219">
        <v>0</v>
      </c>
      <c r="K261" s="220">
        <v>0</v>
      </c>
      <c r="L261" s="73"/>
      <c r="M261" s="2"/>
      <c r="N261"/>
      <c r="O261"/>
      <c r="P261"/>
      <c r="Q261"/>
    </row>
    <row r="262" spans="1:17" ht="18" thickTop="1" thickBot="1" x14ac:dyDescent="0.35">
      <c r="A262" s="38" t="str">
        <f>'1.2 Budgeted Enrollment YR1'!A262</f>
        <v>Clark</v>
      </c>
      <c r="B262" s="40">
        <f>'1.2 Budgeted Enrollment YR1'!B262</f>
        <v>2</v>
      </c>
      <c r="C262" s="40">
        <f>'1.2 Budgeted Enrollment YR1'!C262</f>
        <v>2</v>
      </c>
      <c r="D262" s="40" t="str">
        <f>'1.2 Budgeted Enrollment YR1'!D262</f>
        <v>Las Vegas</v>
      </c>
      <c r="E262" s="38" t="str">
        <f>'1.2 Budgeted Enrollment YR1'!E262</f>
        <v>Harmon, Harley ES</v>
      </c>
      <c r="F262" s="590"/>
      <c r="G262" s="220">
        <f>'1.2 Budgeted Enrollment YR1'!G262+('1.2 Budgeted Enrollment YR1'!G262*$Q$2)</f>
        <v>573.91309474112427</v>
      </c>
      <c r="H262" s="219">
        <v>0</v>
      </c>
      <c r="I262" s="220">
        <v>0</v>
      </c>
      <c r="J262" s="219">
        <v>0</v>
      </c>
      <c r="K262" s="220">
        <v>0</v>
      </c>
      <c r="L262" s="73"/>
      <c r="M262" s="2"/>
      <c r="N262"/>
      <c r="O262"/>
      <c r="P262"/>
      <c r="Q262"/>
    </row>
    <row r="263" spans="1:17" ht="18" thickTop="1" thickBot="1" x14ac:dyDescent="0.35">
      <c r="A263" s="38" t="str">
        <f>'1.2 Budgeted Enrollment YR1'!A263</f>
        <v>Clark</v>
      </c>
      <c r="B263" s="40">
        <f>'1.2 Budgeted Enrollment YR1'!B263</f>
        <v>2</v>
      </c>
      <c r="C263" s="40">
        <f>'1.2 Budgeted Enrollment YR1'!C263</f>
        <v>2</v>
      </c>
      <c r="D263" s="40" t="str">
        <f>'1.2 Budgeted Enrollment YR1'!D263</f>
        <v>Las Vegas</v>
      </c>
      <c r="E263" s="38" t="str">
        <f>'1.2 Budgeted Enrollment YR1'!E263</f>
        <v>Harney, Kathleen &amp; Tim MS</v>
      </c>
      <c r="F263" s="590"/>
      <c r="G263" s="220">
        <f>'1.2 Budgeted Enrollment YR1'!G263+('1.2 Budgeted Enrollment YR1'!G263*$Q$2)</f>
        <v>1272.6701488319673</v>
      </c>
      <c r="H263" s="219">
        <v>0</v>
      </c>
      <c r="I263" s="220">
        <v>0</v>
      </c>
      <c r="J263" s="219">
        <v>0</v>
      </c>
      <c r="K263" s="220">
        <v>0</v>
      </c>
      <c r="L263" s="73"/>
      <c r="M263" s="2"/>
      <c r="N263"/>
      <c r="O263"/>
      <c r="P263"/>
      <c r="Q263"/>
    </row>
    <row r="264" spans="1:17" ht="18" thickTop="1" thickBot="1" x14ac:dyDescent="0.35">
      <c r="A264" s="38" t="str">
        <f>'1.2 Budgeted Enrollment YR1'!A264</f>
        <v>Clark</v>
      </c>
      <c r="B264" s="40">
        <f>'1.2 Budgeted Enrollment YR1'!B264</f>
        <v>2</v>
      </c>
      <c r="C264" s="40">
        <f>'1.2 Budgeted Enrollment YR1'!C264</f>
        <v>2</v>
      </c>
      <c r="D264" s="40" t="str">
        <f>'1.2 Budgeted Enrollment YR1'!D264</f>
        <v>Las Vegas</v>
      </c>
      <c r="E264" s="38" t="str">
        <f>'1.2 Budgeted Enrollment YR1'!E264</f>
        <v>Harris, George E ES</v>
      </c>
      <c r="F264" s="590"/>
      <c r="G264" s="220">
        <f>'1.2 Budgeted Enrollment YR1'!G264+('1.2 Budgeted Enrollment YR1'!G264*$Q$2)</f>
        <v>657.07834354281192</v>
      </c>
      <c r="H264" s="219">
        <v>0</v>
      </c>
      <c r="I264" s="220">
        <v>0</v>
      </c>
      <c r="J264" s="219">
        <v>0</v>
      </c>
      <c r="K264" s="220">
        <v>0</v>
      </c>
      <c r="L264" s="73"/>
      <c r="M264" s="2"/>
      <c r="N264"/>
      <c r="O264"/>
      <c r="P264"/>
      <c r="Q264"/>
    </row>
    <row r="265" spans="1:17" ht="18" thickTop="1" thickBot="1" x14ac:dyDescent="0.35">
      <c r="A265" s="38" t="str">
        <f>'1.2 Budgeted Enrollment YR1'!A265</f>
        <v>Clark</v>
      </c>
      <c r="B265" s="40">
        <f>'1.2 Budgeted Enrollment YR1'!B265</f>
        <v>2</v>
      </c>
      <c r="C265" s="40">
        <f>'1.2 Budgeted Enrollment YR1'!C265</f>
        <v>2</v>
      </c>
      <c r="D265" s="40" t="str">
        <f>'1.2 Budgeted Enrollment YR1'!D265</f>
        <v>Las Vegas</v>
      </c>
      <c r="E265" s="38" t="str">
        <f>'1.2 Budgeted Enrollment YR1'!E265</f>
        <v>Hayden, Don E ES</v>
      </c>
      <c r="F265" s="590"/>
      <c r="G265" s="220">
        <f>'1.2 Budgeted Enrollment YR1'!G265+('1.2 Budgeted Enrollment YR1'!G265*$Q$2)</f>
        <v>710.3572810634754</v>
      </c>
      <c r="H265" s="219">
        <v>0</v>
      </c>
      <c r="I265" s="220">
        <v>0</v>
      </c>
      <c r="J265" s="219">
        <v>0</v>
      </c>
      <c r="K265" s="220">
        <v>0</v>
      </c>
      <c r="L265" s="73"/>
      <c r="M265" s="2"/>
      <c r="N265"/>
      <c r="O265"/>
      <c r="P265"/>
      <c r="Q265"/>
    </row>
    <row r="266" spans="1:17" ht="18" thickTop="1" thickBot="1" x14ac:dyDescent="0.35">
      <c r="A266" s="38" t="str">
        <f>'1.2 Budgeted Enrollment YR1'!A266</f>
        <v>Clark</v>
      </c>
      <c r="B266" s="40">
        <f>'1.2 Budgeted Enrollment YR1'!B266</f>
        <v>2</v>
      </c>
      <c r="C266" s="40">
        <f>'1.2 Budgeted Enrollment YR1'!C266</f>
        <v>2</v>
      </c>
      <c r="D266" s="40" t="str">
        <f>'1.2 Budgeted Enrollment YR1'!D266</f>
        <v>Las Vegas</v>
      </c>
      <c r="E266" s="38" t="str">
        <f>'1.2 Budgeted Enrollment YR1'!E266</f>
        <v>Hayes, Keith C &amp; Karen W ES</v>
      </c>
      <c r="F266" s="590"/>
      <c r="G266" s="220">
        <f>'1.2 Budgeted Enrollment YR1'!G266+('1.2 Budgeted Enrollment YR1'!G266*$Q$2)</f>
        <v>502.32560514191215</v>
      </c>
      <c r="H266" s="219">
        <v>0</v>
      </c>
      <c r="I266" s="220">
        <v>0</v>
      </c>
      <c r="J266" s="219">
        <v>0</v>
      </c>
      <c r="K266" s="220">
        <v>0</v>
      </c>
      <c r="L266" s="73"/>
      <c r="M266" s="2"/>
      <c r="N266"/>
      <c r="O266"/>
      <c r="P266"/>
      <c r="Q266"/>
    </row>
    <row r="267" spans="1:17" ht="18" thickTop="1" thickBot="1" x14ac:dyDescent="0.35">
      <c r="A267" s="38" t="str">
        <f>'1.2 Budgeted Enrollment YR1'!A267</f>
        <v>Clark</v>
      </c>
      <c r="B267" s="40">
        <f>'1.2 Budgeted Enrollment YR1'!B267</f>
        <v>2</v>
      </c>
      <c r="C267" s="40">
        <f>'1.2 Budgeted Enrollment YR1'!C267</f>
        <v>2</v>
      </c>
      <c r="D267" s="40" t="str">
        <f>'1.2 Budgeted Enrollment YR1'!D267</f>
        <v>Las Vegas</v>
      </c>
      <c r="E267" s="38" t="str">
        <f>'1.2 Budgeted Enrollment YR1'!E267</f>
        <v>Heard, Lomie G ES, A Marzano Academy</v>
      </c>
      <c r="F267" s="590"/>
      <c r="G267" s="220">
        <f>'1.2 Budgeted Enrollment YR1'!G267+('1.2 Budgeted Enrollment YR1'!G267*$Q$2)</f>
        <v>689.46333424407555</v>
      </c>
      <c r="H267" s="219">
        <v>0</v>
      </c>
      <c r="I267" s="220">
        <v>0</v>
      </c>
      <c r="J267" s="219">
        <v>0</v>
      </c>
      <c r="K267" s="220">
        <v>0</v>
      </c>
      <c r="L267" s="73"/>
      <c r="M267" s="2"/>
      <c r="N267"/>
      <c r="O267"/>
      <c r="P267"/>
      <c r="Q267"/>
    </row>
    <row r="268" spans="1:17" ht="18" thickTop="1" thickBot="1" x14ac:dyDescent="0.35">
      <c r="A268" s="38" t="str">
        <f>'1.2 Budgeted Enrollment YR1'!A268</f>
        <v>Clark</v>
      </c>
      <c r="B268" s="40">
        <f>'1.2 Budgeted Enrollment YR1'!B268</f>
        <v>2</v>
      </c>
      <c r="C268" s="40">
        <f>'1.2 Budgeted Enrollment YR1'!C268</f>
        <v>2</v>
      </c>
      <c r="D268" s="40" t="str">
        <f>'1.2 Budgeted Enrollment YR1'!D268</f>
        <v>Las Vegas</v>
      </c>
      <c r="E268" s="38" t="str">
        <f>'1.2 Budgeted Enrollment YR1'!E268</f>
        <v>Heckethorn, Howard E ES</v>
      </c>
      <c r="F268" s="590"/>
      <c r="G268" s="220">
        <f>'1.2 Budgeted Enrollment YR1'!G268+('1.2 Budgeted Enrollment YR1'!G268*$Q$2)</f>
        <v>706.11381160790495</v>
      </c>
      <c r="H268" s="219">
        <v>0</v>
      </c>
      <c r="I268" s="220">
        <v>0</v>
      </c>
      <c r="J268" s="219">
        <v>0</v>
      </c>
      <c r="K268" s="220">
        <v>0</v>
      </c>
      <c r="L268" s="73"/>
      <c r="M268" s="2"/>
      <c r="N268"/>
      <c r="O268"/>
      <c r="P268"/>
      <c r="Q268"/>
    </row>
    <row r="269" spans="1:17" ht="18" thickTop="1" thickBot="1" x14ac:dyDescent="0.35">
      <c r="A269" s="38" t="str">
        <f>'1.2 Budgeted Enrollment YR1'!A269</f>
        <v>Clark</v>
      </c>
      <c r="B269" s="40">
        <f>'1.2 Budgeted Enrollment YR1'!B269</f>
        <v>2</v>
      </c>
      <c r="C269" s="40">
        <f>'1.2 Budgeted Enrollment YR1'!C269</f>
        <v>2</v>
      </c>
      <c r="D269" s="40" t="str">
        <f>'1.2 Budgeted Enrollment YR1'!D269</f>
        <v>Las Vegas</v>
      </c>
      <c r="E269" s="38" t="str">
        <f>'1.2 Budgeted Enrollment YR1'!E269</f>
        <v>Herr, Helen ES</v>
      </c>
      <c r="F269" s="590"/>
      <c r="G269" s="220">
        <f>'1.2 Budgeted Enrollment YR1'!G269+('1.2 Budgeted Enrollment YR1'!G269*$Q$2)</f>
        <v>552.58929879972573</v>
      </c>
      <c r="H269" s="219">
        <v>0</v>
      </c>
      <c r="I269" s="220">
        <v>0</v>
      </c>
      <c r="J269" s="219">
        <v>0</v>
      </c>
      <c r="K269" s="220">
        <v>0</v>
      </c>
      <c r="L269" s="73"/>
      <c r="M269" s="2"/>
      <c r="N269"/>
      <c r="O269"/>
      <c r="P269"/>
      <c r="Q269"/>
    </row>
    <row r="270" spans="1:17" ht="18" thickTop="1" thickBot="1" x14ac:dyDescent="0.35">
      <c r="A270" s="38" t="str">
        <f>'1.2 Budgeted Enrollment YR1'!A270</f>
        <v>Clark</v>
      </c>
      <c r="B270" s="40">
        <f>'1.2 Budgeted Enrollment YR1'!B270</f>
        <v>2</v>
      </c>
      <c r="C270" s="40">
        <f>'1.2 Budgeted Enrollment YR1'!C270</f>
        <v>2</v>
      </c>
      <c r="D270" s="40" t="str">
        <f>'1.2 Budgeted Enrollment YR1'!D270</f>
        <v>Las Vegas</v>
      </c>
      <c r="E270" s="38" t="str">
        <f>'1.2 Budgeted Enrollment YR1'!E270</f>
        <v>Herron, Fay ES</v>
      </c>
      <c r="F270" s="590"/>
      <c r="G270" s="220">
        <f>'1.2 Budgeted Enrollment YR1'!G270+('1.2 Budgeted Enrollment YR1'!G270*$Q$2)</f>
        <v>574.76594788641762</v>
      </c>
      <c r="H270" s="219">
        <v>0</v>
      </c>
      <c r="I270" s="220">
        <v>0</v>
      </c>
      <c r="J270" s="219">
        <v>0</v>
      </c>
      <c r="K270" s="220">
        <v>0</v>
      </c>
      <c r="L270" s="73"/>
      <c r="M270" s="2"/>
      <c r="N270"/>
      <c r="O270"/>
      <c r="P270"/>
      <c r="Q270"/>
    </row>
    <row r="271" spans="1:17" ht="18" thickTop="1" thickBot="1" x14ac:dyDescent="0.35">
      <c r="A271" s="38" t="str">
        <f>'1.2 Budgeted Enrollment YR1'!A271</f>
        <v>Clark</v>
      </c>
      <c r="B271" s="40">
        <f>'1.2 Budgeted Enrollment YR1'!B271</f>
        <v>2</v>
      </c>
      <c r="C271" s="40">
        <f>'1.2 Budgeted Enrollment YR1'!C271</f>
        <v>2</v>
      </c>
      <c r="D271" s="40" t="str">
        <f>'1.2 Budgeted Enrollment YR1'!D271</f>
        <v>Las Vegas</v>
      </c>
      <c r="E271" s="38" t="str">
        <f>'1.2 Budgeted Enrollment YR1'!E271</f>
        <v>Hewetson, Halle ES</v>
      </c>
      <c r="F271" s="590"/>
      <c r="G271" s="220">
        <f>'1.2 Budgeted Enrollment YR1'!G271+('1.2 Budgeted Enrollment YR1'!G271*$Q$2)</f>
        <v>654.38285091037153</v>
      </c>
      <c r="H271" s="219">
        <v>0</v>
      </c>
      <c r="I271" s="220">
        <v>0</v>
      </c>
      <c r="J271" s="219">
        <v>0</v>
      </c>
      <c r="K271" s="220">
        <v>0</v>
      </c>
      <c r="L271" s="73"/>
      <c r="M271" s="2"/>
      <c r="N271"/>
      <c r="O271"/>
      <c r="P271"/>
      <c r="Q271"/>
    </row>
    <row r="272" spans="1:17" ht="18" thickTop="1" thickBot="1" x14ac:dyDescent="0.35">
      <c r="A272" s="38" t="str">
        <f>'1.2 Budgeted Enrollment YR1'!A272</f>
        <v>Clark</v>
      </c>
      <c r="B272" s="40">
        <f>'1.2 Budgeted Enrollment YR1'!B272</f>
        <v>2</v>
      </c>
      <c r="C272" s="40">
        <f>'1.2 Budgeted Enrollment YR1'!C272</f>
        <v>2</v>
      </c>
      <c r="D272" s="40" t="str">
        <f>'1.2 Budgeted Enrollment YR1'!D272</f>
        <v>Las Vegas</v>
      </c>
      <c r="E272" s="38" t="str">
        <f>'1.2 Budgeted Enrollment YR1'!E272</f>
        <v>Hickey, Liliam Lujan ES</v>
      </c>
      <c r="F272" s="590"/>
      <c r="G272" s="220">
        <f>'1.2 Budgeted Enrollment YR1'!G272+('1.2 Budgeted Enrollment YR1'!G272*$Q$2)</f>
        <v>629.03902119794691</v>
      </c>
      <c r="H272" s="219">
        <v>0</v>
      </c>
      <c r="I272" s="220">
        <v>0</v>
      </c>
      <c r="J272" s="219">
        <v>0</v>
      </c>
      <c r="K272" s="220">
        <v>0</v>
      </c>
      <c r="L272" s="73"/>
      <c r="M272" s="2"/>
      <c r="N272"/>
      <c r="O272"/>
      <c r="P272"/>
      <c r="Q272"/>
    </row>
    <row r="273" spans="1:17" ht="18" thickTop="1" thickBot="1" x14ac:dyDescent="0.35">
      <c r="A273" s="38" t="str">
        <f>'1.2 Budgeted Enrollment YR1'!A273</f>
        <v>Clark</v>
      </c>
      <c r="B273" s="40">
        <f>'1.2 Budgeted Enrollment YR1'!B273</f>
        <v>2</v>
      </c>
      <c r="C273" s="40">
        <f>'1.2 Budgeted Enrollment YR1'!C273</f>
        <v>2</v>
      </c>
      <c r="D273" s="40" t="str">
        <f>'1.2 Budgeted Enrollment YR1'!D273</f>
        <v>Las Vegas</v>
      </c>
      <c r="E273" s="38" t="str">
        <f>'1.2 Budgeted Enrollment YR1'!E273</f>
        <v>Hill, Charlotte ES</v>
      </c>
      <c r="F273" s="590"/>
      <c r="G273" s="220">
        <f>'1.2 Budgeted Enrollment YR1'!G273+('1.2 Budgeted Enrollment YR1'!G273*$Q$2)</f>
        <v>490.20347366630239</v>
      </c>
      <c r="H273" s="219">
        <v>0</v>
      </c>
      <c r="I273" s="220">
        <v>0</v>
      </c>
      <c r="J273" s="219">
        <v>0</v>
      </c>
      <c r="K273" s="220">
        <v>0</v>
      </c>
      <c r="L273" s="73"/>
      <c r="M273" s="2"/>
      <c r="N273"/>
      <c r="O273"/>
      <c r="P273"/>
      <c r="Q273"/>
    </row>
    <row r="274" spans="1:17" ht="18" thickTop="1" thickBot="1" x14ac:dyDescent="0.35">
      <c r="A274" s="38" t="str">
        <f>'1.2 Budgeted Enrollment YR1'!A274</f>
        <v>Clark</v>
      </c>
      <c r="B274" s="40">
        <f>'1.2 Budgeted Enrollment YR1'!B274</f>
        <v>2</v>
      </c>
      <c r="C274" s="40">
        <f>'1.2 Budgeted Enrollment YR1'!C274</f>
        <v>2</v>
      </c>
      <c r="D274" s="40" t="str">
        <f>'1.2 Budgeted Enrollment YR1'!D274</f>
        <v>Las Vegas</v>
      </c>
      <c r="E274" s="38" t="str">
        <f>'1.2 Budgeted Enrollment YR1'!E274</f>
        <v>Hinman, Edna F ES</v>
      </c>
      <c r="F274" s="590"/>
      <c r="G274" s="220">
        <f>'1.2 Budgeted Enrollment YR1'!G274+('1.2 Budgeted Enrollment YR1'!G274*$Q$2)</f>
        <v>346.96197017885737</v>
      </c>
      <c r="H274" s="219">
        <v>0</v>
      </c>
      <c r="I274" s="220">
        <v>0</v>
      </c>
      <c r="J274" s="219">
        <v>0</v>
      </c>
      <c r="K274" s="220">
        <v>0</v>
      </c>
      <c r="L274" s="73"/>
      <c r="M274" s="2"/>
      <c r="N274"/>
      <c r="O274"/>
      <c r="P274"/>
      <c r="Q274"/>
    </row>
    <row r="275" spans="1:17" ht="18" thickTop="1" thickBot="1" x14ac:dyDescent="0.35">
      <c r="A275" s="38" t="str">
        <f>'1.2 Budgeted Enrollment YR1'!A275</f>
        <v>Clark</v>
      </c>
      <c r="B275" s="40">
        <f>'1.2 Budgeted Enrollment YR1'!B275</f>
        <v>2</v>
      </c>
      <c r="C275" s="40">
        <f>'1.2 Budgeted Enrollment YR1'!C275</f>
        <v>2</v>
      </c>
      <c r="D275" s="40" t="str">
        <f>'1.2 Budgeted Enrollment YR1'!D275</f>
        <v>Las Vegas</v>
      </c>
      <c r="E275" s="38" t="str">
        <f>'1.2 Budgeted Enrollment YR1'!E275</f>
        <v>Hoggard, Mabel ES</v>
      </c>
      <c r="F275" s="590"/>
      <c r="G275" s="220">
        <f>'1.2 Budgeted Enrollment YR1'!G275+('1.2 Budgeted Enrollment YR1'!G275*$Q$2)</f>
        <v>501.17619773052979</v>
      </c>
      <c r="H275" s="219">
        <v>0</v>
      </c>
      <c r="I275" s="220">
        <v>0</v>
      </c>
      <c r="J275" s="219">
        <v>0</v>
      </c>
      <c r="K275" s="220">
        <v>0</v>
      </c>
      <c r="L275" s="73"/>
      <c r="M275" s="2"/>
      <c r="N275"/>
      <c r="O275"/>
      <c r="P275"/>
      <c r="Q275"/>
    </row>
    <row r="276" spans="1:17" ht="18" thickTop="1" thickBot="1" x14ac:dyDescent="0.35">
      <c r="A276" s="38" t="str">
        <f>'1.2 Budgeted Enrollment YR1'!A276</f>
        <v>Clark</v>
      </c>
      <c r="B276" s="40">
        <f>'1.2 Budgeted Enrollment YR1'!B276</f>
        <v>2</v>
      </c>
      <c r="C276" s="40">
        <f>'1.2 Budgeted Enrollment YR1'!C276</f>
        <v>2</v>
      </c>
      <c r="D276" s="40" t="str">
        <f>'1.2 Budgeted Enrollment YR1'!D276</f>
        <v>Las Vegas</v>
      </c>
      <c r="E276" s="38" t="str">
        <f>'1.2 Budgeted Enrollment YR1'!E276</f>
        <v>Hollingsworth, Howard ES</v>
      </c>
      <c r="F276" s="590"/>
      <c r="G276" s="220">
        <f>'1.2 Budgeted Enrollment YR1'!G276+('1.2 Budgeted Enrollment YR1'!G276*$Q$2)</f>
        <v>464.55161474798325</v>
      </c>
      <c r="H276" s="219">
        <v>0</v>
      </c>
      <c r="I276" s="220">
        <v>0</v>
      </c>
      <c r="J276" s="219">
        <v>0</v>
      </c>
      <c r="K276" s="220">
        <v>0</v>
      </c>
      <c r="L276" s="73"/>
      <c r="M276" s="2"/>
      <c r="N276"/>
      <c r="O276"/>
      <c r="P276"/>
      <c r="Q276"/>
    </row>
    <row r="277" spans="1:17" ht="18" thickTop="1" thickBot="1" x14ac:dyDescent="0.35">
      <c r="A277" s="38" t="str">
        <f>'1.2 Budgeted Enrollment YR1'!A277</f>
        <v>Clark</v>
      </c>
      <c r="B277" s="40">
        <f>'1.2 Budgeted Enrollment YR1'!B277</f>
        <v>2</v>
      </c>
      <c r="C277" s="40">
        <f>'1.2 Budgeted Enrollment YR1'!C277</f>
        <v>2</v>
      </c>
      <c r="D277" s="40" t="str">
        <f>'1.2 Budgeted Enrollment YR1'!D277</f>
        <v>Mesquite</v>
      </c>
      <c r="E277" s="38" t="str">
        <f>'1.2 Budgeted Enrollment YR1'!E277</f>
        <v>Hughes, Charles Arthur MS</v>
      </c>
      <c r="F277" s="590"/>
      <c r="G277" s="220">
        <f>'1.2 Budgeted Enrollment YR1'!G277+('1.2 Budgeted Enrollment YR1'!G277*$Q$2)</f>
        <v>542.05754179568919</v>
      </c>
      <c r="H277" s="219">
        <v>0</v>
      </c>
      <c r="I277" s="220">
        <v>0</v>
      </c>
      <c r="J277" s="219">
        <v>0</v>
      </c>
      <c r="K277" s="220">
        <v>0</v>
      </c>
      <c r="L277" s="73"/>
      <c r="M277" s="2"/>
      <c r="N277"/>
      <c r="O277"/>
      <c r="P277"/>
      <c r="Q277"/>
    </row>
    <row r="278" spans="1:17" ht="18" thickTop="1" thickBot="1" x14ac:dyDescent="0.35">
      <c r="A278" s="38" t="str">
        <f>'1.2 Budgeted Enrollment YR1'!A278</f>
        <v>Clark</v>
      </c>
      <c r="B278" s="40">
        <f>'1.2 Budgeted Enrollment YR1'!B278</f>
        <v>2</v>
      </c>
      <c r="C278" s="40">
        <f>'1.2 Budgeted Enrollment YR1'!C278</f>
        <v>2</v>
      </c>
      <c r="D278" s="40" t="str">
        <f>'1.2 Budgeted Enrollment YR1'!D278</f>
        <v>Las Vegas</v>
      </c>
      <c r="E278" s="38" t="str">
        <f>'1.2 Budgeted Enrollment YR1'!E278</f>
        <v>Hummel, John R ES</v>
      </c>
      <c r="F278" s="590"/>
      <c r="G278" s="220">
        <f>'1.2 Budgeted Enrollment YR1'!G278+('1.2 Budgeted Enrollment YR1'!G278*$Q$2)</f>
        <v>588.59273392442356</v>
      </c>
      <c r="H278" s="219">
        <v>0</v>
      </c>
      <c r="I278" s="220">
        <v>0</v>
      </c>
      <c r="J278" s="219">
        <v>0</v>
      </c>
      <c r="K278" s="220">
        <v>0</v>
      </c>
      <c r="L278" s="73"/>
      <c r="M278" s="2"/>
      <c r="N278"/>
      <c r="O278"/>
      <c r="P278"/>
      <c r="Q278"/>
    </row>
    <row r="279" spans="1:17" ht="18" thickTop="1" thickBot="1" x14ac:dyDescent="0.35">
      <c r="A279" s="38" t="str">
        <f>'1.2 Budgeted Enrollment YR1'!A279</f>
        <v>Clark</v>
      </c>
      <c r="B279" s="40">
        <f>'1.2 Budgeted Enrollment YR1'!B279</f>
        <v>2</v>
      </c>
      <c r="C279" s="40">
        <f>'1.2 Budgeted Enrollment YR1'!C279</f>
        <v>2</v>
      </c>
      <c r="D279" s="40" t="str">
        <f>'1.2 Budgeted Enrollment YR1'!D279</f>
        <v>Las Vegas</v>
      </c>
      <c r="E279" s="38" t="str">
        <f>'1.2 Budgeted Enrollment YR1'!E279</f>
        <v>Hyde Park MS</v>
      </c>
      <c r="F279" s="590"/>
      <c r="G279" s="220">
        <f>'1.2 Budgeted Enrollment YR1'!G279+('1.2 Budgeted Enrollment YR1'!G279*$Q$2)</f>
        <v>1364.3662004063376</v>
      </c>
      <c r="H279" s="219">
        <v>0</v>
      </c>
      <c r="I279" s="220">
        <v>0</v>
      </c>
      <c r="J279" s="219">
        <v>0</v>
      </c>
      <c r="K279" s="220">
        <v>0</v>
      </c>
      <c r="L279" s="73"/>
      <c r="M279" s="2"/>
      <c r="N279"/>
      <c r="O279"/>
      <c r="P279"/>
      <c r="Q279"/>
    </row>
    <row r="280" spans="1:17" ht="18" thickTop="1" thickBot="1" x14ac:dyDescent="0.35">
      <c r="A280" s="38" t="str">
        <f>'1.2 Budgeted Enrollment YR1'!A280</f>
        <v>Clark</v>
      </c>
      <c r="B280" s="40">
        <f>'1.2 Budgeted Enrollment YR1'!B280</f>
        <v>2</v>
      </c>
      <c r="C280" s="40">
        <f>'1.2 Budgeted Enrollment YR1'!C280</f>
        <v>2</v>
      </c>
      <c r="D280" s="40" t="str">
        <f>'1.2 Budgeted Enrollment YR1'!D280</f>
        <v>Indian Springs</v>
      </c>
      <c r="E280" s="38" t="str">
        <f>'1.2 Budgeted Enrollment YR1'!E280</f>
        <v>Indian Springs ES</v>
      </c>
      <c r="F280" s="590"/>
      <c r="G280" s="220">
        <f>'1.2 Budgeted Enrollment YR1'!G280+('1.2 Budgeted Enrollment YR1'!G280*$Q$2)</f>
        <v>131.23036073445274</v>
      </c>
      <c r="H280" s="219">
        <v>0</v>
      </c>
      <c r="I280" s="220">
        <v>0</v>
      </c>
      <c r="J280" s="219">
        <v>0</v>
      </c>
      <c r="K280" s="220">
        <v>0</v>
      </c>
      <c r="L280" s="73"/>
      <c r="M280" s="2"/>
      <c r="N280"/>
      <c r="O280"/>
      <c r="P280"/>
      <c r="Q280"/>
    </row>
    <row r="281" spans="1:17" ht="18" thickTop="1" thickBot="1" x14ac:dyDescent="0.35">
      <c r="A281" s="38" t="str">
        <f>'1.2 Budgeted Enrollment YR1'!A281</f>
        <v>Clark</v>
      </c>
      <c r="B281" s="40">
        <f>'1.2 Budgeted Enrollment YR1'!B281</f>
        <v>2</v>
      </c>
      <c r="C281" s="40">
        <f>'1.2 Budgeted Enrollment YR1'!C281</f>
        <v>2</v>
      </c>
      <c r="D281" s="40" t="str">
        <f>'1.2 Budgeted Enrollment YR1'!D281</f>
        <v>Indian Springs</v>
      </c>
      <c r="E281" s="38" t="str">
        <f>'1.2 Budgeted Enrollment YR1'!E281</f>
        <v>Indian Springs HS</v>
      </c>
      <c r="F281" s="590"/>
      <c r="G281" s="220">
        <f>'1.2 Budgeted Enrollment YR1'!G281+('1.2 Budgeted Enrollment YR1'!G281*$Q$2)</f>
        <v>116.09238487759032</v>
      </c>
      <c r="H281" s="219">
        <v>0</v>
      </c>
      <c r="I281" s="220">
        <v>0</v>
      </c>
      <c r="J281" s="219">
        <v>0</v>
      </c>
      <c r="K281" s="220">
        <v>0</v>
      </c>
      <c r="L281" s="73"/>
      <c r="M281" s="2"/>
      <c r="N281"/>
      <c r="O281"/>
      <c r="P281"/>
      <c r="Q281"/>
    </row>
    <row r="282" spans="1:17" ht="18" thickTop="1" thickBot="1" x14ac:dyDescent="0.35">
      <c r="A282" s="38" t="str">
        <f>'1.2 Budgeted Enrollment YR1'!A282</f>
        <v>Clark</v>
      </c>
      <c r="B282" s="40">
        <f>'1.2 Budgeted Enrollment YR1'!B282</f>
        <v>2</v>
      </c>
      <c r="C282" s="40">
        <f>'1.2 Budgeted Enrollment YR1'!C282</f>
        <v>2</v>
      </c>
      <c r="D282" s="40" t="str">
        <f>'1.2 Budgeted Enrollment YR1'!D282</f>
        <v>Indian Springs</v>
      </c>
      <c r="E282" s="38" t="str">
        <f>'1.2 Budgeted Enrollment YR1'!E282</f>
        <v>Indian Springs MS</v>
      </c>
      <c r="F282" s="590"/>
      <c r="G282" s="220">
        <f>'1.2 Budgeted Enrollment YR1'!G282+('1.2 Budgeted Enrollment YR1'!G282*$Q$2)</f>
        <v>80.820447994272726</v>
      </c>
      <c r="H282" s="219">
        <v>0</v>
      </c>
      <c r="I282" s="220">
        <v>0</v>
      </c>
      <c r="J282" s="219">
        <v>0</v>
      </c>
      <c r="K282" s="220">
        <v>0</v>
      </c>
      <c r="L282" s="73"/>
      <c r="M282" s="2"/>
      <c r="N282"/>
      <c r="O282"/>
      <c r="P282"/>
      <c r="Q282"/>
    </row>
    <row r="283" spans="1:17" ht="18" thickTop="1" thickBot="1" x14ac:dyDescent="0.35">
      <c r="A283" s="38" t="str">
        <f>'1.2 Budgeted Enrollment YR1'!A283</f>
        <v>Clark</v>
      </c>
      <c r="B283" s="40">
        <f>'1.2 Budgeted Enrollment YR1'!B283</f>
        <v>2</v>
      </c>
      <c r="C283" s="40">
        <f>'1.2 Budgeted Enrollment YR1'!C283</f>
        <v>2</v>
      </c>
      <c r="D283" s="40" t="str">
        <f>'1.2 Budgeted Enrollment YR1'!D283</f>
        <v>Las Vegas</v>
      </c>
      <c r="E283" s="38" t="str">
        <f>'1.2 Budgeted Enrollment YR1'!E283</f>
        <v>Iverson, Mervin ES</v>
      </c>
      <c r="F283" s="590"/>
      <c r="G283" s="220">
        <f>'1.2 Budgeted Enrollment YR1'!G283+('1.2 Budgeted Enrollment YR1'!G283*$Q$2)</f>
        <v>503.69783062200804</v>
      </c>
      <c r="H283" s="219">
        <v>0</v>
      </c>
      <c r="I283" s="220">
        <v>0</v>
      </c>
      <c r="J283" s="219">
        <v>0</v>
      </c>
      <c r="K283" s="220">
        <v>0</v>
      </c>
      <c r="L283" s="73"/>
      <c r="M283" s="2"/>
      <c r="N283"/>
      <c r="O283"/>
      <c r="P283"/>
      <c r="Q283"/>
    </row>
    <row r="284" spans="1:17" ht="18" thickTop="1" thickBot="1" x14ac:dyDescent="0.35">
      <c r="A284" s="38" t="str">
        <f>'1.2 Budgeted Enrollment YR1'!A284</f>
        <v>Clark</v>
      </c>
      <c r="B284" s="40">
        <f>'1.2 Budgeted Enrollment YR1'!B284</f>
        <v>2</v>
      </c>
      <c r="C284" s="40">
        <f>'1.2 Budgeted Enrollment YR1'!C284</f>
        <v>2</v>
      </c>
      <c r="D284" s="40" t="str">
        <f>'1.2 Budgeted Enrollment YR1'!D284</f>
        <v>Las Vegas</v>
      </c>
      <c r="E284" s="38" t="str">
        <f>'1.2 Budgeted Enrollment YR1'!E284</f>
        <v>Jacobson, Walter ES</v>
      </c>
      <c r="F284" s="590"/>
      <c r="G284" s="220">
        <f>'1.2 Budgeted Enrollment YR1'!G284+('1.2 Budgeted Enrollment YR1'!G284*$Q$2)</f>
        <v>487.70834443425798</v>
      </c>
      <c r="H284" s="219">
        <v>0</v>
      </c>
      <c r="I284" s="220">
        <v>0</v>
      </c>
      <c r="J284" s="219">
        <v>0</v>
      </c>
      <c r="K284" s="220">
        <v>0</v>
      </c>
      <c r="L284" s="73"/>
      <c r="M284" s="2"/>
      <c r="N284"/>
      <c r="O284"/>
      <c r="P284"/>
      <c r="Q284"/>
    </row>
    <row r="285" spans="1:17" ht="18" thickTop="1" thickBot="1" x14ac:dyDescent="0.35">
      <c r="A285" s="38" t="str">
        <f>'1.2 Budgeted Enrollment YR1'!A285</f>
        <v>Clark</v>
      </c>
      <c r="B285" s="40">
        <f>'1.2 Budgeted Enrollment YR1'!B285</f>
        <v>2</v>
      </c>
      <c r="C285" s="40">
        <f>'1.2 Budgeted Enrollment YR1'!C285</f>
        <v>2</v>
      </c>
      <c r="D285" s="40" t="str">
        <f>'1.2 Budgeted Enrollment YR1'!D285</f>
        <v>Las Vegas</v>
      </c>
      <c r="E285" s="38" t="str">
        <f>'1.2 Budgeted Enrollment YR1'!E285</f>
        <v>Jeffers, Jay W ES</v>
      </c>
      <c r="F285" s="590"/>
      <c r="G285" s="220">
        <f>'1.2 Budgeted Enrollment YR1'!G285+('1.2 Budgeted Enrollment YR1'!G285*$Q$2)</f>
        <v>576.53295356334365</v>
      </c>
      <c r="H285" s="219">
        <v>0</v>
      </c>
      <c r="I285" s="220">
        <v>0</v>
      </c>
      <c r="J285" s="219">
        <v>0</v>
      </c>
      <c r="K285" s="220">
        <v>0</v>
      </c>
      <c r="L285" s="73"/>
      <c r="M285" s="2"/>
      <c r="N285"/>
      <c r="O285"/>
      <c r="P285"/>
      <c r="Q285"/>
    </row>
    <row r="286" spans="1:17" ht="18" thickTop="1" thickBot="1" x14ac:dyDescent="0.35">
      <c r="A286" s="38" t="str">
        <f>'1.2 Budgeted Enrollment YR1'!A286</f>
        <v>Clark</v>
      </c>
      <c r="B286" s="40">
        <f>'1.2 Budgeted Enrollment YR1'!B286</f>
        <v>2</v>
      </c>
      <c r="C286" s="40">
        <f>'1.2 Budgeted Enrollment YR1'!C286</f>
        <v>2</v>
      </c>
      <c r="D286" s="40" t="str">
        <f>'1.2 Budgeted Enrollment YR1'!D286</f>
        <v>Las Vegas</v>
      </c>
      <c r="E286" s="38" t="str">
        <f>'1.2 Budgeted Enrollment YR1'!E286</f>
        <v>Jenkins, Earl N ES</v>
      </c>
      <c r="F286" s="590"/>
      <c r="G286" s="220">
        <f>'1.2 Budgeted Enrollment YR1'!G286+('1.2 Budgeted Enrollment YR1'!G286*$Q$2)</f>
        <v>637.26364123821475</v>
      </c>
      <c r="H286" s="219">
        <v>0</v>
      </c>
      <c r="I286" s="220">
        <v>0</v>
      </c>
      <c r="J286" s="219">
        <v>0</v>
      </c>
      <c r="K286" s="220">
        <v>0</v>
      </c>
      <c r="L286" s="73"/>
      <c r="M286" s="2"/>
      <c r="N286"/>
      <c r="O286"/>
      <c r="P286"/>
      <c r="Q286"/>
    </row>
    <row r="287" spans="1:17" ht="18" thickTop="1" thickBot="1" x14ac:dyDescent="0.35">
      <c r="A287" s="38" t="str">
        <f>'1.2 Budgeted Enrollment YR1'!A287</f>
        <v>Clark</v>
      </c>
      <c r="B287" s="40">
        <f>'1.2 Budgeted Enrollment YR1'!B287</f>
        <v>2</v>
      </c>
      <c r="C287" s="40">
        <f>'1.2 Budgeted Enrollment YR1'!C287</f>
        <v>2</v>
      </c>
      <c r="D287" s="40" t="str">
        <f>'1.2 Budgeted Enrollment YR1'!D287</f>
        <v>Las Vegas</v>
      </c>
      <c r="E287" s="38" t="str">
        <f>'1.2 Budgeted Enrollment YR1'!E287</f>
        <v>Johnson, Walter JHS Academy of Int'l Studies</v>
      </c>
      <c r="F287" s="590"/>
      <c r="G287" s="220">
        <f>'1.2 Budgeted Enrollment YR1'!G287+('1.2 Budgeted Enrollment YR1'!G287*$Q$2)</f>
        <v>1356.2988855340589</v>
      </c>
      <c r="H287" s="219">
        <v>0</v>
      </c>
      <c r="I287" s="220">
        <v>0</v>
      </c>
      <c r="J287" s="219">
        <v>0</v>
      </c>
      <c r="K287" s="220">
        <v>0</v>
      </c>
      <c r="L287" s="73"/>
      <c r="M287" s="2"/>
      <c r="N287"/>
      <c r="O287"/>
      <c r="P287"/>
      <c r="Q287"/>
    </row>
    <row r="288" spans="1:17" ht="18" thickTop="1" thickBot="1" x14ac:dyDescent="0.35">
      <c r="A288" s="38" t="str">
        <f>'1.2 Budgeted Enrollment YR1'!A288</f>
        <v>Clark</v>
      </c>
      <c r="B288" s="40">
        <f>'1.2 Budgeted Enrollment YR1'!B288</f>
        <v>2</v>
      </c>
      <c r="C288" s="40">
        <f>'1.2 Budgeted Enrollment YR1'!C288</f>
        <v>2</v>
      </c>
      <c r="D288" s="40" t="str">
        <f>'1.2 Budgeted Enrollment YR1'!D288</f>
        <v>Las Vegas</v>
      </c>
      <c r="E288" s="38" t="str">
        <f>'1.2 Budgeted Enrollment YR1'!E288</f>
        <v>Johnston, Carroll M MS</v>
      </c>
      <c r="F288" s="590"/>
      <c r="G288" s="220">
        <f>'1.2 Budgeted Enrollment YR1'!G288+('1.2 Budgeted Enrollment YR1'!G288*$Q$2)</f>
        <v>1252.1279381878699</v>
      </c>
      <c r="H288" s="219">
        <v>0</v>
      </c>
      <c r="I288" s="220">
        <v>0</v>
      </c>
      <c r="J288" s="219">
        <v>0</v>
      </c>
      <c r="K288" s="220">
        <v>0</v>
      </c>
      <c r="L288" s="73"/>
      <c r="M288" s="2"/>
      <c r="N288"/>
      <c r="O288"/>
      <c r="P288"/>
      <c r="Q288"/>
    </row>
    <row r="289" spans="1:17" ht="18" thickTop="1" thickBot="1" x14ac:dyDescent="0.35">
      <c r="A289" s="38" t="str">
        <f>'1.2 Budgeted Enrollment YR1'!A289</f>
        <v>Clark</v>
      </c>
      <c r="B289" s="40">
        <f>'1.2 Budgeted Enrollment YR1'!B289</f>
        <v>2</v>
      </c>
      <c r="C289" s="40">
        <f>'1.2 Budgeted Enrollment YR1'!C289</f>
        <v>2</v>
      </c>
      <c r="D289" s="40" t="str">
        <f>'1.2 Budgeted Enrollment YR1'!D289</f>
        <v>Las Vegas</v>
      </c>
      <c r="E289" s="38" t="str">
        <f>'1.2 Budgeted Enrollment YR1'!E289</f>
        <v>Jones Blackhurst, Jan L ES</v>
      </c>
      <c r="F289" s="590"/>
      <c r="G289" s="220">
        <f>'1.2 Budgeted Enrollment YR1'!G289+('1.2 Budgeted Enrollment YR1'!G289*$Q$2)</f>
        <v>808.15096226342291</v>
      </c>
      <c r="H289" s="219">
        <v>0</v>
      </c>
      <c r="I289" s="220">
        <v>0</v>
      </c>
      <c r="J289" s="219">
        <v>0</v>
      </c>
      <c r="K289" s="220">
        <v>0</v>
      </c>
      <c r="L289" s="73"/>
      <c r="M289" s="2"/>
      <c r="N289"/>
      <c r="O289"/>
      <c r="P289"/>
      <c r="Q289"/>
    </row>
    <row r="290" spans="1:17" ht="18" thickTop="1" thickBot="1" x14ac:dyDescent="0.35">
      <c r="A290" s="38" t="str">
        <f>'1.2 Budgeted Enrollment YR1'!A290</f>
        <v>Clark</v>
      </c>
      <c r="B290" s="40">
        <f>'1.2 Budgeted Enrollment YR1'!B290</f>
        <v>2</v>
      </c>
      <c r="C290" s="40">
        <f>'1.2 Budgeted Enrollment YR1'!C290</f>
        <v>2</v>
      </c>
      <c r="D290" s="40" t="str">
        <f>'1.2 Budgeted Enrollment YR1'!D290</f>
        <v>Las Vegas</v>
      </c>
      <c r="E290" s="38" t="str">
        <f>'1.2 Budgeted Enrollment YR1'!E290</f>
        <v>Juvenile Detention 6-12 J-SHS</v>
      </c>
      <c r="F290" s="590"/>
      <c r="G290" s="220">
        <f>'1.2 Budgeted Enrollment YR1'!G290+('1.2 Budgeted Enrollment YR1'!G290*$Q$2)</f>
        <v>66.911141628567648</v>
      </c>
      <c r="H290" s="219">
        <v>0</v>
      </c>
      <c r="I290" s="220">
        <v>0</v>
      </c>
      <c r="J290" s="219">
        <v>0</v>
      </c>
      <c r="K290" s="220">
        <v>0</v>
      </c>
      <c r="L290" s="73"/>
      <c r="M290" s="2"/>
      <c r="N290"/>
      <c r="O290"/>
      <c r="P290"/>
      <c r="Q290"/>
    </row>
    <row r="291" spans="1:17" ht="18" thickTop="1" thickBot="1" x14ac:dyDescent="0.35">
      <c r="A291" s="38" t="str">
        <f>'1.2 Budgeted Enrollment YR1'!A291</f>
        <v>Clark</v>
      </c>
      <c r="B291" s="40">
        <f>'1.2 Budgeted Enrollment YR1'!B291</f>
        <v>2</v>
      </c>
      <c r="C291" s="40">
        <f>'1.2 Budgeted Enrollment YR1'!C291</f>
        <v>2</v>
      </c>
      <c r="D291" s="40" t="str">
        <f>'1.2 Budgeted Enrollment YR1'!D291</f>
        <v>Las Vegas</v>
      </c>
      <c r="E291" s="38" t="str">
        <f>'1.2 Budgeted Enrollment YR1'!E291</f>
        <v>Jydstrup, Helen ES</v>
      </c>
      <c r="F291" s="590"/>
      <c r="G291" s="220">
        <f>'1.2 Budgeted Enrollment YR1'!G291+('1.2 Budgeted Enrollment YR1'!G291*$Q$2)</f>
        <v>580.43951288562187</v>
      </c>
      <c r="H291" s="219">
        <v>0</v>
      </c>
      <c r="I291" s="220">
        <v>0</v>
      </c>
      <c r="J291" s="219">
        <v>0</v>
      </c>
      <c r="K291" s="220">
        <v>0</v>
      </c>
      <c r="L291" s="73"/>
      <c r="M291" s="2"/>
      <c r="N291"/>
      <c r="O291"/>
      <c r="P291"/>
      <c r="Q291"/>
    </row>
    <row r="292" spans="1:17" ht="18" thickTop="1" thickBot="1" x14ac:dyDescent="0.35">
      <c r="A292" s="38" t="str">
        <f>'1.2 Budgeted Enrollment YR1'!A292</f>
        <v>Clark</v>
      </c>
      <c r="B292" s="40">
        <f>'1.2 Budgeted Enrollment YR1'!B292</f>
        <v>2</v>
      </c>
      <c r="C292" s="40">
        <f>'1.2 Budgeted Enrollment YR1'!C292</f>
        <v>2</v>
      </c>
      <c r="D292" s="40" t="str">
        <f>'1.2 Budgeted Enrollment YR1'!D292</f>
        <v>Las Vegas</v>
      </c>
      <c r="E292" s="38" t="str">
        <f>'1.2 Budgeted Enrollment YR1'!E292</f>
        <v>Kahre, Marc ES</v>
      </c>
      <c r="F292" s="590"/>
      <c r="G292" s="220">
        <f>'1.2 Budgeted Enrollment YR1'!G292+('1.2 Budgeted Enrollment YR1'!G292*$Q$2)</f>
        <v>380.90295093237654</v>
      </c>
      <c r="H292" s="219">
        <v>0</v>
      </c>
      <c r="I292" s="220">
        <v>0</v>
      </c>
      <c r="J292" s="219">
        <v>0</v>
      </c>
      <c r="K292" s="220">
        <v>0</v>
      </c>
      <c r="L292" s="73"/>
      <c r="M292" s="2"/>
      <c r="N292"/>
      <c r="O292"/>
      <c r="P292"/>
      <c r="Q292"/>
    </row>
    <row r="293" spans="1:17" ht="18" thickTop="1" thickBot="1" x14ac:dyDescent="0.35">
      <c r="A293" s="38" t="str">
        <f>'1.2 Budgeted Enrollment YR1'!A293</f>
        <v>Clark</v>
      </c>
      <c r="B293" s="40">
        <f>'1.2 Budgeted Enrollment YR1'!B293</f>
        <v>2</v>
      </c>
      <c r="C293" s="40">
        <f>'1.2 Budgeted Enrollment YR1'!C293</f>
        <v>2</v>
      </c>
      <c r="D293" s="40" t="str">
        <f>'1.2 Budgeted Enrollment YR1'!D293</f>
        <v>Las Vegas</v>
      </c>
      <c r="E293" s="38" t="str">
        <f>'1.2 Budgeted Enrollment YR1'!E293</f>
        <v>Katz, Edythe &amp; Lloyd ES</v>
      </c>
      <c r="F293" s="590"/>
      <c r="G293" s="220">
        <f>'1.2 Budgeted Enrollment YR1'!G293+('1.2 Budgeted Enrollment YR1'!G293*$Q$2)</f>
        <v>531.16893647136146</v>
      </c>
      <c r="H293" s="219">
        <v>0</v>
      </c>
      <c r="I293" s="220">
        <v>0</v>
      </c>
      <c r="J293" s="219">
        <v>0</v>
      </c>
      <c r="K293" s="220">
        <v>0</v>
      </c>
      <c r="L293" s="73"/>
      <c r="M293" s="2"/>
      <c r="N293"/>
      <c r="O293"/>
      <c r="P293"/>
      <c r="Q293"/>
    </row>
    <row r="294" spans="1:17" ht="18" thickTop="1" thickBot="1" x14ac:dyDescent="0.35">
      <c r="A294" s="38" t="str">
        <f>'1.2 Budgeted Enrollment YR1'!A294</f>
        <v>Clark</v>
      </c>
      <c r="B294" s="40">
        <f>'1.2 Budgeted Enrollment YR1'!B294</f>
        <v>2</v>
      </c>
      <c r="C294" s="40">
        <f>'1.2 Budgeted Enrollment YR1'!C294</f>
        <v>2</v>
      </c>
      <c r="D294" s="40" t="str">
        <f>'1.2 Budgeted Enrollment YR1'!D294</f>
        <v>Las Vegas</v>
      </c>
      <c r="E294" s="38" t="str">
        <f>'1.2 Budgeted Enrollment YR1'!E294</f>
        <v>Keller, Charlotte &amp; Jerry ES</v>
      </c>
      <c r="F294" s="590"/>
      <c r="G294" s="220">
        <f>'1.2 Budgeted Enrollment YR1'!G294+('1.2 Budgeted Enrollment YR1'!G294*$Q$2)</f>
        <v>471.0799391545238</v>
      </c>
      <c r="H294" s="219">
        <v>0</v>
      </c>
      <c r="I294" s="220">
        <v>0</v>
      </c>
      <c r="J294" s="219">
        <v>0</v>
      </c>
      <c r="K294" s="220">
        <v>0</v>
      </c>
      <c r="L294" s="73"/>
      <c r="M294" s="2"/>
      <c r="N294"/>
      <c r="O294"/>
      <c r="P294"/>
      <c r="Q294"/>
    </row>
    <row r="295" spans="1:17" ht="18" thickTop="1" thickBot="1" x14ac:dyDescent="0.35">
      <c r="A295" s="38" t="str">
        <f>'1.2 Budgeted Enrollment YR1'!A295</f>
        <v>Clark</v>
      </c>
      <c r="B295" s="40">
        <f>'1.2 Budgeted Enrollment YR1'!B295</f>
        <v>2</v>
      </c>
      <c r="C295" s="40">
        <f>'1.2 Budgeted Enrollment YR1'!C295</f>
        <v>2</v>
      </c>
      <c r="D295" s="40" t="str">
        <f>'1.2 Budgeted Enrollment YR1'!D295</f>
        <v>Las Vegas</v>
      </c>
      <c r="E295" s="38" t="str">
        <f>'1.2 Budgeted Enrollment YR1'!E295</f>
        <v>Keller, Duane D MS</v>
      </c>
      <c r="F295" s="590"/>
      <c r="G295" s="220">
        <f>'1.2 Budgeted Enrollment YR1'!G295+('1.2 Budgeted Enrollment YR1'!G295*$Q$2)</f>
        <v>1072.3086366398493</v>
      </c>
      <c r="H295" s="219">
        <v>0</v>
      </c>
      <c r="I295" s="220">
        <v>0</v>
      </c>
      <c r="J295" s="219">
        <v>0</v>
      </c>
      <c r="K295" s="220">
        <v>0</v>
      </c>
      <c r="L295" s="73"/>
      <c r="M295" s="2"/>
      <c r="N295"/>
      <c r="O295"/>
      <c r="P295"/>
      <c r="Q295"/>
    </row>
    <row r="296" spans="1:17" ht="18" thickTop="1" thickBot="1" x14ac:dyDescent="0.35">
      <c r="A296" s="38" t="str">
        <f>'1.2 Budgeted Enrollment YR1'!A296</f>
        <v>Clark</v>
      </c>
      <c r="B296" s="40">
        <f>'1.2 Budgeted Enrollment YR1'!B296</f>
        <v>2</v>
      </c>
      <c r="C296" s="40">
        <f>'1.2 Budgeted Enrollment YR1'!C296</f>
        <v>2</v>
      </c>
      <c r="D296" s="40" t="str">
        <f>'1.2 Budgeted Enrollment YR1'!D296</f>
        <v>Las Vegas</v>
      </c>
      <c r="E296" s="38" t="str">
        <f>'1.2 Budgeted Enrollment YR1'!E296</f>
        <v>Kelly, Matt ES</v>
      </c>
      <c r="F296" s="590"/>
      <c r="G296" s="220">
        <f>'1.2 Budgeted Enrollment YR1'!G296+('1.2 Budgeted Enrollment YR1'!G296*$Q$2)</f>
        <v>307.6161976107623</v>
      </c>
      <c r="H296" s="219">
        <v>0</v>
      </c>
      <c r="I296" s="220">
        <v>0</v>
      </c>
      <c r="J296" s="219">
        <v>0</v>
      </c>
      <c r="K296" s="220">
        <v>0</v>
      </c>
      <c r="L296" s="73"/>
      <c r="M296" s="2"/>
      <c r="N296"/>
      <c r="O296"/>
      <c r="P296"/>
      <c r="Q296"/>
    </row>
    <row r="297" spans="1:17" ht="18" thickTop="1" thickBot="1" x14ac:dyDescent="0.35">
      <c r="A297" s="38" t="str">
        <f>'1.2 Budgeted Enrollment YR1'!A297</f>
        <v>Clark</v>
      </c>
      <c r="B297" s="40">
        <f>'1.2 Budgeted Enrollment YR1'!B297</f>
        <v>2</v>
      </c>
      <c r="C297" s="40">
        <f>'1.2 Budgeted Enrollment YR1'!C297</f>
        <v>2</v>
      </c>
      <c r="D297" s="40" t="str">
        <f>'1.2 Budgeted Enrollment YR1'!D297</f>
        <v>Las Vegas</v>
      </c>
      <c r="E297" s="38" t="str">
        <f>'1.2 Budgeted Enrollment YR1'!E297</f>
        <v>Kesterson, Lorna J ES</v>
      </c>
      <c r="F297" s="590"/>
      <c r="G297" s="220">
        <f>'1.2 Budgeted Enrollment YR1'!G297+('1.2 Budgeted Enrollment YR1'!G297*$Q$2)</f>
        <v>508.30579649227485</v>
      </c>
      <c r="H297" s="219">
        <v>0</v>
      </c>
      <c r="I297" s="220">
        <v>0</v>
      </c>
      <c r="J297" s="219">
        <v>0</v>
      </c>
      <c r="K297" s="220">
        <v>0</v>
      </c>
      <c r="L297" s="73"/>
      <c r="M297" s="2"/>
      <c r="N297"/>
      <c r="O297"/>
      <c r="P297"/>
      <c r="Q297"/>
    </row>
    <row r="298" spans="1:17" ht="18" thickTop="1" thickBot="1" x14ac:dyDescent="0.35">
      <c r="A298" s="38" t="str">
        <f>'1.2 Budgeted Enrollment YR1'!A298</f>
        <v>Clark</v>
      </c>
      <c r="B298" s="40">
        <f>'1.2 Budgeted Enrollment YR1'!B298</f>
        <v>2</v>
      </c>
      <c r="C298" s="40">
        <f>'1.2 Budgeted Enrollment YR1'!C298</f>
        <v>2</v>
      </c>
      <c r="D298" s="40" t="str">
        <f>'1.2 Budgeted Enrollment YR1'!D298</f>
        <v>Las Vegas</v>
      </c>
      <c r="E298" s="38" t="str">
        <f>'1.2 Budgeted Enrollment YR1'!E298</f>
        <v>Kim, Frank ES</v>
      </c>
      <c r="F298" s="590"/>
      <c r="G298" s="220">
        <f>'1.2 Budgeted Enrollment YR1'!G298+('1.2 Budgeted Enrollment YR1'!G298*$Q$2)</f>
        <v>405.01288434548684</v>
      </c>
      <c r="H298" s="219">
        <v>0</v>
      </c>
      <c r="I298" s="220">
        <v>0</v>
      </c>
      <c r="J298" s="219">
        <v>0</v>
      </c>
      <c r="K298" s="220">
        <v>0</v>
      </c>
      <c r="L298" s="73"/>
      <c r="M298" s="2"/>
      <c r="N298"/>
      <c r="O298"/>
      <c r="P298"/>
      <c r="Q298"/>
    </row>
    <row r="299" spans="1:17" ht="18" thickTop="1" thickBot="1" x14ac:dyDescent="0.35">
      <c r="A299" s="38" t="str">
        <f>'1.2 Budgeted Enrollment YR1'!A299</f>
        <v>Clark</v>
      </c>
      <c r="B299" s="40">
        <f>'1.2 Budgeted Enrollment YR1'!B299</f>
        <v>2</v>
      </c>
      <c r="C299" s="40">
        <f>'1.2 Budgeted Enrollment YR1'!C299</f>
        <v>2</v>
      </c>
      <c r="D299" s="40" t="str">
        <f>'1.2 Budgeted Enrollment YR1'!D299</f>
        <v>Las Vegas</v>
      </c>
      <c r="E299" s="38" t="str">
        <f>'1.2 Budgeted Enrollment YR1'!E299</f>
        <v>King Jr , Martin Luther ES</v>
      </c>
      <c r="F299" s="590"/>
      <c r="G299" s="220">
        <f>'1.2 Budgeted Enrollment YR1'!G299+('1.2 Budgeted Enrollment YR1'!G299*$Q$2)</f>
        <v>336.92608848164463</v>
      </c>
      <c r="H299" s="219">
        <v>0</v>
      </c>
      <c r="I299" s="220">
        <v>0</v>
      </c>
      <c r="J299" s="219">
        <v>0</v>
      </c>
      <c r="K299" s="220">
        <v>0</v>
      </c>
      <c r="L299" s="73"/>
      <c r="M299" s="2"/>
      <c r="N299"/>
      <c r="O299"/>
      <c r="P299"/>
      <c r="Q299"/>
    </row>
    <row r="300" spans="1:17" ht="18" thickTop="1" thickBot="1" x14ac:dyDescent="0.35">
      <c r="A300" s="38" t="str">
        <f>'1.2 Budgeted Enrollment YR1'!A300</f>
        <v>Clark</v>
      </c>
      <c r="B300" s="40">
        <f>'1.2 Budgeted Enrollment YR1'!B300</f>
        <v>2</v>
      </c>
      <c r="C300" s="40">
        <f>'1.2 Budgeted Enrollment YR1'!C300</f>
        <v>2</v>
      </c>
      <c r="D300" s="40" t="str">
        <f>'1.2 Budgeted Enrollment YR1'!D300</f>
        <v>Boulder City</v>
      </c>
      <c r="E300" s="38" t="str">
        <f>'1.2 Budgeted Enrollment YR1'!E300</f>
        <v>King, Martha P ES</v>
      </c>
      <c r="F300" s="590"/>
      <c r="G300" s="220">
        <f>'1.2 Budgeted Enrollment YR1'!G300+('1.2 Budgeted Enrollment YR1'!G300*$Q$2)</f>
        <v>357.66649685720364</v>
      </c>
      <c r="H300" s="219">
        <v>0</v>
      </c>
      <c r="I300" s="220">
        <v>0</v>
      </c>
      <c r="J300" s="219">
        <v>0</v>
      </c>
      <c r="K300" s="220">
        <v>0</v>
      </c>
      <c r="L300" s="73"/>
      <c r="M300" s="2"/>
      <c r="N300"/>
      <c r="O300"/>
      <c r="P300"/>
      <c r="Q300"/>
    </row>
    <row r="301" spans="1:17" ht="18" thickTop="1" thickBot="1" x14ac:dyDescent="0.35">
      <c r="A301" s="38" t="str">
        <f>'1.2 Budgeted Enrollment YR1'!A301</f>
        <v>Clark</v>
      </c>
      <c r="B301" s="40">
        <f>'1.2 Budgeted Enrollment YR1'!B301</f>
        <v>2</v>
      </c>
      <c r="C301" s="40">
        <f>'1.2 Budgeted Enrollment YR1'!C301</f>
        <v>2</v>
      </c>
      <c r="D301" s="40" t="str">
        <f>'1.2 Budgeted Enrollment YR1'!D301</f>
        <v>Las Vegas</v>
      </c>
      <c r="E301" s="38" t="str">
        <f>'1.2 Budgeted Enrollment YR1'!E301</f>
        <v>Knudson, K O MS</v>
      </c>
      <c r="F301" s="590"/>
      <c r="G301" s="220">
        <f>'1.2 Budgeted Enrollment YR1'!G301+('1.2 Budgeted Enrollment YR1'!G301*$Q$2)</f>
        <v>1195.0406421866412</v>
      </c>
      <c r="H301" s="219">
        <v>0</v>
      </c>
      <c r="I301" s="220">
        <v>0</v>
      </c>
      <c r="J301" s="219">
        <v>0</v>
      </c>
      <c r="K301" s="220">
        <v>0</v>
      </c>
      <c r="L301" s="73"/>
      <c r="M301" s="2"/>
      <c r="N301"/>
      <c r="O301"/>
      <c r="P301"/>
      <c r="Q301"/>
    </row>
    <row r="302" spans="1:17" ht="18" thickTop="1" thickBot="1" x14ac:dyDescent="0.35">
      <c r="A302" s="38" t="str">
        <f>'1.2 Budgeted Enrollment YR1'!A302</f>
        <v>Clark</v>
      </c>
      <c r="B302" s="40">
        <f>'1.2 Budgeted Enrollment YR1'!B302</f>
        <v>2</v>
      </c>
      <c r="C302" s="40">
        <f>'1.2 Budgeted Enrollment YR1'!C302</f>
        <v>2</v>
      </c>
      <c r="D302" s="40" t="str">
        <f>'1.2 Budgeted Enrollment YR1'!D302</f>
        <v>Las Vegas</v>
      </c>
      <c r="E302" s="38" t="str">
        <f>'1.2 Budgeted Enrollment YR1'!E302</f>
        <v>Lake, Robert E ES</v>
      </c>
      <c r="F302" s="590"/>
      <c r="G302" s="220">
        <f>'1.2 Budgeted Enrollment YR1'!G302+('1.2 Budgeted Enrollment YR1'!G302*$Q$2)</f>
        <v>600.977643543711</v>
      </c>
      <c r="H302" s="219">
        <v>0</v>
      </c>
      <c r="I302" s="220">
        <v>0</v>
      </c>
      <c r="J302" s="219">
        <v>0</v>
      </c>
      <c r="K302" s="220">
        <v>0</v>
      </c>
      <c r="L302" s="73"/>
      <c r="M302" s="2"/>
      <c r="N302"/>
      <c r="O302"/>
      <c r="P302"/>
      <c r="Q302"/>
    </row>
    <row r="303" spans="1:17" ht="18" thickTop="1" thickBot="1" x14ac:dyDescent="0.35">
      <c r="A303" s="38" t="str">
        <f>'1.2 Budgeted Enrollment YR1'!A303</f>
        <v>Clark</v>
      </c>
      <c r="B303" s="40">
        <f>'1.2 Budgeted Enrollment YR1'!B303</f>
        <v>2</v>
      </c>
      <c r="C303" s="40">
        <f>'1.2 Budgeted Enrollment YR1'!C303</f>
        <v>2</v>
      </c>
      <c r="D303" s="40" t="str">
        <f>'1.2 Budgeted Enrollment YR1'!D303</f>
        <v>Las Vegas</v>
      </c>
      <c r="E303" s="38" t="str">
        <f>'1.2 Budgeted Enrollment YR1'!E303</f>
        <v>Lamping, Frank ES</v>
      </c>
      <c r="F303" s="590"/>
      <c r="G303" s="220">
        <f>'1.2 Budgeted Enrollment YR1'!G303+('1.2 Budgeted Enrollment YR1'!G303*$Q$2)</f>
        <v>560.75658820037199</v>
      </c>
      <c r="H303" s="219">
        <v>0</v>
      </c>
      <c r="I303" s="220">
        <v>0</v>
      </c>
      <c r="J303" s="219">
        <v>0</v>
      </c>
      <c r="K303" s="220">
        <v>0</v>
      </c>
      <c r="L303" s="73"/>
      <c r="M303" s="2"/>
      <c r="N303"/>
      <c r="O303"/>
      <c r="P303"/>
      <c r="Q303"/>
    </row>
    <row r="304" spans="1:17" ht="18" thickTop="1" thickBot="1" x14ac:dyDescent="0.35">
      <c r="A304" s="38" t="str">
        <f>'1.2 Budgeted Enrollment YR1'!A304</f>
        <v>Clark</v>
      </c>
      <c r="B304" s="40">
        <f>'1.2 Budgeted Enrollment YR1'!B304</f>
        <v>2</v>
      </c>
      <c r="C304" s="40">
        <f>'1.2 Budgeted Enrollment YR1'!C304</f>
        <v>2</v>
      </c>
      <c r="D304" s="40" t="str">
        <f>'1.2 Budgeted Enrollment YR1'!D304</f>
        <v>Las Vegas</v>
      </c>
      <c r="E304" s="38" t="str">
        <f>'1.2 Budgeted Enrollment YR1'!E304</f>
        <v>Las Vegas Academy of the Arts HS</v>
      </c>
      <c r="F304" s="590"/>
      <c r="G304" s="220">
        <f>'1.2 Budgeted Enrollment YR1'!G304+('1.2 Budgeted Enrollment YR1'!G304*$Q$2)</f>
        <v>1725.4732766277018</v>
      </c>
      <c r="H304" s="219">
        <v>0</v>
      </c>
      <c r="I304" s="220">
        <v>0</v>
      </c>
      <c r="J304" s="219">
        <v>0</v>
      </c>
      <c r="K304" s="220">
        <v>0</v>
      </c>
      <c r="L304" s="73"/>
      <c r="M304" s="2"/>
      <c r="N304"/>
      <c r="O304"/>
      <c r="P304"/>
      <c r="Q304"/>
    </row>
    <row r="305" spans="1:17" ht="18" thickTop="1" thickBot="1" x14ac:dyDescent="0.35">
      <c r="A305" s="38" t="str">
        <f>'1.2 Budgeted Enrollment YR1'!A305</f>
        <v>Clark</v>
      </c>
      <c r="B305" s="40">
        <f>'1.2 Budgeted Enrollment YR1'!B305</f>
        <v>2</v>
      </c>
      <c r="C305" s="40">
        <f>'1.2 Budgeted Enrollment YR1'!C305</f>
        <v>2</v>
      </c>
      <c r="D305" s="40" t="str">
        <f>'1.2 Budgeted Enrollment YR1'!D305</f>
        <v>Las Vegas</v>
      </c>
      <c r="E305" s="38" t="str">
        <f>'1.2 Budgeted Enrollment YR1'!E305</f>
        <v>Las Vegas HS</v>
      </c>
      <c r="F305" s="590"/>
      <c r="G305" s="220">
        <f>'1.2 Budgeted Enrollment YR1'!G305+('1.2 Budgeted Enrollment YR1'!G305*$Q$2)</f>
        <v>2688.9806584989665</v>
      </c>
      <c r="H305" s="219">
        <v>0</v>
      </c>
      <c r="I305" s="220">
        <v>0</v>
      </c>
      <c r="J305" s="219">
        <v>0</v>
      </c>
      <c r="K305" s="220">
        <v>0</v>
      </c>
      <c r="L305" s="73"/>
      <c r="M305" s="2"/>
      <c r="N305"/>
      <c r="O305"/>
      <c r="P305"/>
      <c r="Q305"/>
    </row>
    <row r="306" spans="1:17" ht="18" thickTop="1" thickBot="1" x14ac:dyDescent="0.35">
      <c r="A306" s="38" t="str">
        <f>'1.2 Budgeted Enrollment YR1'!A306</f>
        <v>Clark</v>
      </c>
      <c r="B306" s="40">
        <f>'1.2 Budgeted Enrollment YR1'!B306</f>
        <v>2</v>
      </c>
      <c r="C306" s="40">
        <f>'1.2 Budgeted Enrollment YR1'!C306</f>
        <v>2</v>
      </c>
      <c r="D306" s="40" t="str">
        <f>'1.2 Budgeted Enrollment YR1'!D306</f>
        <v>Laughlin</v>
      </c>
      <c r="E306" s="38" t="str">
        <f>'1.2 Budgeted Enrollment YR1'!E306</f>
        <v>Laughlin J-SHS</v>
      </c>
      <c r="F306" s="590"/>
      <c r="G306" s="220">
        <f>'1.2 Budgeted Enrollment YR1'!G306+('1.2 Budgeted Enrollment YR1'!G306*$Q$2)</f>
        <v>377.31795612371656</v>
      </c>
      <c r="H306" s="219">
        <v>0</v>
      </c>
      <c r="I306" s="220">
        <v>0</v>
      </c>
      <c r="J306" s="219">
        <v>0</v>
      </c>
      <c r="K306" s="220">
        <v>0</v>
      </c>
      <c r="L306" s="73"/>
      <c r="M306" s="2"/>
      <c r="N306"/>
      <c r="O306"/>
      <c r="P306"/>
      <c r="Q306"/>
    </row>
    <row r="307" spans="1:17" ht="18" thickTop="1" thickBot="1" x14ac:dyDescent="0.35">
      <c r="A307" s="38" t="str">
        <f>'1.2 Budgeted Enrollment YR1'!A307</f>
        <v>Clark</v>
      </c>
      <c r="B307" s="40">
        <f>'1.2 Budgeted Enrollment YR1'!B307</f>
        <v>2</v>
      </c>
      <c r="C307" s="40">
        <f>'1.2 Budgeted Enrollment YR1'!C307</f>
        <v>2</v>
      </c>
      <c r="D307" s="40" t="str">
        <f>'1.2 Budgeted Enrollment YR1'!D307</f>
        <v>Las Vegas</v>
      </c>
      <c r="E307" s="38" t="str">
        <f>'1.2 Budgeted Enrollment YR1'!E307</f>
        <v>Lawrence, Clifford J JHS</v>
      </c>
      <c r="F307" s="590"/>
      <c r="G307" s="220">
        <f>'1.2 Budgeted Enrollment YR1'!G307+('1.2 Budgeted Enrollment YR1'!G307*$Q$2)</f>
        <v>1242.699917625592</v>
      </c>
      <c r="H307" s="219">
        <v>0</v>
      </c>
      <c r="I307" s="220">
        <v>0</v>
      </c>
      <c r="J307" s="219">
        <v>0</v>
      </c>
      <c r="K307" s="220">
        <v>0</v>
      </c>
      <c r="L307" s="73"/>
      <c r="M307" s="2"/>
      <c r="N307"/>
      <c r="O307"/>
      <c r="P307"/>
      <c r="Q307"/>
    </row>
    <row r="308" spans="1:17" ht="18" thickTop="1" thickBot="1" x14ac:dyDescent="0.35">
      <c r="A308" s="38" t="str">
        <f>'1.2 Budgeted Enrollment YR1'!A308</f>
        <v>Clark</v>
      </c>
      <c r="B308" s="40">
        <f>'1.2 Budgeted Enrollment YR1'!B308</f>
        <v>2</v>
      </c>
      <c r="C308" s="40">
        <f>'1.2 Budgeted Enrollment YR1'!C308</f>
        <v>2</v>
      </c>
      <c r="D308" s="40" t="str">
        <f>'1.2 Budgeted Enrollment YR1'!D308</f>
        <v>Las Vegas</v>
      </c>
      <c r="E308" s="38" t="str">
        <f>'1.2 Budgeted Enrollment YR1'!E308</f>
        <v>Leavitt, Justice Myron E MS</v>
      </c>
      <c r="F308" s="590"/>
      <c r="G308" s="220">
        <f>'1.2 Budgeted Enrollment YR1'!G308+('1.2 Budgeted Enrollment YR1'!G308*$Q$2)</f>
        <v>1356.6730570895998</v>
      </c>
      <c r="H308" s="219">
        <v>0</v>
      </c>
      <c r="I308" s="220">
        <v>0</v>
      </c>
      <c r="J308" s="219">
        <v>0</v>
      </c>
      <c r="K308" s="220">
        <v>0</v>
      </c>
      <c r="L308" s="73"/>
      <c r="M308" s="2"/>
      <c r="N308"/>
      <c r="O308"/>
      <c r="P308"/>
      <c r="Q308"/>
    </row>
    <row r="309" spans="1:17" ht="18" thickTop="1" thickBot="1" x14ac:dyDescent="0.35">
      <c r="A309" s="38" t="str">
        <f>'1.2 Budgeted Enrollment YR1'!A309</f>
        <v>Clark</v>
      </c>
      <c r="B309" s="40">
        <f>'1.2 Budgeted Enrollment YR1'!B309</f>
        <v>2</v>
      </c>
      <c r="C309" s="40">
        <f>'1.2 Budgeted Enrollment YR1'!C309</f>
        <v>2</v>
      </c>
      <c r="D309" s="40" t="str">
        <f>'1.2 Budgeted Enrollment YR1'!D309</f>
        <v>Las Vegas</v>
      </c>
      <c r="E309" s="38" t="str">
        <f>'1.2 Budgeted Enrollment YR1'!E309</f>
        <v>Legacy HS</v>
      </c>
      <c r="F309" s="590"/>
      <c r="G309" s="220">
        <f>'1.2 Budgeted Enrollment YR1'!G309+('1.2 Budgeted Enrollment YR1'!G309*$Q$2)</f>
        <v>2674.5619726416062</v>
      </c>
      <c r="H309" s="219">
        <v>0</v>
      </c>
      <c r="I309" s="220">
        <v>0</v>
      </c>
      <c r="J309" s="219">
        <v>0</v>
      </c>
      <c r="K309" s="220">
        <v>0</v>
      </c>
      <c r="L309" s="73"/>
      <c r="M309" s="2"/>
      <c r="N309"/>
      <c r="O309"/>
      <c r="P309"/>
      <c r="Q309"/>
    </row>
    <row r="310" spans="1:17" ht="18" thickTop="1" thickBot="1" x14ac:dyDescent="0.35">
      <c r="A310" s="38" t="str">
        <f>'1.2 Budgeted Enrollment YR1'!A310</f>
        <v>Clark</v>
      </c>
      <c r="B310" s="40">
        <f>'1.2 Budgeted Enrollment YR1'!B310</f>
        <v>2</v>
      </c>
      <c r="C310" s="40">
        <f>'1.2 Budgeted Enrollment YR1'!C310</f>
        <v>2</v>
      </c>
      <c r="D310" s="40" t="str">
        <f>'1.2 Budgeted Enrollment YR1'!D310</f>
        <v>Las Vegas</v>
      </c>
      <c r="E310" s="38" t="str">
        <f>'1.2 Budgeted Enrollment YR1'!E310</f>
        <v>Liberty HS</v>
      </c>
      <c r="F310" s="590"/>
      <c r="G310" s="220">
        <f>'1.2 Budgeted Enrollment YR1'!G310+('1.2 Budgeted Enrollment YR1'!G310*$Q$2)</f>
        <v>3198.3406396136734</v>
      </c>
      <c r="H310" s="219">
        <v>0</v>
      </c>
      <c r="I310" s="220">
        <v>0</v>
      </c>
      <c r="J310" s="219">
        <v>0</v>
      </c>
      <c r="K310" s="220">
        <v>0</v>
      </c>
      <c r="L310" s="73"/>
      <c r="M310" s="2"/>
      <c r="N310"/>
      <c r="O310"/>
      <c r="P310"/>
      <c r="Q310"/>
    </row>
    <row r="311" spans="1:17" ht="18" thickTop="1" thickBot="1" x14ac:dyDescent="0.35">
      <c r="A311" s="38" t="str">
        <f>'1.2 Budgeted Enrollment YR1'!A311</f>
        <v>Clark</v>
      </c>
      <c r="B311" s="40">
        <f>'1.2 Budgeted Enrollment YR1'!B311</f>
        <v>2</v>
      </c>
      <c r="C311" s="40">
        <f>'1.2 Budgeted Enrollment YR1'!C311</f>
        <v>2</v>
      </c>
      <c r="D311" s="40" t="str">
        <f>'1.2 Budgeted Enrollment YR1'!D311</f>
        <v>Las Vegas</v>
      </c>
      <c r="E311" s="38" t="str">
        <f>'1.2 Budgeted Enrollment YR1'!E311</f>
        <v>Lied STEM Academy MS</v>
      </c>
      <c r="F311" s="590"/>
      <c r="G311" s="220">
        <f>'1.2 Budgeted Enrollment YR1'!G311+('1.2 Budgeted Enrollment YR1'!G311*$Q$2)</f>
        <v>1584.1788779779258</v>
      </c>
      <c r="H311" s="219">
        <v>0</v>
      </c>
      <c r="I311" s="220">
        <v>0</v>
      </c>
      <c r="J311" s="219">
        <v>0</v>
      </c>
      <c r="K311" s="220">
        <v>0</v>
      </c>
      <c r="L311" s="73"/>
      <c r="M311" s="2"/>
      <c r="N311"/>
      <c r="O311"/>
      <c r="P311"/>
      <c r="Q311"/>
    </row>
    <row r="312" spans="1:17" ht="18" thickTop="1" thickBot="1" x14ac:dyDescent="0.35">
      <c r="A312" s="38" t="str">
        <f>'1.2 Budgeted Enrollment YR1'!A312</f>
        <v>Clark</v>
      </c>
      <c r="B312" s="40">
        <f>'1.2 Budgeted Enrollment YR1'!B312</f>
        <v>2</v>
      </c>
      <c r="C312" s="40">
        <f>'1.2 Budgeted Enrollment YR1'!C312</f>
        <v>2</v>
      </c>
      <c r="D312" s="40" t="str">
        <f>'1.2 Budgeted Enrollment YR1'!D312</f>
        <v>Las Vegas</v>
      </c>
      <c r="E312" s="38" t="str">
        <f>'1.2 Budgeted Enrollment YR1'!E312</f>
        <v>Lincoln ES</v>
      </c>
      <c r="F312" s="590"/>
      <c r="G312" s="220">
        <f>'1.2 Budgeted Enrollment YR1'!G312+('1.2 Budgeted Enrollment YR1'!G312*$Q$2)</f>
        <v>596.28141615613652</v>
      </c>
      <c r="H312" s="219">
        <v>0</v>
      </c>
      <c r="I312" s="220">
        <v>0</v>
      </c>
      <c r="J312" s="219">
        <v>0</v>
      </c>
      <c r="K312" s="220">
        <v>0</v>
      </c>
      <c r="L312" s="73"/>
      <c r="M312" s="2"/>
      <c r="N312"/>
      <c r="O312"/>
      <c r="P312"/>
      <c r="Q312"/>
    </row>
    <row r="313" spans="1:17" ht="18" thickTop="1" thickBot="1" x14ac:dyDescent="0.35">
      <c r="A313" s="38" t="str">
        <f>'1.2 Budgeted Enrollment YR1'!A313</f>
        <v>Clark</v>
      </c>
      <c r="B313" s="40">
        <f>'1.2 Budgeted Enrollment YR1'!B313</f>
        <v>2</v>
      </c>
      <c r="C313" s="40">
        <f>'1.2 Budgeted Enrollment YR1'!C313</f>
        <v>2</v>
      </c>
      <c r="D313" s="40" t="str">
        <f>'1.2 Budgeted Enrollment YR1'!D313</f>
        <v>Las Vegas</v>
      </c>
      <c r="E313" s="38" t="str">
        <f>'1.2 Budgeted Enrollment YR1'!E313</f>
        <v>Long, Walter V ES</v>
      </c>
      <c r="F313" s="590"/>
      <c r="G313" s="220">
        <f>'1.2 Budgeted Enrollment YR1'!G313+('1.2 Budgeted Enrollment YR1'!G313*$Q$2)</f>
        <v>740.04698596540504</v>
      </c>
      <c r="H313" s="219">
        <v>0</v>
      </c>
      <c r="I313" s="220">
        <v>0</v>
      </c>
      <c r="J313" s="219">
        <v>0</v>
      </c>
      <c r="K313" s="220">
        <v>0</v>
      </c>
      <c r="L313" s="73"/>
      <c r="M313" s="2"/>
      <c r="N313"/>
      <c r="O313"/>
      <c r="P313"/>
      <c r="Q313"/>
    </row>
    <row r="314" spans="1:17" ht="18" thickTop="1" thickBot="1" x14ac:dyDescent="0.35">
      <c r="A314" s="38" t="str">
        <f>'1.2 Budgeted Enrollment YR1'!A314</f>
        <v>Clark</v>
      </c>
      <c r="B314" s="40">
        <f>'1.2 Budgeted Enrollment YR1'!B314</f>
        <v>2</v>
      </c>
      <c r="C314" s="40">
        <f>'1.2 Budgeted Enrollment YR1'!C314</f>
        <v>2</v>
      </c>
      <c r="D314" s="40" t="str">
        <f>'1.2 Budgeted Enrollment YR1'!D314</f>
        <v>Las Vegas</v>
      </c>
      <c r="E314" s="38" t="str">
        <f>'1.2 Budgeted Enrollment YR1'!E314</f>
        <v>Lowman, Mary &amp; Zel ES</v>
      </c>
      <c r="F314" s="590"/>
      <c r="G314" s="220">
        <f>'1.2 Budgeted Enrollment YR1'!G314+('1.2 Budgeted Enrollment YR1'!G314*$Q$2)</f>
        <v>649.73981322898771</v>
      </c>
      <c r="H314" s="219">
        <v>0</v>
      </c>
      <c r="I314" s="220">
        <v>0</v>
      </c>
      <c r="J314" s="219">
        <v>0</v>
      </c>
      <c r="K314" s="220">
        <v>0</v>
      </c>
      <c r="L314" s="73"/>
      <c r="M314" s="2"/>
      <c r="N314"/>
      <c r="O314"/>
      <c r="P314"/>
      <c r="Q314"/>
    </row>
    <row r="315" spans="1:17" ht="18" thickTop="1" thickBot="1" x14ac:dyDescent="0.35">
      <c r="A315" s="38" t="str">
        <f>'1.2 Budgeted Enrollment YR1'!A315</f>
        <v>Clark</v>
      </c>
      <c r="B315" s="40">
        <f>'1.2 Budgeted Enrollment YR1'!B315</f>
        <v>2</v>
      </c>
      <c r="C315" s="40">
        <f>'1.2 Budgeted Enrollment YR1'!C315</f>
        <v>2</v>
      </c>
      <c r="D315" s="40" t="str">
        <f>'1.2 Budgeted Enrollment YR1'!D315</f>
        <v>Las Vegas</v>
      </c>
      <c r="E315" s="38" t="str">
        <f>'1.2 Budgeted Enrollment YR1'!E315</f>
        <v>Lummis, William ES</v>
      </c>
      <c r="F315" s="590"/>
      <c r="G315" s="220">
        <f>'1.2 Budgeted Enrollment YR1'!G315+('1.2 Budgeted Enrollment YR1'!G315*$Q$2)</f>
        <v>438.15669285726455</v>
      </c>
      <c r="H315" s="219">
        <v>0</v>
      </c>
      <c r="I315" s="220">
        <v>0</v>
      </c>
      <c r="J315" s="219">
        <v>0</v>
      </c>
      <c r="K315" s="220">
        <v>0</v>
      </c>
      <c r="L315" s="73"/>
      <c r="M315" s="2"/>
      <c r="N315"/>
      <c r="O315"/>
      <c r="P315"/>
      <c r="Q315"/>
    </row>
    <row r="316" spans="1:17" ht="18" thickTop="1" thickBot="1" x14ac:dyDescent="0.35">
      <c r="A316" s="38" t="str">
        <f>'1.2 Budgeted Enrollment YR1'!A316</f>
        <v>Clark</v>
      </c>
      <c r="B316" s="40">
        <f>'1.2 Budgeted Enrollment YR1'!B316</f>
        <v>2</v>
      </c>
      <c r="C316" s="40">
        <f>'1.2 Budgeted Enrollment YR1'!C316</f>
        <v>2</v>
      </c>
      <c r="D316" s="40" t="str">
        <f>'1.2 Budgeted Enrollment YR1'!D316</f>
        <v>Lundy</v>
      </c>
      <c r="E316" s="38" t="str">
        <f>'1.2 Budgeted Enrollment YR1'!E316</f>
        <v>Lundy, Earl B ES</v>
      </c>
      <c r="F316" s="590"/>
      <c r="G316" s="220">
        <f>'1.2 Budgeted Enrollment YR1'!G316+('1.2 Budgeted Enrollment YR1'!G316*$Q$2)</f>
        <v>11.643121359870001</v>
      </c>
      <c r="H316" s="219">
        <v>0</v>
      </c>
      <c r="I316" s="220">
        <v>0</v>
      </c>
      <c r="J316" s="219">
        <v>0</v>
      </c>
      <c r="K316" s="220">
        <v>0</v>
      </c>
      <c r="L316" s="73"/>
      <c r="M316" s="2"/>
      <c r="N316"/>
      <c r="O316"/>
      <c r="P316"/>
      <c r="Q316"/>
    </row>
    <row r="317" spans="1:17" ht="18" thickTop="1" thickBot="1" x14ac:dyDescent="0.35">
      <c r="A317" s="38" t="str">
        <f>'1.2 Budgeted Enrollment YR1'!A317</f>
        <v>Clark</v>
      </c>
      <c r="B317" s="40">
        <f>'1.2 Budgeted Enrollment YR1'!B317</f>
        <v>2</v>
      </c>
      <c r="C317" s="40">
        <f>'1.2 Budgeted Enrollment YR1'!C317</f>
        <v>2</v>
      </c>
      <c r="D317" s="40" t="str">
        <f>'1.2 Budgeted Enrollment YR1'!D317</f>
        <v>Las Vegas</v>
      </c>
      <c r="E317" s="38" t="str">
        <f>'1.2 Budgeted Enrollment YR1'!E317</f>
        <v>Lunt, Robert ES</v>
      </c>
      <c r="F317" s="590"/>
      <c r="G317" s="220">
        <f>'1.2 Budgeted Enrollment YR1'!G317+('1.2 Budgeted Enrollment YR1'!G317*$Q$2)</f>
        <v>437.86054360483433</v>
      </c>
      <c r="H317" s="219">
        <v>0</v>
      </c>
      <c r="I317" s="220">
        <v>0</v>
      </c>
      <c r="J317" s="219">
        <v>0</v>
      </c>
      <c r="K317" s="220">
        <v>0</v>
      </c>
      <c r="L317" s="73"/>
      <c r="M317" s="2"/>
      <c r="N317"/>
      <c r="O317"/>
      <c r="P317"/>
      <c r="Q317"/>
    </row>
    <row r="318" spans="1:17" ht="18" thickTop="1" thickBot="1" x14ac:dyDescent="0.35">
      <c r="A318" s="38" t="str">
        <f>'1.2 Budgeted Enrollment YR1'!A318</f>
        <v>Clark</v>
      </c>
      <c r="B318" s="40">
        <f>'1.2 Budgeted Enrollment YR1'!B318</f>
        <v>2</v>
      </c>
      <c r="C318" s="40">
        <f>'1.2 Budgeted Enrollment YR1'!C318</f>
        <v>2</v>
      </c>
      <c r="D318" s="40" t="str">
        <f>'1.2 Budgeted Enrollment YR1'!D318</f>
        <v>Las Vegas</v>
      </c>
      <c r="E318" s="38" t="str">
        <f>'1.2 Budgeted Enrollment YR1'!E318</f>
        <v>Lynch, Ann ES</v>
      </c>
      <c r="F318" s="590"/>
      <c r="G318" s="220">
        <f>'1.2 Budgeted Enrollment YR1'!G318+('1.2 Budgeted Enrollment YR1'!G318*$Q$2)</f>
        <v>442.50602008634667</v>
      </c>
      <c r="H318" s="219">
        <v>0</v>
      </c>
      <c r="I318" s="220">
        <v>0</v>
      </c>
      <c r="J318" s="219">
        <v>0</v>
      </c>
      <c r="K318" s="220">
        <v>0</v>
      </c>
      <c r="L318" s="73"/>
      <c r="M318" s="2"/>
      <c r="N318"/>
      <c r="O318"/>
      <c r="P318"/>
      <c r="Q318"/>
    </row>
    <row r="319" spans="1:17" ht="18" thickTop="1" thickBot="1" x14ac:dyDescent="0.35">
      <c r="A319" s="38" t="str">
        <f>'1.2 Budgeted Enrollment YR1'!A319</f>
        <v>Clark</v>
      </c>
      <c r="B319" s="40">
        <f>'1.2 Budgeted Enrollment YR1'!B319</f>
        <v>2</v>
      </c>
      <c r="C319" s="40">
        <f>'1.2 Budgeted Enrollment YR1'!C319</f>
        <v>2</v>
      </c>
      <c r="D319" s="40" t="str">
        <f>'1.2 Budgeted Enrollment YR1'!D319</f>
        <v>Moapa Valley</v>
      </c>
      <c r="E319" s="38" t="str">
        <f>'1.2 Budgeted Enrollment YR1'!E319</f>
        <v>Lyon, Mack MS</v>
      </c>
      <c r="F319" s="590"/>
      <c r="G319" s="220">
        <f>'1.2 Budgeted Enrollment YR1'!G319+('1.2 Budgeted Enrollment YR1'!G319*$Q$2)</f>
        <v>403.22494969071846</v>
      </c>
      <c r="H319" s="219">
        <v>0</v>
      </c>
      <c r="I319" s="220">
        <v>0</v>
      </c>
      <c r="J319" s="219">
        <v>0</v>
      </c>
      <c r="K319" s="220">
        <v>0</v>
      </c>
      <c r="L319" s="73"/>
      <c r="M319" s="2"/>
      <c r="N319"/>
      <c r="O319"/>
      <c r="P319"/>
      <c r="Q319"/>
    </row>
    <row r="320" spans="1:17" ht="18" thickTop="1" thickBot="1" x14ac:dyDescent="0.35">
      <c r="A320" s="38" t="str">
        <f>'1.2 Budgeted Enrollment YR1'!A320</f>
        <v>Clark</v>
      </c>
      <c r="B320" s="40">
        <f>'1.2 Budgeted Enrollment YR1'!B320</f>
        <v>2</v>
      </c>
      <c r="C320" s="40">
        <f>'1.2 Budgeted Enrollment YR1'!C320</f>
        <v>2</v>
      </c>
      <c r="D320" s="40" t="str">
        <f>'1.2 Budgeted Enrollment YR1'!D320</f>
        <v>Las Vegas</v>
      </c>
      <c r="E320" s="38" t="str">
        <f>'1.2 Budgeted Enrollment YR1'!E320</f>
        <v>Mack, Jerome MS</v>
      </c>
      <c r="F320" s="590"/>
      <c r="G320" s="220">
        <f>'1.2 Budgeted Enrollment YR1'!G320+('1.2 Budgeted Enrollment YR1'!G320*$Q$2)</f>
        <v>1061.6131541970076</v>
      </c>
      <c r="H320" s="219">
        <v>0</v>
      </c>
      <c r="I320" s="220">
        <v>0</v>
      </c>
      <c r="J320" s="219">
        <v>0</v>
      </c>
      <c r="K320" s="220">
        <v>0</v>
      </c>
      <c r="L320" s="73"/>
      <c r="M320" s="2"/>
      <c r="N320"/>
      <c r="O320"/>
      <c r="P320"/>
      <c r="Q320"/>
    </row>
    <row r="321" spans="1:17" ht="18" thickTop="1" thickBot="1" x14ac:dyDescent="0.35">
      <c r="A321" s="38" t="str">
        <f>'1.2 Budgeted Enrollment YR1'!A321</f>
        <v>Clark</v>
      </c>
      <c r="B321" s="40">
        <f>'1.2 Budgeted Enrollment YR1'!B321</f>
        <v>2</v>
      </c>
      <c r="C321" s="40">
        <f>'1.2 Budgeted Enrollment YR1'!C321</f>
        <v>2</v>
      </c>
      <c r="D321" s="40" t="str">
        <f>'1.2 Budgeted Enrollment YR1'!D321</f>
        <v>Las Vegas</v>
      </c>
      <c r="E321" s="38" t="str">
        <f>'1.2 Budgeted Enrollment YR1'!E321</f>
        <v>Mack, Nate ES</v>
      </c>
      <c r="F321" s="590"/>
      <c r="G321" s="220">
        <f>'1.2 Budgeted Enrollment YR1'!G321+('1.2 Budgeted Enrollment YR1'!G321*$Q$2)</f>
        <v>478.89804514204423</v>
      </c>
      <c r="H321" s="219">
        <v>0</v>
      </c>
      <c r="I321" s="220">
        <v>0</v>
      </c>
      <c r="J321" s="219">
        <v>0</v>
      </c>
      <c r="K321" s="220">
        <v>0</v>
      </c>
      <c r="L321" s="73"/>
      <c r="M321" s="2"/>
      <c r="N321"/>
      <c r="O321"/>
      <c r="P321"/>
      <c r="Q321"/>
    </row>
    <row r="322" spans="1:17" ht="18" thickTop="1" thickBot="1" x14ac:dyDescent="0.35">
      <c r="A322" s="38" t="str">
        <f>'1.2 Budgeted Enrollment YR1'!A322</f>
        <v>Clark</v>
      </c>
      <c r="B322" s="40">
        <f>'1.2 Budgeted Enrollment YR1'!B322</f>
        <v>2</v>
      </c>
      <c r="C322" s="40">
        <f>'1.2 Budgeted Enrollment YR1'!C322</f>
        <v>2</v>
      </c>
      <c r="D322" s="40" t="str">
        <f>'1.2 Budgeted Enrollment YR1'!D322</f>
        <v>Las Vegas</v>
      </c>
      <c r="E322" s="38" t="str">
        <f>'1.2 Budgeted Enrollment YR1'!E322</f>
        <v>Mackey, Jo ES</v>
      </c>
      <c r="F322" s="590"/>
      <c r="G322" s="220">
        <f>'1.2 Budgeted Enrollment YR1'!G322+('1.2 Budgeted Enrollment YR1'!G322*$Q$2)</f>
        <v>504.24696879191208</v>
      </c>
      <c r="H322" s="219">
        <v>0</v>
      </c>
      <c r="I322" s="220">
        <v>0</v>
      </c>
      <c r="J322" s="219">
        <v>0</v>
      </c>
      <c r="K322" s="220">
        <v>0</v>
      </c>
      <c r="L322" s="73"/>
      <c r="M322" s="2"/>
      <c r="N322"/>
      <c r="O322"/>
      <c r="P322"/>
      <c r="Q322"/>
    </row>
    <row r="323" spans="1:17" ht="18" thickTop="1" thickBot="1" x14ac:dyDescent="0.35">
      <c r="A323" s="38" t="str">
        <f>'1.2 Budgeted Enrollment YR1'!A323</f>
        <v>Clark</v>
      </c>
      <c r="B323" s="40">
        <f>'1.2 Budgeted Enrollment YR1'!B323</f>
        <v>2</v>
      </c>
      <c r="C323" s="40">
        <f>'1.2 Budgeted Enrollment YR1'!C323</f>
        <v>2</v>
      </c>
      <c r="D323" s="40" t="str">
        <f>'1.2 Budgeted Enrollment YR1'!D323</f>
        <v>Las Vegas</v>
      </c>
      <c r="E323" s="38" t="str">
        <f>'1.2 Budgeted Enrollment YR1'!E323</f>
        <v>Mackey, Jo MS</v>
      </c>
      <c r="F323" s="590"/>
      <c r="G323" s="220">
        <f>'1.2 Budgeted Enrollment YR1'!G323+('1.2 Budgeted Enrollment YR1'!G323*$Q$2)</f>
        <v>260.31953206653992</v>
      </c>
      <c r="H323" s="219">
        <v>0</v>
      </c>
      <c r="I323" s="220">
        <v>0</v>
      </c>
      <c r="J323" s="219">
        <v>0</v>
      </c>
      <c r="K323" s="220">
        <v>0</v>
      </c>
      <c r="L323" s="73"/>
      <c r="M323" s="2"/>
      <c r="N323"/>
      <c r="O323"/>
      <c r="P323"/>
      <c r="Q323"/>
    </row>
    <row r="324" spans="1:17" ht="18" thickTop="1" thickBot="1" x14ac:dyDescent="0.35">
      <c r="A324" s="38" t="str">
        <f>'1.2 Budgeted Enrollment YR1'!A324</f>
        <v>Clark</v>
      </c>
      <c r="B324" s="40">
        <f>'1.2 Budgeted Enrollment YR1'!B324</f>
        <v>2</v>
      </c>
      <c r="C324" s="40">
        <f>'1.2 Budgeted Enrollment YR1'!C324</f>
        <v>2</v>
      </c>
      <c r="D324" s="40" t="str">
        <f>'1.2 Budgeted Enrollment YR1'!D324</f>
        <v>Las Vegas</v>
      </c>
      <c r="E324" s="38" t="str">
        <f>'1.2 Budgeted Enrollment YR1'!E324</f>
        <v>Manch, J E ES</v>
      </c>
      <c r="F324" s="590"/>
      <c r="G324" s="220">
        <f>'1.2 Budgeted Enrollment YR1'!G324+('1.2 Budgeted Enrollment YR1'!G324*$Q$2)</f>
        <v>759.03910973802272</v>
      </c>
      <c r="H324" s="219">
        <v>0</v>
      </c>
      <c r="I324" s="220">
        <v>0</v>
      </c>
      <c r="J324" s="219">
        <v>0</v>
      </c>
      <c r="K324" s="220">
        <v>0</v>
      </c>
      <c r="L324" s="73"/>
      <c r="M324" s="2"/>
      <c r="N324"/>
      <c r="O324"/>
      <c r="P324"/>
      <c r="Q324"/>
    </row>
    <row r="325" spans="1:17" ht="18" thickTop="1" thickBot="1" x14ac:dyDescent="0.35">
      <c r="A325" s="38" t="str">
        <f>'1.2 Budgeted Enrollment YR1'!A325</f>
        <v>Clark</v>
      </c>
      <c r="B325" s="40">
        <f>'1.2 Budgeted Enrollment YR1'!B325</f>
        <v>2</v>
      </c>
      <c r="C325" s="40">
        <f>'1.2 Budgeted Enrollment YR1'!C325</f>
        <v>2</v>
      </c>
      <c r="D325" s="40" t="str">
        <f>'1.2 Budgeted Enrollment YR1'!D325</f>
        <v>Las Vegas</v>
      </c>
      <c r="E325" s="38" t="str">
        <f>'1.2 Budgeted Enrollment YR1'!E325</f>
        <v>Mannion, Jack &amp; Terry MS</v>
      </c>
      <c r="F325" s="590"/>
      <c r="G325" s="220">
        <f>'1.2 Budgeted Enrollment YR1'!G325+('1.2 Budgeted Enrollment YR1'!G325*$Q$2)</f>
        <v>1369.4095987861006</v>
      </c>
      <c r="H325" s="219">
        <v>0</v>
      </c>
      <c r="I325" s="220">
        <v>0</v>
      </c>
      <c r="J325" s="219">
        <v>0</v>
      </c>
      <c r="K325" s="220">
        <v>0</v>
      </c>
      <c r="L325" s="73"/>
      <c r="M325" s="2"/>
      <c r="N325"/>
      <c r="O325"/>
      <c r="P325"/>
      <c r="Q325"/>
    </row>
    <row r="326" spans="1:17" ht="18" thickTop="1" thickBot="1" x14ac:dyDescent="0.35">
      <c r="A326" s="38" t="str">
        <f>'1.2 Budgeted Enrollment YR1'!A326</f>
        <v>Clark</v>
      </c>
      <c r="B326" s="40">
        <f>'1.2 Budgeted Enrollment YR1'!B326</f>
        <v>2</v>
      </c>
      <c r="C326" s="40">
        <f>'1.2 Budgeted Enrollment YR1'!C326</f>
        <v>2</v>
      </c>
      <c r="D326" s="40" t="str">
        <f>'1.2 Budgeted Enrollment YR1'!D326</f>
        <v>Las Vegas</v>
      </c>
      <c r="E326" s="38" t="str">
        <f>'1.2 Budgeted Enrollment YR1'!E326</f>
        <v>Martin, Roy W MS</v>
      </c>
      <c r="F326" s="590"/>
      <c r="G326" s="220">
        <f>'1.2 Budgeted Enrollment YR1'!G326+('1.2 Budgeted Enrollment YR1'!G326*$Q$2)</f>
        <v>1254.679407671196</v>
      </c>
      <c r="H326" s="219">
        <v>0</v>
      </c>
      <c r="I326" s="220">
        <v>0</v>
      </c>
      <c r="J326" s="219">
        <v>0</v>
      </c>
      <c r="K326" s="220">
        <v>0</v>
      </c>
      <c r="L326" s="73"/>
      <c r="M326" s="2"/>
      <c r="N326"/>
      <c r="O326"/>
      <c r="P326"/>
      <c r="Q326"/>
    </row>
    <row r="327" spans="1:17" ht="18" thickTop="1" thickBot="1" x14ac:dyDescent="0.35">
      <c r="A327" s="38" t="str">
        <f>'1.2 Budgeted Enrollment YR1'!A327</f>
        <v>Clark</v>
      </c>
      <c r="B327" s="40">
        <f>'1.2 Budgeted Enrollment YR1'!B327</f>
        <v>2</v>
      </c>
      <c r="C327" s="40">
        <f>'1.2 Budgeted Enrollment YR1'!C327</f>
        <v>2</v>
      </c>
      <c r="D327" s="40" t="str">
        <f>'1.2 Budgeted Enrollment YR1'!D327</f>
        <v>Las Vegas</v>
      </c>
      <c r="E327" s="38" t="str">
        <f>'1.2 Budgeted Enrollment YR1'!E327</f>
        <v>Martinez, Reynaldo L ES</v>
      </c>
      <c r="F327" s="590"/>
      <c r="G327" s="220">
        <f>'1.2 Budgeted Enrollment YR1'!G327+('1.2 Budgeted Enrollment YR1'!G327*$Q$2)</f>
        <v>447.33273182278202</v>
      </c>
      <c r="H327" s="219">
        <v>0</v>
      </c>
      <c r="I327" s="220">
        <v>0</v>
      </c>
      <c r="J327" s="219">
        <v>0</v>
      </c>
      <c r="K327" s="220">
        <v>0</v>
      </c>
      <c r="L327" s="73"/>
      <c r="M327" s="2"/>
      <c r="N327"/>
      <c r="O327"/>
      <c r="P327"/>
      <c r="Q327"/>
    </row>
    <row r="328" spans="1:17" ht="18" thickTop="1" thickBot="1" x14ac:dyDescent="0.35">
      <c r="A328" s="38" t="str">
        <f>'1.2 Budgeted Enrollment YR1'!A328</f>
        <v>Clark</v>
      </c>
      <c r="B328" s="40">
        <f>'1.2 Budgeted Enrollment YR1'!B328</f>
        <v>2</v>
      </c>
      <c r="C328" s="40">
        <f>'1.2 Budgeted Enrollment YR1'!C328</f>
        <v>2</v>
      </c>
      <c r="D328" s="40" t="str">
        <f>'1.2 Budgeted Enrollment YR1'!D328</f>
        <v>Las Vegas</v>
      </c>
      <c r="E328" s="38" t="str">
        <f>'1.2 Budgeted Enrollment YR1'!E328</f>
        <v>Mathis, Dr. Beverly S ES</v>
      </c>
      <c r="F328" s="590"/>
      <c r="G328" s="220">
        <f>'1.2 Budgeted Enrollment YR1'!G328+('1.2 Budgeted Enrollment YR1'!G328*$Q$2)</f>
        <v>847.8730195071787</v>
      </c>
      <c r="H328" s="219">
        <v>0</v>
      </c>
      <c r="I328" s="220">
        <v>0</v>
      </c>
      <c r="J328" s="219">
        <v>0</v>
      </c>
      <c r="K328" s="220">
        <v>0</v>
      </c>
      <c r="L328" s="73"/>
      <c r="M328" s="2"/>
      <c r="N328"/>
      <c r="O328"/>
      <c r="P328"/>
      <c r="Q328"/>
    </row>
    <row r="329" spans="1:17" ht="18" thickTop="1" thickBot="1" x14ac:dyDescent="0.35">
      <c r="A329" s="38" t="str">
        <f>'1.2 Budgeted Enrollment YR1'!A329</f>
        <v>Clark</v>
      </c>
      <c r="B329" s="40">
        <f>'1.2 Budgeted Enrollment YR1'!B329</f>
        <v>2</v>
      </c>
      <c r="C329" s="40">
        <f>'1.2 Budgeted Enrollment YR1'!C329</f>
        <v>2</v>
      </c>
      <c r="D329" s="40" t="str">
        <f>'1.2 Budgeted Enrollment YR1'!D329</f>
        <v>Las Vegas</v>
      </c>
      <c r="E329" s="38" t="str">
        <f>'1.2 Budgeted Enrollment YR1'!E329</f>
        <v>May, Ernest ES</v>
      </c>
      <c r="F329" s="590"/>
      <c r="G329" s="220">
        <f>'1.2 Budgeted Enrollment YR1'!G329+('1.2 Budgeted Enrollment YR1'!G329*$Q$2)</f>
        <v>552.33131288851018</v>
      </c>
      <c r="H329" s="219">
        <v>0</v>
      </c>
      <c r="I329" s="220">
        <v>0</v>
      </c>
      <c r="J329" s="219">
        <v>0</v>
      </c>
      <c r="K329" s="220">
        <v>0</v>
      </c>
      <c r="L329" s="73"/>
      <c r="M329" s="2"/>
      <c r="N329"/>
      <c r="O329"/>
      <c r="P329"/>
      <c r="Q329"/>
    </row>
    <row r="330" spans="1:17" ht="18" thickTop="1" thickBot="1" x14ac:dyDescent="0.35">
      <c r="A330" s="38" t="str">
        <f>'1.2 Budgeted Enrollment YR1'!A330</f>
        <v>Clark</v>
      </c>
      <c r="B330" s="40">
        <f>'1.2 Budgeted Enrollment YR1'!B330</f>
        <v>2</v>
      </c>
      <c r="C330" s="40">
        <f>'1.2 Budgeted Enrollment YR1'!C330</f>
        <v>2</v>
      </c>
      <c r="D330" s="40" t="str">
        <f>'1.2 Budgeted Enrollment YR1'!D330</f>
        <v>Las Vegas</v>
      </c>
      <c r="E330" s="38" t="str">
        <f>'1.2 Budgeted Enrollment YR1'!E330</f>
        <v>McCall, Quannah ES</v>
      </c>
      <c r="F330" s="590"/>
      <c r="G330" s="220">
        <f>'1.2 Budgeted Enrollment YR1'!G330+('1.2 Budgeted Enrollment YR1'!G330*$Q$2)</f>
        <v>229.0128159222042</v>
      </c>
      <c r="H330" s="219">
        <v>0</v>
      </c>
      <c r="I330" s="220">
        <v>0</v>
      </c>
      <c r="J330" s="219">
        <v>0</v>
      </c>
      <c r="K330" s="220">
        <v>0</v>
      </c>
      <c r="L330" s="73"/>
      <c r="M330" s="2"/>
      <c r="N330"/>
      <c r="O330"/>
      <c r="P330"/>
      <c r="Q330"/>
    </row>
    <row r="331" spans="1:17" ht="18" thickTop="1" thickBot="1" x14ac:dyDescent="0.35">
      <c r="A331" s="38" t="str">
        <f>'1.2 Budgeted Enrollment YR1'!A331</f>
        <v>Clark</v>
      </c>
      <c r="B331" s="40">
        <f>'1.2 Budgeted Enrollment YR1'!B331</f>
        <v>2</v>
      </c>
      <c r="C331" s="40">
        <f>'1.2 Budgeted Enrollment YR1'!C331</f>
        <v>2</v>
      </c>
      <c r="D331" s="40" t="str">
        <f>'1.2 Budgeted Enrollment YR1'!D331</f>
        <v>Las Vegas</v>
      </c>
      <c r="E331" s="38" t="str">
        <f>'1.2 Budgeted Enrollment YR1'!E331</f>
        <v>McCaw, Gordon ES</v>
      </c>
      <c r="F331" s="590"/>
      <c r="G331" s="220">
        <f>'1.2 Budgeted Enrollment YR1'!G331+('1.2 Budgeted Enrollment YR1'!G331*$Q$2)</f>
        <v>692.63464009144718</v>
      </c>
      <c r="H331" s="219">
        <v>0</v>
      </c>
      <c r="I331" s="220">
        <v>0</v>
      </c>
      <c r="J331" s="219">
        <v>0</v>
      </c>
      <c r="K331" s="220">
        <v>0</v>
      </c>
      <c r="L331" s="73"/>
      <c r="M331" s="2"/>
      <c r="N331"/>
      <c r="O331"/>
      <c r="P331"/>
      <c r="Q331"/>
    </row>
    <row r="332" spans="1:17" ht="18" thickTop="1" thickBot="1" x14ac:dyDescent="0.35">
      <c r="A332" s="38" t="str">
        <f>'1.2 Budgeted Enrollment YR1'!A332</f>
        <v>Clark</v>
      </c>
      <c r="B332" s="40">
        <f>'1.2 Budgeted Enrollment YR1'!B332</f>
        <v>2</v>
      </c>
      <c r="C332" s="40">
        <f>'1.2 Budgeted Enrollment YR1'!C332</f>
        <v>2</v>
      </c>
      <c r="D332" s="40" t="str">
        <f>'1.2 Budgeted Enrollment YR1'!D332</f>
        <v>Las Vegas</v>
      </c>
      <c r="E332" s="38" t="str">
        <f>'1.2 Budgeted Enrollment YR1'!E332</f>
        <v>McDoniel, Estes M ES</v>
      </c>
      <c r="F332" s="590"/>
      <c r="G332" s="220">
        <f>'1.2 Budgeted Enrollment YR1'!G332+('1.2 Budgeted Enrollment YR1'!G332*$Q$2)</f>
        <v>377.54003213393111</v>
      </c>
      <c r="H332" s="219">
        <v>0</v>
      </c>
      <c r="I332" s="220">
        <v>0</v>
      </c>
      <c r="J332" s="219">
        <v>0</v>
      </c>
      <c r="K332" s="220">
        <v>0</v>
      </c>
      <c r="L332" s="73"/>
      <c r="M332" s="2"/>
      <c r="N332"/>
      <c r="O332"/>
      <c r="P332"/>
      <c r="Q332"/>
    </row>
    <row r="333" spans="1:17" ht="18" thickTop="1" thickBot="1" x14ac:dyDescent="0.35">
      <c r="A333" s="38" t="str">
        <f>'1.2 Budgeted Enrollment YR1'!A333</f>
        <v>Clark</v>
      </c>
      <c r="B333" s="40">
        <f>'1.2 Budgeted Enrollment YR1'!B333</f>
        <v>2</v>
      </c>
      <c r="C333" s="40">
        <f>'1.2 Budgeted Enrollment YR1'!C333</f>
        <v>2</v>
      </c>
      <c r="D333" s="40" t="str">
        <f>'1.2 Budgeted Enrollment YR1'!D333</f>
        <v>Las Vegas</v>
      </c>
      <c r="E333" s="38" t="str">
        <f>'1.2 Budgeted Enrollment YR1'!E333</f>
        <v>McMillan, James B ES</v>
      </c>
      <c r="F333" s="590"/>
      <c r="G333" s="220">
        <f>'1.2 Budgeted Enrollment YR1'!G333+('1.2 Budgeted Enrollment YR1'!G333*$Q$2)</f>
        <v>486.26675159119623</v>
      </c>
      <c r="H333" s="219">
        <v>0</v>
      </c>
      <c r="I333" s="220">
        <v>0</v>
      </c>
      <c r="J333" s="219">
        <v>0</v>
      </c>
      <c r="K333" s="220">
        <v>0</v>
      </c>
      <c r="L333" s="73"/>
      <c r="M333" s="2"/>
      <c r="N333"/>
      <c r="O333"/>
      <c r="P333"/>
      <c r="Q333"/>
    </row>
    <row r="334" spans="1:17" ht="18" thickTop="1" thickBot="1" x14ac:dyDescent="0.35">
      <c r="A334" s="38" t="str">
        <f>'1.2 Budgeted Enrollment YR1'!A334</f>
        <v>Clark</v>
      </c>
      <c r="B334" s="40">
        <f>'1.2 Budgeted Enrollment YR1'!B334</f>
        <v>2</v>
      </c>
      <c r="C334" s="40">
        <f>'1.2 Budgeted Enrollment YR1'!C334</f>
        <v>2</v>
      </c>
      <c r="D334" s="40" t="str">
        <f>'1.2 Budgeted Enrollment YR1'!D334</f>
        <v>Las Vegas</v>
      </c>
      <c r="E334" s="38" t="str">
        <f>'1.2 Budgeted Enrollment YR1'!E334</f>
        <v>McWilliams, J T ES</v>
      </c>
      <c r="F334" s="590"/>
      <c r="G334" s="220">
        <f>'1.2 Budgeted Enrollment YR1'!G334+('1.2 Budgeted Enrollment YR1'!G334*$Q$2)</f>
        <v>634.19714944578459</v>
      </c>
      <c r="H334" s="219">
        <v>0</v>
      </c>
      <c r="I334" s="220">
        <v>0</v>
      </c>
      <c r="J334" s="219">
        <v>0</v>
      </c>
      <c r="K334" s="220">
        <v>0</v>
      </c>
      <c r="L334" s="73"/>
      <c r="M334" s="2"/>
      <c r="N334"/>
      <c r="O334"/>
      <c r="P334"/>
      <c r="Q334"/>
    </row>
    <row r="335" spans="1:17" ht="18" thickTop="1" thickBot="1" x14ac:dyDescent="0.35">
      <c r="A335" s="38" t="str">
        <f>'1.2 Budgeted Enrollment YR1'!A335</f>
        <v>Clark</v>
      </c>
      <c r="B335" s="40">
        <f>'1.2 Budgeted Enrollment YR1'!B335</f>
        <v>2</v>
      </c>
      <c r="C335" s="40">
        <f>'1.2 Budgeted Enrollment YR1'!C335</f>
        <v>2</v>
      </c>
      <c r="D335" s="40" t="str">
        <f>'1.2 Budgeted Enrollment YR1'!D335</f>
        <v>Las Vegas</v>
      </c>
      <c r="E335" s="38" t="str">
        <f>'1.2 Budgeted Enrollment YR1'!E335</f>
        <v>Mendoza, John F ES</v>
      </c>
      <c r="F335" s="590"/>
      <c r="G335" s="220">
        <f>'1.2 Budgeted Enrollment YR1'!G335+('1.2 Budgeted Enrollment YR1'!G335*$Q$2)</f>
        <v>639.76236346930773</v>
      </c>
      <c r="H335" s="219">
        <v>0</v>
      </c>
      <c r="I335" s="220">
        <v>0</v>
      </c>
      <c r="J335" s="219">
        <v>0</v>
      </c>
      <c r="K335" s="220">
        <v>0</v>
      </c>
      <c r="L335" s="73"/>
      <c r="M335" s="2"/>
      <c r="N335"/>
      <c r="O335"/>
      <c r="P335"/>
      <c r="Q335"/>
    </row>
    <row r="336" spans="1:17" ht="18" thickTop="1" thickBot="1" x14ac:dyDescent="0.35">
      <c r="A336" s="38" t="str">
        <f>'1.2 Budgeted Enrollment YR1'!A336</f>
        <v>Clark</v>
      </c>
      <c r="B336" s="40">
        <f>'1.2 Budgeted Enrollment YR1'!B336</f>
        <v>2</v>
      </c>
      <c r="C336" s="40">
        <f>'1.2 Budgeted Enrollment YR1'!C336</f>
        <v>2</v>
      </c>
      <c r="D336" s="40" t="str">
        <f>'1.2 Budgeted Enrollment YR1'!D336</f>
        <v>Las Vegas</v>
      </c>
      <c r="E336" s="38" t="str">
        <f>'1.2 Budgeted Enrollment YR1'!E336</f>
        <v>Miley Achievement Center ES</v>
      </c>
      <c r="F336" s="590"/>
      <c r="G336" s="220">
        <f>'1.2 Budgeted Enrollment YR1'!G336+('1.2 Budgeted Enrollment YR1'!G336*$Q$2)</f>
        <v>11.900106199847087</v>
      </c>
      <c r="H336" s="219">
        <v>0</v>
      </c>
      <c r="I336" s="220">
        <v>0</v>
      </c>
      <c r="J336" s="219">
        <v>0</v>
      </c>
      <c r="K336" s="220">
        <v>0</v>
      </c>
      <c r="L336" s="73"/>
      <c r="M336" s="2"/>
      <c r="N336"/>
      <c r="O336"/>
      <c r="P336"/>
      <c r="Q336"/>
    </row>
    <row r="337" spans="1:17" ht="18" thickTop="1" thickBot="1" x14ac:dyDescent="0.35">
      <c r="A337" s="38" t="str">
        <f>'1.2 Budgeted Enrollment YR1'!A337</f>
        <v>Clark</v>
      </c>
      <c r="B337" s="40">
        <f>'1.2 Budgeted Enrollment YR1'!B337</f>
        <v>2</v>
      </c>
      <c r="C337" s="40">
        <f>'1.2 Budgeted Enrollment YR1'!C337</f>
        <v>2</v>
      </c>
      <c r="D337" s="40" t="str">
        <f>'1.2 Budgeted Enrollment YR1'!D337</f>
        <v>Las Vegas</v>
      </c>
      <c r="E337" s="38" t="str">
        <f>'1.2 Budgeted Enrollment YR1'!E337</f>
        <v>Miley Achievement Ctr J-SHS</v>
      </c>
      <c r="F337" s="590"/>
      <c r="G337" s="220">
        <f>'1.2 Budgeted Enrollment YR1'!G337+('1.2 Budgeted Enrollment YR1'!G337*$Q$2)</f>
        <v>57.773933688808761</v>
      </c>
      <c r="H337" s="219">
        <v>0</v>
      </c>
      <c r="I337" s="220">
        <v>0</v>
      </c>
      <c r="J337" s="219">
        <v>0</v>
      </c>
      <c r="K337" s="220">
        <v>0</v>
      </c>
      <c r="L337" s="73"/>
      <c r="M337" s="2"/>
      <c r="N337"/>
      <c r="O337"/>
      <c r="P337"/>
      <c r="Q337"/>
    </row>
    <row r="338" spans="1:17" ht="18" thickTop="1" thickBot="1" x14ac:dyDescent="0.35">
      <c r="A338" s="38" t="str">
        <f>'1.2 Budgeted Enrollment YR1'!A338</f>
        <v>Clark</v>
      </c>
      <c r="B338" s="40">
        <f>'1.2 Budgeted Enrollment YR1'!B338</f>
        <v>2</v>
      </c>
      <c r="C338" s="40">
        <f>'1.2 Budgeted Enrollment YR1'!C338</f>
        <v>2</v>
      </c>
      <c r="D338" s="40" t="str">
        <f>'1.2 Budgeted Enrollment YR1'!D338</f>
        <v>Las Vegas</v>
      </c>
      <c r="E338" s="38" t="str">
        <f>'1.2 Budgeted Enrollment YR1'!E338</f>
        <v>Miller, Bob MS</v>
      </c>
      <c r="F338" s="590"/>
      <c r="G338" s="220">
        <f>'1.2 Budgeted Enrollment YR1'!G338+('1.2 Budgeted Enrollment YR1'!G338*$Q$2)</f>
        <v>1531.3366873991604</v>
      </c>
      <c r="H338" s="219">
        <v>0</v>
      </c>
      <c r="I338" s="220">
        <v>0</v>
      </c>
      <c r="J338" s="219">
        <v>0</v>
      </c>
      <c r="K338" s="220">
        <v>0</v>
      </c>
      <c r="L338" s="73"/>
      <c r="M338" s="2"/>
      <c r="N338"/>
      <c r="O338"/>
      <c r="P338"/>
      <c r="Q338"/>
    </row>
    <row r="339" spans="1:17" ht="18" thickTop="1" thickBot="1" x14ac:dyDescent="0.35">
      <c r="A339" s="38" t="str">
        <f>'1.2 Budgeted Enrollment YR1'!A339</f>
        <v>Clark</v>
      </c>
      <c r="B339" s="40">
        <f>'1.2 Budgeted Enrollment YR1'!B339</f>
        <v>2</v>
      </c>
      <c r="C339" s="40">
        <f>'1.2 Budgeted Enrollment YR1'!C339</f>
        <v>2</v>
      </c>
      <c r="D339" s="40" t="str">
        <f>'1.2 Budgeted Enrollment YR1'!D339</f>
        <v>Las Vegas</v>
      </c>
      <c r="E339" s="38" t="str">
        <f>'1.2 Budgeted Enrollment YR1'!E339</f>
        <v>Miller, John F ES</v>
      </c>
      <c r="F339" s="590"/>
      <c r="G339" s="220">
        <f>'1.2 Budgeted Enrollment YR1'!G339+('1.2 Budgeted Enrollment YR1'!G339*$Q$2)</f>
        <v>105.04818693673081</v>
      </c>
      <c r="H339" s="219">
        <v>0</v>
      </c>
      <c r="I339" s="220">
        <v>0</v>
      </c>
      <c r="J339" s="219">
        <v>0</v>
      </c>
      <c r="K339" s="220">
        <v>0</v>
      </c>
      <c r="L339" s="73"/>
      <c r="M339" s="2"/>
      <c r="N339"/>
      <c r="O339"/>
      <c r="P339"/>
      <c r="Q339"/>
    </row>
    <row r="340" spans="1:17" ht="18" thickTop="1" thickBot="1" x14ac:dyDescent="0.35">
      <c r="A340" s="38" t="str">
        <f>'1.2 Budgeted Enrollment YR1'!A340</f>
        <v>Clark</v>
      </c>
      <c r="B340" s="40">
        <f>'1.2 Budgeted Enrollment YR1'!B340</f>
        <v>2</v>
      </c>
      <c r="C340" s="40">
        <f>'1.2 Budgeted Enrollment YR1'!C340</f>
        <v>2</v>
      </c>
      <c r="D340" s="40" t="str">
        <f>'1.2 Budgeted Enrollment YR1'!D340</f>
        <v>Las Vegas</v>
      </c>
      <c r="E340" s="38" t="str">
        <f>'1.2 Budgeted Enrollment YR1'!E340</f>
        <v>Miller, Sandy Searles ES</v>
      </c>
      <c r="F340" s="590"/>
      <c r="G340" s="220">
        <f>'1.2 Budgeted Enrollment YR1'!G340+('1.2 Budgeted Enrollment YR1'!G340*$Q$2)</f>
        <v>625.77942187898486</v>
      </c>
      <c r="H340" s="219">
        <v>0</v>
      </c>
      <c r="I340" s="220">
        <v>0</v>
      </c>
      <c r="J340" s="219">
        <v>0</v>
      </c>
      <c r="K340" s="220">
        <v>0</v>
      </c>
      <c r="L340" s="73"/>
      <c r="M340" s="2"/>
      <c r="N340"/>
      <c r="O340"/>
      <c r="P340"/>
      <c r="Q340"/>
    </row>
    <row r="341" spans="1:17" ht="18" thickTop="1" thickBot="1" x14ac:dyDescent="0.35">
      <c r="A341" s="38" t="str">
        <f>'1.2 Budgeted Enrollment YR1'!A341</f>
        <v>Clark</v>
      </c>
      <c r="B341" s="40">
        <f>'1.2 Budgeted Enrollment YR1'!B341</f>
        <v>2</v>
      </c>
      <c r="C341" s="40">
        <f>'1.2 Budgeted Enrollment YR1'!C341</f>
        <v>2</v>
      </c>
      <c r="D341" s="40" t="str">
        <f>'1.2 Budgeted Enrollment YR1'!D341</f>
        <v>Las Vegas</v>
      </c>
      <c r="E341" s="38" t="str">
        <f>'1.2 Budgeted Enrollment YR1'!E341</f>
        <v>Mission High School</v>
      </c>
      <c r="F341" s="590"/>
      <c r="G341" s="220">
        <f>'1.2 Budgeted Enrollment YR1'!G341+('1.2 Budgeted Enrollment YR1'!G341*$Q$2)</f>
        <v>21.642316942395151</v>
      </c>
      <c r="H341" s="219">
        <v>0</v>
      </c>
      <c r="I341" s="220">
        <v>0</v>
      </c>
      <c r="J341" s="219">
        <v>0</v>
      </c>
      <c r="K341" s="220">
        <v>0</v>
      </c>
      <c r="L341" s="73"/>
      <c r="M341" s="2"/>
      <c r="N341"/>
      <c r="O341"/>
      <c r="P341"/>
      <c r="Q341"/>
    </row>
    <row r="342" spans="1:17" ht="18" thickTop="1" thickBot="1" x14ac:dyDescent="0.35">
      <c r="A342" s="38" t="str">
        <f>'1.2 Budgeted Enrollment YR1'!A342</f>
        <v>Clark</v>
      </c>
      <c r="B342" s="40">
        <f>'1.2 Budgeted Enrollment YR1'!B342</f>
        <v>2</v>
      </c>
      <c r="C342" s="40">
        <f>'1.2 Budgeted Enrollment YR1'!C342</f>
        <v>2</v>
      </c>
      <c r="D342" s="40" t="str">
        <f>'1.2 Budgeted Enrollment YR1'!D342</f>
        <v>Boulder City</v>
      </c>
      <c r="E342" s="38" t="str">
        <f>'1.2 Budgeted Enrollment YR1'!E342</f>
        <v>Mitchell, Andrew ES</v>
      </c>
      <c r="F342" s="590"/>
      <c r="G342" s="220">
        <f>'1.2 Budgeted Enrollment YR1'!G342+('1.2 Budgeted Enrollment YR1'!G342*$Q$2)</f>
        <v>356.32105334859693</v>
      </c>
      <c r="H342" s="219">
        <v>0</v>
      </c>
      <c r="I342" s="220">
        <v>0</v>
      </c>
      <c r="J342" s="219">
        <v>0</v>
      </c>
      <c r="K342" s="220">
        <v>0</v>
      </c>
      <c r="L342" s="73"/>
      <c r="M342" s="2"/>
      <c r="N342"/>
      <c r="O342"/>
      <c r="P342"/>
      <c r="Q342"/>
    </row>
    <row r="343" spans="1:17" ht="18" thickTop="1" thickBot="1" x14ac:dyDescent="0.35">
      <c r="A343" s="38" t="str">
        <f>'1.2 Budgeted Enrollment YR1'!A343</f>
        <v>Clark</v>
      </c>
      <c r="B343" s="40">
        <f>'1.2 Budgeted Enrollment YR1'!B343</f>
        <v>2</v>
      </c>
      <c r="C343" s="40">
        <f>'1.2 Budgeted Enrollment YR1'!C343</f>
        <v>2</v>
      </c>
      <c r="D343" s="40" t="str">
        <f>'1.2 Budgeted Enrollment YR1'!D343</f>
        <v>Moapa Valley</v>
      </c>
      <c r="E343" s="38" t="str">
        <f>'1.2 Budgeted Enrollment YR1'!E343</f>
        <v>Moapa Valley HS</v>
      </c>
      <c r="F343" s="590"/>
      <c r="G343" s="220">
        <f>'1.2 Budgeted Enrollment YR1'!G343+('1.2 Budgeted Enrollment YR1'!G343*$Q$2)</f>
        <v>571.22181678077072</v>
      </c>
      <c r="H343" s="219">
        <v>0</v>
      </c>
      <c r="I343" s="220">
        <v>0</v>
      </c>
      <c r="J343" s="219">
        <v>0</v>
      </c>
      <c r="K343" s="220">
        <v>0</v>
      </c>
      <c r="L343" s="73"/>
      <c r="M343" s="2"/>
      <c r="N343"/>
      <c r="O343"/>
      <c r="P343"/>
      <c r="Q343"/>
    </row>
    <row r="344" spans="1:17" ht="18" thickTop="1" thickBot="1" x14ac:dyDescent="0.35">
      <c r="A344" s="38" t="str">
        <f>'1.2 Budgeted Enrollment YR1'!A344</f>
        <v>Clark</v>
      </c>
      <c r="B344" s="40">
        <f>'1.2 Budgeted Enrollment YR1'!B344</f>
        <v>2</v>
      </c>
      <c r="C344" s="40">
        <f>'1.2 Budgeted Enrollment YR1'!C344</f>
        <v>2</v>
      </c>
      <c r="D344" s="40" t="str">
        <f>'1.2 Budgeted Enrollment YR1'!D344</f>
        <v>Las Vegas</v>
      </c>
      <c r="E344" s="38" t="str">
        <f>'1.2 Budgeted Enrollment YR1'!E344</f>
        <v>Mojave HS</v>
      </c>
      <c r="F344" s="590"/>
      <c r="G344" s="220">
        <f>'1.2 Budgeted Enrollment YR1'!G344+('1.2 Budgeted Enrollment YR1'!G344*$Q$2)</f>
        <v>2620.3720759998737</v>
      </c>
      <c r="H344" s="219">
        <v>0</v>
      </c>
      <c r="I344" s="220">
        <v>0</v>
      </c>
      <c r="J344" s="219">
        <v>0</v>
      </c>
      <c r="K344" s="220">
        <v>0</v>
      </c>
      <c r="L344" s="73"/>
      <c r="M344" s="2"/>
      <c r="N344"/>
      <c r="O344"/>
      <c r="P344"/>
      <c r="Q344"/>
    </row>
    <row r="345" spans="1:17" ht="18" thickTop="1" thickBot="1" x14ac:dyDescent="0.35">
      <c r="A345" s="38" t="str">
        <f>'1.2 Budgeted Enrollment YR1'!A345</f>
        <v>Clark</v>
      </c>
      <c r="B345" s="40">
        <f>'1.2 Budgeted Enrollment YR1'!B345</f>
        <v>2</v>
      </c>
      <c r="C345" s="40">
        <f>'1.2 Budgeted Enrollment YR1'!C345</f>
        <v>2</v>
      </c>
      <c r="D345" s="40" t="str">
        <f>'1.2 Budgeted Enrollment YR1'!D345</f>
        <v>Las Vegas</v>
      </c>
      <c r="E345" s="38" t="str">
        <f>'1.2 Budgeted Enrollment YR1'!E345</f>
        <v>Molasky, Irwin &amp; Susan JHS</v>
      </c>
      <c r="F345" s="590"/>
      <c r="G345" s="220">
        <f>'1.2 Budgeted Enrollment YR1'!G345+('1.2 Budgeted Enrollment YR1'!G345*$Q$2)</f>
        <v>903.78695875053415</v>
      </c>
      <c r="H345" s="219">
        <v>0</v>
      </c>
      <c r="I345" s="220">
        <v>0</v>
      </c>
      <c r="J345" s="219">
        <v>0</v>
      </c>
      <c r="K345" s="220">
        <v>0</v>
      </c>
      <c r="L345" s="73"/>
      <c r="M345" s="2"/>
      <c r="N345"/>
      <c r="O345"/>
      <c r="P345"/>
      <c r="Q345"/>
    </row>
    <row r="346" spans="1:17" ht="18" thickTop="1" thickBot="1" x14ac:dyDescent="0.35">
      <c r="A346" s="38" t="str">
        <f>'1.2 Budgeted Enrollment YR1'!A346</f>
        <v>Clark</v>
      </c>
      <c r="B346" s="40">
        <f>'1.2 Budgeted Enrollment YR1'!B346</f>
        <v>2</v>
      </c>
      <c r="C346" s="40">
        <f>'1.2 Budgeted Enrollment YR1'!C346</f>
        <v>2</v>
      </c>
      <c r="D346" s="40" t="str">
        <f>'1.2 Budgeted Enrollment YR1'!D346</f>
        <v>Las Vegas</v>
      </c>
      <c r="E346" s="38" t="str">
        <f>'1.2 Budgeted Enrollment YR1'!E346</f>
        <v>Monaco, Mario C &amp; JoAnne MS</v>
      </c>
      <c r="F346" s="590"/>
      <c r="G346" s="220">
        <f>'1.2 Budgeted Enrollment YR1'!G346+('1.2 Budgeted Enrollment YR1'!G346*$Q$2)</f>
        <v>1109.6951259726561</v>
      </c>
      <c r="H346" s="219">
        <v>0</v>
      </c>
      <c r="I346" s="220">
        <v>0</v>
      </c>
      <c r="J346" s="219">
        <v>0</v>
      </c>
      <c r="K346" s="220">
        <v>0</v>
      </c>
      <c r="L346" s="73"/>
      <c r="M346" s="2"/>
      <c r="N346"/>
      <c r="O346"/>
      <c r="P346"/>
      <c r="Q346"/>
    </row>
    <row r="347" spans="1:17" ht="18" thickTop="1" thickBot="1" x14ac:dyDescent="0.35">
      <c r="A347" s="38" t="str">
        <f>'1.2 Budgeted Enrollment YR1'!A347</f>
        <v>Clark</v>
      </c>
      <c r="B347" s="40">
        <f>'1.2 Budgeted Enrollment YR1'!B347</f>
        <v>2</v>
      </c>
      <c r="C347" s="40">
        <f>'1.2 Budgeted Enrollment YR1'!C347</f>
        <v>2</v>
      </c>
      <c r="D347" s="40" t="str">
        <f>'1.2 Budgeted Enrollment YR1'!D347</f>
        <v>Las Vegas</v>
      </c>
      <c r="E347" s="38" t="str">
        <f>'1.2 Budgeted Enrollment YR1'!E347</f>
        <v>Moore, William K ES</v>
      </c>
      <c r="F347" s="590"/>
      <c r="G347" s="220">
        <f>'1.2 Budgeted Enrollment YR1'!G347+('1.2 Budgeted Enrollment YR1'!G347*$Q$2)</f>
        <v>522.15937637924412</v>
      </c>
      <c r="H347" s="219">
        <v>0</v>
      </c>
      <c r="I347" s="220">
        <v>0</v>
      </c>
      <c r="J347" s="219">
        <v>0</v>
      </c>
      <c r="K347" s="220">
        <v>0</v>
      </c>
      <c r="L347" s="73"/>
      <c r="M347" s="2"/>
      <c r="N347"/>
      <c r="O347"/>
      <c r="P347"/>
      <c r="Q347"/>
    </row>
    <row r="348" spans="1:17" ht="18" thickTop="1" thickBot="1" x14ac:dyDescent="0.35">
      <c r="A348" s="38" t="str">
        <f>'1.2 Budgeted Enrollment YR1'!A348</f>
        <v>Clark</v>
      </c>
      <c r="B348" s="40">
        <f>'1.2 Budgeted Enrollment YR1'!B348</f>
        <v>2</v>
      </c>
      <c r="C348" s="40">
        <f>'1.2 Budgeted Enrollment YR1'!C348</f>
        <v>2</v>
      </c>
      <c r="D348" s="40" t="str">
        <f>'1.2 Budgeted Enrollment YR1'!D348</f>
        <v>Las Vegas</v>
      </c>
      <c r="E348" s="38" t="str">
        <f>'1.2 Budgeted Enrollment YR1'!E348</f>
        <v>Morris Sunset HS</v>
      </c>
      <c r="F348" s="590"/>
      <c r="G348" s="220">
        <f>'1.2 Budgeted Enrollment YR1'!G348+('1.2 Budgeted Enrollment YR1'!G348*$Q$2)</f>
        <v>66.801188841813271</v>
      </c>
      <c r="H348" s="219">
        <v>0</v>
      </c>
      <c r="I348" s="220">
        <v>0</v>
      </c>
      <c r="J348" s="219">
        <v>0</v>
      </c>
      <c r="K348" s="220">
        <v>0</v>
      </c>
      <c r="L348" s="73"/>
      <c r="M348" s="2"/>
      <c r="N348"/>
      <c r="O348"/>
      <c r="P348"/>
      <c r="Q348"/>
    </row>
    <row r="349" spans="1:17" ht="18" thickTop="1" thickBot="1" x14ac:dyDescent="0.35">
      <c r="A349" s="38" t="str">
        <f>'1.2 Budgeted Enrollment YR1'!A349</f>
        <v>Clark</v>
      </c>
      <c r="B349" s="40">
        <f>'1.2 Budgeted Enrollment YR1'!B349</f>
        <v>2</v>
      </c>
      <c r="C349" s="40">
        <f>'1.2 Budgeted Enrollment YR1'!C349</f>
        <v>2</v>
      </c>
      <c r="D349" s="40" t="str">
        <f>'1.2 Budgeted Enrollment YR1'!D349</f>
        <v>Las Vegas</v>
      </c>
      <c r="E349" s="38" t="str">
        <f>'1.2 Budgeted Enrollment YR1'!E349</f>
        <v>Morrow, Sue H ES</v>
      </c>
      <c r="F349" s="590"/>
      <c r="G349" s="220">
        <f>'1.2 Budgeted Enrollment YR1'!G349+('1.2 Budgeted Enrollment YR1'!G349*$Q$2)</f>
        <v>430.20132870625326</v>
      </c>
      <c r="H349" s="219">
        <v>0</v>
      </c>
      <c r="I349" s="220">
        <v>0</v>
      </c>
      <c r="J349" s="219">
        <v>0</v>
      </c>
      <c r="K349" s="220">
        <v>0</v>
      </c>
      <c r="L349" s="73"/>
      <c r="M349" s="2"/>
      <c r="N349"/>
      <c r="O349"/>
      <c r="P349"/>
      <c r="Q349"/>
    </row>
    <row r="350" spans="1:17" ht="18" thickTop="1" thickBot="1" x14ac:dyDescent="0.35">
      <c r="A350" s="38" t="str">
        <f>'1.2 Budgeted Enrollment YR1'!A350</f>
        <v>Clark</v>
      </c>
      <c r="B350" s="40">
        <f>'1.2 Budgeted Enrollment YR1'!B350</f>
        <v>2</v>
      </c>
      <c r="C350" s="40">
        <f>'1.2 Budgeted Enrollment YR1'!C350</f>
        <v>2</v>
      </c>
      <c r="D350" s="40" t="str">
        <f>'1.2 Budgeted Enrollment YR1'!D350</f>
        <v>Las Vegas</v>
      </c>
      <c r="E350" s="38" t="str">
        <f>'1.2 Budgeted Enrollment YR1'!E350</f>
        <v>Mountain View ES</v>
      </c>
      <c r="F350" s="590"/>
      <c r="G350" s="220">
        <f>'1.2 Budgeted Enrollment YR1'!G350+('1.2 Budgeted Enrollment YR1'!G350*$Q$2)</f>
        <v>487.49641789929098</v>
      </c>
      <c r="H350" s="219">
        <v>0</v>
      </c>
      <c r="I350" s="220">
        <v>0</v>
      </c>
      <c r="J350" s="219">
        <v>0</v>
      </c>
      <c r="K350" s="220">
        <v>0</v>
      </c>
      <c r="L350" s="73"/>
      <c r="M350" s="2"/>
      <c r="N350"/>
      <c r="O350"/>
      <c r="P350"/>
      <c r="Q350"/>
    </row>
    <row r="351" spans="1:17" ht="18" thickTop="1" thickBot="1" x14ac:dyDescent="0.35">
      <c r="A351" s="38" t="str">
        <f>'1.2 Budgeted Enrollment YR1'!A351</f>
        <v>Clark</v>
      </c>
      <c r="B351" s="40">
        <f>'1.2 Budgeted Enrollment YR1'!B351</f>
        <v>2</v>
      </c>
      <c r="C351" s="40">
        <f>'1.2 Budgeted Enrollment YR1'!C351</f>
        <v>2</v>
      </c>
      <c r="D351" s="40" t="str">
        <f>'1.2 Budgeted Enrollment YR1'!D351</f>
        <v>Las Vegas</v>
      </c>
      <c r="E351" s="38" t="str">
        <f>'1.2 Budgeted Enrollment YR1'!E351</f>
        <v>Neal, Joseph M ES</v>
      </c>
      <c r="F351" s="590"/>
      <c r="G351" s="220">
        <f>'1.2 Budgeted Enrollment YR1'!G351+('1.2 Budgeted Enrollment YR1'!G351*$Q$2)</f>
        <v>546.68998359685759</v>
      </c>
      <c r="H351" s="219">
        <v>0</v>
      </c>
      <c r="I351" s="220">
        <v>0</v>
      </c>
      <c r="J351" s="219">
        <v>0</v>
      </c>
      <c r="K351" s="220">
        <v>0</v>
      </c>
      <c r="L351" s="73"/>
      <c r="M351" s="2"/>
      <c r="N351"/>
      <c r="O351"/>
      <c r="P351"/>
      <c r="Q351"/>
    </row>
    <row r="352" spans="1:17" ht="18" thickTop="1" thickBot="1" x14ac:dyDescent="0.35">
      <c r="A352" s="38" t="str">
        <f>'1.2 Budgeted Enrollment YR1'!A352</f>
        <v>Clark</v>
      </c>
      <c r="B352" s="40">
        <f>'1.2 Budgeted Enrollment YR1'!B352</f>
        <v>2</v>
      </c>
      <c r="C352" s="40">
        <f>'1.2 Budgeted Enrollment YR1'!C352</f>
        <v>2</v>
      </c>
      <c r="D352" s="40" t="str">
        <f>'1.2 Budgeted Enrollment YR1'!D352</f>
        <v>Las Vegas</v>
      </c>
      <c r="E352" s="38" t="str">
        <f>'1.2 Budgeted Enrollment YR1'!E352</f>
        <v>Newton, Ulis ES</v>
      </c>
      <c r="F352" s="590"/>
      <c r="G352" s="220">
        <f>'1.2 Budgeted Enrollment YR1'!G352+('1.2 Budgeted Enrollment YR1'!G352*$Q$2)</f>
        <v>549.29356574425742</v>
      </c>
      <c r="H352" s="219">
        <v>0</v>
      </c>
      <c r="I352" s="220">
        <v>0</v>
      </c>
      <c r="J352" s="219">
        <v>0</v>
      </c>
      <c r="K352" s="220">
        <v>0</v>
      </c>
      <c r="L352" s="73"/>
      <c r="M352" s="2"/>
      <c r="N352"/>
      <c r="O352"/>
      <c r="P352"/>
      <c r="Q352"/>
    </row>
    <row r="353" spans="1:17" ht="18" thickTop="1" thickBot="1" x14ac:dyDescent="0.35">
      <c r="A353" s="38" t="str">
        <f>'1.2 Budgeted Enrollment YR1'!A353</f>
        <v>Clark</v>
      </c>
      <c r="B353" s="40">
        <f>'1.2 Budgeted Enrollment YR1'!B353</f>
        <v>2</v>
      </c>
      <c r="C353" s="40">
        <f>'1.2 Budgeted Enrollment YR1'!C353</f>
        <v>2</v>
      </c>
      <c r="D353" s="40" t="str">
        <f>'1.2 Budgeted Enrollment YR1'!D353</f>
        <v>Las Vegas</v>
      </c>
      <c r="E353" s="38" t="str">
        <f>'1.2 Budgeted Enrollment YR1'!E353</f>
        <v>Northwest Career-Technical Academy HS</v>
      </c>
      <c r="F353" s="590"/>
      <c r="G353" s="220">
        <f>'1.2 Budgeted Enrollment YR1'!G353+('1.2 Budgeted Enrollment YR1'!G353*$Q$2)</f>
        <v>1916.0757086299677</v>
      </c>
      <c r="H353" s="219">
        <v>0</v>
      </c>
      <c r="I353" s="220">
        <v>0</v>
      </c>
      <c r="J353" s="219">
        <v>0</v>
      </c>
      <c r="K353" s="220">
        <v>0</v>
      </c>
      <c r="L353" s="73"/>
      <c r="M353" s="2"/>
      <c r="N353"/>
      <c r="O353"/>
      <c r="P353"/>
      <c r="Q353"/>
    </row>
    <row r="354" spans="1:17" ht="18" thickTop="1" thickBot="1" x14ac:dyDescent="0.35">
      <c r="A354" s="38" t="str">
        <f>'1.2 Budgeted Enrollment YR1'!A354</f>
        <v>Clark</v>
      </c>
      <c r="B354" s="40">
        <f>'1.2 Budgeted Enrollment YR1'!B354</f>
        <v>2</v>
      </c>
      <c r="C354" s="40">
        <f>'1.2 Budgeted Enrollment YR1'!C354</f>
        <v>2</v>
      </c>
      <c r="D354" s="40" t="str">
        <f>'1.2 Budgeted Enrollment YR1'!D354</f>
        <v>Las Vegas</v>
      </c>
      <c r="E354" s="38" t="str">
        <f>'1.2 Budgeted Enrollment YR1'!E354</f>
        <v>Nevada Learning Academy ES</v>
      </c>
      <c r="F354" s="590"/>
      <c r="G354" s="220">
        <f>'1.2 Budgeted Enrollment YR1'!G354+('1.2 Budgeted Enrollment YR1'!G354*$Q$2)</f>
        <v>1184.0349478763205</v>
      </c>
      <c r="H354" s="219">
        <v>0</v>
      </c>
      <c r="I354" s="220">
        <v>0</v>
      </c>
      <c r="J354" s="219">
        <v>0</v>
      </c>
      <c r="K354" s="220">
        <v>0</v>
      </c>
      <c r="L354" s="73"/>
      <c r="M354" s="2"/>
      <c r="N354"/>
      <c r="O354"/>
      <c r="P354"/>
      <c r="Q354"/>
    </row>
    <row r="355" spans="1:17" ht="18" thickTop="1" thickBot="1" x14ac:dyDescent="0.35">
      <c r="A355" s="38" t="str">
        <f>'1.2 Budgeted Enrollment YR1'!A355</f>
        <v>Clark</v>
      </c>
      <c r="B355" s="40">
        <f>'1.2 Budgeted Enrollment YR1'!B355</f>
        <v>2</v>
      </c>
      <c r="C355" s="40">
        <f>'1.2 Budgeted Enrollment YR1'!C355</f>
        <v>2</v>
      </c>
      <c r="D355" s="40" t="str">
        <f>'1.2 Budgeted Enrollment YR1'!D355</f>
        <v>Las Vegas</v>
      </c>
      <c r="E355" s="38" t="str">
        <f>'1.2 Budgeted Enrollment YR1'!E355</f>
        <v>NV Learning Academy J-SHS</v>
      </c>
      <c r="F355" s="590"/>
      <c r="G355" s="220">
        <f>'1.2 Budgeted Enrollment YR1'!G355+('1.2 Budgeted Enrollment YR1'!G355*$Q$2)</f>
        <v>3201.1256985890536</v>
      </c>
      <c r="H355" s="219">
        <v>0</v>
      </c>
      <c r="I355" s="220">
        <v>0</v>
      </c>
      <c r="J355" s="219">
        <v>0</v>
      </c>
      <c r="K355" s="220">
        <v>0</v>
      </c>
      <c r="L355" s="73"/>
      <c r="M355" s="2"/>
      <c r="N355"/>
      <c r="O355"/>
      <c r="P355"/>
      <c r="Q355"/>
    </row>
    <row r="356" spans="1:17" ht="18" thickTop="1" thickBot="1" x14ac:dyDescent="0.35">
      <c r="A356" s="38" t="str">
        <f>'1.2 Budgeted Enrollment YR1'!A356</f>
        <v>Clark</v>
      </c>
      <c r="B356" s="40">
        <f>'1.2 Budgeted Enrollment YR1'!B356</f>
        <v>2</v>
      </c>
      <c r="C356" s="40">
        <f>'1.2 Budgeted Enrollment YR1'!C356</f>
        <v>2</v>
      </c>
      <c r="D356" s="40" t="str">
        <f>'1.2 Budgeted Enrollment YR1'!D356</f>
        <v>Las Vegas</v>
      </c>
      <c r="E356" s="38" t="str">
        <f>'1.2 Budgeted Enrollment YR1'!E356</f>
        <v>NW Career-Technical Academy ES</v>
      </c>
      <c r="F356" s="590"/>
      <c r="G356" s="220">
        <f>'1.2 Budgeted Enrollment YR1'!G356+('1.2 Budgeted Enrollment YR1'!G356*$Q$2)</f>
        <v>20.09432068869225</v>
      </c>
      <c r="H356" s="219">
        <v>0</v>
      </c>
      <c r="I356" s="220">
        <v>0</v>
      </c>
      <c r="J356" s="219">
        <v>0</v>
      </c>
      <c r="K356" s="220">
        <v>0</v>
      </c>
      <c r="L356" s="73"/>
      <c r="M356" s="2"/>
      <c r="N356"/>
      <c r="O356"/>
      <c r="P356"/>
      <c r="Q356"/>
    </row>
    <row r="357" spans="1:17" ht="18" thickTop="1" thickBot="1" x14ac:dyDescent="0.35">
      <c r="A357" s="38" t="str">
        <f>'1.2 Budgeted Enrollment YR1'!A357</f>
        <v>Clark</v>
      </c>
      <c r="B357" s="40">
        <f>'1.2 Budgeted Enrollment YR1'!B357</f>
        <v>2</v>
      </c>
      <c r="C357" s="40">
        <f>'1.2 Budgeted Enrollment YR1'!C357</f>
        <v>2</v>
      </c>
      <c r="D357" s="40" t="str">
        <f>'1.2 Budgeted Enrollment YR1'!D357</f>
        <v>Las Vegas</v>
      </c>
      <c r="E357" s="38" t="str">
        <f>'1.2 Budgeted Enrollment YR1'!E357</f>
        <v>O Roarke, Thomas ES</v>
      </c>
      <c r="F357" s="590"/>
      <c r="G357" s="220">
        <f>'1.2 Budgeted Enrollment YR1'!G357+('1.2 Budgeted Enrollment YR1'!G357*$Q$2)</f>
        <v>734.74475467895365</v>
      </c>
      <c r="H357" s="219">
        <v>0</v>
      </c>
      <c r="I357" s="220">
        <v>0</v>
      </c>
      <c r="J357" s="219">
        <v>0</v>
      </c>
      <c r="K357" s="220">
        <v>0</v>
      </c>
      <c r="L357" s="73"/>
      <c r="M357" s="2"/>
      <c r="N357"/>
      <c r="O357"/>
      <c r="P357"/>
      <c r="Q357"/>
    </row>
    <row r="358" spans="1:17" ht="18" thickTop="1" thickBot="1" x14ac:dyDescent="0.35">
      <c r="A358" s="38" t="str">
        <f>'1.2 Budgeted Enrollment YR1'!A358</f>
        <v>Clark</v>
      </c>
      <c r="B358" s="40">
        <f>'1.2 Budgeted Enrollment YR1'!B358</f>
        <v>2</v>
      </c>
      <c r="C358" s="40">
        <f>'1.2 Budgeted Enrollment YR1'!C358</f>
        <v>2</v>
      </c>
      <c r="D358" s="40" t="str">
        <f>'1.2 Budgeted Enrollment YR1'!D358</f>
        <v>Las Vegas</v>
      </c>
      <c r="E358" s="38" t="str">
        <f>'1.2 Budgeted Enrollment YR1'!E358</f>
        <v>Ober, D'Vorre &amp; Hal ES</v>
      </c>
      <c r="F358" s="590"/>
      <c r="G358" s="220">
        <f>'1.2 Budgeted Enrollment YR1'!G358+('1.2 Budgeted Enrollment YR1'!G358*$Q$2)</f>
        <v>582.07006081120835</v>
      </c>
      <c r="H358" s="219">
        <v>0</v>
      </c>
      <c r="I358" s="220">
        <v>0</v>
      </c>
      <c r="J358" s="219">
        <v>0</v>
      </c>
      <c r="K358" s="220">
        <v>0</v>
      </c>
      <c r="L358" s="73"/>
      <c r="M358" s="2"/>
      <c r="N358"/>
      <c r="O358"/>
      <c r="P358"/>
      <c r="Q358"/>
    </row>
    <row r="359" spans="1:17" ht="18" thickTop="1" thickBot="1" x14ac:dyDescent="0.35">
      <c r="A359" s="38" t="str">
        <f>'1.2 Budgeted Enrollment YR1'!A359</f>
        <v>Clark</v>
      </c>
      <c r="B359" s="40">
        <f>'1.2 Budgeted Enrollment YR1'!B359</f>
        <v>2</v>
      </c>
      <c r="C359" s="40">
        <f>'1.2 Budgeted Enrollment YR1'!C359</f>
        <v>2</v>
      </c>
      <c r="D359" s="40" t="str">
        <f>'1.2 Budgeted Enrollment YR1'!D359</f>
        <v>Las Vegas</v>
      </c>
      <c r="E359" s="38" t="str">
        <f>'1.2 Budgeted Enrollment YR1'!E359</f>
        <v>O'Callaghan, Mike MS i3 Learn Academy</v>
      </c>
      <c r="F359" s="590"/>
      <c r="G359" s="220">
        <f>'1.2 Budgeted Enrollment YR1'!G359+('1.2 Budgeted Enrollment YR1'!G359*$Q$2)</f>
        <v>1437.7765149134079</v>
      </c>
      <c r="H359" s="219">
        <v>0</v>
      </c>
      <c r="I359" s="220">
        <v>0</v>
      </c>
      <c r="J359" s="219">
        <v>0</v>
      </c>
      <c r="K359" s="220">
        <v>0</v>
      </c>
      <c r="L359" s="73"/>
      <c r="M359" s="2"/>
      <c r="N359"/>
      <c r="O359"/>
      <c r="P359"/>
      <c r="Q359"/>
    </row>
    <row r="360" spans="1:17" ht="18" thickTop="1" thickBot="1" x14ac:dyDescent="0.35">
      <c r="A360" s="38" t="str">
        <f>'1.2 Budgeted Enrollment YR1'!A360</f>
        <v>Clark</v>
      </c>
      <c r="B360" s="40">
        <f>'1.2 Budgeted Enrollment YR1'!B360</f>
        <v>2</v>
      </c>
      <c r="C360" s="40">
        <f>'1.2 Budgeted Enrollment YR1'!C360</f>
        <v>2</v>
      </c>
      <c r="D360" s="40" t="str">
        <f>'1.2 Budgeted Enrollment YR1'!D360</f>
        <v>Las Vegas</v>
      </c>
      <c r="E360" s="38" t="str">
        <f>'1.2 Budgeted Enrollment YR1'!E360</f>
        <v>Orr, William E MS</v>
      </c>
      <c r="F360" s="590"/>
      <c r="G360" s="220">
        <f>'1.2 Budgeted Enrollment YR1'!G360+('1.2 Budgeted Enrollment YR1'!G360*$Q$2)</f>
        <v>783.33628834195201</v>
      </c>
      <c r="H360" s="219">
        <v>0</v>
      </c>
      <c r="I360" s="220">
        <v>0</v>
      </c>
      <c r="J360" s="219">
        <v>0</v>
      </c>
      <c r="K360" s="220">
        <v>0</v>
      </c>
      <c r="L360" s="73"/>
      <c r="M360" s="2"/>
      <c r="N360"/>
      <c r="O360"/>
      <c r="P360"/>
      <c r="Q360"/>
    </row>
    <row r="361" spans="1:17" ht="18" thickTop="1" thickBot="1" x14ac:dyDescent="0.35">
      <c r="A361" s="38" t="str">
        <f>'1.2 Budgeted Enrollment YR1'!A361</f>
        <v>Clark</v>
      </c>
      <c r="B361" s="40">
        <f>'1.2 Budgeted Enrollment YR1'!B361</f>
        <v>2</v>
      </c>
      <c r="C361" s="40">
        <f>'1.2 Budgeted Enrollment YR1'!C361</f>
        <v>2</v>
      </c>
      <c r="D361" s="40" t="str">
        <f>'1.2 Budgeted Enrollment YR1'!D361</f>
        <v>Las Vegas</v>
      </c>
      <c r="E361" s="38" t="str">
        <f>'1.2 Budgeted Enrollment YR1'!E361</f>
        <v>Ortwein, Dennis ES</v>
      </c>
      <c r="F361" s="590"/>
      <c r="G361" s="220">
        <f>'1.2 Budgeted Enrollment YR1'!G361+('1.2 Budgeted Enrollment YR1'!G361*$Q$2)</f>
        <v>705.71189985963304</v>
      </c>
      <c r="H361" s="219">
        <v>0</v>
      </c>
      <c r="I361" s="220">
        <v>0</v>
      </c>
      <c r="J361" s="219">
        <v>0</v>
      </c>
      <c r="K361" s="220">
        <v>0</v>
      </c>
      <c r="L361" s="73"/>
      <c r="M361" s="2"/>
      <c r="N361"/>
      <c r="O361"/>
      <c r="P361"/>
      <c r="Q361"/>
    </row>
    <row r="362" spans="1:17" ht="18" thickTop="1" thickBot="1" x14ac:dyDescent="0.35">
      <c r="A362" s="38" t="str">
        <f>'1.2 Budgeted Enrollment YR1'!A362</f>
        <v>Clark</v>
      </c>
      <c r="B362" s="40">
        <f>'1.2 Budgeted Enrollment YR1'!B362</f>
        <v>2</v>
      </c>
      <c r="C362" s="40">
        <f>'1.2 Budgeted Enrollment YR1'!C362</f>
        <v>2</v>
      </c>
      <c r="D362" s="40" t="str">
        <f>'1.2 Budgeted Enrollment YR1'!D362</f>
        <v>Las Vegas</v>
      </c>
      <c r="E362" s="38" t="str">
        <f>'1.2 Budgeted Enrollment YR1'!E362</f>
        <v>Palo Verde HS</v>
      </c>
      <c r="F362" s="590"/>
      <c r="G362" s="220">
        <f>'1.2 Budgeted Enrollment YR1'!G362+('1.2 Budgeted Enrollment YR1'!G362*$Q$2)</f>
        <v>3152.4620472105094</v>
      </c>
      <c r="H362" s="219">
        <v>0</v>
      </c>
      <c r="I362" s="220">
        <v>0</v>
      </c>
      <c r="J362" s="219">
        <v>0</v>
      </c>
      <c r="K362" s="220">
        <v>0</v>
      </c>
      <c r="L362" s="73"/>
      <c r="M362" s="2"/>
      <c r="N362"/>
      <c r="O362"/>
      <c r="P362"/>
      <c r="Q362"/>
    </row>
    <row r="363" spans="1:17" ht="18" thickTop="1" thickBot="1" x14ac:dyDescent="0.35">
      <c r="A363" s="38" t="str">
        <f>'1.2 Budgeted Enrollment YR1'!A363</f>
        <v>Clark</v>
      </c>
      <c r="B363" s="40">
        <f>'1.2 Budgeted Enrollment YR1'!B363</f>
        <v>2</v>
      </c>
      <c r="C363" s="40">
        <f>'1.2 Budgeted Enrollment YR1'!C363</f>
        <v>2</v>
      </c>
      <c r="D363" s="40" t="str">
        <f>'1.2 Budgeted Enrollment YR1'!D363</f>
        <v>Las Vegas</v>
      </c>
      <c r="E363" s="38" t="str">
        <f>'1.2 Budgeted Enrollment YR1'!E363</f>
        <v>Paradise Prof Dev ES</v>
      </c>
      <c r="F363" s="590"/>
      <c r="G363" s="220">
        <f>'1.2 Budgeted Enrollment YR1'!G363+('1.2 Budgeted Enrollment YR1'!G363*$Q$2)</f>
        <v>443.57030030034082</v>
      </c>
      <c r="H363" s="219">
        <v>0</v>
      </c>
      <c r="I363" s="220">
        <v>0</v>
      </c>
      <c r="J363" s="219">
        <v>0</v>
      </c>
      <c r="K363" s="220">
        <v>0</v>
      </c>
      <c r="L363" s="73"/>
      <c r="M363" s="2"/>
      <c r="N363"/>
      <c r="O363"/>
      <c r="P363"/>
      <c r="Q363"/>
    </row>
    <row r="364" spans="1:17" ht="18" thickTop="1" thickBot="1" x14ac:dyDescent="0.35">
      <c r="A364" s="38" t="str">
        <f>'1.2 Budgeted Enrollment YR1'!A364</f>
        <v>Clark</v>
      </c>
      <c r="B364" s="40">
        <f>'1.2 Budgeted Enrollment YR1'!B364</f>
        <v>2</v>
      </c>
      <c r="C364" s="40">
        <f>'1.2 Budgeted Enrollment YR1'!C364</f>
        <v>2</v>
      </c>
      <c r="D364" s="40" t="str">
        <f>'1.2 Budgeted Enrollment YR1'!D364</f>
        <v>Las Vegas</v>
      </c>
      <c r="E364" s="38" t="str">
        <f>'1.2 Budgeted Enrollment YR1'!E364</f>
        <v>Park, John S ES</v>
      </c>
      <c r="F364" s="590"/>
      <c r="G364" s="220">
        <f>'1.2 Budgeted Enrollment YR1'!G364+('1.2 Budgeted Enrollment YR1'!G364*$Q$2)</f>
        <v>536.42818802043564</v>
      </c>
      <c r="H364" s="219">
        <v>0</v>
      </c>
      <c r="I364" s="220">
        <v>0</v>
      </c>
      <c r="J364" s="219">
        <v>0</v>
      </c>
      <c r="K364" s="220">
        <v>0</v>
      </c>
      <c r="L364" s="73"/>
      <c r="M364" s="2"/>
      <c r="N364"/>
      <c r="O364"/>
      <c r="P364"/>
      <c r="Q364"/>
    </row>
    <row r="365" spans="1:17" ht="18" thickTop="1" thickBot="1" x14ac:dyDescent="0.35">
      <c r="A365" s="38" t="str">
        <f>'1.2 Budgeted Enrollment YR1'!A365</f>
        <v>Clark</v>
      </c>
      <c r="B365" s="40">
        <f>'1.2 Budgeted Enrollment YR1'!B365</f>
        <v>2</v>
      </c>
      <c r="C365" s="40">
        <f>'1.2 Budgeted Enrollment YR1'!C365</f>
        <v>2</v>
      </c>
      <c r="D365" s="40" t="str">
        <f>'1.2 Budgeted Enrollment YR1'!D365</f>
        <v>Las Vegas</v>
      </c>
      <c r="E365" s="38" t="str">
        <f>'1.2 Budgeted Enrollment YR1'!E365</f>
        <v>Parson, Claude &amp; Stella ES</v>
      </c>
      <c r="F365" s="590"/>
      <c r="G365" s="220">
        <f>'1.2 Budgeted Enrollment YR1'!G365+('1.2 Budgeted Enrollment YR1'!G365*$Q$2)</f>
        <v>289.7725530353847</v>
      </c>
      <c r="H365" s="219">
        <v>0</v>
      </c>
      <c r="I365" s="220">
        <v>0</v>
      </c>
      <c r="J365" s="219">
        <v>0</v>
      </c>
      <c r="K365" s="220">
        <v>0</v>
      </c>
      <c r="L365" s="73"/>
      <c r="M365" s="2"/>
      <c r="N365"/>
      <c r="O365"/>
      <c r="P365"/>
      <c r="Q365"/>
    </row>
    <row r="366" spans="1:17" ht="18" thickTop="1" thickBot="1" x14ac:dyDescent="0.35">
      <c r="A366" s="38" t="str">
        <f>'1.2 Budgeted Enrollment YR1'!A366</f>
        <v>Clark</v>
      </c>
      <c r="B366" s="40">
        <f>'1.2 Budgeted Enrollment YR1'!B366</f>
        <v>2</v>
      </c>
      <c r="C366" s="40">
        <f>'1.2 Budgeted Enrollment YR1'!C366</f>
        <v>2</v>
      </c>
      <c r="D366" s="40" t="str">
        <f>'1.2 Budgeted Enrollment YR1'!D366</f>
        <v>Las Vegas</v>
      </c>
      <c r="E366" s="38" t="str">
        <f>'1.2 Budgeted Enrollment YR1'!E366</f>
        <v>Perkins, Dr Claude G ES</v>
      </c>
      <c r="F366" s="590"/>
      <c r="G366" s="220">
        <f>'1.2 Budgeted Enrollment YR1'!G366+('1.2 Budgeted Enrollment YR1'!G366*$Q$2)</f>
        <v>528.13896845538875</v>
      </c>
      <c r="H366" s="219">
        <v>0</v>
      </c>
      <c r="I366" s="220">
        <v>0</v>
      </c>
      <c r="J366" s="219">
        <v>0</v>
      </c>
      <c r="K366" s="220">
        <v>0</v>
      </c>
      <c r="L366" s="73"/>
      <c r="M366" s="2"/>
      <c r="N366"/>
      <c r="O366"/>
      <c r="P366"/>
      <c r="Q366"/>
    </row>
    <row r="367" spans="1:17" ht="18" thickTop="1" thickBot="1" x14ac:dyDescent="0.35">
      <c r="A367" s="38" t="str">
        <f>'1.2 Budgeted Enrollment YR1'!A367</f>
        <v>Clark</v>
      </c>
      <c r="B367" s="40">
        <f>'1.2 Budgeted Enrollment YR1'!B367</f>
        <v>2</v>
      </c>
      <c r="C367" s="40">
        <f>'1.2 Budgeted Enrollment YR1'!C367</f>
        <v>2</v>
      </c>
      <c r="D367" s="40" t="str">
        <f>'1.2 Budgeted Enrollment YR1'!D367</f>
        <v>Moapa Valley</v>
      </c>
      <c r="E367" s="38" t="str">
        <f>'1.2 Budgeted Enrollment YR1'!E367</f>
        <v>Perkins, Ute ES</v>
      </c>
      <c r="F367" s="590"/>
      <c r="G367" s="220">
        <f>'1.2 Budgeted Enrollment YR1'!G367+('1.2 Budgeted Enrollment YR1'!G367*$Q$2)</f>
        <v>139.88373753875626</v>
      </c>
      <c r="H367" s="219">
        <v>0</v>
      </c>
      <c r="I367" s="220">
        <v>0</v>
      </c>
      <c r="J367" s="219">
        <v>0</v>
      </c>
      <c r="K367" s="220">
        <v>0</v>
      </c>
      <c r="L367" s="73"/>
      <c r="M367" s="2"/>
      <c r="N367"/>
      <c r="O367"/>
      <c r="P367"/>
      <c r="Q367"/>
    </row>
    <row r="368" spans="1:17" ht="18" thickTop="1" thickBot="1" x14ac:dyDescent="0.35">
      <c r="A368" s="38" t="str">
        <f>'1.2 Budgeted Enrollment YR1'!A368</f>
        <v>Clark</v>
      </c>
      <c r="B368" s="40">
        <f>'1.2 Budgeted Enrollment YR1'!B368</f>
        <v>2</v>
      </c>
      <c r="C368" s="40">
        <f>'1.2 Budgeted Enrollment YR1'!C368</f>
        <v>2</v>
      </c>
      <c r="D368" s="40" t="str">
        <f>'1.2 Budgeted Enrollment YR1'!D368</f>
        <v>Las Vegas</v>
      </c>
      <c r="E368" s="38" t="str">
        <f>'1.2 Budgeted Enrollment YR1'!E368</f>
        <v>Petersen, Dean ES</v>
      </c>
      <c r="F368" s="590"/>
      <c r="G368" s="220">
        <f>'1.2 Budgeted Enrollment YR1'!G368+('1.2 Budgeted Enrollment YR1'!G368*$Q$2)</f>
        <v>713.38802880421656</v>
      </c>
      <c r="H368" s="219">
        <v>0</v>
      </c>
      <c r="I368" s="220">
        <v>0</v>
      </c>
      <c r="J368" s="219">
        <v>0</v>
      </c>
      <c r="K368" s="220">
        <v>0</v>
      </c>
      <c r="L368" s="73"/>
      <c r="M368" s="2"/>
      <c r="N368"/>
      <c r="O368"/>
      <c r="P368"/>
      <c r="Q368"/>
    </row>
    <row r="369" spans="1:17" ht="18" thickTop="1" thickBot="1" x14ac:dyDescent="0.35">
      <c r="A369" s="38" t="str">
        <f>'1.2 Budgeted Enrollment YR1'!A369</f>
        <v>Clark</v>
      </c>
      <c r="B369" s="40">
        <f>'1.2 Budgeted Enrollment YR1'!B369</f>
        <v>2</v>
      </c>
      <c r="C369" s="40">
        <f>'1.2 Budgeted Enrollment YR1'!C369</f>
        <v>2</v>
      </c>
      <c r="D369" s="40" t="str">
        <f>'1.2 Budgeted Enrollment YR1'!D369</f>
        <v>Las Vegas</v>
      </c>
      <c r="E369" s="38" t="str">
        <f>'1.2 Budgeted Enrollment YR1'!E369</f>
        <v>Peterson Academic Center J-SHS</v>
      </c>
      <c r="F369" s="590"/>
      <c r="G369" s="220">
        <f>'1.2 Budgeted Enrollment YR1'!G369+('1.2 Budgeted Enrollment YR1'!G369*$Q$2)</f>
        <v>172.95105495197961</v>
      </c>
      <c r="H369" s="219">
        <v>0</v>
      </c>
      <c r="I369" s="220">
        <v>0</v>
      </c>
      <c r="J369" s="219">
        <v>0</v>
      </c>
      <c r="K369" s="220">
        <v>0</v>
      </c>
      <c r="L369" s="73"/>
      <c r="M369" s="2"/>
      <c r="N369"/>
      <c r="O369"/>
      <c r="P369"/>
      <c r="Q369"/>
    </row>
    <row r="370" spans="1:17" ht="18" thickTop="1" thickBot="1" x14ac:dyDescent="0.35">
      <c r="A370" s="38" t="str">
        <f>'1.2 Budgeted Enrollment YR1'!A370</f>
        <v>Clark</v>
      </c>
      <c r="B370" s="40">
        <f>'1.2 Budgeted Enrollment YR1'!B370</f>
        <v>2</v>
      </c>
      <c r="C370" s="40">
        <f>'1.2 Budgeted Enrollment YR1'!C370</f>
        <v>2</v>
      </c>
      <c r="D370" s="40" t="str">
        <f>'1.2 Budgeted Enrollment YR1'!D370</f>
        <v>Las Vegas</v>
      </c>
      <c r="E370" s="38" t="str">
        <f>'1.2 Budgeted Enrollment YR1'!E370</f>
        <v>Piggott Academy ES</v>
      </c>
      <c r="F370" s="590"/>
      <c r="G370" s="220">
        <f>'1.2 Budgeted Enrollment YR1'!G370+('1.2 Budgeted Enrollment YR1'!G370*$Q$2)</f>
        <v>694.72460358342505</v>
      </c>
      <c r="H370" s="219">
        <v>0</v>
      </c>
      <c r="I370" s="220">
        <v>0</v>
      </c>
      <c r="J370" s="219">
        <v>0</v>
      </c>
      <c r="K370" s="220">
        <v>0</v>
      </c>
      <c r="L370" s="73"/>
      <c r="M370" s="2"/>
      <c r="N370"/>
      <c r="O370"/>
      <c r="P370"/>
      <c r="Q370"/>
    </row>
    <row r="371" spans="1:17" ht="18" thickTop="1" thickBot="1" x14ac:dyDescent="0.35">
      <c r="A371" s="38" t="str">
        <f>'1.2 Budgeted Enrollment YR1'!A371</f>
        <v>Clark</v>
      </c>
      <c r="B371" s="40">
        <f>'1.2 Budgeted Enrollment YR1'!B371</f>
        <v>2</v>
      </c>
      <c r="C371" s="40">
        <f>'1.2 Budgeted Enrollment YR1'!C371</f>
        <v>2</v>
      </c>
      <c r="D371" s="40" t="str">
        <f>'1.2 Budgeted Enrollment YR1'!D371</f>
        <v>Las Vegas</v>
      </c>
      <c r="E371" s="38" t="str">
        <f>'1.2 Budgeted Enrollment YR1'!E371</f>
        <v>Pittman, Vail ES</v>
      </c>
      <c r="F371" s="590"/>
      <c r="G371" s="220">
        <f>'1.2 Budgeted Enrollment YR1'!G371+('1.2 Budgeted Enrollment YR1'!G371*$Q$2)</f>
        <v>503.1504219780341</v>
      </c>
      <c r="H371" s="219">
        <v>0</v>
      </c>
      <c r="I371" s="220">
        <v>0</v>
      </c>
      <c r="J371" s="219">
        <v>0</v>
      </c>
      <c r="K371" s="220">
        <v>0</v>
      </c>
      <c r="L371" s="73"/>
      <c r="M371" s="2"/>
      <c r="N371"/>
      <c r="O371"/>
      <c r="P371"/>
      <c r="Q371"/>
    </row>
    <row r="372" spans="1:17" ht="18" thickTop="1" thickBot="1" x14ac:dyDescent="0.35">
      <c r="A372" s="38" t="str">
        <f>'1.2 Budgeted Enrollment YR1'!A372</f>
        <v>Clark</v>
      </c>
      <c r="B372" s="40">
        <f>'1.2 Budgeted Enrollment YR1'!B372</f>
        <v>2</v>
      </c>
      <c r="C372" s="40">
        <f>'1.2 Budgeted Enrollment YR1'!C372</f>
        <v>2</v>
      </c>
      <c r="D372" s="40" t="str">
        <f>'1.2 Budgeted Enrollment YR1'!D372</f>
        <v>Las Vegas</v>
      </c>
      <c r="E372" s="38" t="str">
        <f>'1.2 Budgeted Enrollment YR1'!E372</f>
        <v>Priest, Richard C ES</v>
      </c>
      <c r="F372" s="590"/>
      <c r="G372" s="220">
        <f>'1.2 Budgeted Enrollment YR1'!G372+('1.2 Budgeted Enrollment YR1'!G372*$Q$2)</f>
        <v>631.96194971366504</v>
      </c>
      <c r="H372" s="219">
        <v>0</v>
      </c>
      <c r="I372" s="220">
        <v>0</v>
      </c>
      <c r="J372" s="219">
        <v>0</v>
      </c>
      <c r="K372" s="220">
        <v>0</v>
      </c>
      <c r="L372" s="73"/>
      <c r="M372" s="2"/>
      <c r="N372"/>
      <c r="O372"/>
      <c r="P372"/>
      <c r="Q372"/>
    </row>
    <row r="373" spans="1:17" ht="18" thickTop="1" thickBot="1" x14ac:dyDescent="0.35">
      <c r="A373" s="38" t="str">
        <f>'1.2 Budgeted Enrollment YR1'!A373</f>
        <v>Clark</v>
      </c>
      <c r="B373" s="40">
        <f>'1.2 Budgeted Enrollment YR1'!B373</f>
        <v>2</v>
      </c>
      <c r="C373" s="40">
        <f>'1.2 Budgeted Enrollment YR1'!C373</f>
        <v>2</v>
      </c>
      <c r="D373" s="40" t="str">
        <f>'1.2 Budgeted Enrollment YR1'!D373</f>
        <v>Las Vegas</v>
      </c>
      <c r="E373" s="38" t="str">
        <f>'1.2 Budgeted Enrollment YR1'!E373</f>
        <v>Rancho HS</v>
      </c>
      <c r="F373" s="590"/>
      <c r="G373" s="220">
        <f>'1.2 Budgeted Enrollment YR1'!G373+('1.2 Budgeted Enrollment YR1'!G373*$Q$2)</f>
        <v>3014.6059279981309</v>
      </c>
      <c r="H373" s="219">
        <v>0</v>
      </c>
      <c r="I373" s="220">
        <v>0</v>
      </c>
      <c r="J373" s="219">
        <v>0</v>
      </c>
      <c r="K373" s="220">
        <v>0</v>
      </c>
      <c r="L373" s="73"/>
      <c r="M373" s="2"/>
      <c r="N373"/>
      <c r="O373"/>
      <c r="P373"/>
      <c r="Q373"/>
    </row>
    <row r="374" spans="1:17" ht="18" thickTop="1" thickBot="1" x14ac:dyDescent="0.35">
      <c r="A374" s="38" t="str">
        <f>'1.2 Budgeted Enrollment YR1'!A374</f>
        <v>Clark</v>
      </c>
      <c r="B374" s="40">
        <f>'1.2 Budgeted Enrollment YR1'!B374</f>
        <v>2</v>
      </c>
      <c r="C374" s="40">
        <f>'1.2 Budgeted Enrollment YR1'!C374</f>
        <v>2</v>
      </c>
      <c r="D374" s="40" t="str">
        <f>'1.2 Budgeted Enrollment YR1'!D374</f>
        <v>Las Vegas</v>
      </c>
      <c r="E374" s="38" t="str">
        <f>'1.2 Budgeted Enrollment YR1'!E374</f>
        <v>Red Rock ES</v>
      </c>
      <c r="F374" s="590"/>
      <c r="G374" s="220">
        <f>'1.2 Budgeted Enrollment YR1'!G374+('1.2 Budgeted Enrollment YR1'!G374*$Q$2)</f>
        <v>476.26985128335889</v>
      </c>
      <c r="H374" s="219">
        <v>0</v>
      </c>
      <c r="I374" s="220">
        <v>0</v>
      </c>
      <c r="J374" s="219">
        <v>0</v>
      </c>
      <c r="K374" s="220">
        <v>0</v>
      </c>
      <c r="L374" s="73"/>
      <c r="M374" s="2"/>
      <c r="N374"/>
      <c r="O374"/>
      <c r="P374"/>
      <c r="Q374"/>
    </row>
    <row r="375" spans="1:17" ht="18" thickTop="1" thickBot="1" x14ac:dyDescent="0.35">
      <c r="A375" s="38" t="str">
        <f>'1.2 Budgeted Enrollment YR1'!A375</f>
        <v>Clark</v>
      </c>
      <c r="B375" s="40">
        <f>'1.2 Budgeted Enrollment YR1'!B375</f>
        <v>2</v>
      </c>
      <c r="C375" s="40">
        <f>'1.2 Budgeted Enrollment YR1'!C375</f>
        <v>2</v>
      </c>
      <c r="D375" s="40" t="str">
        <f>'1.2 Budgeted Enrollment YR1'!D375</f>
        <v>Las Vegas</v>
      </c>
      <c r="E375" s="38" t="str">
        <f>'1.2 Budgeted Enrollment YR1'!E375</f>
        <v>Reed, Doris M ES</v>
      </c>
      <c r="F375" s="590"/>
      <c r="G375" s="220">
        <f>'1.2 Budgeted Enrollment YR1'!G375+('1.2 Budgeted Enrollment YR1'!G375*$Q$2)</f>
        <v>603.22399871349933</v>
      </c>
      <c r="H375" s="219">
        <v>0</v>
      </c>
      <c r="I375" s="220">
        <v>0</v>
      </c>
      <c r="J375" s="219">
        <v>0</v>
      </c>
      <c r="K375" s="220">
        <v>0</v>
      </c>
      <c r="L375" s="73"/>
      <c r="M375" s="2"/>
      <c r="N375"/>
      <c r="O375"/>
      <c r="P375"/>
      <c r="Q375"/>
    </row>
    <row r="376" spans="1:17" ht="18" thickTop="1" thickBot="1" x14ac:dyDescent="0.35">
      <c r="A376" s="38" t="str">
        <f>'1.2 Budgeted Enrollment YR1'!A376</f>
        <v>Clark</v>
      </c>
      <c r="B376" s="40">
        <f>'1.2 Budgeted Enrollment YR1'!B376</f>
        <v>2</v>
      </c>
      <c r="C376" s="40">
        <f>'1.2 Budgeted Enrollment YR1'!C376</f>
        <v>2</v>
      </c>
      <c r="D376" s="40" t="str">
        <f>'1.2 Budgeted Enrollment YR1'!D376</f>
        <v>Las Vegas</v>
      </c>
      <c r="E376" s="38" t="str">
        <f>'1.2 Budgeted Enrollment YR1'!E376</f>
        <v>Reedom, Carolyn S ES</v>
      </c>
      <c r="F376" s="590"/>
      <c r="G376" s="220">
        <f>'1.2 Budgeted Enrollment YR1'!G376+('1.2 Budgeted Enrollment YR1'!G376*$Q$2)</f>
        <v>519.00730043140868</v>
      </c>
      <c r="H376" s="219">
        <v>0</v>
      </c>
      <c r="I376" s="220">
        <v>0</v>
      </c>
      <c r="J376" s="219">
        <v>0</v>
      </c>
      <c r="K376" s="220">
        <v>0</v>
      </c>
      <c r="L376" s="73"/>
      <c r="M376" s="2"/>
      <c r="N376"/>
      <c r="O376"/>
      <c r="P376"/>
      <c r="Q376"/>
    </row>
    <row r="377" spans="1:17" ht="18" thickTop="1" thickBot="1" x14ac:dyDescent="0.35">
      <c r="A377" s="38" t="str">
        <f>'1.2 Budgeted Enrollment YR1'!A377</f>
        <v>Clark</v>
      </c>
      <c r="B377" s="40">
        <f>'1.2 Budgeted Enrollment YR1'!B377</f>
        <v>2</v>
      </c>
      <c r="C377" s="40">
        <f>'1.2 Budgeted Enrollment YR1'!C377</f>
        <v>2</v>
      </c>
      <c r="D377" s="40" t="str">
        <f>'1.2 Budgeted Enrollment YR1'!D377</f>
        <v>Searchlight</v>
      </c>
      <c r="E377" s="38" t="str">
        <f>'1.2 Budgeted Enrollment YR1'!E377</f>
        <v>Reid, Harry ES</v>
      </c>
      <c r="F377" s="590"/>
      <c r="G377" s="220">
        <f>'1.2 Budgeted Enrollment YR1'!G377+('1.2 Budgeted Enrollment YR1'!G377*$Q$2)</f>
        <v>9.3107813166609983</v>
      </c>
      <c r="H377" s="219">
        <v>0</v>
      </c>
      <c r="I377" s="220">
        <v>0</v>
      </c>
      <c r="J377" s="219">
        <v>0</v>
      </c>
      <c r="K377" s="220">
        <v>0</v>
      </c>
      <c r="L377" s="73"/>
      <c r="M377" s="2"/>
      <c r="N377"/>
      <c r="O377"/>
      <c r="P377"/>
      <c r="Q377"/>
    </row>
    <row r="378" spans="1:17" ht="18" thickTop="1" thickBot="1" x14ac:dyDescent="0.35">
      <c r="A378" s="38" t="str">
        <f>'1.2 Budgeted Enrollment YR1'!A378</f>
        <v>Clark</v>
      </c>
      <c r="B378" s="40">
        <f>'1.2 Budgeted Enrollment YR1'!B378</f>
        <v>2</v>
      </c>
      <c r="C378" s="40">
        <f>'1.2 Budgeted Enrollment YR1'!C378</f>
        <v>2</v>
      </c>
      <c r="D378" s="40" t="str">
        <f>'1.2 Budgeted Enrollment YR1'!D378</f>
        <v>Las Vegas</v>
      </c>
      <c r="E378" s="38" t="str">
        <f>'1.2 Budgeted Enrollment YR1'!E378</f>
        <v>Rhodes, Betsy ES</v>
      </c>
      <c r="F378" s="590"/>
      <c r="G378" s="220">
        <f>'1.2 Budgeted Enrollment YR1'!G378+('1.2 Budgeted Enrollment YR1'!G378*$Q$2)</f>
        <v>561.41860497877826</v>
      </c>
      <c r="H378" s="219">
        <v>0</v>
      </c>
      <c r="I378" s="220">
        <v>0</v>
      </c>
      <c r="J378" s="219">
        <v>0</v>
      </c>
      <c r="K378" s="220">
        <v>0</v>
      </c>
      <c r="L378" s="73"/>
      <c r="M378" s="2"/>
      <c r="N378"/>
      <c r="O378"/>
      <c r="P378"/>
      <c r="Q378"/>
    </row>
    <row r="379" spans="1:17" ht="18" thickTop="1" thickBot="1" x14ac:dyDescent="0.35">
      <c r="A379" s="38" t="str">
        <f>'1.2 Budgeted Enrollment YR1'!A379</f>
        <v>Clark</v>
      </c>
      <c r="B379" s="40">
        <f>'1.2 Budgeted Enrollment YR1'!B379</f>
        <v>2</v>
      </c>
      <c r="C379" s="40">
        <f>'1.2 Budgeted Enrollment YR1'!C379</f>
        <v>2</v>
      </c>
      <c r="D379" s="40" t="str">
        <f>'1.2 Budgeted Enrollment YR1'!D379</f>
        <v>Las Vegas</v>
      </c>
      <c r="E379" s="38" t="str">
        <f>'1.2 Budgeted Enrollment YR1'!E379</f>
        <v>Ries, Aldeane Comito ES</v>
      </c>
      <c r="F379" s="590"/>
      <c r="G379" s="220">
        <f>'1.2 Budgeted Enrollment YR1'!G379+('1.2 Budgeted Enrollment YR1'!G379*$Q$2)</f>
        <v>737.10425144098861</v>
      </c>
      <c r="H379" s="219">
        <v>0</v>
      </c>
      <c r="I379" s="220">
        <v>0</v>
      </c>
      <c r="J379" s="219">
        <v>0</v>
      </c>
      <c r="K379" s="220">
        <v>0</v>
      </c>
      <c r="L379" s="73"/>
      <c r="M379" s="2"/>
      <c r="N379"/>
      <c r="O379"/>
      <c r="P379"/>
      <c r="Q379"/>
    </row>
    <row r="380" spans="1:17" ht="18" thickTop="1" thickBot="1" x14ac:dyDescent="0.35">
      <c r="A380" s="38" t="str">
        <f>'1.2 Budgeted Enrollment YR1'!A380</f>
        <v>Clark</v>
      </c>
      <c r="B380" s="40">
        <f>'1.2 Budgeted Enrollment YR1'!B380</f>
        <v>2</v>
      </c>
      <c r="C380" s="40">
        <f>'1.2 Budgeted Enrollment YR1'!C380</f>
        <v>2</v>
      </c>
      <c r="D380" s="40" t="str">
        <f>'1.2 Budgeted Enrollment YR1'!D380</f>
        <v>Las Vegas</v>
      </c>
      <c r="E380" s="38" t="str">
        <f>'1.2 Budgeted Enrollment YR1'!E380</f>
        <v>Roberts, Aggie ES</v>
      </c>
      <c r="F380" s="590"/>
      <c r="G380" s="220">
        <f>'1.2 Budgeted Enrollment YR1'!G380+('1.2 Budgeted Enrollment YR1'!G380*$Q$2)</f>
        <v>464.22043175613044</v>
      </c>
      <c r="H380" s="219">
        <v>0</v>
      </c>
      <c r="I380" s="220">
        <v>0</v>
      </c>
      <c r="J380" s="219">
        <v>0</v>
      </c>
      <c r="K380" s="220">
        <v>0</v>
      </c>
      <c r="L380" s="73"/>
      <c r="M380" s="2"/>
      <c r="N380"/>
      <c r="O380"/>
      <c r="P380"/>
      <c r="Q380"/>
    </row>
    <row r="381" spans="1:17" ht="18" thickTop="1" thickBot="1" x14ac:dyDescent="0.35">
      <c r="A381" s="38" t="str">
        <f>'1.2 Budgeted Enrollment YR1'!A381</f>
        <v>Clark</v>
      </c>
      <c r="B381" s="40">
        <f>'1.2 Budgeted Enrollment YR1'!B381</f>
        <v>2</v>
      </c>
      <c r="C381" s="40">
        <f>'1.2 Budgeted Enrollment YR1'!C381</f>
        <v>2</v>
      </c>
      <c r="D381" s="40" t="str">
        <f>'1.2 Budgeted Enrollment YR1'!D381</f>
        <v>Las Vegas</v>
      </c>
      <c r="E381" s="38" t="str">
        <f>'1.2 Budgeted Enrollment YR1'!E381</f>
        <v>Robison, Dell H MS</v>
      </c>
      <c r="F381" s="590"/>
      <c r="G381" s="220">
        <f>'1.2 Budgeted Enrollment YR1'!G381+('1.2 Budgeted Enrollment YR1'!G381*$Q$2)</f>
        <v>756.19929979473579</v>
      </c>
      <c r="H381" s="219">
        <v>0</v>
      </c>
      <c r="I381" s="220">
        <v>0</v>
      </c>
      <c r="J381" s="219">
        <v>0</v>
      </c>
      <c r="K381" s="220">
        <v>0</v>
      </c>
      <c r="L381" s="73"/>
      <c r="M381" s="2"/>
      <c r="N381"/>
      <c r="O381"/>
      <c r="P381"/>
      <c r="Q381"/>
    </row>
    <row r="382" spans="1:17" ht="18" thickTop="1" thickBot="1" x14ac:dyDescent="0.35">
      <c r="A382" s="38" t="str">
        <f>'1.2 Budgeted Enrollment YR1'!A382</f>
        <v>Clark</v>
      </c>
      <c r="B382" s="40">
        <f>'1.2 Budgeted Enrollment YR1'!B382</f>
        <v>2</v>
      </c>
      <c r="C382" s="40">
        <f>'1.2 Budgeted Enrollment YR1'!C382</f>
        <v>2</v>
      </c>
      <c r="D382" s="40" t="str">
        <f>'1.2 Budgeted Enrollment YR1'!D382</f>
        <v>Las Vegas</v>
      </c>
      <c r="E382" s="38" t="str">
        <f>'1.2 Budgeted Enrollment YR1'!E382</f>
        <v>Rogers, Lucille S ES</v>
      </c>
      <c r="F382" s="590"/>
      <c r="G382" s="220">
        <f>'1.2 Budgeted Enrollment YR1'!G382+('1.2 Budgeted Enrollment YR1'!G382*$Q$2)</f>
        <v>686.45460063698727</v>
      </c>
      <c r="H382" s="219">
        <v>0</v>
      </c>
      <c r="I382" s="220">
        <v>0</v>
      </c>
      <c r="J382" s="219">
        <v>0</v>
      </c>
      <c r="K382" s="220">
        <v>0</v>
      </c>
      <c r="L382" s="73"/>
      <c r="M382" s="2"/>
      <c r="N382"/>
      <c r="O382"/>
      <c r="P382"/>
      <c r="Q382"/>
    </row>
    <row r="383" spans="1:17" ht="18" thickTop="1" thickBot="1" x14ac:dyDescent="0.35">
      <c r="A383" s="38" t="str">
        <f>'1.2 Budgeted Enrollment YR1'!A383</f>
        <v>Clark</v>
      </c>
      <c r="B383" s="40">
        <f>'1.2 Budgeted Enrollment YR1'!B383</f>
        <v>2</v>
      </c>
      <c r="C383" s="40">
        <f>'1.2 Budgeted Enrollment YR1'!C383</f>
        <v>2</v>
      </c>
      <c r="D383" s="40" t="str">
        <f>'1.2 Budgeted Enrollment YR1'!D383</f>
        <v>Las Vegas</v>
      </c>
      <c r="E383" s="38" t="str">
        <f>'1.2 Budgeted Enrollment YR1'!E383</f>
        <v>Rogich, Sig MS</v>
      </c>
      <c r="F383" s="590"/>
      <c r="G383" s="220">
        <f>'1.2 Budgeted Enrollment YR1'!G383+('1.2 Budgeted Enrollment YR1'!G383*$Q$2)</f>
        <v>1575.3954607964747</v>
      </c>
      <c r="H383" s="219">
        <v>0</v>
      </c>
      <c r="I383" s="220">
        <v>0</v>
      </c>
      <c r="J383" s="219">
        <v>0</v>
      </c>
      <c r="K383" s="220">
        <v>0</v>
      </c>
      <c r="L383" s="73"/>
      <c r="M383" s="2"/>
      <c r="N383"/>
      <c r="O383"/>
      <c r="P383"/>
      <c r="Q383"/>
    </row>
    <row r="384" spans="1:17" ht="18" thickTop="1" thickBot="1" x14ac:dyDescent="0.35">
      <c r="A384" s="38" t="str">
        <f>'1.2 Budgeted Enrollment YR1'!A384</f>
        <v>Clark</v>
      </c>
      <c r="B384" s="40">
        <f>'1.2 Budgeted Enrollment YR1'!B384</f>
        <v>2</v>
      </c>
      <c r="C384" s="40">
        <f>'1.2 Budgeted Enrollment YR1'!C384</f>
        <v>2</v>
      </c>
      <c r="D384" s="40" t="str">
        <f>'1.2 Budgeted Enrollment YR1'!D384</f>
        <v>Las Vegas</v>
      </c>
      <c r="E384" s="38" t="str">
        <f>'1.2 Budgeted Enrollment YR1'!E384</f>
        <v>Ronnow, C C ES</v>
      </c>
      <c r="F384" s="590"/>
      <c r="G384" s="220">
        <f>'1.2 Budgeted Enrollment YR1'!G384+('1.2 Budgeted Enrollment YR1'!G384*$Q$2)</f>
        <v>501.03618935250955</v>
      </c>
      <c r="H384" s="219">
        <v>0</v>
      </c>
      <c r="I384" s="220">
        <v>0</v>
      </c>
      <c r="J384" s="219">
        <v>0</v>
      </c>
      <c r="K384" s="220">
        <v>0</v>
      </c>
      <c r="L384" s="73"/>
      <c r="M384" s="2"/>
      <c r="N384"/>
      <c r="O384"/>
      <c r="P384"/>
      <c r="Q384"/>
    </row>
    <row r="385" spans="1:17" ht="18" thickTop="1" thickBot="1" x14ac:dyDescent="0.35">
      <c r="A385" s="38" t="str">
        <f>'1.2 Budgeted Enrollment YR1'!A385</f>
        <v>Clark</v>
      </c>
      <c r="B385" s="40">
        <f>'1.2 Budgeted Enrollment YR1'!B385</f>
        <v>2</v>
      </c>
      <c r="C385" s="40">
        <f>'1.2 Budgeted Enrollment YR1'!C385</f>
        <v>2</v>
      </c>
      <c r="D385" s="40" t="str">
        <f>'1.2 Budgeted Enrollment YR1'!D385</f>
        <v>Las Vegas</v>
      </c>
      <c r="E385" s="38" t="str">
        <f>'1.2 Budgeted Enrollment YR1'!E385</f>
        <v>Ronzone, Bertha ES</v>
      </c>
      <c r="F385" s="590"/>
      <c r="G385" s="220">
        <f>'1.2 Budgeted Enrollment YR1'!G385+('1.2 Budgeted Enrollment YR1'!G385*$Q$2)</f>
        <v>672.21691055861618</v>
      </c>
      <c r="H385" s="219">
        <v>0</v>
      </c>
      <c r="I385" s="220">
        <v>0</v>
      </c>
      <c r="J385" s="219">
        <v>0</v>
      </c>
      <c r="K385" s="220">
        <v>0</v>
      </c>
      <c r="L385" s="73"/>
      <c r="M385" s="2"/>
      <c r="N385"/>
      <c r="O385"/>
      <c r="P385"/>
      <c r="Q385"/>
    </row>
    <row r="386" spans="1:17" ht="18" thickTop="1" thickBot="1" x14ac:dyDescent="0.35">
      <c r="A386" s="38" t="str">
        <f>'1.2 Budgeted Enrollment YR1'!A386</f>
        <v>Clark</v>
      </c>
      <c r="B386" s="40">
        <f>'1.2 Budgeted Enrollment YR1'!B386</f>
        <v>2</v>
      </c>
      <c r="C386" s="40">
        <f>'1.2 Budgeted Enrollment YR1'!C386</f>
        <v>2</v>
      </c>
      <c r="D386" s="40" t="str">
        <f>'1.2 Budgeted Enrollment YR1'!D386</f>
        <v>Las Vegas</v>
      </c>
      <c r="E386" s="38" t="str">
        <f>'1.2 Budgeted Enrollment YR1'!E386</f>
        <v>Roundy, Dr C Owen ES</v>
      </c>
      <c r="F386" s="590"/>
      <c r="G386" s="220">
        <f>'1.2 Budgeted Enrollment YR1'!G386+('1.2 Budgeted Enrollment YR1'!G386*$Q$2)</f>
        <v>627.9486835561504</v>
      </c>
      <c r="H386" s="219">
        <v>0</v>
      </c>
      <c r="I386" s="220">
        <v>0</v>
      </c>
      <c r="J386" s="219">
        <v>0</v>
      </c>
      <c r="K386" s="220">
        <v>0</v>
      </c>
      <c r="L386" s="73"/>
      <c r="M386" s="2"/>
      <c r="N386"/>
      <c r="O386"/>
      <c r="P386"/>
      <c r="Q386"/>
    </row>
    <row r="387" spans="1:17" ht="18" thickTop="1" thickBot="1" x14ac:dyDescent="0.35">
      <c r="A387" s="38" t="str">
        <f>'1.2 Budgeted Enrollment YR1'!A387</f>
        <v>Clark</v>
      </c>
      <c r="B387" s="40">
        <f>'1.2 Budgeted Enrollment YR1'!B387</f>
        <v>2</v>
      </c>
      <c r="C387" s="40">
        <f>'1.2 Budgeted Enrollment YR1'!C387</f>
        <v>2</v>
      </c>
      <c r="D387" s="40" t="str">
        <f>'1.2 Budgeted Enrollment YR1'!D387</f>
        <v>Las Vegas</v>
      </c>
      <c r="E387" s="38" t="str">
        <f>'1.2 Budgeted Enrollment YR1'!E387</f>
        <v>Rowe, Lewis E ES</v>
      </c>
      <c r="F387" s="590"/>
      <c r="G387" s="220">
        <f>'1.2 Budgeted Enrollment YR1'!G387+('1.2 Budgeted Enrollment YR1'!G387*$Q$2)</f>
        <v>540.52645478096906</v>
      </c>
      <c r="H387" s="219">
        <v>0</v>
      </c>
      <c r="I387" s="220">
        <v>0</v>
      </c>
      <c r="J387" s="219">
        <v>0</v>
      </c>
      <c r="K387" s="220">
        <v>0</v>
      </c>
      <c r="L387" s="73"/>
      <c r="M387" s="2"/>
      <c r="N387"/>
      <c r="O387"/>
      <c r="P387"/>
      <c r="Q387"/>
    </row>
    <row r="388" spans="1:17" ht="18" thickTop="1" thickBot="1" x14ac:dyDescent="0.35">
      <c r="A388" s="38" t="str">
        <f>'1.2 Budgeted Enrollment YR1'!A388</f>
        <v>Clark</v>
      </c>
      <c r="B388" s="40">
        <f>'1.2 Budgeted Enrollment YR1'!B388</f>
        <v>2</v>
      </c>
      <c r="C388" s="40">
        <f>'1.2 Budgeted Enrollment YR1'!C388</f>
        <v>2</v>
      </c>
      <c r="D388" s="40" t="str">
        <f>'1.2 Budgeted Enrollment YR1'!D388</f>
        <v>Las Vegas</v>
      </c>
      <c r="E388" s="38" t="str">
        <f>'1.2 Budgeted Enrollment YR1'!E388</f>
        <v>Rundle, Richard ES</v>
      </c>
      <c r="F388" s="590"/>
      <c r="G388" s="220">
        <f>'1.2 Budgeted Enrollment YR1'!G388+('1.2 Budgeted Enrollment YR1'!G388*$Q$2)</f>
        <v>628.8642423156457</v>
      </c>
      <c r="H388" s="219">
        <v>0</v>
      </c>
      <c r="I388" s="220">
        <v>0</v>
      </c>
      <c r="J388" s="219">
        <v>0</v>
      </c>
      <c r="K388" s="220">
        <v>0</v>
      </c>
      <c r="L388" s="73"/>
      <c r="M388" s="2"/>
      <c r="N388"/>
      <c r="O388"/>
      <c r="P388"/>
      <c r="Q388"/>
    </row>
    <row r="389" spans="1:17" ht="18" thickTop="1" thickBot="1" x14ac:dyDescent="0.35">
      <c r="A389" s="38" t="str">
        <f>'1.2 Budgeted Enrollment YR1'!A389</f>
        <v>Clark</v>
      </c>
      <c r="B389" s="40">
        <f>'1.2 Budgeted Enrollment YR1'!B389</f>
        <v>2</v>
      </c>
      <c r="C389" s="40">
        <f>'1.2 Budgeted Enrollment YR1'!C389</f>
        <v>2</v>
      </c>
      <c r="D389" s="40" t="str">
        <f>'1.2 Budgeted Enrollment YR1'!D389</f>
        <v>Sandy Valley</v>
      </c>
      <c r="E389" s="38" t="str">
        <f>'1.2 Budgeted Enrollment YR1'!E389</f>
        <v>Sandy Valley ES</v>
      </c>
      <c r="F389" s="590"/>
      <c r="G389" s="220">
        <f>'1.2 Budgeted Enrollment YR1'!G389+('1.2 Budgeted Enrollment YR1'!G389*$Q$2)</f>
        <v>105.42980064981536</v>
      </c>
      <c r="H389" s="219">
        <v>0</v>
      </c>
      <c r="I389" s="220">
        <v>0</v>
      </c>
      <c r="J389" s="219">
        <v>0</v>
      </c>
      <c r="K389" s="220">
        <v>0</v>
      </c>
      <c r="L389" s="73"/>
      <c r="M389" s="2"/>
      <c r="N389"/>
      <c r="O389"/>
      <c r="P389"/>
      <c r="Q389"/>
    </row>
    <row r="390" spans="1:17" ht="18" thickTop="1" thickBot="1" x14ac:dyDescent="0.35">
      <c r="A390" s="38" t="str">
        <f>'1.2 Budgeted Enrollment YR1'!A390</f>
        <v>Clark</v>
      </c>
      <c r="B390" s="40">
        <f>'1.2 Budgeted Enrollment YR1'!B390</f>
        <v>2</v>
      </c>
      <c r="C390" s="40">
        <f>'1.2 Budgeted Enrollment YR1'!C390</f>
        <v>2</v>
      </c>
      <c r="D390" s="40" t="str">
        <f>'1.2 Budgeted Enrollment YR1'!D390</f>
        <v>Sandy Valley</v>
      </c>
      <c r="E390" s="38" t="str">
        <f>'1.2 Budgeted Enrollment YR1'!E390</f>
        <v>Sandy Valley J-SHS</v>
      </c>
      <c r="F390" s="590"/>
      <c r="G390" s="220">
        <f>'1.2 Budgeted Enrollment YR1'!G390+('1.2 Budgeted Enrollment YR1'!G390*$Q$2)</f>
        <v>185.85894964805476</v>
      </c>
      <c r="H390" s="219">
        <v>0</v>
      </c>
      <c r="I390" s="220">
        <v>0</v>
      </c>
      <c r="J390" s="219">
        <v>0</v>
      </c>
      <c r="K390" s="220">
        <v>0</v>
      </c>
      <c r="L390" s="73"/>
      <c r="M390" s="2"/>
      <c r="N390"/>
      <c r="O390"/>
      <c r="P390"/>
      <c r="Q390"/>
    </row>
    <row r="391" spans="1:17" ht="18" thickTop="1" thickBot="1" x14ac:dyDescent="0.35">
      <c r="A391" s="38" t="str">
        <f>'1.2 Budgeted Enrollment YR1'!A391</f>
        <v>Clark</v>
      </c>
      <c r="B391" s="40">
        <f>'1.2 Budgeted Enrollment YR1'!B391</f>
        <v>2</v>
      </c>
      <c r="C391" s="40">
        <f>'1.2 Budgeted Enrollment YR1'!C391</f>
        <v>2</v>
      </c>
      <c r="D391" s="40" t="str">
        <f>'1.2 Budgeted Enrollment YR1'!D391</f>
        <v>Las Vegas</v>
      </c>
      <c r="E391" s="38" t="str">
        <f>'1.2 Budgeted Enrollment YR1'!E391</f>
        <v>Saville, Anthony MS</v>
      </c>
      <c r="F391" s="590"/>
      <c r="G391" s="220">
        <f>'1.2 Budgeted Enrollment YR1'!G391+('1.2 Budgeted Enrollment YR1'!G391*$Q$2)</f>
        <v>1468.6191940380363</v>
      </c>
      <c r="H391" s="219">
        <v>0</v>
      </c>
      <c r="I391" s="220">
        <v>0</v>
      </c>
      <c r="J391" s="219">
        <v>0</v>
      </c>
      <c r="K391" s="220">
        <v>0</v>
      </c>
      <c r="L391" s="73"/>
      <c r="M391" s="2"/>
      <c r="N391"/>
      <c r="O391"/>
      <c r="P391"/>
      <c r="Q391"/>
    </row>
    <row r="392" spans="1:17" ht="18" thickTop="1" thickBot="1" x14ac:dyDescent="0.35">
      <c r="A392" s="38" t="str">
        <f>'1.2 Budgeted Enrollment YR1'!A392</f>
        <v>Clark</v>
      </c>
      <c r="B392" s="40">
        <f>'1.2 Budgeted Enrollment YR1'!B392</f>
        <v>2</v>
      </c>
      <c r="C392" s="40">
        <f>'1.2 Budgeted Enrollment YR1'!C392</f>
        <v>2</v>
      </c>
      <c r="D392" s="40" t="str">
        <f>'1.2 Budgeted Enrollment YR1'!D392</f>
        <v>Las Vegas</v>
      </c>
      <c r="E392" s="38" t="str">
        <f>'1.2 Budgeted Enrollment YR1'!E392</f>
        <v>Sawyer, Grant MS</v>
      </c>
      <c r="F392" s="590"/>
      <c r="G392" s="220">
        <f>'1.2 Budgeted Enrollment YR1'!G392+('1.2 Budgeted Enrollment YR1'!G392*$Q$2)</f>
        <v>1131.6789102564962</v>
      </c>
      <c r="H392" s="219">
        <v>0</v>
      </c>
      <c r="I392" s="220">
        <v>0</v>
      </c>
      <c r="J392" s="219">
        <v>0</v>
      </c>
      <c r="K392" s="220">
        <v>0</v>
      </c>
      <c r="L392" s="73"/>
      <c r="M392" s="2"/>
      <c r="N392"/>
      <c r="O392"/>
      <c r="P392"/>
      <c r="Q392"/>
    </row>
    <row r="393" spans="1:17" ht="18" thickTop="1" thickBot="1" x14ac:dyDescent="0.35">
      <c r="A393" s="38" t="str">
        <f>'1.2 Budgeted Enrollment YR1'!A393</f>
        <v>Clark</v>
      </c>
      <c r="B393" s="40">
        <f>'1.2 Budgeted Enrollment YR1'!B393</f>
        <v>2</v>
      </c>
      <c r="C393" s="40">
        <f>'1.2 Budgeted Enrollment YR1'!C393</f>
        <v>2</v>
      </c>
      <c r="D393" s="40" t="str">
        <f>'1.2 Budgeted Enrollment YR1'!D393</f>
        <v>Las Vegas</v>
      </c>
      <c r="E393" s="38" t="str">
        <f>'1.2 Budgeted Enrollment YR1'!E393</f>
        <v>Scherkenbach, William &amp; Mary ES</v>
      </c>
      <c r="F393" s="590"/>
      <c r="G393" s="220">
        <f>'1.2 Budgeted Enrollment YR1'!G393+('1.2 Budgeted Enrollment YR1'!G393*$Q$2)</f>
        <v>508.34482342032601</v>
      </c>
      <c r="H393" s="219">
        <v>0</v>
      </c>
      <c r="I393" s="220">
        <v>0</v>
      </c>
      <c r="J393" s="219">
        <v>0</v>
      </c>
      <c r="K393" s="220">
        <v>0</v>
      </c>
      <c r="L393" s="73"/>
      <c r="M393" s="2"/>
      <c r="N393"/>
      <c r="O393"/>
      <c r="P393"/>
      <c r="Q393"/>
    </row>
    <row r="394" spans="1:17" ht="18" thickTop="1" thickBot="1" x14ac:dyDescent="0.35">
      <c r="A394" s="38" t="str">
        <f>'1.2 Budgeted Enrollment YR1'!A394</f>
        <v>Clark</v>
      </c>
      <c r="B394" s="40">
        <f>'1.2 Budgeted Enrollment YR1'!B394</f>
        <v>2</v>
      </c>
      <c r="C394" s="40">
        <f>'1.2 Budgeted Enrollment YR1'!C394</f>
        <v>2</v>
      </c>
      <c r="D394" s="40" t="str">
        <f>'1.2 Budgeted Enrollment YR1'!D394</f>
        <v>Las Vegas</v>
      </c>
      <c r="E394" s="38" t="str">
        <f>'1.2 Budgeted Enrollment YR1'!E394</f>
        <v>Schofield, Jack Lund MS</v>
      </c>
      <c r="F394" s="590"/>
      <c r="G394" s="220">
        <f>'1.2 Budgeted Enrollment YR1'!G394+('1.2 Budgeted Enrollment YR1'!G394*$Q$2)</f>
        <v>1011.5083146101583</v>
      </c>
      <c r="H394" s="219">
        <v>0</v>
      </c>
      <c r="I394" s="220">
        <v>0</v>
      </c>
      <c r="J394" s="219">
        <v>0</v>
      </c>
      <c r="K394" s="220">
        <v>0</v>
      </c>
      <c r="L394" s="73"/>
      <c r="M394" s="2"/>
      <c r="N394"/>
      <c r="O394"/>
      <c r="P394"/>
      <c r="Q394"/>
    </row>
    <row r="395" spans="1:17" ht="18" thickTop="1" thickBot="1" x14ac:dyDescent="0.35">
      <c r="A395" s="38" t="str">
        <f>'1.2 Budgeted Enrollment YR1'!A395</f>
        <v>Clark</v>
      </c>
      <c r="B395" s="40">
        <f>'1.2 Budgeted Enrollment YR1'!B395</f>
        <v>2</v>
      </c>
      <c r="C395" s="40">
        <f>'1.2 Budgeted Enrollment YR1'!C395</f>
        <v>2</v>
      </c>
      <c r="D395" s="40" t="str">
        <f>'1.2 Budgeted Enrollment YR1'!D395</f>
        <v>Las Vegas</v>
      </c>
      <c r="E395" s="38" t="str">
        <f>'1.2 Budgeted Enrollment YR1'!E395</f>
        <v>Schorr, Steve ES</v>
      </c>
      <c r="F395" s="590"/>
      <c r="G395" s="220">
        <f>'1.2 Budgeted Enrollment YR1'!G395+('1.2 Budgeted Enrollment YR1'!G395*$Q$2)</f>
        <v>635.36755243804089</v>
      </c>
      <c r="H395" s="219">
        <v>0</v>
      </c>
      <c r="I395" s="220">
        <v>0</v>
      </c>
      <c r="J395" s="219">
        <v>0</v>
      </c>
      <c r="K395" s="220">
        <v>0</v>
      </c>
      <c r="L395" s="73"/>
      <c r="M395" s="2"/>
      <c r="N395"/>
      <c r="O395"/>
      <c r="P395"/>
      <c r="Q395"/>
    </row>
    <row r="396" spans="1:17" ht="18" thickTop="1" thickBot="1" x14ac:dyDescent="0.35">
      <c r="A396" s="38" t="str">
        <f>'1.2 Budgeted Enrollment YR1'!A396</f>
        <v>Clark</v>
      </c>
      <c r="B396" s="40">
        <f>'1.2 Budgeted Enrollment YR1'!B396</f>
        <v>2</v>
      </c>
      <c r="C396" s="40">
        <f>'1.2 Budgeted Enrollment YR1'!C396</f>
        <v>2</v>
      </c>
      <c r="D396" s="40" t="str">
        <f>'1.2 Budgeted Enrollment YR1'!D396</f>
        <v>Las Vegas</v>
      </c>
      <c r="E396" s="38" t="str">
        <f>'1.2 Budgeted Enrollment YR1'!E396</f>
        <v>Scott, Jesse D ES</v>
      </c>
      <c r="F396" s="590"/>
      <c r="G396" s="220">
        <f>'1.2 Budgeted Enrollment YR1'!G396+('1.2 Budgeted Enrollment YR1'!G396*$Q$2)</f>
        <v>612.14579404544486</v>
      </c>
      <c r="H396" s="219">
        <v>0</v>
      </c>
      <c r="I396" s="220">
        <v>0</v>
      </c>
      <c r="J396" s="219">
        <v>0</v>
      </c>
      <c r="K396" s="220">
        <v>0</v>
      </c>
      <c r="L396" s="73"/>
      <c r="M396" s="2"/>
      <c r="N396"/>
      <c r="O396"/>
      <c r="P396"/>
      <c r="Q396"/>
    </row>
    <row r="397" spans="1:17" ht="18" thickTop="1" thickBot="1" x14ac:dyDescent="0.35">
      <c r="A397" s="38" t="str">
        <f>'1.2 Budgeted Enrollment YR1'!A397</f>
        <v>Clark</v>
      </c>
      <c r="B397" s="40">
        <f>'1.2 Budgeted Enrollment YR1'!B397</f>
        <v>2</v>
      </c>
      <c r="C397" s="40">
        <f>'1.2 Budgeted Enrollment YR1'!C397</f>
        <v>2</v>
      </c>
      <c r="D397" s="40" t="str">
        <f>'1.2 Budgeted Enrollment YR1'!D397</f>
        <v>Las Vegas</v>
      </c>
      <c r="E397" s="38" t="str">
        <f>'1.2 Budgeted Enrollment YR1'!E397</f>
        <v>Sedway, Marvin M MS</v>
      </c>
      <c r="F397" s="590"/>
      <c r="G397" s="220">
        <f>'1.2 Budgeted Enrollment YR1'!G397+('1.2 Budgeted Enrollment YR1'!G397*$Q$2)</f>
        <v>1024.9103564359255</v>
      </c>
      <c r="H397" s="219">
        <v>0</v>
      </c>
      <c r="I397" s="220">
        <v>0</v>
      </c>
      <c r="J397" s="219">
        <v>0</v>
      </c>
      <c r="K397" s="220">
        <v>0</v>
      </c>
      <c r="L397" s="73"/>
      <c r="M397" s="2"/>
      <c r="N397"/>
      <c r="O397"/>
      <c r="P397"/>
      <c r="Q397"/>
    </row>
    <row r="398" spans="1:17" ht="18" thickTop="1" thickBot="1" x14ac:dyDescent="0.35">
      <c r="A398" s="38" t="str">
        <f>'1.2 Budgeted Enrollment YR1'!A398</f>
        <v>Clark</v>
      </c>
      <c r="B398" s="40">
        <f>'1.2 Budgeted Enrollment YR1'!B398</f>
        <v>2</v>
      </c>
      <c r="C398" s="40">
        <f>'1.2 Budgeted Enrollment YR1'!C398</f>
        <v>2</v>
      </c>
      <c r="D398" s="40" t="str">
        <f>'1.2 Budgeted Enrollment YR1'!D398</f>
        <v>Las Vegas</v>
      </c>
      <c r="E398" s="38" t="str">
        <f>'1.2 Budgeted Enrollment YR1'!E398</f>
        <v>Sewell, C T ES</v>
      </c>
      <c r="F398" s="590"/>
      <c r="G398" s="220">
        <f>'1.2 Budgeted Enrollment YR1'!G398+('1.2 Budgeted Enrollment YR1'!G398*$Q$2)</f>
        <v>496.40177172229249</v>
      </c>
      <c r="H398" s="219">
        <v>0</v>
      </c>
      <c r="I398" s="220">
        <v>0</v>
      </c>
      <c r="J398" s="219">
        <v>0</v>
      </c>
      <c r="K398" s="220">
        <v>0</v>
      </c>
      <c r="L398" s="73"/>
      <c r="M398" s="2"/>
      <c r="N398"/>
      <c r="O398"/>
      <c r="P398"/>
      <c r="Q398"/>
    </row>
    <row r="399" spans="1:17" ht="18" thickTop="1" thickBot="1" x14ac:dyDescent="0.35">
      <c r="A399" s="38" t="str">
        <f>'1.2 Budgeted Enrollment YR1'!A399</f>
        <v>Clark</v>
      </c>
      <c r="B399" s="40">
        <f>'1.2 Budgeted Enrollment YR1'!B399</f>
        <v>2</v>
      </c>
      <c r="C399" s="40">
        <f>'1.2 Budgeted Enrollment YR1'!C399</f>
        <v>2</v>
      </c>
      <c r="D399" s="40" t="str">
        <f>'1.2 Budgeted Enrollment YR1'!D399</f>
        <v>Las Vegas</v>
      </c>
      <c r="E399" s="38" t="str">
        <f>'1.2 Budgeted Enrollment YR1'!E399</f>
        <v>Shadow Ridge HS</v>
      </c>
      <c r="F399" s="590"/>
      <c r="G399" s="220">
        <f>'1.2 Budgeted Enrollment YR1'!G399+('1.2 Budgeted Enrollment YR1'!G399*$Q$2)</f>
        <v>2971.5334477125298</v>
      </c>
      <c r="H399" s="219">
        <v>0</v>
      </c>
      <c r="I399" s="220">
        <v>0</v>
      </c>
      <c r="J399" s="219">
        <v>0</v>
      </c>
      <c r="K399" s="220">
        <v>0</v>
      </c>
      <c r="L399" s="73"/>
      <c r="M399" s="2"/>
      <c r="N399"/>
      <c r="O399"/>
      <c r="P399"/>
      <c r="Q399"/>
    </row>
    <row r="400" spans="1:17" ht="18" thickTop="1" thickBot="1" x14ac:dyDescent="0.35">
      <c r="A400" s="38" t="str">
        <f>'1.2 Budgeted Enrollment YR1'!A400</f>
        <v>Clark</v>
      </c>
      <c r="B400" s="40">
        <f>'1.2 Budgeted Enrollment YR1'!B400</f>
        <v>2</v>
      </c>
      <c r="C400" s="40">
        <f>'1.2 Budgeted Enrollment YR1'!C400</f>
        <v>2</v>
      </c>
      <c r="D400" s="40" t="str">
        <f>'1.2 Budgeted Enrollment YR1'!D400</f>
        <v>Las Vegas</v>
      </c>
      <c r="E400" s="38" t="str">
        <f>'1.2 Budgeted Enrollment YR1'!E400</f>
        <v>Sierra Vista HS</v>
      </c>
      <c r="F400" s="590"/>
      <c r="G400" s="220">
        <f>'1.2 Budgeted Enrollment YR1'!G400+('1.2 Budgeted Enrollment YR1'!G400*$Q$2)</f>
        <v>2954.142225383031</v>
      </c>
      <c r="H400" s="219">
        <v>0</v>
      </c>
      <c r="I400" s="220">
        <v>0</v>
      </c>
      <c r="J400" s="219">
        <v>0</v>
      </c>
      <c r="K400" s="220">
        <v>0</v>
      </c>
      <c r="L400" s="73"/>
      <c r="M400" s="2"/>
      <c r="N400"/>
      <c r="O400"/>
      <c r="P400"/>
      <c r="Q400"/>
    </row>
    <row r="401" spans="1:17" ht="18" thickTop="1" thickBot="1" x14ac:dyDescent="0.35">
      <c r="A401" s="38" t="str">
        <f>'1.2 Budgeted Enrollment YR1'!A401</f>
        <v>Clark</v>
      </c>
      <c r="B401" s="40">
        <f>'1.2 Budgeted Enrollment YR1'!B401</f>
        <v>2</v>
      </c>
      <c r="C401" s="40">
        <f>'1.2 Budgeted Enrollment YR1'!C401</f>
        <v>2</v>
      </c>
      <c r="D401" s="40" t="str">
        <f>'1.2 Budgeted Enrollment YR1'!D401</f>
        <v>Las Vegas</v>
      </c>
      <c r="E401" s="38" t="str">
        <f>'1.2 Budgeted Enrollment YR1'!E401</f>
        <v>Silverado HS</v>
      </c>
      <c r="F401" s="590"/>
      <c r="G401" s="220">
        <f>'1.2 Budgeted Enrollment YR1'!G401+('1.2 Budgeted Enrollment YR1'!G401*$Q$2)</f>
        <v>2057.5890436453656</v>
      </c>
      <c r="H401" s="219">
        <v>0</v>
      </c>
      <c r="I401" s="220">
        <v>0</v>
      </c>
      <c r="J401" s="219">
        <v>0</v>
      </c>
      <c r="K401" s="220">
        <v>0</v>
      </c>
      <c r="L401" s="73"/>
      <c r="M401" s="2"/>
      <c r="N401"/>
      <c r="O401"/>
      <c r="P401"/>
      <c r="Q401"/>
    </row>
    <row r="402" spans="1:17" ht="18" thickTop="1" thickBot="1" x14ac:dyDescent="0.35">
      <c r="A402" s="38" t="str">
        <f>'1.2 Budgeted Enrollment YR1'!A402</f>
        <v>Clark</v>
      </c>
      <c r="B402" s="40">
        <f>'1.2 Budgeted Enrollment YR1'!B402</f>
        <v>2</v>
      </c>
      <c r="C402" s="40">
        <f>'1.2 Budgeted Enrollment YR1'!C402</f>
        <v>2</v>
      </c>
      <c r="D402" s="40" t="str">
        <f>'1.2 Budgeted Enrollment YR1'!D402</f>
        <v>Las Vegas</v>
      </c>
      <c r="E402" s="38" t="str">
        <f>'1.2 Budgeted Enrollment YR1'!E402</f>
        <v>Silvestri, Charles JHS</v>
      </c>
      <c r="F402" s="590"/>
      <c r="G402" s="220">
        <f>'1.2 Budgeted Enrollment YR1'!G402+('1.2 Budgeted Enrollment YR1'!G402*$Q$2)</f>
        <v>1251.0400500787446</v>
      </c>
      <c r="H402" s="219">
        <v>0</v>
      </c>
      <c r="I402" s="220">
        <v>0</v>
      </c>
      <c r="J402" s="219">
        <v>0</v>
      </c>
      <c r="K402" s="220">
        <v>0</v>
      </c>
      <c r="L402" s="73"/>
      <c r="M402" s="2"/>
      <c r="N402"/>
      <c r="O402"/>
      <c r="P402"/>
      <c r="Q402"/>
    </row>
    <row r="403" spans="1:17" ht="18" thickTop="1" thickBot="1" x14ac:dyDescent="0.35">
      <c r="A403" s="38" t="str">
        <f>'1.2 Budgeted Enrollment YR1'!A403</f>
        <v>Clark</v>
      </c>
      <c r="B403" s="40">
        <f>'1.2 Budgeted Enrollment YR1'!B403</f>
        <v>2</v>
      </c>
      <c r="C403" s="40">
        <f>'1.2 Budgeted Enrollment YR1'!C403</f>
        <v>2</v>
      </c>
      <c r="D403" s="40" t="str">
        <f>'1.2 Budgeted Enrollment YR1'!D403</f>
        <v>Las Vegas</v>
      </c>
      <c r="E403" s="38" t="str">
        <f>'1.2 Budgeted Enrollment YR1'!E403</f>
        <v>Simmons, Eva G ES</v>
      </c>
      <c r="F403" s="590"/>
      <c r="G403" s="220">
        <f>'1.2 Budgeted Enrollment YR1'!G403+('1.2 Budgeted Enrollment YR1'!G403*$Q$2)</f>
        <v>578.17935350972891</v>
      </c>
      <c r="H403" s="219">
        <v>0</v>
      </c>
      <c r="I403" s="220">
        <v>0</v>
      </c>
      <c r="J403" s="219">
        <v>0</v>
      </c>
      <c r="K403" s="220">
        <v>0</v>
      </c>
      <c r="L403" s="73"/>
      <c r="M403" s="2"/>
      <c r="N403"/>
      <c r="O403"/>
      <c r="P403"/>
      <c r="Q403"/>
    </row>
    <row r="404" spans="1:17" ht="18" thickTop="1" thickBot="1" x14ac:dyDescent="0.35">
      <c r="A404" s="38" t="str">
        <f>'1.2 Budgeted Enrollment YR1'!A404</f>
        <v>Clark</v>
      </c>
      <c r="B404" s="40">
        <f>'1.2 Budgeted Enrollment YR1'!B404</f>
        <v>2</v>
      </c>
      <c r="C404" s="40">
        <f>'1.2 Budgeted Enrollment YR1'!C404</f>
        <v>2</v>
      </c>
      <c r="D404" s="40" t="str">
        <f>'1.2 Budgeted Enrollment YR1'!D404</f>
        <v>Las Vegas</v>
      </c>
      <c r="E404" s="38" t="str">
        <f>'1.2 Budgeted Enrollment YR1'!E404</f>
        <v>Smalley, James E &amp; A Rae ES</v>
      </c>
      <c r="F404" s="590"/>
      <c r="G404" s="220">
        <f>'1.2 Budgeted Enrollment YR1'!G404+('1.2 Budgeted Enrollment YR1'!G404*$Q$2)</f>
        <v>644.2389793866688</v>
      </c>
      <c r="H404" s="219">
        <v>0</v>
      </c>
      <c r="I404" s="220">
        <v>0</v>
      </c>
      <c r="J404" s="219">
        <v>0</v>
      </c>
      <c r="K404" s="220">
        <v>0</v>
      </c>
      <c r="L404" s="73"/>
      <c r="M404" s="2"/>
      <c r="N404"/>
      <c r="O404"/>
      <c r="P404"/>
      <c r="Q404"/>
    </row>
    <row r="405" spans="1:17" ht="18" thickTop="1" thickBot="1" x14ac:dyDescent="0.35">
      <c r="A405" s="38" t="str">
        <f>'1.2 Budgeted Enrollment YR1'!A405</f>
        <v>Clark</v>
      </c>
      <c r="B405" s="40">
        <f>'1.2 Budgeted Enrollment YR1'!B405</f>
        <v>2</v>
      </c>
      <c r="C405" s="40">
        <f>'1.2 Budgeted Enrollment YR1'!C405</f>
        <v>2</v>
      </c>
      <c r="D405" s="40" t="str">
        <f>'1.2 Budgeted Enrollment YR1'!D405</f>
        <v>Las Vegas</v>
      </c>
      <c r="E405" s="38" t="str">
        <f>'1.2 Budgeted Enrollment YR1'!E405</f>
        <v>Smith, Hal ES</v>
      </c>
      <c r="F405" s="590"/>
      <c r="G405" s="220">
        <f>'1.2 Budgeted Enrollment YR1'!G405+('1.2 Budgeted Enrollment YR1'!G405*$Q$2)</f>
        <v>661.42064589831841</v>
      </c>
      <c r="H405" s="219">
        <v>0</v>
      </c>
      <c r="I405" s="220">
        <v>0</v>
      </c>
      <c r="J405" s="219">
        <v>0</v>
      </c>
      <c r="K405" s="220">
        <v>0</v>
      </c>
      <c r="L405" s="73"/>
      <c r="M405" s="2"/>
      <c r="N405"/>
      <c r="O405"/>
      <c r="P405"/>
      <c r="Q405"/>
    </row>
    <row r="406" spans="1:17" ht="18" thickTop="1" thickBot="1" x14ac:dyDescent="0.35">
      <c r="A406" s="38" t="str">
        <f>'1.2 Budgeted Enrollment YR1'!A406</f>
        <v>Clark</v>
      </c>
      <c r="B406" s="40">
        <f>'1.2 Budgeted Enrollment YR1'!B406</f>
        <v>2</v>
      </c>
      <c r="C406" s="40">
        <f>'1.2 Budgeted Enrollment YR1'!C406</f>
        <v>2</v>
      </c>
      <c r="D406" s="40" t="str">
        <f>'1.2 Budgeted Enrollment YR1'!D406</f>
        <v>Las Vegas</v>
      </c>
      <c r="E406" s="38" t="str">
        <f>'1.2 Budgeted Enrollment YR1'!E406</f>
        <v>Smith, Helen M ES</v>
      </c>
      <c r="F406" s="590"/>
      <c r="G406" s="220">
        <f>'1.2 Budgeted Enrollment YR1'!G406+('1.2 Budgeted Enrollment YR1'!G406*$Q$2)</f>
        <v>460.66376340643217</v>
      </c>
      <c r="H406" s="219">
        <v>0</v>
      </c>
      <c r="I406" s="220">
        <v>0</v>
      </c>
      <c r="J406" s="219">
        <v>0</v>
      </c>
      <c r="K406" s="220">
        <v>0</v>
      </c>
      <c r="L406" s="73"/>
      <c r="M406" s="2"/>
      <c r="N406"/>
      <c r="O406"/>
      <c r="P406"/>
      <c r="Q406"/>
    </row>
    <row r="407" spans="1:17" ht="18" thickTop="1" thickBot="1" x14ac:dyDescent="0.35">
      <c r="A407" s="38" t="str">
        <f>'1.2 Budgeted Enrollment YR1'!A407</f>
        <v>Clark</v>
      </c>
      <c r="B407" s="40">
        <f>'1.2 Budgeted Enrollment YR1'!B407</f>
        <v>2</v>
      </c>
      <c r="C407" s="40">
        <f>'1.2 Budgeted Enrollment YR1'!C407</f>
        <v>2</v>
      </c>
      <c r="D407" s="40" t="str">
        <f>'1.2 Budgeted Enrollment YR1'!D407</f>
        <v>Las Vegas</v>
      </c>
      <c r="E407" s="38" t="str">
        <f>'1.2 Budgeted Enrollment YR1'!E407</f>
        <v>Smith, J D MS</v>
      </c>
      <c r="F407" s="590"/>
      <c r="G407" s="220">
        <f>'1.2 Budgeted Enrollment YR1'!G407+('1.2 Budgeted Enrollment YR1'!G407*$Q$2)</f>
        <v>1214.6560530826141</v>
      </c>
      <c r="H407" s="219">
        <v>0</v>
      </c>
      <c r="I407" s="220">
        <v>0</v>
      </c>
      <c r="J407" s="219">
        <v>0</v>
      </c>
      <c r="K407" s="220">
        <v>0</v>
      </c>
      <c r="L407" s="73"/>
      <c r="M407" s="2"/>
      <c r="N407"/>
      <c r="O407"/>
      <c r="P407"/>
      <c r="Q407"/>
    </row>
    <row r="408" spans="1:17" ht="18" thickTop="1" thickBot="1" x14ac:dyDescent="0.35">
      <c r="A408" s="38" t="str">
        <f>'1.2 Budgeted Enrollment YR1'!A408</f>
        <v>Clark</v>
      </c>
      <c r="B408" s="40">
        <f>'1.2 Budgeted Enrollment YR1'!B408</f>
        <v>2</v>
      </c>
      <c r="C408" s="40">
        <f>'1.2 Budgeted Enrollment YR1'!C408</f>
        <v>2</v>
      </c>
      <c r="D408" s="40" t="str">
        <f>'1.2 Budgeted Enrollment YR1'!D408</f>
        <v>Las Vegas</v>
      </c>
      <c r="E408" s="38" t="str">
        <f>'1.2 Budgeted Enrollment YR1'!E408</f>
        <v>Snyder, Don &amp; Dee ES</v>
      </c>
      <c r="F408" s="590"/>
      <c r="G408" s="220">
        <f>'1.2 Budgeted Enrollment YR1'!G408+('1.2 Budgeted Enrollment YR1'!G408*$Q$2)</f>
        <v>698.65672888060737</v>
      </c>
      <c r="H408" s="219">
        <v>0</v>
      </c>
      <c r="I408" s="220">
        <v>0</v>
      </c>
      <c r="J408" s="219">
        <v>0</v>
      </c>
      <c r="K408" s="220">
        <v>0</v>
      </c>
      <c r="L408" s="73"/>
      <c r="M408" s="2"/>
      <c r="N408"/>
      <c r="O408"/>
      <c r="P408"/>
      <c r="Q408"/>
    </row>
    <row r="409" spans="1:17" ht="18" thickTop="1" thickBot="1" x14ac:dyDescent="0.35">
      <c r="A409" s="38" t="str">
        <f>'1.2 Budgeted Enrollment YR1'!A409</f>
        <v>Clark</v>
      </c>
      <c r="B409" s="40">
        <f>'1.2 Budgeted Enrollment YR1'!B409</f>
        <v>2</v>
      </c>
      <c r="C409" s="40">
        <f>'1.2 Budgeted Enrollment YR1'!C409</f>
        <v>2</v>
      </c>
      <c r="D409" s="40" t="str">
        <f>'1.2 Budgeted Enrollment YR1'!D409</f>
        <v>Las Vegas</v>
      </c>
      <c r="E409" s="38" t="str">
        <f>'1.2 Budgeted Enrollment YR1'!E409</f>
        <v>Snyder, William E ES</v>
      </c>
      <c r="F409" s="590"/>
      <c r="G409" s="220">
        <f>'1.2 Budgeted Enrollment YR1'!G409+('1.2 Budgeted Enrollment YR1'!G409*$Q$2)</f>
        <v>673.362899872404</v>
      </c>
      <c r="H409" s="219">
        <v>0</v>
      </c>
      <c r="I409" s="220">
        <v>0</v>
      </c>
      <c r="J409" s="219">
        <v>0</v>
      </c>
      <c r="K409" s="220">
        <v>0</v>
      </c>
      <c r="L409" s="73"/>
      <c r="M409" s="2"/>
      <c r="N409"/>
      <c r="O409"/>
      <c r="P409"/>
      <c r="Q409"/>
    </row>
    <row r="410" spans="1:17" ht="18" thickTop="1" thickBot="1" x14ac:dyDescent="0.35">
      <c r="A410" s="38" t="str">
        <f>'1.2 Budgeted Enrollment YR1'!A410</f>
        <v>Clark</v>
      </c>
      <c r="B410" s="40">
        <f>'1.2 Budgeted Enrollment YR1'!B410</f>
        <v>2</v>
      </c>
      <c r="C410" s="40">
        <f>'1.2 Budgeted Enrollment YR1'!C410</f>
        <v>2</v>
      </c>
      <c r="D410" s="40" t="str">
        <f>'1.2 Budgeted Enrollment YR1'!D410</f>
        <v>Las Vegas</v>
      </c>
      <c r="E410" s="38" t="str">
        <f>'1.2 Budgeted Enrollment YR1'!E410</f>
        <v>South Academic Center J-SHS</v>
      </c>
      <c r="F410" s="590"/>
      <c r="G410" s="220">
        <f>'1.2 Budgeted Enrollment YR1'!G410+('1.2 Budgeted Enrollment YR1'!G410*$Q$2)</f>
        <v>163.00172420868762</v>
      </c>
      <c r="H410" s="219">
        <v>0</v>
      </c>
      <c r="I410" s="220">
        <v>0</v>
      </c>
      <c r="J410" s="219">
        <v>0</v>
      </c>
      <c r="K410" s="220">
        <v>0</v>
      </c>
      <c r="L410" s="73"/>
      <c r="M410" s="2"/>
      <c r="N410"/>
      <c r="O410"/>
      <c r="P410"/>
      <c r="Q410"/>
    </row>
    <row r="411" spans="1:17" ht="18" thickTop="1" thickBot="1" x14ac:dyDescent="0.35">
      <c r="A411" s="38" t="str">
        <f>'1.2 Budgeted Enrollment YR1'!A411</f>
        <v>Clark</v>
      </c>
      <c r="B411" s="40">
        <f>'1.2 Budgeted Enrollment YR1'!B411</f>
        <v>2</v>
      </c>
      <c r="C411" s="40">
        <f>'1.2 Budgeted Enrollment YR1'!C411</f>
        <v>2</v>
      </c>
      <c r="D411" s="40" t="str">
        <f>'1.2 Budgeted Enrollment YR1'!D411</f>
        <v>Las Vegas</v>
      </c>
      <c r="E411" s="38" t="str">
        <f>'1.2 Budgeted Enrollment YR1'!E411</f>
        <v>Southeast Career Technical Academy HS</v>
      </c>
      <c r="F411" s="590"/>
      <c r="G411" s="220">
        <f>'1.2 Budgeted Enrollment YR1'!G411+('1.2 Budgeted Enrollment YR1'!G411*$Q$2)</f>
        <v>1993.4780444213161</v>
      </c>
      <c r="H411" s="219">
        <v>0</v>
      </c>
      <c r="I411" s="220">
        <v>0</v>
      </c>
      <c r="J411" s="219">
        <v>0</v>
      </c>
      <c r="K411" s="220">
        <v>0</v>
      </c>
      <c r="L411" s="73"/>
      <c r="M411" s="2"/>
      <c r="N411"/>
      <c r="O411"/>
      <c r="P411"/>
      <c r="Q411"/>
    </row>
    <row r="412" spans="1:17" ht="18" thickTop="1" thickBot="1" x14ac:dyDescent="0.35">
      <c r="A412" s="38" t="str">
        <f>'1.2 Budgeted Enrollment YR1'!A412</f>
        <v>Clark</v>
      </c>
      <c r="B412" s="40">
        <f>'1.2 Budgeted Enrollment YR1'!B412</f>
        <v>2</v>
      </c>
      <c r="C412" s="40">
        <f>'1.2 Budgeted Enrollment YR1'!C412</f>
        <v>2</v>
      </c>
      <c r="D412" s="40" t="str">
        <f>'1.2 Budgeted Enrollment YR1'!D412</f>
        <v>Las Vegas</v>
      </c>
      <c r="E412" s="38" t="str">
        <f>'1.2 Budgeted Enrollment YR1'!E412</f>
        <v>Southeast Career Technical Academy PK</v>
      </c>
      <c r="F412" s="590"/>
      <c r="G412" s="220">
        <f>'1.2 Budgeted Enrollment YR1'!G412+('1.2 Budgeted Enrollment YR1'!G412*$Q$2)</f>
        <v>0.58725921684714788</v>
      </c>
      <c r="H412" s="219">
        <v>0</v>
      </c>
      <c r="I412" s="220">
        <v>0</v>
      </c>
      <c r="J412" s="219">
        <v>0</v>
      </c>
      <c r="K412" s="220">
        <v>0</v>
      </c>
      <c r="L412" s="73"/>
      <c r="M412" s="2"/>
      <c r="N412"/>
      <c r="O412"/>
      <c r="P412"/>
      <c r="Q412"/>
    </row>
    <row r="413" spans="1:17" ht="18" thickTop="1" thickBot="1" x14ac:dyDescent="0.35">
      <c r="A413" s="38" t="str">
        <f>'1.2 Budgeted Enrollment YR1'!A413</f>
        <v>Clark</v>
      </c>
      <c r="B413" s="40">
        <f>'1.2 Budgeted Enrollment YR1'!B413</f>
        <v>2</v>
      </c>
      <c r="C413" s="40">
        <f>'1.2 Budgeted Enrollment YR1'!C413</f>
        <v>2</v>
      </c>
      <c r="D413" s="40" t="str">
        <f>'1.2 Budgeted Enrollment YR1'!D413</f>
        <v>Las Vegas</v>
      </c>
      <c r="E413" s="38" t="str">
        <f>'1.2 Budgeted Enrollment YR1'!E413</f>
        <v>Southwest Career &amp; Technical Academy HS</v>
      </c>
      <c r="F413" s="590"/>
      <c r="G413" s="220">
        <f>'1.2 Budgeted Enrollment YR1'!G413+('1.2 Budgeted Enrollment YR1'!G413*$Q$2)</f>
        <v>1583.0381249730681</v>
      </c>
      <c r="H413" s="219">
        <v>0</v>
      </c>
      <c r="I413" s="220">
        <v>0</v>
      </c>
      <c r="J413" s="219">
        <v>0</v>
      </c>
      <c r="K413" s="220">
        <v>0</v>
      </c>
      <c r="L413" s="73"/>
      <c r="M413" s="2"/>
      <c r="N413"/>
      <c r="O413"/>
      <c r="P413"/>
      <c r="Q413"/>
    </row>
    <row r="414" spans="1:17" ht="18" thickTop="1" thickBot="1" x14ac:dyDescent="0.35">
      <c r="A414" s="38" t="str">
        <f>'1.2 Budgeted Enrollment YR1'!A414</f>
        <v>Clark</v>
      </c>
      <c r="B414" s="40">
        <f>'1.2 Budgeted Enrollment YR1'!B414</f>
        <v>2</v>
      </c>
      <c r="C414" s="40">
        <f>'1.2 Budgeted Enrollment YR1'!C414</f>
        <v>2</v>
      </c>
      <c r="D414" s="40" t="str">
        <f>'1.2 Budgeted Enrollment YR1'!D414</f>
        <v>Las Vegas</v>
      </c>
      <c r="E414" s="38" t="str">
        <f>'1.2 Budgeted Enrollment YR1'!E414</f>
        <v>Spring Mountain J-SHS</v>
      </c>
      <c r="F414" s="590"/>
      <c r="G414" s="220">
        <f>'1.2 Budgeted Enrollment YR1'!G414+('1.2 Budgeted Enrollment YR1'!G414*$Q$2)</f>
        <v>59.898136216492752</v>
      </c>
      <c r="H414" s="219">
        <v>0</v>
      </c>
      <c r="I414" s="220">
        <v>0</v>
      </c>
      <c r="J414" s="219">
        <v>0</v>
      </c>
      <c r="K414" s="220">
        <v>0</v>
      </c>
      <c r="L414" s="73"/>
      <c r="M414" s="2"/>
      <c r="N414"/>
      <c r="O414"/>
      <c r="P414"/>
      <c r="Q414"/>
    </row>
    <row r="415" spans="1:17" ht="18" thickTop="1" thickBot="1" x14ac:dyDescent="0.35">
      <c r="A415" s="38" t="str">
        <f>'1.2 Budgeted Enrollment YR1'!A415</f>
        <v>Clark</v>
      </c>
      <c r="B415" s="40">
        <f>'1.2 Budgeted Enrollment YR1'!B415</f>
        <v>2</v>
      </c>
      <c r="C415" s="40">
        <f>'1.2 Budgeted Enrollment YR1'!C415</f>
        <v>2</v>
      </c>
      <c r="D415" s="40" t="str">
        <f>'1.2 Budgeted Enrollment YR1'!D415</f>
        <v>Las Vegas</v>
      </c>
      <c r="E415" s="38" t="str">
        <f>'1.2 Budgeted Enrollment YR1'!E415</f>
        <v>Spring Valley HS</v>
      </c>
      <c r="F415" s="590"/>
      <c r="G415" s="220">
        <f>'1.2 Budgeted Enrollment YR1'!G415+('1.2 Budgeted Enrollment YR1'!G415*$Q$2)</f>
        <v>2604.5609191835215</v>
      </c>
      <c r="H415" s="219">
        <v>0</v>
      </c>
      <c r="I415" s="220">
        <v>0</v>
      </c>
      <c r="J415" s="219">
        <v>0</v>
      </c>
      <c r="K415" s="220">
        <v>0</v>
      </c>
      <c r="L415" s="73"/>
      <c r="M415" s="2"/>
      <c r="N415"/>
      <c r="O415"/>
      <c r="P415"/>
      <c r="Q415"/>
    </row>
    <row r="416" spans="1:17" ht="18" thickTop="1" thickBot="1" x14ac:dyDescent="0.35">
      <c r="A416" s="38" t="str">
        <f>'1.2 Budgeted Enrollment YR1'!A416</f>
        <v>Clark</v>
      </c>
      <c r="B416" s="40">
        <f>'1.2 Budgeted Enrollment YR1'!B416</f>
        <v>2</v>
      </c>
      <c r="C416" s="40">
        <f>'1.2 Budgeted Enrollment YR1'!C416</f>
        <v>2</v>
      </c>
      <c r="D416" s="40" t="str">
        <f>'1.2 Budgeted Enrollment YR1'!D416</f>
        <v>Las Vegas</v>
      </c>
      <c r="E416" s="38" t="str">
        <f>'1.2 Budgeted Enrollment YR1'!E416</f>
        <v>Squires, C P ES</v>
      </c>
      <c r="F416" s="590"/>
      <c r="G416" s="220">
        <f>'1.2 Budgeted Enrollment YR1'!G416+('1.2 Budgeted Enrollment YR1'!G416*$Q$2)</f>
        <v>559.44144517117877</v>
      </c>
      <c r="H416" s="219">
        <v>0</v>
      </c>
      <c r="I416" s="220">
        <v>0</v>
      </c>
      <c r="J416" s="219">
        <v>0</v>
      </c>
      <c r="K416" s="220">
        <v>0</v>
      </c>
      <c r="L416" s="73"/>
      <c r="M416" s="2"/>
      <c r="N416"/>
      <c r="O416"/>
      <c r="P416"/>
      <c r="Q416"/>
    </row>
    <row r="417" spans="1:17" ht="18" thickTop="1" thickBot="1" x14ac:dyDescent="0.35">
      <c r="A417" s="38" t="str">
        <f>'1.2 Budgeted Enrollment YR1'!A417</f>
        <v>Clark</v>
      </c>
      <c r="B417" s="40">
        <f>'1.2 Budgeted Enrollment YR1'!B417</f>
        <v>2</v>
      </c>
      <c r="C417" s="40">
        <f>'1.2 Budgeted Enrollment YR1'!C417</f>
        <v>2</v>
      </c>
      <c r="D417" s="40" t="str">
        <f>'1.2 Budgeted Enrollment YR1'!D417</f>
        <v>Las Vegas</v>
      </c>
      <c r="E417" s="38" t="str">
        <f>'1.2 Budgeted Enrollment YR1'!E417</f>
        <v>Stanford ES</v>
      </c>
      <c r="F417" s="590"/>
      <c r="G417" s="220">
        <f>'1.2 Budgeted Enrollment YR1'!G417+('1.2 Budgeted Enrollment YR1'!G417*$Q$2)</f>
        <v>441.18155252201444</v>
      </c>
      <c r="H417" s="219">
        <v>0</v>
      </c>
      <c r="I417" s="220">
        <v>0</v>
      </c>
      <c r="J417" s="219">
        <v>0</v>
      </c>
      <c r="K417" s="220">
        <v>0</v>
      </c>
      <c r="L417" s="73"/>
      <c r="M417" s="2"/>
      <c r="N417"/>
      <c r="O417"/>
      <c r="P417"/>
      <c r="Q417"/>
    </row>
    <row r="418" spans="1:17" ht="18" thickTop="1" thickBot="1" x14ac:dyDescent="0.35">
      <c r="A418" s="38" t="str">
        <f>'1.2 Budgeted Enrollment YR1'!A418</f>
        <v>Clark</v>
      </c>
      <c r="B418" s="40">
        <f>'1.2 Budgeted Enrollment YR1'!B418</f>
        <v>2</v>
      </c>
      <c r="C418" s="40">
        <f>'1.2 Budgeted Enrollment YR1'!C418</f>
        <v>2</v>
      </c>
      <c r="D418" s="40" t="str">
        <f>'1.2 Budgeted Enrollment YR1'!D418</f>
        <v>Las Vegas</v>
      </c>
      <c r="E418" s="38" t="str">
        <f>'1.2 Budgeted Enrollment YR1'!E418</f>
        <v>Staton, Ethel W ES</v>
      </c>
      <c r="F418" s="590"/>
      <c r="G418" s="220">
        <f>'1.2 Budgeted Enrollment YR1'!G418+('1.2 Budgeted Enrollment YR1'!G418*$Q$2)</f>
        <v>615.61587376086959</v>
      </c>
      <c r="H418" s="219">
        <v>0</v>
      </c>
      <c r="I418" s="220">
        <v>0</v>
      </c>
      <c r="J418" s="219">
        <v>0</v>
      </c>
      <c r="K418" s="220">
        <v>0</v>
      </c>
      <c r="L418" s="73"/>
      <c r="M418" s="2"/>
      <c r="N418"/>
      <c r="O418"/>
      <c r="P418"/>
      <c r="Q418"/>
    </row>
    <row r="419" spans="1:17" ht="18" thickTop="1" thickBot="1" x14ac:dyDescent="0.35">
      <c r="A419" s="38" t="str">
        <f>'1.2 Budgeted Enrollment YR1'!A419</f>
        <v>Clark</v>
      </c>
      <c r="B419" s="40">
        <f>'1.2 Budgeted Enrollment YR1'!B419</f>
        <v>2</v>
      </c>
      <c r="C419" s="40">
        <f>'1.2 Budgeted Enrollment YR1'!C419</f>
        <v>2</v>
      </c>
      <c r="D419" s="40" t="str">
        <f>'1.2 Budgeted Enrollment YR1'!D419</f>
        <v>Las Vegas</v>
      </c>
      <c r="E419" s="38" t="str">
        <f>'1.2 Budgeted Enrollment YR1'!E419</f>
        <v>Steele, Judith D ES</v>
      </c>
      <c r="F419" s="590"/>
      <c r="G419" s="220">
        <f>'1.2 Budgeted Enrollment YR1'!G419+('1.2 Budgeted Enrollment YR1'!G419*$Q$2)</f>
        <v>748.4291793121705</v>
      </c>
      <c r="H419" s="219">
        <v>0</v>
      </c>
      <c r="I419" s="220">
        <v>0</v>
      </c>
      <c r="J419" s="219">
        <v>0</v>
      </c>
      <c r="K419" s="220">
        <v>0</v>
      </c>
      <c r="L419" s="73"/>
      <c r="M419" s="2"/>
      <c r="N419"/>
      <c r="O419"/>
      <c r="P419"/>
      <c r="Q419"/>
    </row>
    <row r="420" spans="1:17" ht="18" thickTop="1" thickBot="1" x14ac:dyDescent="0.35">
      <c r="A420" s="38" t="str">
        <f>'1.2 Budgeted Enrollment YR1'!A420</f>
        <v>Clark</v>
      </c>
      <c r="B420" s="40">
        <f>'1.2 Budgeted Enrollment YR1'!B420</f>
        <v>2</v>
      </c>
      <c r="C420" s="40">
        <f>'1.2 Budgeted Enrollment YR1'!C420</f>
        <v>2</v>
      </c>
      <c r="D420" s="40" t="str">
        <f>'1.2 Budgeted Enrollment YR1'!D420</f>
        <v>Las Vegas</v>
      </c>
      <c r="E420" s="38" t="str">
        <f>'1.2 Budgeted Enrollment YR1'!E420</f>
        <v>Stevens, Josh ES</v>
      </c>
      <c r="F420" s="590"/>
      <c r="G420" s="220">
        <f>'1.2 Budgeted Enrollment YR1'!G420+('1.2 Budgeted Enrollment YR1'!G420*$Q$2)</f>
        <v>763.87895787107448</v>
      </c>
      <c r="H420" s="219">
        <v>0</v>
      </c>
      <c r="I420" s="220">
        <v>0</v>
      </c>
      <c r="J420" s="219">
        <v>0</v>
      </c>
      <c r="K420" s="220">
        <v>0</v>
      </c>
      <c r="L420" s="73"/>
      <c r="M420" s="2"/>
      <c r="N420"/>
      <c r="O420"/>
      <c r="P420"/>
      <c r="Q420"/>
    </row>
    <row r="421" spans="1:17" ht="18" thickTop="1" thickBot="1" x14ac:dyDescent="0.35">
      <c r="A421" s="38" t="str">
        <f>'1.2 Budgeted Enrollment YR1'!A421</f>
        <v>Clark</v>
      </c>
      <c r="B421" s="40">
        <f>'1.2 Budgeted Enrollment YR1'!B421</f>
        <v>2</v>
      </c>
      <c r="C421" s="40">
        <f>'1.2 Budgeted Enrollment YR1'!C421</f>
        <v>2</v>
      </c>
      <c r="D421" s="40" t="str">
        <f>'1.2 Budgeted Enrollment YR1'!D421</f>
        <v>Las Vegas</v>
      </c>
      <c r="E421" s="38" t="str">
        <f>'1.2 Budgeted Enrollment YR1'!E421</f>
        <v>Stewart, Helen J ES</v>
      </c>
      <c r="F421" s="590"/>
      <c r="G421" s="220">
        <f>'1.2 Budgeted Enrollment YR1'!G421+('1.2 Budgeted Enrollment YR1'!G421*$Q$2)</f>
        <v>130.35276288311263</v>
      </c>
      <c r="H421" s="219">
        <v>0</v>
      </c>
      <c r="I421" s="220">
        <v>0</v>
      </c>
      <c r="J421" s="219">
        <v>0</v>
      </c>
      <c r="K421" s="220">
        <v>0</v>
      </c>
      <c r="L421" s="73"/>
      <c r="M421" s="2"/>
      <c r="N421"/>
      <c r="O421"/>
      <c r="P421"/>
      <c r="Q421"/>
    </row>
    <row r="422" spans="1:17" ht="18" thickTop="1" thickBot="1" x14ac:dyDescent="0.35">
      <c r="A422" s="38" t="str">
        <f>'1.2 Budgeted Enrollment YR1'!A422</f>
        <v>Clark</v>
      </c>
      <c r="B422" s="40">
        <f>'1.2 Budgeted Enrollment YR1'!B422</f>
        <v>2</v>
      </c>
      <c r="C422" s="40">
        <f>'1.2 Budgeted Enrollment YR1'!C422</f>
        <v>2</v>
      </c>
      <c r="D422" s="40" t="str">
        <f>'1.2 Budgeted Enrollment YR1'!D422</f>
        <v>Las Vegas</v>
      </c>
      <c r="E422" s="38" t="str">
        <f>'1.2 Budgeted Enrollment YR1'!E422</f>
        <v>Stuckey, Evelyn ES</v>
      </c>
      <c r="F422" s="590"/>
      <c r="G422" s="220">
        <f>'1.2 Budgeted Enrollment YR1'!G422+('1.2 Budgeted Enrollment YR1'!G422*$Q$2)</f>
        <v>563.29556631829689</v>
      </c>
      <c r="H422" s="219">
        <v>0</v>
      </c>
      <c r="I422" s="220">
        <v>0</v>
      </c>
      <c r="J422" s="219">
        <v>0</v>
      </c>
      <c r="K422" s="220">
        <v>0</v>
      </c>
      <c r="L422" s="73"/>
      <c r="M422" s="2"/>
      <c r="N422"/>
      <c r="O422"/>
      <c r="P422"/>
      <c r="Q422"/>
    </row>
    <row r="423" spans="1:17" ht="18" thickTop="1" thickBot="1" x14ac:dyDescent="0.35">
      <c r="A423" s="38" t="str">
        <f>'1.2 Budgeted Enrollment YR1'!A423</f>
        <v>Clark</v>
      </c>
      <c r="B423" s="40">
        <f>'1.2 Budgeted Enrollment YR1'!B423</f>
        <v>2</v>
      </c>
      <c r="C423" s="40">
        <f>'1.2 Budgeted Enrollment YR1'!C423</f>
        <v>2</v>
      </c>
      <c r="D423" s="40" t="str">
        <f>'1.2 Budgeted Enrollment YR1'!D423</f>
        <v>Las Vegas</v>
      </c>
      <c r="E423" s="38" t="str">
        <f>'1.2 Budgeted Enrollment YR1'!E423</f>
        <v>Summit View Youth J-SHS</v>
      </c>
      <c r="F423" s="590"/>
      <c r="G423" s="220">
        <f>'1.2 Budgeted Enrollment YR1'!G423+('1.2 Budgeted Enrollment YR1'!G423*$Q$2)</f>
        <v>30.075494224167446</v>
      </c>
      <c r="H423" s="219">
        <v>0</v>
      </c>
      <c r="I423" s="220">
        <v>0</v>
      </c>
      <c r="J423" s="219">
        <v>0</v>
      </c>
      <c r="K423" s="220">
        <v>0</v>
      </c>
      <c r="L423" s="73"/>
      <c r="M423" s="2"/>
      <c r="N423"/>
      <c r="O423"/>
      <c r="P423"/>
      <c r="Q423"/>
    </row>
    <row r="424" spans="1:17" ht="18" thickTop="1" thickBot="1" x14ac:dyDescent="0.35">
      <c r="A424" s="38" t="str">
        <f>'1.2 Budgeted Enrollment YR1'!A424</f>
        <v>Clark</v>
      </c>
      <c r="B424" s="40">
        <f>'1.2 Budgeted Enrollment YR1'!B424</f>
        <v>2</v>
      </c>
      <c r="C424" s="40">
        <f>'1.2 Budgeted Enrollment YR1'!C424</f>
        <v>2</v>
      </c>
      <c r="D424" s="40" t="str">
        <f>'1.2 Budgeted Enrollment YR1'!D424</f>
        <v>Las Vegas</v>
      </c>
      <c r="E424" s="38" t="str">
        <f>'1.2 Budgeted Enrollment YR1'!E424</f>
        <v>Sunrise Acres ES</v>
      </c>
      <c r="F424" s="590"/>
      <c r="G424" s="220">
        <f>'1.2 Budgeted Enrollment YR1'!G424+('1.2 Budgeted Enrollment YR1'!G424*$Q$2)</f>
        <v>518.53418328377495</v>
      </c>
      <c r="H424" s="219">
        <v>0</v>
      </c>
      <c r="I424" s="220">
        <v>0</v>
      </c>
      <c r="J424" s="219">
        <v>0</v>
      </c>
      <c r="K424" s="220">
        <v>0</v>
      </c>
      <c r="L424" s="73"/>
      <c r="M424" s="2"/>
      <c r="N424"/>
      <c r="O424"/>
      <c r="P424"/>
      <c r="Q424"/>
    </row>
    <row r="425" spans="1:17" ht="18" thickTop="1" thickBot="1" x14ac:dyDescent="0.35">
      <c r="A425" s="38" t="str">
        <f>'1.2 Budgeted Enrollment YR1'!A425</f>
        <v>Clark</v>
      </c>
      <c r="B425" s="40">
        <f>'1.2 Budgeted Enrollment YR1'!B425</f>
        <v>2</v>
      </c>
      <c r="C425" s="40">
        <f>'1.2 Budgeted Enrollment YR1'!C425</f>
        <v>2</v>
      </c>
      <c r="D425" s="40" t="str">
        <f>'1.2 Budgeted Enrollment YR1'!D425</f>
        <v>Las Vegas</v>
      </c>
      <c r="E425" s="38" t="str">
        <f>'1.2 Budgeted Enrollment YR1'!E425</f>
        <v>Sunrise Mountain HS</v>
      </c>
      <c r="F425" s="590"/>
      <c r="G425" s="220">
        <f>'1.2 Budgeted Enrollment YR1'!G425+('1.2 Budgeted Enrollment YR1'!G425*$Q$2)</f>
        <v>2523.8928328640723</v>
      </c>
      <c r="H425" s="219">
        <v>0</v>
      </c>
      <c r="I425" s="220">
        <v>0</v>
      </c>
      <c r="J425" s="219">
        <v>0</v>
      </c>
      <c r="K425" s="220">
        <v>0</v>
      </c>
      <c r="L425" s="73"/>
      <c r="M425" s="2"/>
      <c r="N425"/>
      <c r="O425"/>
      <c r="P425"/>
      <c r="Q425"/>
    </row>
    <row r="426" spans="1:17" ht="18" thickTop="1" thickBot="1" x14ac:dyDescent="0.35">
      <c r="A426" s="38" t="str">
        <f>'1.2 Budgeted Enrollment YR1'!A426</f>
        <v>Clark</v>
      </c>
      <c r="B426" s="40">
        <f>'1.2 Budgeted Enrollment YR1'!B426</f>
        <v>2</v>
      </c>
      <c r="C426" s="40">
        <f>'1.2 Budgeted Enrollment YR1'!C426</f>
        <v>2</v>
      </c>
      <c r="D426" s="40" t="str">
        <f>'1.2 Budgeted Enrollment YR1'!D426</f>
        <v>Las Vegas</v>
      </c>
      <c r="E426" s="38" t="str">
        <f>'1.2 Budgeted Enrollment YR1'!E426</f>
        <v>Swainston, Theron L MS</v>
      </c>
      <c r="F426" s="590"/>
      <c r="G426" s="220">
        <f>'1.2 Budgeted Enrollment YR1'!G426+('1.2 Budgeted Enrollment YR1'!G426*$Q$2)</f>
        <v>1058.4835671533031</v>
      </c>
      <c r="H426" s="219">
        <v>0</v>
      </c>
      <c r="I426" s="220">
        <v>0</v>
      </c>
      <c r="J426" s="219">
        <v>0</v>
      </c>
      <c r="K426" s="220">
        <v>0</v>
      </c>
      <c r="L426" s="73"/>
      <c r="M426" s="2"/>
      <c r="N426"/>
      <c r="O426"/>
      <c r="P426"/>
      <c r="Q426"/>
    </row>
    <row r="427" spans="1:17" ht="18" thickTop="1" thickBot="1" x14ac:dyDescent="0.35">
      <c r="A427" s="38" t="str">
        <f>'1.2 Budgeted Enrollment YR1'!A427</f>
        <v>Clark</v>
      </c>
      <c r="B427" s="40">
        <f>'1.2 Budgeted Enrollment YR1'!B427</f>
        <v>2</v>
      </c>
      <c r="C427" s="40">
        <f>'1.2 Budgeted Enrollment YR1'!C427</f>
        <v>2</v>
      </c>
      <c r="D427" s="40" t="str">
        <f>'1.2 Budgeted Enrollment YR1'!D427</f>
        <v>Las Vegas</v>
      </c>
      <c r="E427" s="38" t="str">
        <f>'1.2 Budgeted Enrollment YR1'!E427</f>
        <v>Tanaka, Wayne N ES</v>
      </c>
      <c r="F427" s="590"/>
      <c r="G427" s="220">
        <f>'1.2 Budgeted Enrollment YR1'!G427+('1.2 Budgeted Enrollment YR1'!G427*$Q$2)</f>
        <v>716.77558385692498</v>
      </c>
      <c r="H427" s="219">
        <v>0</v>
      </c>
      <c r="I427" s="220">
        <v>0</v>
      </c>
      <c r="J427" s="219">
        <v>0</v>
      </c>
      <c r="K427" s="220">
        <v>0</v>
      </c>
      <c r="L427" s="73"/>
      <c r="M427" s="2"/>
      <c r="N427"/>
      <c r="O427"/>
      <c r="P427"/>
      <c r="Q427"/>
    </row>
    <row r="428" spans="1:17" ht="18" thickTop="1" thickBot="1" x14ac:dyDescent="0.35">
      <c r="A428" s="38" t="str">
        <f>'1.2 Budgeted Enrollment YR1'!A428</f>
        <v>Clark</v>
      </c>
      <c r="B428" s="40">
        <f>'1.2 Budgeted Enrollment YR1'!B428</f>
        <v>2</v>
      </c>
      <c r="C428" s="40">
        <f>'1.2 Budgeted Enrollment YR1'!C428</f>
        <v>2</v>
      </c>
      <c r="D428" s="40" t="str">
        <f>'1.2 Budgeted Enrollment YR1'!D428</f>
        <v>Las Vegas</v>
      </c>
      <c r="E428" s="38" t="str">
        <f>'1.2 Budgeted Enrollment YR1'!E428</f>
        <v>Tarkanian, Lois &amp; Jerry MS</v>
      </c>
      <c r="F428" s="590"/>
      <c r="G428" s="220">
        <f>'1.2 Budgeted Enrollment YR1'!G428+('1.2 Budgeted Enrollment YR1'!G428*$Q$2)</f>
        <v>1263.2828839705867</v>
      </c>
      <c r="H428" s="219">
        <v>0</v>
      </c>
      <c r="I428" s="220">
        <v>0</v>
      </c>
      <c r="J428" s="219">
        <v>0</v>
      </c>
      <c r="K428" s="220">
        <v>0</v>
      </c>
      <c r="L428" s="73"/>
      <c r="M428" s="2"/>
      <c r="N428"/>
      <c r="O428"/>
      <c r="P428"/>
      <c r="Q428"/>
    </row>
    <row r="429" spans="1:17" ht="18" thickTop="1" thickBot="1" x14ac:dyDescent="0.35">
      <c r="A429" s="38" t="str">
        <f>'1.2 Budgeted Enrollment YR1'!A429</f>
        <v>Clark</v>
      </c>
      <c r="B429" s="40">
        <f>'1.2 Budgeted Enrollment YR1'!B429</f>
        <v>2</v>
      </c>
      <c r="C429" s="40">
        <f>'1.2 Budgeted Enrollment YR1'!C429</f>
        <v>2</v>
      </c>
      <c r="D429" s="40" t="str">
        <f>'1.2 Budgeted Enrollment YR1'!D429</f>
        <v>Las Vegas</v>
      </c>
      <c r="E429" s="38" t="str">
        <f>'1.2 Budgeted Enrollment YR1'!E429</f>
        <v>Tarr, Sheila Academy of Int'l Studies ES</v>
      </c>
      <c r="F429" s="590"/>
      <c r="G429" s="220">
        <f>'1.2 Budgeted Enrollment YR1'!G429+('1.2 Budgeted Enrollment YR1'!G429*$Q$2)</f>
        <v>752.13093908054657</v>
      </c>
      <c r="H429" s="219">
        <v>0</v>
      </c>
      <c r="I429" s="220">
        <v>0</v>
      </c>
      <c r="J429" s="219">
        <v>0</v>
      </c>
      <c r="K429" s="220">
        <v>0</v>
      </c>
      <c r="L429" s="73"/>
      <c r="M429" s="2"/>
      <c r="N429"/>
      <c r="O429"/>
      <c r="P429"/>
      <c r="Q429"/>
    </row>
    <row r="430" spans="1:17" ht="18" thickTop="1" thickBot="1" x14ac:dyDescent="0.35">
      <c r="A430" s="38" t="str">
        <f>'1.2 Budgeted Enrollment YR1'!A430</f>
        <v>Clark</v>
      </c>
      <c r="B430" s="40">
        <f>'1.2 Budgeted Enrollment YR1'!B430</f>
        <v>2</v>
      </c>
      <c r="C430" s="40">
        <f>'1.2 Budgeted Enrollment YR1'!C430</f>
        <v>2</v>
      </c>
      <c r="D430" s="40" t="str">
        <f>'1.2 Budgeted Enrollment YR1'!D430</f>
        <v>Las Vegas</v>
      </c>
      <c r="E430" s="38" t="str">
        <f>'1.2 Budgeted Enrollment YR1'!E430</f>
        <v>Tartan, John ES</v>
      </c>
      <c r="F430" s="590"/>
      <c r="G430" s="220">
        <f>'1.2 Budgeted Enrollment YR1'!G430+('1.2 Budgeted Enrollment YR1'!G430*$Q$2)</f>
        <v>471.01820944943114</v>
      </c>
      <c r="H430" s="219">
        <v>0</v>
      </c>
      <c r="I430" s="220">
        <v>0</v>
      </c>
      <c r="J430" s="219">
        <v>0</v>
      </c>
      <c r="K430" s="220">
        <v>0</v>
      </c>
      <c r="L430" s="73"/>
      <c r="M430" s="2"/>
      <c r="N430"/>
      <c r="O430"/>
      <c r="P430"/>
      <c r="Q430"/>
    </row>
    <row r="431" spans="1:17" ht="18" thickTop="1" thickBot="1" x14ac:dyDescent="0.35">
      <c r="A431" s="38" t="str">
        <f>'1.2 Budgeted Enrollment YR1'!A431</f>
        <v>Clark</v>
      </c>
      <c r="B431" s="40">
        <f>'1.2 Budgeted Enrollment YR1'!B431</f>
        <v>2</v>
      </c>
      <c r="C431" s="40">
        <f>'1.2 Budgeted Enrollment YR1'!C431</f>
        <v>2</v>
      </c>
      <c r="D431" s="40" t="str">
        <f>'1.2 Budgeted Enrollment YR1'!D431</f>
        <v>Las Vegas</v>
      </c>
      <c r="E431" s="38" t="str">
        <f>'1.2 Budgeted Enrollment YR1'!E431</f>
        <v>Tate, Myrtle ES</v>
      </c>
      <c r="F431" s="590"/>
      <c r="G431" s="220">
        <f>'1.2 Budgeted Enrollment YR1'!G431+('1.2 Budgeted Enrollment YR1'!G431*$Q$2)</f>
        <v>652.55035483919653</v>
      </c>
      <c r="H431" s="219">
        <v>0</v>
      </c>
      <c r="I431" s="220">
        <v>0</v>
      </c>
      <c r="J431" s="219">
        <v>0</v>
      </c>
      <c r="K431" s="220">
        <v>0</v>
      </c>
      <c r="L431" s="73"/>
      <c r="M431" s="2"/>
      <c r="N431"/>
      <c r="O431"/>
      <c r="P431"/>
      <c r="Q431"/>
    </row>
    <row r="432" spans="1:17" ht="18" thickTop="1" thickBot="1" x14ac:dyDescent="0.35">
      <c r="A432" s="38" t="str">
        <f>'1.2 Budgeted Enrollment YR1'!A432</f>
        <v>Clark</v>
      </c>
      <c r="B432" s="40">
        <f>'1.2 Budgeted Enrollment YR1'!B432</f>
        <v>2</v>
      </c>
      <c r="C432" s="40">
        <f>'1.2 Budgeted Enrollment YR1'!C432</f>
        <v>2</v>
      </c>
      <c r="D432" s="40" t="str">
        <f>'1.2 Budgeted Enrollment YR1'!D432</f>
        <v>Las Vegas</v>
      </c>
      <c r="E432" s="38" t="str">
        <f>'1.2 Budgeted Enrollment YR1'!E432</f>
        <v>Taylor, Glen C ES</v>
      </c>
      <c r="F432" s="590"/>
      <c r="G432" s="220">
        <f>'1.2 Budgeted Enrollment YR1'!G432+('1.2 Budgeted Enrollment YR1'!G432*$Q$2)</f>
        <v>672.9604715589594</v>
      </c>
      <c r="H432" s="219">
        <v>0</v>
      </c>
      <c r="I432" s="220">
        <v>0</v>
      </c>
      <c r="J432" s="219">
        <v>0</v>
      </c>
      <c r="K432" s="220">
        <v>0</v>
      </c>
      <c r="L432" s="73"/>
      <c r="M432" s="2"/>
      <c r="N432"/>
      <c r="O432"/>
      <c r="P432"/>
      <c r="Q432"/>
    </row>
    <row r="433" spans="1:17" ht="18" thickTop="1" thickBot="1" x14ac:dyDescent="0.35">
      <c r="A433" s="38" t="str">
        <f>'1.2 Budgeted Enrollment YR1'!A433</f>
        <v>Clark</v>
      </c>
      <c r="B433" s="40">
        <f>'1.2 Budgeted Enrollment YR1'!B433</f>
        <v>2</v>
      </c>
      <c r="C433" s="40">
        <f>'1.2 Budgeted Enrollment YR1'!C433</f>
        <v>2</v>
      </c>
      <c r="D433" s="40" t="str">
        <f>'1.2 Budgeted Enrollment YR1'!D433</f>
        <v>Las Vegas</v>
      </c>
      <c r="E433" s="38" t="str">
        <f>'1.2 Budgeted Enrollment YR1'!E433</f>
        <v>Taylor, Robert L ES</v>
      </c>
      <c r="F433" s="590"/>
      <c r="G433" s="220">
        <f>'1.2 Budgeted Enrollment YR1'!G433+('1.2 Budgeted Enrollment YR1'!G433*$Q$2)</f>
        <v>452.6244066114553</v>
      </c>
      <c r="H433" s="219">
        <v>0</v>
      </c>
      <c r="I433" s="220">
        <v>0</v>
      </c>
      <c r="J433" s="219">
        <v>0</v>
      </c>
      <c r="K433" s="220">
        <v>0</v>
      </c>
      <c r="L433" s="73"/>
      <c r="M433" s="2"/>
      <c r="N433"/>
      <c r="O433"/>
      <c r="P433"/>
      <c r="Q433"/>
    </row>
    <row r="434" spans="1:17" ht="18" thickTop="1" thickBot="1" x14ac:dyDescent="0.35">
      <c r="A434" s="38" t="str">
        <f>'1.2 Budgeted Enrollment YR1'!A434</f>
        <v>Clark</v>
      </c>
      <c r="B434" s="40">
        <f>'1.2 Budgeted Enrollment YR1'!B434</f>
        <v>2</v>
      </c>
      <c r="C434" s="40">
        <f>'1.2 Budgeted Enrollment YR1'!C434</f>
        <v>2</v>
      </c>
      <c r="D434" s="40" t="str">
        <f>'1.2 Budgeted Enrollment YR1'!D434</f>
        <v>Las Vegas</v>
      </c>
      <c r="E434" s="38" t="str">
        <f>'1.2 Budgeted Enrollment YR1'!E434</f>
        <v>Thiriot, Joseph E ES</v>
      </c>
      <c r="F434" s="590"/>
      <c r="G434" s="220">
        <f>'1.2 Budgeted Enrollment YR1'!G434+('1.2 Budgeted Enrollment YR1'!G434*$Q$2)</f>
        <v>665.33697102436588</v>
      </c>
      <c r="H434" s="219">
        <v>0</v>
      </c>
      <c r="I434" s="220">
        <v>0</v>
      </c>
      <c r="J434" s="219">
        <v>0</v>
      </c>
      <c r="K434" s="220">
        <v>0</v>
      </c>
      <c r="L434" s="73"/>
      <c r="M434" s="2"/>
      <c r="N434"/>
      <c r="O434"/>
      <c r="P434"/>
      <c r="Q434"/>
    </row>
    <row r="435" spans="1:17" ht="18" thickTop="1" thickBot="1" x14ac:dyDescent="0.35">
      <c r="A435" s="38" t="str">
        <f>'1.2 Budgeted Enrollment YR1'!A435</f>
        <v>Clark</v>
      </c>
      <c r="B435" s="40">
        <f>'1.2 Budgeted Enrollment YR1'!B435</f>
        <v>2</v>
      </c>
      <c r="C435" s="40">
        <f>'1.2 Budgeted Enrollment YR1'!C435</f>
        <v>2</v>
      </c>
      <c r="D435" s="40" t="str">
        <f>'1.2 Budgeted Enrollment YR1'!D435</f>
        <v>Las Vegas</v>
      </c>
      <c r="E435" s="38" t="str">
        <f>'1.2 Budgeted Enrollment YR1'!E435</f>
        <v>Thomas, Ruby S ES</v>
      </c>
      <c r="F435" s="590"/>
      <c r="G435" s="220">
        <f>'1.2 Budgeted Enrollment YR1'!G435+('1.2 Budgeted Enrollment YR1'!G435*$Q$2)</f>
        <v>590.52757856235007</v>
      </c>
      <c r="H435" s="219">
        <v>0</v>
      </c>
      <c r="I435" s="220">
        <v>0</v>
      </c>
      <c r="J435" s="219">
        <v>0</v>
      </c>
      <c r="K435" s="220">
        <v>0</v>
      </c>
      <c r="L435" s="73"/>
      <c r="M435" s="2"/>
      <c r="N435"/>
      <c r="O435"/>
      <c r="P435"/>
      <c r="Q435"/>
    </row>
    <row r="436" spans="1:17" ht="18" thickTop="1" thickBot="1" x14ac:dyDescent="0.35">
      <c r="A436" s="38" t="str">
        <f>'1.2 Budgeted Enrollment YR1'!A436</f>
        <v>Clark</v>
      </c>
      <c r="B436" s="40">
        <f>'1.2 Budgeted Enrollment YR1'!B436</f>
        <v>2</v>
      </c>
      <c r="C436" s="40">
        <f>'1.2 Budgeted Enrollment YR1'!C436</f>
        <v>2</v>
      </c>
      <c r="D436" s="40" t="str">
        <f>'1.2 Budgeted Enrollment YR1'!D436</f>
        <v>Las Vegas</v>
      </c>
      <c r="E436" s="38" t="str">
        <f>'1.2 Budgeted Enrollment YR1'!E436</f>
        <v>Thompson, Sandra L ES</v>
      </c>
      <c r="F436" s="590"/>
      <c r="G436" s="220">
        <f>'1.2 Budgeted Enrollment YR1'!G436+('1.2 Budgeted Enrollment YR1'!G436*$Q$2)</f>
        <v>573.30295527455212</v>
      </c>
      <c r="H436" s="219">
        <v>0</v>
      </c>
      <c r="I436" s="220">
        <v>0</v>
      </c>
      <c r="J436" s="219">
        <v>0</v>
      </c>
      <c r="K436" s="220">
        <v>0</v>
      </c>
      <c r="L436" s="73"/>
      <c r="M436" s="2"/>
      <c r="N436"/>
      <c r="O436"/>
      <c r="P436"/>
      <c r="Q436"/>
    </row>
    <row r="437" spans="1:17" ht="18" thickTop="1" thickBot="1" x14ac:dyDescent="0.35">
      <c r="A437" s="38" t="str">
        <f>'1.2 Budgeted Enrollment YR1'!A437</f>
        <v>Clark</v>
      </c>
      <c r="B437" s="40">
        <f>'1.2 Budgeted Enrollment YR1'!B437</f>
        <v>2</v>
      </c>
      <c r="C437" s="40">
        <f>'1.2 Budgeted Enrollment YR1'!C437</f>
        <v>2</v>
      </c>
      <c r="D437" s="40" t="str">
        <f>'1.2 Budgeted Enrollment YR1'!D437</f>
        <v>Las Vegas</v>
      </c>
      <c r="E437" s="38" t="str">
        <f>'1.2 Budgeted Enrollment YR1'!E437</f>
        <v>Thompson, Tyrone ES</v>
      </c>
      <c r="F437" s="590"/>
      <c r="G437" s="220">
        <f>'1.2 Budgeted Enrollment YR1'!G437+('1.2 Budgeted Enrollment YR1'!G437*$Q$2)</f>
        <v>696.7867420081426</v>
      </c>
      <c r="H437" s="219"/>
      <c r="I437" s="220"/>
      <c r="J437" s="219"/>
      <c r="K437" s="220"/>
      <c r="L437" s="73"/>
      <c r="M437" s="2"/>
      <c r="N437"/>
      <c r="O437"/>
      <c r="P437"/>
      <c r="Q437"/>
    </row>
    <row r="438" spans="1:17" ht="18" thickTop="1" thickBot="1" x14ac:dyDescent="0.35">
      <c r="A438" s="38" t="str">
        <f>'1.2 Budgeted Enrollment YR1'!A438</f>
        <v>Clark</v>
      </c>
      <c r="B438" s="40">
        <f>'1.2 Budgeted Enrollment YR1'!B438</f>
        <v>2</v>
      </c>
      <c r="C438" s="40">
        <f>'1.2 Budgeted Enrollment YR1'!C438</f>
        <v>2</v>
      </c>
      <c r="D438" s="40" t="str">
        <f>'1.2 Budgeted Enrollment YR1'!D438</f>
        <v>Las Vegas</v>
      </c>
      <c r="E438" s="38" t="str">
        <f>'1.2 Budgeted Enrollment YR1'!E438</f>
        <v>Thorpe, Jim ES</v>
      </c>
      <c r="F438" s="590"/>
      <c r="G438" s="220">
        <f>'1.2 Budgeted Enrollment YR1'!G438+('1.2 Budgeted Enrollment YR1'!G438*$Q$2)</f>
        <v>396.22236313769173</v>
      </c>
      <c r="H438" s="219">
        <v>0</v>
      </c>
      <c r="I438" s="220">
        <v>0</v>
      </c>
      <c r="J438" s="219">
        <v>0</v>
      </c>
      <c r="K438" s="220">
        <v>0</v>
      </c>
      <c r="L438" s="73"/>
      <c r="M438" s="2"/>
      <c r="N438"/>
      <c r="O438"/>
      <c r="P438"/>
      <c r="Q438"/>
    </row>
    <row r="439" spans="1:17" ht="18" thickTop="1" thickBot="1" x14ac:dyDescent="0.35">
      <c r="A439" s="38" t="str">
        <f>'1.2 Budgeted Enrollment YR1'!A439</f>
        <v>Clark</v>
      </c>
      <c r="B439" s="40">
        <f>'1.2 Budgeted Enrollment YR1'!B439</f>
        <v>2</v>
      </c>
      <c r="C439" s="40">
        <f>'1.2 Budgeted Enrollment YR1'!C439</f>
        <v>2</v>
      </c>
      <c r="D439" s="40" t="str">
        <f>'1.2 Budgeted Enrollment YR1'!D439</f>
        <v>Las Vegas</v>
      </c>
      <c r="E439" s="38" t="str">
        <f>'1.2 Budgeted Enrollment YR1'!E439</f>
        <v>Tobler, R E ES</v>
      </c>
      <c r="F439" s="590"/>
      <c r="G439" s="220">
        <f>'1.2 Budgeted Enrollment YR1'!G439+('1.2 Budgeted Enrollment YR1'!G439*$Q$2)</f>
        <v>482.27289850861973</v>
      </c>
      <c r="H439" s="219">
        <v>0</v>
      </c>
      <c r="I439" s="220">
        <v>0</v>
      </c>
      <c r="J439" s="219">
        <v>0</v>
      </c>
      <c r="K439" s="220">
        <v>0</v>
      </c>
      <c r="L439" s="73"/>
      <c r="M439" s="2"/>
      <c r="N439"/>
      <c r="O439"/>
      <c r="P439"/>
      <c r="Q439"/>
    </row>
    <row r="440" spans="1:17" ht="18" thickTop="1" thickBot="1" x14ac:dyDescent="0.35">
      <c r="A440" s="38" t="str">
        <f>'1.2 Budgeted Enrollment YR1'!A440</f>
        <v>Clark</v>
      </c>
      <c r="B440" s="40">
        <f>'1.2 Budgeted Enrollment YR1'!B440</f>
        <v>2</v>
      </c>
      <c r="C440" s="40">
        <f>'1.2 Budgeted Enrollment YR1'!C440</f>
        <v>2</v>
      </c>
      <c r="D440" s="40" t="str">
        <f>'1.2 Budgeted Enrollment YR1'!D440</f>
        <v>Las Vegas</v>
      </c>
      <c r="E440" s="38" t="str">
        <f>'1.2 Budgeted Enrollment YR1'!E440</f>
        <v>Toland, Helen Anderson Intl Academy</v>
      </c>
      <c r="F440" s="590"/>
      <c r="G440" s="220">
        <f>'1.2 Budgeted Enrollment YR1'!G440+('1.2 Budgeted Enrollment YR1'!G440*$Q$2)</f>
        <v>265.02376297420608</v>
      </c>
      <c r="H440" s="219">
        <v>0</v>
      </c>
      <c r="I440" s="220">
        <v>0</v>
      </c>
      <c r="J440" s="219">
        <v>0</v>
      </c>
      <c r="K440" s="220">
        <v>0</v>
      </c>
      <c r="L440" s="73"/>
      <c r="M440" s="2"/>
      <c r="N440"/>
      <c r="O440"/>
      <c r="P440"/>
      <c r="Q440"/>
    </row>
    <row r="441" spans="1:17" ht="18" thickTop="1" thickBot="1" x14ac:dyDescent="0.35">
      <c r="A441" s="38" t="str">
        <f>'1.2 Budgeted Enrollment YR1'!A441</f>
        <v>Clark</v>
      </c>
      <c r="B441" s="40">
        <f>'1.2 Budgeted Enrollment YR1'!B441</f>
        <v>2</v>
      </c>
      <c r="C441" s="40">
        <f>'1.2 Budgeted Enrollment YR1'!C441</f>
        <v>2</v>
      </c>
      <c r="D441" s="40" t="str">
        <f>'1.2 Budgeted Enrollment YR1'!D441</f>
        <v>Las Vegas</v>
      </c>
      <c r="E441" s="38" t="str">
        <f>'1.2 Budgeted Enrollment YR1'!E441</f>
        <v>Tomiyasu, Bill Y ES</v>
      </c>
      <c r="F441" s="590"/>
      <c r="G441" s="220">
        <f>'1.2 Budgeted Enrollment YR1'!G441+('1.2 Budgeted Enrollment YR1'!G441*$Q$2)</f>
        <v>418.09141697729632</v>
      </c>
      <c r="H441" s="219">
        <v>0</v>
      </c>
      <c r="I441" s="220">
        <v>0</v>
      </c>
      <c r="J441" s="219">
        <v>0</v>
      </c>
      <c r="K441" s="220">
        <v>0</v>
      </c>
      <c r="L441" s="73"/>
      <c r="M441" s="2"/>
      <c r="N441"/>
      <c r="O441"/>
      <c r="P441"/>
      <c r="Q441"/>
    </row>
    <row r="442" spans="1:17" ht="18" thickTop="1" thickBot="1" x14ac:dyDescent="0.35">
      <c r="A442" s="38" t="str">
        <f>'1.2 Budgeted Enrollment YR1'!A442</f>
        <v>Clark</v>
      </c>
      <c r="B442" s="40">
        <f>'1.2 Budgeted Enrollment YR1'!B442</f>
        <v>2</v>
      </c>
      <c r="C442" s="40">
        <f>'1.2 Budgeted Enrollment YR1'!C442</f>
        <v>2</v>
      </c>
      <c r="D442" s="40" t="str">
        <f>'1.2 Budgeted Enrollment YR1'!D442</f>
        <v>Las Vegas</v>
      </c>
      <c r="E442" s="38" t="str">
        <f>'1.2 Budgeted Enrollment YR1'!E442</f>
        <v>Treem, Harriet ES</v>
      </c>
      <c r="F442" s="590"/>
      <c r="G442" s="220">
        <f>'1.2 Budgeted Enrollment YR1'!G442+('1.2 Budgeted Enrollment YR1'!G442*$Q$2)</f>
        <v>486.93551600852931</v>
      </c>
      <c r="H442" s="219">
        <v>0</v>
      </c>
      <c r="I442" s="220">
        <v>0</v>
      </c>
      <c r="J442" s="219">
        <v>0</v>
      </c>
      <c r="K442" s="220">
        <v>0</v>
      </c>
      <c r="L442" s="73"/>
      <c r="M442" s="2"/>
      <c r="N442"/>
      <c r="O442"/>
      <c r="P442"/>
      <c r="Q442"/>
    </row>
    <row r="443" spans="1:17" ht="18" thickTop="1" thickBot="1" x14ac:dyDescent="0.35">
      <c r="A443" s="38" t="str">
        <f>'1.2 Budgeted Enrollment YR1'!A443</f>
        <v>Clark</v>
      </c>
      <c r="B443" s="40">
        <f>'1.2 Budgeted Enrollment YR1'!B443</f>
        <v>2</v>
      </c>
      <c r="C443" s="40">
        <f>'1.2 Budgeted Enrollment YR1'!C443</f>
        <v>2</v>
      </c>
      <c r="D443" s="40" t="str">
        <f>'1.2 Budgeted Enrollment YR1'!D443</f>
        <v>Las Vegas</v>
      </c>
      <c r="E443" s="38" t="str">
        <f>'1.2 Budgeted Enrollment YR1'!E443</f>
        <v>Triggs, Vincent L ES</v>
      </c>
      <c r="F443" s="590"/>
      <c r="G443" s="220">
        <f>'1.2 Budgeted Enrollment YR1'!G443+('1.2 Budgeted Enrollment YR1'!G443*$Q$2)</f>
        <v>748.21577924501378</v>
      </c>
      <c r="H443" s="219">
        <v>0</v>
      </c>
      <c r="I443" s="220">
        <v>0</v>
      </c>
      <c r="J443" s="219">
        <v>0</v>
      </c>
      <c r="K443" s="220">
        <v>0</v>
      </c>
      <c r="L443" s="73"/>
      <c r="M443" s="2"/>
      <c r="N443"/>
      <c r="O443"/>
      <c r="P443"/>
      <c r="Q443"/>
    </row>
    <row r="444" spans="1:17" ht="18" thickTop="1" thickBot="1" x14ac:dyDescent="0.35">
      <c r="A444" s="38" t="str">
        <f>'1.2 Budgeted Enrollment YR1'!A444</f>
        <v>Clark</v>
      </c>
      <c r="B444" s="40">
        <f>'1.2 Budgeted Enrollment YR1'!B444</f>
        <v>2</v>
      </c>
      <c r="C444" s="40">
        <f>'1.2 Budgeted Enrollment YR1'!C444</f>
        <v>2</v>
      </c>
      <c r="D444" s="40" t="str">
        <f>'1.2 Budgeted Enrollment YR1'!D444</f>
        <v>Las Vegas</v>
      </c>
      <c r="E444" s="38" t="str">
        <f>'1.2 Budgeted Enrollment YR1'!E444</f>
        <v>Twin Lakes ES</v>
      </c>
      <c r="F444" s="590"/>
      <c r="G444" s="220">
        <f>'1.2 Budgeted Enrollment YR1'!G444+('1.2 Budgeted Enrollment YR1'!G444*$Q$2)</f>
        <v>494.74853873039297</v>
      </c>
      <c r="H444" s="219">
        <v>0</v>
      </c>
      <c r="I444" s="220">
        <v>0</v>
      </c>
      <c r="J444" s="219">
        <v>0</v>
      </c>
      <c r="K444" s="220">
        <v>0</v>
      </c>
      <c r="L444" s="73"/>
      <c r="M444" s="2"/>
      <c r="N444"/>
      <c r="O444"/>
      <c r="P444"/>
      <c r="Q444"/>
    </row>
    <row r="445" spans="1:17" ht="18" thickTop="1" thickBot="1" x14ac:dyDescent="0.35">
      <c r="A445" s="38" t="str">
        <f>'1.2 Budgeted Enrollment YR1'!A445</f>
        <v>Clark</v>
      </c>
      <c r="B445" s="40">
        <f>'1.2 Budgeted Enrollment YR1'!B445</f>
        <v>2</v>
      </c>
      <c r="C445" s="40">
        <f>'1.2 Budgeted Enrollment YR1'!C445</f>
        <v>2</v>
      </c>
      <c r="D445" s="40" t="str">
        <f>'1.2 Budgeted Enrollment YR1'!D445</f>
        <v>Las Vegas</v>
      </c>
      <c r="E445" s="38" t="str">
        <f>'1.2 Budgeted Enrollment YR1'!E445</f>
        <v>Twitchell, Neil C ES</v>
      </c>
      <c r="F445" s="590"/>
      <c r="G445" s="220">
        <f>'1.2 Budgeted Enrollment YR1'!G445+('1.2 Budgeted Enrollment YR1'!G445*$Q$2)</f>
        <v>487.89170612070336</v>
      </c>
      <c r="H445" s="219">
        <v>0</v>
      </c>
      <c r="I445" s="220">
        <v>0</v>
      </c>
      <c r="J445" s="219">
        <v>0</v>
      </c>
      <c r="K445" s="220">
        <v>0</v>
      </c>
      <c r="L445" s="73"/>
      <c r="M445" s="2"/>
      <c r="N445"/>
      <c r="O445"/>
      <c r="P445"/>
      <c r="Q445"/>
    </row>
    <row r="446" spans="1:17" ht="18" thickTop="1" thickBot="1" x14ac:dyDescent="0.35">
      <c r="A446" s="38" t="str">
        <f>'1.2 Budgeted Enrollment YR1'!A446</f>
        <v>Clark</v>
      </c>
      <c r="B446" s="40">
        <f>'1.2 Budgeted Enrollment YR1'!B446</f>
        <v>2</v>
      </c>
      <c r="C446" s="40">
        <f>'1.2 Budgeted Enrollment YR1'!C446</f>
        <v>2</v>
      </c>
      <c r="D446" s="40" t="str">
        <f>'1.2 Budgeted Enrollment YR1'!D446</f>
        <v>Las Vegas</v>
      </c>
      <c r="E446" s="38" t="str">
        <f>'1.2 Budgeted Enrollment YR1'!E446</f>
        <v>Ullom, J M ES</v>
      </c>
      <c r="F446" s="590"/>
      <c r="G446" s="220">
        <f>'1.2 Budgeted Enrollment YR1'!G446+('1.2 Budgeted Enrollment YR1'!G446*$Q$2)</f>
        <v>598.09114813674182</v>
      </c>
      <c r="H446" s="219">
        <v>0</v>
      </c>
      <c r="I446" s="220">
        <v>0</v>
      </c>
      <c r="J446" s="219">
        <v>0</v>
      </c>
      <c r="K446" s="220">
        <v>0</v>
      </c>
      <c r="L446" s="73"/>
      <c r="M446" s="2"/>
      <c r="N446"/>
      <c r="O446"/>
      <c r="P446"/>
      <c r="Q446"/>
    </row>
    <row r="447" spans="1:17" ht="18" thickTop="1" thickBot="1" x14ac:dyDescent="0.35">
      <c r="A447" s="38" t="str">
        <f>'1.2 Budgeted Enrollment YR1'!A447</f>
        <v>Clark</v>
      </c>
      <c r="B447" s="40">
        <f>'1.2 Budgeted Enrollment YR1'!B447</f>
        <v>2</v>
      </c>
      <c r="C447" s="40">
        <f>'1.2 Budgeted Enrollment YR1'!C447</f>
        <v>2</v>
      </c>
      <c r="D447" s="40" t="str">
        <f>'1.2 Budgeted Enrollment YR1'!D447</f>
        <v>Las Vegas</v>
      </c>
      <c r="E447" s="38" t="str">
        <f>'1.2 Budgeted Enrollment YR1'!E447</f>
        <v>Valley HS</v>
      </c>
      <c r="F447" s="590"/>
      <c r="G447" s="220">
        <f>'1.2 Budgeted Enrollment YR1'!G447+('1.2 Budgeted Enrollment YR1'!G447*$Q$2)</f>
        <v>2545.0256904536786</v>
      </c>
      <c r="H447" s="219">
        <v>0</v>
      </c>
      <c r="I447" s="220">
        <v>0</v>
      </c>
      <c r="J447" s="219">
        <v>0</v>
      </c>
      <c r="K447" s="220">
        <v>0</v>
      </c>
      <c r="L447" s="73"/>
      <c r="M447" s="2"/>
      <c r="N447"/>
      <c r="O447"/>
      <c r="P447"/>
      <c r="Q447"/>
    </row>
    <row r="448" spans="1:17" ht="18" thickTop="1" thickBot="1" x14ac:dyDescent="0.35">
      <c r="A448" s="38" t="str">
        <f>'1.2 Budgeted Enrollment YR1'!A448</f>
        <v>Clark</v>
      </c>
      <c r="B448" s="40">
        <f>'1.2 Budgeted Enrollment YR1'!B448</f>
        <v>2</v>
      </c>
      <c r="C448" s="40">
        <f>'1.2 Budgeted Enrollment YR1'!C448</f>
        <v>2</v>
      </c>
      <c r="D448" s="40" t="str">
        <f>'1.2 Budgeted Enrollment YR1'!D448</f>
        <v>Las Vegas</v>
      </c>
      <c r="E448" s="38" t="str">
        <f>'1.2 Budgeted Enrollment YR1'!E448</f>
        <v>Vanderburg, John ES</v>
      </c>
      <c r="F448" s="590"/>
      <c r="G448" s="220">
        <f>'1.2 Budgeted Enrollment YR1'!G448+('1.2 Budgeted Enrollment YR1'!G448*$Q$2)</f>
        <v>527.3038456714529</v>
      </c>
      <c r="H448" s="219">
        <v>0</v>
      </c>
      <c r="I448" s="220">
        <v>0</v>
      </c>
      <c r="J448" s="219">
        <v>0</v>
      </c>
      <c r="K448" s="220">
        <v>0</v>
      </c>
      <c r="L448" s="73"/>
      <c r="M448" s="2"/>
      <c r="N448"/>
      <c r="O448"/>
      <c r="P448"/>
      <c r="Q448"/>
    </row>
    <row r="449" spans="1:17" ht="18" thickTop="1" thickBot="1" x14ac:dyDescent="0.35">
      <c r="A449" s="38" t="str">
        <f>'1.2 Budgeted Enrollment YR1'!A449</f>
        <v>Clark</v>
      </c>
      <c r="B449" s="40">
        <f>'1.2 Budgeted Enrollment YR1'!B449</f>
        <v>2</v>
      </c>
      <c r="C449" s="40">
        <f>'1.2 Budgeted Enrollment YR1'!C449</f>
        <v>2</v>
      </c>
      <c r="D449" s="40" t="str">
        <f>'1.2 Budgeted Enrollment YR1'!D449</f>
        <v>Las Vegas</v>
      </c>
      <c r="E449" s="38" t="str">
        <f>'1.2 Budgeted Enrollment YR1'!E449</f>
        <v>Variety ES</v>
      </c>
      <c r="F449" s="590"/>
      <c r="G449" s="220">
        <f>'1.2 Budgeted Enrollment YR1'!G449+('1.2 Budgeted Enrollment YR1'!G449*$Q$2)</f>
        <v>23.21928113759294</v>
      </c>
      <c r="H449" s="219">
        <v>0</v>
      </c>
      <c r="I449" s="220">
        <v>0</v>
      </c>
      <c r="J449" s="219">
        <v>0</v>
      </c>
      <c r="K449" s="220">
        <v>0</v>
      </c>
      <c r="L449" s="73"/>
      <c r="M449" s="2"/>
      <c r="N449"/>
      <c r="O449"/>
      <c r="P449"/>
      <c r="Q449"/>
    </row>
    <row r="450" spans="1:17" ht="18" thickTop="1" thickBot="1" x14ac:dyDescent="0.35">
      <c r="A450" s="38" t="str">
        <f>'1.2 Budgeted Enrollment YR1'!A450</f>
        <v>Clark</v>
      </c>
      <c r="B450" s="40">
        <f>'1.2 Budgeted Enrollment YR1'!B450</f>
        <v>2</v>
      </c>
      <c r="C450" s="40">
        <f>'1.2 Budgeted Enrollment YR1'!C450</f>
        <v>2</v>
      </c>
      <c r="D450" s="40" t="str">
        <f>'1.2 Budgeted Enrollment YR1'!D450</f>
        <v>Las Vegas</v>
      </c>
      <c r="E450" s="38" t="str">
        <f>'1.2 Budgeted Enrollment YR1'!E450</f>
        <v>Variety J-SHS</v>
      </c>
      <c r="F450" s="590"/>
      <c r="G450" s="220">
        <f>'1.2 Budgeted Enrollment YR1'!G450+('1.2 Budgeted Enrollment YR1'!G450*$Q$2)</f>
        <v>101.14235990704871</v>
      </c>
      <c r="H450" s="219">
        <v>0</v>
      </c>
      <c r="I450" s="220">
        <v>0</v>
      </c>
      <c r="J450" s="219">
        <v>0</v>
      </c>
      <c r="K450" s="220">
        <v>0</v>
      </c>
      <c r="L450" s="73"/>
      <c r="M450" s="2"/>
      <c r="N450"/>
      <c r="O450"/>
      <c r="P450"/>
      <c r="Q450"/>
    </row>
    <row r="451" spans="1:17" ht="18" thickTop="1" thickBot="1" x14ac:dyDescent="0.35">
      <c r="A451" s="38" t="str">
        <f>'1.2 Budgeted Enrollment YR1'!A451</f>
        <v>Clark</v>
      </c>
      <c r="B451" s="40">
        <f>'1.2 Budgeted Enrollment YR1'!B451</f>
        <v>2</v>
      </c>
      <c r="C451" s="40">
        <f>'1.2 Budgeted Enrollment YR1'!C451</f>
        <v>2</v>
      </c>
      <c r="D451" s="40" t="str">
        <f>'1.2 Budgeted Enrollment YR1'!D451</f>
        <v>Las Vegas</v>
      </c>
      <c r="E451" s="38" t="str">
        <f>'1.2 Budgeted Enrollment YR1'!E451</f>
        <v>Vassiliadis, Billy &amp; Rosemary ES</v>
      </c>
      <c r="F451" s="590"/>
      <c r="G451" s="220">
        <f>'1.2 Budgeted Enrollment YR1'!G451+('1.2 Budgeted Enrollment YR1'!G451*$Q$2)</f>
        <v>1063.7214478264427</v>
      </c>
      <c r="H451" s="219">
        <v>0</v>
      </c>
      <c r="I451" s="220">
        <v>0</v>
      </c>
      <c r="J451" s="219">
        <v>0</v>
      </c>
      <c r="K451" s="220">
        <v>0</v>
      </c>
      <c r="L451" s="73"/>
      <c r="M451" s="2"/>
      <c r="N451"/>
      <c r="O451"/>
      <c r="P451"/>
      <c r="Q451"/>
    </row>
    <row r="452" spans="1:17" ht="18" thickTop="1" thickBot="1" x14ac:dyDescent="0.35">
      <c r="A452" s="38" t="str">
        <f>'1.2 Budgeted Enrollment YR1'!A452</f>
        <v>Clark</v>
      </c>
      <c r="B452" s="40">
        <f>'1.2 Budgeted Enrollment YR1'!B452</f>
        <v>2</v>
      </c>
      <c r="C452" s="40">
        <f>'1.2 Budgeted Enrollment YR1'!C452</f>
        <v>2</v>
      </c>
      <c r="D452" s="40" t="str">
        <f>'1.2 Budgeted Enrollment YR1'!D452</f>
        <v>Las Vegas</v>
      </c>
      <c r="E452" s="38" t="str">
        <f>'1.2 Budgeted Enrollment YR1'!E452</f>
        <v>Vegas Verdes ES</v>
      </c>
      <c r="F452" s="590"/>
      <c r="G452" s="220">
        <f>'1.2 Budgeted Enrollment YR1'!G452+('1.2 Budgeted Enrollment YR1'!G452*$Q$2)</f>
        <v>684.85925777996351</v>
      </c>
      <c r="H452" s="219">
        <v>0</v>
      </c>
      <c r="I452" s="220">
        <v>0</v>
      </c>
      <c r="J452" s="219">
        <v>0</v>
      </c>
      <c r="K452" s="220">
        <v>0</v>
      </c>
      <c r="L452" s="73"/>
      <c r="M452" s="2"/>
      <c r="N452"/>
      <c r="O452"/>
      <c r="P452"/>
      <c r="Q452"/>
    </row>
    <row r="453" spans="1:17" ht="18" thickTop="1" thickBot="1" x14ac:dyDescent="0.35">
      <c r="A453" s="38" t="str">
        <f>'1.2 Budgeted Enrollment YR1'!A453</f>
        <v>Clark</v>
      </c>
      <c r="B453" s="40">
        <f>'1.2 Budgeted Enrollment YR1'!B453</f>
        <v>2</v>
      </c>
      <c r="C453" s="40">
        <f>'1.2 Budgeted Enrollment YR1'!C453</f>
        <v>2</v>
      </c>
      <c r="D453" s="40" t="str">
        <f>'1.2 Budgeted Enrollment YR1'!D453</f>
        <v>Las Vegas</v>
      </c>
      <c r="E453" s="38" t="str">
        <f>'1.2 Budgeted Enrollment YR1'!E453</f>
        <v>Veterans Tribute CTA HS</v>
      </c>
      <c r="F453" s="590"/>
      <c r="G453" s="220">
        <f>'1.2 Budgeted Enrollment YR1'!G453+('1.2 Budgeted Enrollment YR1'!G453*$Q$2)</f>
        <v>816.26692104371534</v>
      </c>
      <c r="H453" s="219">
        <v>0</v>
      </c>
      <c r="I453" s="220">
        <v>0</v>
      </c>
      <c r="J453" s="219">
        <v>0</v>
      </c>
      <c r="K453" s="220">
        <v>0</v>
      </c>
      <c r="L453" s="73"/>
      <c r="M453" s="2"/>
      <c r="N453"/>
      <c r="O453"/>
      <c r="P453"/>
      <c r="Q453"/>
    </row>
    <row r="454" spans="1:17" ht="18" thickTop="1" thickBot="1" x14ac:dyDescent="0.35">
      <c r="A454" s="38" t="str">
        <f>'1.2 Budgeted Enrollment YR1'!A454</f>
        <v>Clark</v>
      </c>
      <c r="B454" s="40">
        <f>'1.2 Budgeted Enrollment YR1'!B454</f>
        <v>2</v>
      </c>
      <c r="C454" s="40">
        <f>'1.2 Budgeted Enrollment YR1'!C454</f>
        <v>2</v>
      </c>
      <c r="D454" s="40" t="str">
        <f>'1.2 Budgeted Enrollment YR1'!D454</f>
        <v>Mesquite</v>
      </c>
      <c r="E454" s="38" t="str">
        <f>'1.2 Budgeted Enrollment YR1'!E454</f>
        <v>Virgin Valley ES</v>
      </c>
      <c r="F454" s="590"/>
      <c r="G454" s="220">
        <f>'1.2 Budgeted Enrollment YR1'!G454+('1.2 Budgeted Enrollment YR1'!G454*$Q$2)</f>
        <v>551.66750086184106</v>
      </c>
      <c r="H454" s="219">
        <v>0</v>
      </c>
      <c r="I454" s="220">
        <v>0</v>
      </c>
      <c r="J454" s="219">
        <v>0</v>
      </c>
      <c r="K454" s="220">
        <v>0</v>
      </c>
      <c r="L454" s="73"/>
      <c r="M454" s="2"/>
      <c r="N454"/>
      <c r="O454"/>
      <c r="P454"/>
      <c r="Q454"/>
    </row>
    <row r="455" spans="1:17" ht="18" thickTop="1" thickBot="1" x14ac:dyDescent="0.35">
      <c r="A455" s="38" t="str">
        <f>'1.2 Budgeted Enrollment YR1'!A455</f>
        <v>Clark</v>
      </c>
      <c r="B455" s="40">
        <f>'1.2 Budgeted Enrollment YR1'!B455</f>
        <v>2</v>
      </c>
      <c r="C455" s="40">
        <f>'1.2 Budgeted Enrollment YR1'!C455</f>
        <v>2</v>
      </c>
      <c r="D455" s="40" t="str">
        <f>'1.2 Budgeted Enrollment YR1'!D455</f>
        <v>Mesquite</v>
      </c>
      <c r="E455" s="38" t="str">
        <f>'1.2 Budgeted Enrollment YR1'!E455</f>
        <v>Virgin Valley HS</v>
      </c>
      <c r="F455" s="590"/>
      <c r="G455" s="220">
        <f>'1.2 Budgeted Enrollment YR1'!G455+('1.2 Budgeted Enrollment YR1'!G455*$Q$2)</f>
        <v>771.61420682465712</v>
      </c>
      <c r="H455" s="219">
        <v>0</v>
      </c>
      <c r="I455" s="220">
        <v>0</v>
      </c>
      <c r="J455" s="219">
        <v>0</v>
      </c>
      <c r="K455" s="220">
        <v>0</v>
      </c>
      <c r="L455" s="73"/>
      <c r="M455" s="2"/>
      <c r="N455"/>
      <c r="O455"/>
      <c r="P455"/>
      <c r="Q455"/>
    </row>
    <row r="456" spans="1:17" ht="18" thickTop="1" thickBot="1" x14ac:dyDescent="0.35">
      <c r="A456" s="38" t="str">
        <f>'1.2 Budgeted Enrollment YR1'!A456</f>
        <v>Clark</v>
      </c>
      <c r="B456" s="40">
        <f>'1.2 Budgeted Enrollment YR1'!B456</f>
        <v>2</v>
      </c>
      <c r="C456" s="40">
        <f>'1.2 Budgeted Enrollment YR1'!C456</f>
        <v>2</v>
      </c>
      <c r="D456" s="40" t="str">
        <f>'1.2 Budgeted Enrollment YR1'!D456</f>
        <v>Las Vegas</v>
      </c>
      <c r="E456" s="38" t="str">
        <f>'1.2 Budgeted Enrollment YR1'!E456</f>
        <v>Von Tobel, Ed MS</v>
      </c>
      <c r="F456" s="590"/>
      <c r="G456" s="220">
        <f>'1.2 Budgeted Enrollment YR1'!G456+('1.2 Budgeted Enrollment YR1'!G456*$Q$2)</f>
        <v>963.04953646027468</v>
      </c>
      <c r="H456" s="219">
        <v>0</v>
      </c>
      <c r="I456" s="220">
        <v>0</v>
      </c>
      <c r="J456" s="219">
        <v>0</v>
      </c>
      <c r="K456" s="220">
        <v>0</v>
      </c>
      <c r="L456" s="73"/>
      <c r="M456" s="2"/>
      <c r="N456"/>
      <c r="O456"/>
      <c r="P456"/>
      <c r="Q456"/>
    </row>
    <row r="457" spans="1:17" ht="18" thickTop="1" thickBot="1" x14ac:dyDescent="0.35">
      <c r="A457" s="38" t="str">
        <f>'1.2 Budgeted Enrollment YR1'!A457</f>
        <v>Clark</v>
      </c>
      <c r="B457" s="40">
        <f>'1.2 Budgeted Enrollment YR1'!B457</f>
        <v>2</v>
      </c>
      <c r="C457" s="40">
        <f>'1.2 Budgeted Enrollment YR1'!C457</f>
        <v>2</v>
      </c>
      <c r="D457" s="40" t="str">
        <f>'1.2 Budgeted Enrollment YR1'!D457</f>
        <v>Las Vegas</v>
      </c>
      <c r="E457" s="38" t="str">
        <f>'1.2 Budgeted Enrollment YR1'!E457</f>
        <v>Walker, J Marlan Int'l School ES</v>
      </c>
      <c r="F457" s="590"/>
      <c r="G457" s="220">
        <f>'1.2 Budgeted Enrollment YR1'!G457+('1.2 Budgeted Enrollment YR1'!G457*$Q$2)</f>
        <v>531.52316173623547</v>
      </c>
      <c r="H457" s="219">
        <v>0</v>
      </c>
      <c r="I457" s="220">
        <v>0</v>
      </c>
      <c r="J457" s="219">
        <v>0</v>
      </c>
      <c r="K457" s="220">
        <v>0</v>
      </c>
      <c r="L457" s="73"/>
      <c r="M457" s="2"/>
      <c r="N457"/>
      <c r="O457"/>
      <c r="P457"/>
      <c r="Q457"/>
    </row>
    <row r="458" spans="1:17" ht="18" thickTop="1" thickBot="1" x14ac:dyDescent="0.35">
      <c r="A458" s="38" t="str">
        <f>'1.2 Budgeted Enrollment YR1'!A458</f>
        <v>Clark</v>
      </c>
      <c r="B458" s="40">
        <f>'1.2 Budgeted Enrollment YR1'!B458</f>
        <v>2</v>
      </c>
      <c r="C458" s="40">
        <f>'1.2 Budgeted Enrollment YR1'!C458</f>
        <v>2</v>
      </c>
      <c r="D458" s="40" t="str">
        <f>'1.2 Budgeted Enrollment YR1'!D458</f>
        <v>Las Vegas</v>
      </c>
      <c r="E458" s="38" t="str">
        <f>'1.2 Budgeted Enrollment YR1'!E458</f>
        <v>Wallin, Shirley &amp; Bill ES</v>
      </c>
      <c r="F458" s="590"/>
      <c r="G458" s="220">
        <f>'1.2 Budgeted Enrollment YR1'!G458+('1.2 Budgeted Enrollment YR1'!G458*$Q$2)</f>
        <v>467.68632557107003</v>
      </c>
      <c r="H458" s="219">
        <v>0</v>
      </c>
      <c r="I458" s="220">
        <v>0</v>
      </c>
      <c r="J458" s="219">
        <v>0</v>
      </c>
      <c r="K458" s="220">
        <v>0</v>
      </c>
      <c r="L458" s="73"/>
      <c r="M458" s="2"/>
      <c r="N458"/>
      <c r="O458"/>
      <c r="P458"/>
      <c r="Q458"/>
    </row>
    <row r="459" spans="1:17" ht="18" thickTop="1" thickBot="1" x14ac:dyDescent="0.35">
      <c r="A459" s="38" t="str">
        <f>'1.2 Budgeted Enrollment YR1'!A459</f>
        <v>Clark</v>
      </c>
      <c r="B459" s="40">
        <f>'1.2 Budgeted Enrollment YR1'!B459</f>
        <v>2</v>
      </c>
      <c r="C459" s="40">
        <f>'1.2 Budgeted Enrollment YR1'!C459</f>
        <v>2</v>
      </c>
      <c r="D459" s="40" t="str">
        <f>'1.2 Budgeted Enrollment YR1'!D459</f>
        <v>Las Vegas</v>
      </c>
      <c r="E459" s="38" t="str">
        <f>'1.2 Budgeted Enrollment YR1'!E459</f>
        <v>Ward, Gene ES</v>
      </c>
      <c r="F459" s="590"/>
      <c r="G459" s="220">
        <f>'1.2 Budgeted Enrollment YR1'!G459+('1.2 Budgeted Enrollment YR1'!G459*$Q$2)</f>
        <v>565.85172134983668</v>
      </c>
      <c r="H459" s="219">
        <v>0</v>
      </c>
      <c r="I459" s="220">
        <v>0</v>
      </c>
      <c r="J459" s="219">
        <v>0</v>
      </c>
      <c r="K459" s="220">
        <v>0</v>
      </c>
      <c r="L459" s="73"/>
      <c r="M459" s="2"/>
      <c r="N459"/>
      <c r="O459"/>
      <c r="P459"/>
      <c r="Q459"/>
    </row>
    <row r="460" spans="1:17" ht="18" thickTop="1" thickBot="1" x14ac:dyDescent="0.35">
      <c r="A460" s="38" t="str">
        <f>'1.2 Budgeted Enrollment YR1'!A460</f>
        <v>Clark</v>
      </c>
      <c r="B460" s="40">
        <f>'1.2 Budgeted Enrollment YR1'!B460</f>
        <v>2</v>
      </c>
      <c r="C460" s="40">
        <f>'1.2 Budgeted Enrollment YR1'!C460</f>
        <v>2</v>
      </c>
      <c r="D460" s="40" t="str">
        <f>'1.2 Budgeted Enrollment YR1'!D460</f>
        <v>Las Vegas</v>
      </c>
      <c r="E460" s="38" t="str">
        <f>'1.2 Budgeted Enrollment YR1'!E460</f>
        <v>Ward, Kitty McDonough ES</v>
      </c>
      <c r="F460" s="590"/>
      <c r="G460" s="220">
        <f>'1.2 Budgeted Enrollment YR1'!G460+('1.2 Budgeted Enrollment YR1'!G460*$Q$2)</f>
        <v>694.15022614835755</v>
      </c>
      <c r="H460" s="219">
        <v>0</v>
      </c>
      <c r="I460" s="220">
        <v>0</v>
      </c>
      <c r="J460" s="219">
        <v>0</v>
      </c>
      <c r="K460" s="220">
        <v>0</v>
      </c>
      <c r="L460" s="73"/>
      <c r="M460" s="2"/>
      <c r="N460"/>
      <c r="O460"/>
      <c r="P460"/>
      <c r="Q460"/>
    </row>
    <row r="461" spans="1:17" ht="18" thickTop="1" thickBot="1" x14ac:dyDescent="0.35">
      <c r="A461" s="38" t="str">
        <f>'1.2 Budgeted Enrollment YR1'!A461</f>
        <v>Clark</v>
      </c>
      <c r="B461" s="40">
        <f>'1.2 Budgeted Enrollment YR1'!B461</f>
        <v>2</v>
      </c>
      <c r="C461" s="40">
        <f>'1.2 Budgeted Enrollment YR1'!C461</f>
        <v>2</v>
      </c>
      <c r="D461" s="40" t="str">
        <f>'1.2 Budgeted Enrollment YR1'!D461</f>
        <v>Las Vegas</v>
      </c>
      <c r="E461" s="38" t="str">
        <f>'1.2 Budgeted Enrollment YR1'!E461</f>
        <v>Warren, Rose ES</v>
      </c>
      <c r="F461" s="590"/>
      <c r="G461" s="220">
        <f>'1.2 Budgeted Enrollment YR1'!G461+('1.2 Budgeted Enrollment YR1'!G461*$Q$2)</f>
        <v>529.79061084079569</v>
      </c>
      <c r="H461" s="219">
        <v>0</v>
      </c>
      <c r="I461" s="220">
        <v>0</v>
      </c>
      <c r="J461" s="219">
        <v>0</v>
      </c>
      <c r="K461" s="220">
        <v>0</v>
      </c>
      <c r="L461" s="73"/>
      <c r="M461" s="2"/>
      <c r="N461"/>
      <c r="O461"/>
      <c r="P461"/>
      <c r="Q461"/>
    </row>
    <row r="462" spans="1:17" ht="18" thickTop="1" thickBot="1" x14ac:dyDescent="0.35">
      <c r="A462" s="38" t="str">
        <f>'1.2 Budgeted Enrollment YR1'!A462</f>
        <v>Clark</v>
      </c>
      <c r="B462" s="40">
        <f>'1.2 Budgeted Enrollment YR1'!B462</f>
        <v>2</v>
      </c>
      <c r="C462" s="40">
        <f>'1.2 Budgeted Enrollment YR1'!C462</f>
        <v>2</v>
      </c>
      <c r="D462" s="40" t="str">
        <f>'1.2 Budgeted Enrollment YR1'!D462</f>
        <v>Las Vegas</v>
      </c>
      <c r="E462" s="38" t="str">
        <f>'1.2 Budgeted Enrollment YR1'!E462</f>
        <v>Wasden, Howard ES</v>
      </c>
      <c r="F462" s="590"/>
      <c r="G462" s="220">
        <f>'1.2 Budgeted Enrollment YR1'!G462+('1.2 Budgeted Enrollment YR1'!G462*$Q$2)</f>
        <v>439.88463834243157</v>
      </c>
      <c r="H462" s="219">
        <v>0</v>
      </c>
      <c r="I462" s="220">
        <v>0</v>
      </c>
      <c r="J462" s="219">
        <v>0</v>
      </c>
      <c r="K462" s="220">
        <v>0</v>
      </c>
      <c r="L462" s="73"/>
      <c r="M462" s="2"/>
      <c r="N462"/>
      <c r="O462"/>
      <c r="P462"/>
      <c r="Q462"/>
    </row>
    <row r="463" spans="1:17" ht="18" thickTop="1" thickBot="1" x14ac:dyDescent="0.35">
      <c r="A463" s="38" t="str">
        <f>'1.2 Budgeted Enrollment YR1'!A463</f>
        <v>Clark</v>
      </c>
      <c r="B463" s="40">
        <f>'1.2 Budgeted Enrollment YR1'!B463</f>
        <v>2</v>
      </c>
      <c r="C463" s="40">
        <f>'1.2 Budgeted Enrollment YR1'!C463</f>
        <v>2</v>
      </c>
      <c r="D463" s="40" t="str">
        <f>'1.2 Budgeted Enrollment YR1'!D463</f>
        <v>Las Vegas</v>
      </c>
      <c r="E463" s="38" t="str">
        <f>'1.2 Budgeted Enrollment YR1'!E463</f>
        <v>Watson, Fredric W ES</v>
      </c>
      <c r="F463" s="590"/>
      <c r="G463" s="220">
        <f>'1.2 Budgeted Enrollment YR1'!G463+('1.2 Budgeted Enrollment YR1'!G463*$Q$2)</f>
        <v>647.75572644897147</v>
      </c>
      <c r="H463" s="219">
        <v>0</v>
      </c>
      <c r="I463" s="220">
        <v>0</v>
      </c>
      <c r="J463" s="219">
        <v>0</v>
      </c>
      <c r="K463" s="220">
        <v>0</v>
      </c>
      <c r="L463" s="73"/>
      <c r="M463" s="2"/>
      <c r="N463"/>
      <c r="O463"/>
      <c r="P463"/>
      <c r="Q463"/>
    </row>
    <row r="464" spans="1:17" ht="18" thickTop="1" thickBot="1" x14ac:dyDescent="0.35">
      <c r="A464" s="38" t="str">
        <f>'1.2 Budgeted Enrollment YR1'!A464</f>
        <v>Clark</v>
      </c>
      <c r="B464" s="40">
        <f>'1.2 Budgeted Enrollment YR1'!B464</f>
        <v>2</v>
      </c>
      <c r="C464" s="40">
        <f>'1.2 Budgeted Enrollment YR1'!C464</f>
        <v>2</v>
      </c>
      <c r="D464" s="40" t="str">
        <f>'1.2 Budgeted Enrollment YR1'!D464</f>
        <v>Las Vegas</v>
      </c>
      <c r="E464" s="38" t="str">
        <f>'1.2 Budgeted Enrollment YR1'!E464</f>
        <v>Webb, Del E MS</v>
      </c>
      <c r="F464" s="590"/>
      <c r="G464" s="220">
        <f>'1.2 Budgeted Enrollment YR1'!G464+('1.2 Budgeted Enrollment YR1'!G464*$Q$2)</f>
        <v>1572.2007602164786</v>
      </c>
      <c r="H464" s="219">
        <v>0</v>
      </c>
      <c r="I464" s="220">
        <v>0</v>
      </c>
      <c r="J464" s="219">
        <v>0</v>
      </c>
      <c r="K464" s="220">
        <v>0</v>
      </c>
      <c r="L464" s="73"/>
      <c r="M464" s="2"/>
      <c r="N464"/>
      <c r="O464"/>
      <c r="P464"/>
      <c r="Q464"/>
    </row>
    <row r="465" spans="1:17" ht="18" thickTop="1" thickBot="1" x14ac:dyDescent="0.35">
      <c r="A465" s="38" t="str">
        <f>'1.2 Budgeted Enrollment YR1'!A465</f>
        <v>Clark</v>
      </c>
      <c r="B465" s="40">
        <f>'1.2 Budgeted Enrollment YR1'!B465</f>
        <v>2</v>
      </c>
      <c r="C465" s="40">
        <f>'1.2 Budgeted Enrollment YR1'!C465</f>
        <v>2</v>
      </c>
      <c r="D465" s="40" t="str">
        <f>'1.2 Budgeted Enrollment YR1'!D465</f>
        <v>Las Vegas</v>
      </c>
      <c r="E465" s="38" t="str">
        <f>'1.2 Budgeted Enrollment YR1'!E465</f>
        <v>Wengert, Cyril ES</v>
      </c>
      <c r="F465" s="590"/>
      <c r="G465" s="220">
        <f>'1.2 Budgeted Enrollment YR1'!G465+('1.2 Budgeted Enrollment YR1'!G465*$Q$2)</f>
        <v>507.61641275696127</v>
      </c>
      <c r="H465" s="219">
        <v>0</v>
      </c>
      <c r="I465" s="220">
        <v>0</v>
      </c>
      <c r="J465" s="219">
        <v>0</v>
      </c>
      <c r="K465" s="220">
        <v>0</v>
      </c>
      <c r="L465" s="73"/>
      <c r="M465" s="2"/>
      <c r="N465"/>
      <c r="O465"/>
      <c r="P465"/>
      <c r="Q465"/>
    </row>
    <row r="466" spans="1:17" ht="18" thickTop="1" thickBot="1" x14ac:dyDescent="0.35">
      <c r="A466" s="38" t="str">
        <f>'1.2 Budgeted Enrollment YR1'!A466</f>
        <v>Clark</v>
      </c>
      <c r="B466" s="40">
        <f>'1.2 Budgeted Enrollment YR1'!B466</f>
        <v>2</v>
      </c>
      <c r="C466" s="40">
        <f>'1.2 Budgeted Enrollment YR1'!C466</f>
        <v>2</v>
      </c>
      <c r="D466" s="40" t="str">
        <f>'1.2 Budgeted Enrollment YR1'!D466</f>
        <v>Las Vegas</v>
      </c>
      <c r="E466" s="38" t="str">
        <f>'1.2 Budgeted Enrollment YR1'!E466</f>
        <v>West Career &amp; Technical Academy HS</v>
      </c>
      <c r="F466" s="590"/>
      <c r="G466" s="220">
        <f>'1.2 Budgeted Enrollment YR1'!G466+('1.2 Budgeted Enrollment YR1'!G466*$Q$2)</f>
        <v>1502.7705450716605</v>
      </c>
      <c r="H466" s="219">
        <v>0</v>
      </c>
      <c r="I466" s="220">
        <v>0</v>
      </c>
      <c r="J466" s="219">
        <v>0</v>
      </c>
      <c r="K466" s="220">
        <v>0</v>
      </c>
      <c r="L466" s="73"/>
      <c r="M466" s="2"/>
      <c r="N466"/>
      <c r="O466"/>
      <c r="P466"/>
      <c r="Q466"/>
    </row>
    <row r="467" spans="1:17" ht="18" thickTop="1" thickBot="1" x14ac:dyDescent="0.35">
      <c r="A467" s="38" t="str">
        <f>'1.2 Budgeted Enrollment YR1'!A467</f>
        <v>Clark</v>
      </c>
      <c r="B467" s="40">
        <f>'1.2 Budgeted Enrollment YR1'!B467</f>
        <v>2</v>
      </c>
      <c r="C467" s="40">
        <f>'1.2 Budgeted Enrollment YR1'!C467</f>
        <v>2</v>
      </c>
      <c r="D467" s="40" t="str">
        <f>'1.2 Budgeted Enrollment YR1'!D467</f>
        <v>Las Vegas</v>
      </c>
      <c r="E467" s="38" t="str">
        <f>'1.2 Budgeted Enrollment YR1'!E467</f>
        <v>West Prep ES</v>
      </c>
      <c r="F467" s="590"/>
      <c r="G467" s="220">
        <f>'1.2 Budgeted Enrollment YR1'!G467+('1.2 Budgeted Enrollment YR1'!G467*$Q$2)</f>
        <v>358.22049192018261</v>
      </c>
      <c r="H467" s="219">
        <v>0</v>
      </c>
      <c r="I467" s="220">
        <v>0</v>
      </c>
      <c r="J467" s="219">
        <v>0</v>
      </c>
      <c r="K467" s="220">
        <v>0</v>
      </c>
      <c r="L467" s="73"/>
      <c r="M467" s="2"/>
      <c r="N467"/>
      <c r="O467"/>
      <c r="P467"/>
      <c r="Q467"/>
    </row>
    <row r="468" spans="1:17" ht="18" thickTop="1" thickBot="1" x14ac:dyDescent="0.35">
      <c r="A468" s="38" t="str">
        <f>'1.2 Budgeted Enrollment YR1'!A468</f>
        <v>Clark</v>
      </c>
      <c r="B468" s="40">
        <f>'1.2 Budgeted Enrollment YR1'!B468</f>
        <v>2</v>
      </c>
      <c r="C468" s="40">
        <f>'1.2 Budgeted Enrollment YR1'!C468</f>
        <v>2</v>
      </c>
      <c r="D468" s="40" t="str">
        <f>'1.2 Budgeted Enrollment YR1'!D468</f>
        <v>Las Vegas</v>
      </c>
      <c r="E468" s="38" t="str">
        <f>'1.2 Budgeted Enrollment YR1'!E468</f>
        <v>West Preparatory Institute J-SHS</v>
      </c>
      <c r="F468" s="590"/>
      <c r="G468" s="220">
        <f>'1.2 Budgeted Enrollment YR1'!G468+('1.2 Budgeted Enrollment YR1'!G468*$Q$2)</f>
        <v>1192.5870717521566</v>
      </c>
      <c r="H468" s="219">
        <v>0</v>
      </c>
      <c r="I468" s="220">
        <v>0</v>
      </c>
      <c r="J468" s="219">
        <v>0</v>
      </c>
      <c r="K468" s="220">
        <v>0</v>
      </c>
      <c r="L468" s="73"/>
      <c r="M468" s="2"/>
      <c r="N468"/>
      <c r="O468"/>
      <c r="P468"/>
      <c r="Q468"/>
    </row>
    <row r="469" spans="1:17" ht="18" thickTop="1" thickBot="1" x14ac:dyDescent="0.35">
      <c r="A469" s="38" t="str">
        <f>'1.2 Budgeted Enrollment YR1'!A469</f>
        <v>Clark</v>
      </c>
      <c r="B469" s="40">
        <f>'1.2 Budgeted Enrollment YR1'!B469</f>
        <v>2</v>
      </c>
      <c r="C469" s="40">
        <f>'1.2 Budgeted Enrollment YR1'!C469</f>
        <v>2</v>
      </c>
      <c r="D469" s="40" t="str">
        <f>'1.2 Budgeted Enrollment YR1'!D469</f>
        <v>Las Vegas</v>
      </c>
      <c r="E469" s="38" t="str">
        <f>'1.2 Budgeted Enrollment YR1'!E469</f>
        <v>Western HS</v>
      </c>
      <c r="F469" s="590"/>
      <c r="G469" s="220">
        <f>'1.2 Budgeted Enrollment YR1'!G469+('1.2 Budgeted Enrollment YR1'!G469*$Q$2)</f>
        <v>2802.4297734929642</v>
      </c>
      <c r="H469" s="219">
        <v>0</v>
      </c>
      <c r="I469" s="220">
        <v>0</v>
      </c>
      <c r="J469" s="219">
        <v>0</v>
      </c>
      <c r="K469" s="220">
        <v>0</v>
      </c>
      <c r="L469" s="73"/>
      <c r="M469" s="2"/>
      <c r="N469"/>
      <c r="O469"/>
      <c r="P469"/>
      <c r="Q469"/>
    </row>
    <row r="470" spans="1:17" ht="18" thickTop="1" thickBot="1" x14ac:dyDescent="0.35">
      <c r="A470" s="38" t="str">
        <f>'1.2 Budgeted Enrollment YR1'!A470</f>
        <v>Clark</v>
      </c>
      <c r="B470" s="40">
        <f>'1.2 Budgeted Enrollment YR1'!B470</f>
        <v>2</v>
      </c>
      <c r="C470" s="40">
        <f>'1.2 Budgeted Enrollment YR1'!C470</f>
        <v>2</v>
      </c>
      <c r="D470" s="40" t="str">
        <f>'1.2 Budgeted Enrollment YR1'!D470</f>
        <v>Las Vegas</v>
      </c>
      <c r="E470" s="38" t="str">
        <f>'1.2 Budgeted Enrollment YR1'!E470</f>
        <v>White, Thurman Academy of the Arts MS</v>
      </c>
      <c r="F470" s="590"/>
      <c r="G470" s="220">
        <f>'1.2 Budgeted Enrollment YR1'!G470+('1.2 Budgeted Enrollment YR1'!G470*$Q$2)</f>
        <v>1562.5605282270833</v>
      </c>
      <c r="H470" s="219">
        <v>0</v>
      </c>
      <c r="I470" s="220">
        <v>0</v>
      </c>
      <c r="J470" s="219">
        <v>0</v>
      </c>
      <c r="K470" s="220">
        <v>0</v>
      </c>
      <c r="L470" s="73"/>
      <c r="M470" s="2"/>
      <c r="N470"/>
      <c r="O470"/>
      <c r="P470"/>
      <c r="Q470"/>
    </row>
    <row r="471" spans="1:17" ht="18" thickTop="1" thickBot="1" x14ac:dyDescent="0.35">
      <c r="A471" s="38" t="str">
        <f>'1.2 Budgeted Enrollment YR1'!A471</f>
        <v>Clark</v>
      </c>
      <c r="B471" s="40">
        <f>'1.2 Budgeted Enrollment YR1'!B471</f>
        <v>2</v>
      </c>
      <c r="C471" s="40">
        <f>'1.2 Budgeted Enrollment YR1'!C471</f>
        <v>2</v>
      </c>
      <c r="D471" s="40" t="str">
        <f>'1.2 Budgeted Enrollment YR1'!D471</f>
        <v>Las Vegas</v>
      </c>
      <c r="E471" s="38" t="str">
        <f>'1.2 Budgeted Enrollment YR1'!E471</f>
        <v>Whitney ES</v>
      </c>
      <c r="F471" s="590"/>
      <c r="G471" s="220">
        <f>'1.2 Budgeted Enrollment YR1'!G471+('1.2 Budgeted Enrollment YR1'!G471*$Q$2)</f>
        <v>377.92725225366718</v>
      </c>
      <c r="H471" s="219">
        <v>0</v>
      </c>
      <c r="I471" s="220">
        <v>0</v>
      </c>
      <c r="J471" s="219">
        <v>0</v>
      </c>
      <c r="K471" s="220">
        <v>0</v>
      </c>
      <c r="L471" s="73"/>
      <c r="M471" s="2"/>
      <c r="N471"/>
      <c r="O471"/>
      <c r="P471"/>
      <c r="Q471"/>
    </row>
    <row r="472" spans="1:17" ht="18" thickTop="1" thickBot="1" x14ac:dyDescent="0.35">
      <c r="A472" s="38" t="str">
        <f>'1.2 Budgeted Enrollment YR1'!A472</f>
        <v>Clark</v>
      </c>
      <c r="B472" s="40">
        <f>'1.2 Budgeted Enrollment YR1'!B472</f>
        <v>2</v>
      </c>
      <c r="C472" s="40">
        <f>'1.2 Budgeted Enrollment YR1'!C472</f>
        <v>2</v>
      </c>
      <c r="D472" s="40" t="str">
        <f>'1.2 Budgeted Enrollment YR1'!D472</f>
        <v>Las Vegas</v>
      </c>
      <c r="E472" s="38" t="str">
        <f>'1.2 Budgeted Enrollment YR1'!E472</f>
        <v>Wiener, Jr , Louis ES</v>
      </c>
      <c r="F472" s="590"/>
      <c r="G472" s="220">
        <f>'1.2 Budgeted Enrollment YR1'!G472+('1.2 Budgeted Enrollment YR1'!G472*$Q$2)</f>
        <v>434.95188449577847</v>
      </c>
      <c r="H472" s="219">
        <v>0</v>
      </c>
      <c r="I472" s="220">
        <v>0</v>
      </c>
      <c r="J472" s="219">
        <v>0</v>
      </c>
      <c r="K472" s="220">
        <v>0</v>
      </c>
      <c r="L472" s="73"/>
      <c r="M472" s="2"/>
      <c r="N472"/>
      <c r="O472"/>
      <c r="P472"/>
      <c r="Q472"/>
    </row>
    <row r="473" spans="1:17" ht="18" thickTop="1" thickBot="1" x14ac:dyDescent="0.35">
      <c r="A473" s="38" t="str">
        <f>'1.2 Budgeted Enrollment YR1'!A473</f>
        <v>Clark</v>
      </c>
      <c r="B473" s="40">
        <f>'1.2 Budgeted Enrollment YR1'!B473</f>
        <v>2</v>
      </c>
      <c r="C473" s="40">
        <f>'1.2 Budgeted Enrollment YR1'!C473</f>
        <v>2</v>
      </c>
      <c r="D473" s="40" t="str">
        <f>'1.2 Budgeted Enrollment YR1'!D473</f>
        <v>Las Vegas</v>
      </c>
      <c r="E473" s="38" t="str">
        <f>'1.2 Budgeted Enrollment YR1'!E473</f>
        <v>Wilhelm, Elizabeth ES</v>
      </c>
      <c r="F473" s="590"/>
      <c r="G473" s="220">
        <f>'1.2 Budgeted Enrollment YR1'!G473+('1.2 Budgeted Enrollment YR1'!G473*$Q$2)</f>
        <v>449.72319892658828</v>
      </c>
      <c r="H473" s="219">
        <v>0</v>
      </c>
      <c r="I473" s="220">
        <v>0</v>
      </c>
      <c r="J473" s="219">
        <v>0</v>
      </c>
      <c r="K473" s="220">
        <v>0</v>
      </c>
      <c r="L473" s="73"/>
      <c r="M473" s="2"/>
      <c r="N473"/>
      <c r="O473"/>
      <c r="P473"/>
      <c r="Q473"/>
    </row>
    <row r="474" spans="1:17" ht="18" thickTop="1" thickBot="1" x14ac:dyDescent="0.35">
      <c r="A474" s="38" t="str">
        <f>'1.2 Budgeted Enrollment YR1'!A474</f>
        <v>Clark</v>
      </c>
      <c r="B474" s="40">
        <f>'1.2 Budgeted Enrollment YR1'!B474</f>
        <v>2</v>
      </c>
      <c r="C474" s="40">
        <f>'1.2 Budgeted Enrollment YR1'!C474</f>
        <v>2</v>
      </c>
      <c r="D474" s="40" t="str">
        <f>'1.2 Budgeted Enrollment YR1'!D474</f>
        <v>Las Vegas</v>
      </c>
      <c r="E474" s="38" t="str">
        <f>'1.2 Budgeted Enrollment YR1'!E474</f>
        <v>Williams, Tom ES</v>
      </c>
      <c r="F474" s="590"/>
      <c r="G474" s="220">
        <f>'1.2 Budgeted Enrollment YR1'!G474+('1.2 Budgeted Enrollment YR1'!G474*$Q$2)</f>
        <v>595.2383583673203</v>
      </c>
      <c r="H474" s="219">
        <v>0</v>
      </c>
      <c r="I474" s="220">
        <v>0</v>
      </c>
      <c r="J474" s="219">
        <v>0</v>
      </c>
      <c r="K474" s="220">
        <v>0</v>
      </c>
      <c r="L474" s="73"/>
      <c r="M474" s="2"/>
      <c r="N474"/>
      <c r="O474"/>
      <c r="P474"/>
      <c r="Q474"/>
    </row>
    <row r="475" spans="1:17" ht="18" thickTop="1" thickBot="1" x14ac:dyDescent="0.35">
      <c r="A475" s="38" t="str">
        <f>'1.2 Budgeted Enrollment YR1'!A475</f>
        <v>Clark</v>
      </c>
      <c r="B475" s="40">
        <f>'1.2 Budgeted Enrollment YR1'!B475</f>
        <v>2</v>
      </c>
      <c r="C475" s="40">
        <f>'1.2 Budgeted Enrollment YR1'!C475</f>
        <v>2</v>
      </c>
      <c r="D475" s="40" t="str">
        <f>'1.2 Budgeted Enrollment YR1'!D475</f>
        <v>Las Vegas</v>
      </c>
      <c r="E475" s="38" t="str">
        <f>'1.2 Budgeted Enrollment YR1'!E475</f>
        <v>Williams, Wendell ES</v>
      </c>
      <c r="F475" s="590"/>
      <c r="G475" s="220">
        <f>'1.2 Budgeted Enrollment YR1'!G475+('1.2 Budgeted Enrollment YR1'!G475*$Q$2)</f>
        <v>290.41176705090743</v>
      </c>
      <c r="H475" s="219">
        <v>0</v>
      </c>
      <c r="I475" s="220">
        <v>0</v>
      </c>
      <c r="J475" s="219">
        <v>0</v>
      </c>
      <c r="K475" s="220">
        <v>0</v>
      </c>
      <c r="L475" s="73"/>
      <c r="M475" s="2"/>
      <c r="N475"/>
      <c r="O475"/>
      <c r="P475"/>
      <c r="Q475"/>
    </row>
    <row r="476" spans="1:17" ht="18" thickTop="1" thickBot="1" x14ac:dyDescent="0.35">
      <c r="A476" s="38" t="str">
        <f>'1.2 Budgeted Enrollment YR1'!A476</f>
        <v>Clark</v>
      </c>
      <c r="B476" s="40">
        <f>'1.2 Budgeted Enrollment YR1'!B476</f>
        <v>2</v>
      </c>
      <c r="C476" s="40">
        <f>'1.2 Budgeted Enrollment YR1'!C476</f>
        <v>2</v>
      </c>
      <c r="D476" s="40" t="str">
        <f>'1.2 Budgeted Enrollment YR1'!D476</f>
        <v>Las Vegas</v>
      </c>
      <c r="E476" s="38" t="str">
        <f>'1.2 Budgeted Enrollment YR1'!E476</f>
        <v>Wolfe, Eva ES</v>
      </c>
      <c r="F476" s="590"/>
      <c r="G476" s="220">
        <f>'1.2 Budgeted Enrollment YR1'!G476+('1.2 Budgeted Enrollment YR1'!G476*$Q$2)</f>
        <v>413.36538819387039</v>
      </c>
      <c r="H476" s="219">
        <v>0</v>
      </c>
      <c r="I476" s="220">
        <v>0</v>
      </c>
      <c r="J476" s="219">
        <v>0</v>
      </c>
      <c r="K476" s="220">
        <v>0</v>
      </c>
      <c r="L476" s="73"/>
      <c r="M476" s="2"/>
      <c r="N476"/>
      <c r="O476"/>
      <c r="P476"/>
      <c r="Q476"/>
    </row>
    <row r="477" spans="1:17" ht="18" thickTop="1" thickBot="1" x14ac:dyDescent="0.35">
      <c r="A477" s="38" t="str">
        <f>'1.2 Budgeted Enrollment YR1'!A477</f>
        <v>Clark</v>
      </c>
      <c r="B477" s="40">
        <f>'1.2 Budgeted Enrollment YR1'!B477</f>
        <v>2</v>
      </c>
      <c r="C477" s="40">
        <f>'1.2 Budgeted Enrollment YR1'!C477</f>
        <v>2</v>
      </c>
      <c r="D477" s="40" t="str">
        <f>'1.2 Budgeted Enrollment YR1'!D477</f>
        <v>Las Vegas</v>
      </c>
      <c r="E477" s="38" t="str">
        <f>'1.2 Budgeted Enrollment YR1'!E477</f>
        <v>Wolff, Elise L ES</v>
      </c>
      <c r="F477" s="590"/>
      <c r="G477" s="220">
        <f>'1.2 Budgeted Enrollment YR1'!G477+('1.2 Budgeted Enrollment YR1'!G477*$Q$2)</f>
        <v>704.42975228212345</v>
      </c>
      <c r="H477" s="219">
        <v>0</v>
      </c>
      <c r="I477" s="220">
        <v>0</v>
      </c>
      <c r="J477" s="219">
        <v>0</v>
      </c>
      <c r="K477" s="220">
        <v>0</v>
      </c>
      <c r="L477" s="73"/>
      <c r="M477" s="2"/>
      <c r="N477"/>
      <c r="O477"/>
      <c r="P477"/>
      <c r="Q477"/>
    </row>
    <row r="478" spans="1:17" ht="18" thickTop="1" thickBot="1" x14ac:dyDescent="0.35">
      <c r="A478" s="38" t="str">
        <f>'1.2 Budgeted Enrollment YR1'!A478</f>
        <v>Clark</v>
      </c>
      <c r="B478" s="40">
        <f>'1.2 Budgeted Enrollment YR1'!B478</f>
        <v>2</v>
      </c>
      <c r="C478" s="40">
        <f>'1.2 Budgeted Enrollment YR1'!C478</f>
        <v>2</v>
      </c>
      <c r="D478" s="40" t="str">
        <f>'1.2 Budgeted Enrollment YR1'!D478</f>
        <v>Las Vegas</v>
      </c>
      <c r="E478" s="38" t="str">
        <f>'1.2 Budgeted Enrollment YR1'!E478</f>
        <v>Woodbury, C W MS</v>
      </c>
      <c r="F478" s="590"/>
      <c r="G478" s="220">
        <f>'1.2 Budgeted Enrollment YR1'!G478+('1.2 Budgeted Enrollment YR1'!G478*$Q$2)</f>
        <v>788.20229394560727</v>
      </c>
      <c r="H478" s="219">
        <v>0</v>
      </c>
      <c r="I478" s="220">
        <v>0</v>
      </c>
      <c r="J478" s="219">
        <v>0</v>
      </c>
      <c r="K478" s="220">
        <v>0</v>
      </c>
      <c r="L478" s="73"/>
      <c r="M478" s="2"/>
      <c r="N478"/>
      <c r="O478"/>
      <c r="P478"/>
      <c r="Q478"/>
    </row>
    <row r="479" spans="1:17" ht="18" thickTop="1" thickBot="1" x14ac:dyDescent="0.35">
      <c r="A479" s="38" t="str">
        <f>'1.2 Budgeted Enrollment YR1'!A479</f>
        <v>Clark</v>
      </c>
      <c r="B479" s="40">
        <f>'1.2 Budgeted Enrollment YR1'!B479</f>
        <v>2</v>
      </c>
      <c r="C479" s="40">
        <f>'1.2 Budgeted Enrollment YR1'!C479</f>
        <v>2</v>
      </c>
      <c r="D479" s="40" t="str">
        <f>'1.2 Budgeted Enrollment YR1'!D479</f>
        <v>Las Vegas</v>
      </c>
      <c r="E479" s="38" t="str">
        <f>'1.2 Budgeted Enrollment YR1'!E479</f>
        <v>Woolley, Gwendolyn ES</v>
      </c>
      <c r="F479" s="590"/>
      <c r="G479" s="220">
        <f>'1.2 Budgeted Enrollment YR1'!G479+('1.2 Budgeted Enrollment YR1'!G479*$Q$2)</f>
        <v>644.84466980988361</v>
      </c>
      <c r="H479" s="219">
        <v>0</v>
      </c>
      <c r="I479" s="220">
        <v>0</v>
      </c>
      <c r="J479" s="219">
        <v>0</v>
      </c>
      <c r="K479" s="220">
        <v>0</v>
      </c>
      <c r="L479" s="73"/>
      <c r="M479" s="2"/>
      <c r="N479"/>
      <c r="O479"/>
      <c r="P479"/>
      <c r="Q479"/>
    </row>
    <row r="480" spans="1:17" ht="18" thickTop="1" thickBot="1" x14ac:dyDescent="0.35">
      <c r="A480" s="38" t="str">
        <f>'1.2 Budgeted Enrollment YR1'!A480</f>
        <v>Clark</v>
      </c>
      <c r="B480" s="40">
        <f>'1.2 Budgeted Enrollment YR1'!B480</f>
        <v>2</v>
      </c>
      <c r="C480" s="40">
        <f>'1.2 Budgeted Enrollment YR1'!C480</f>
        <v>2</v>
      </c>
      <c r="D480" s="40" t="str">
        <f>'1.2 Budgeted Enrollment YR1'!D480</f>
        <v>Las Vegas</v>
      </c>
      <c r="E480" s="38" t="str">
        <f>'1.2 Budgeted Enrollment YR1'!E480</f>
        <v>Wright, William V ES</v>
      </c>
      <c r="F480" s="590"/>
      <c r="G480" s="220">
        <f>'1.2 Budgeted Enrollment YR1'!G480+('1.2 Budgeted Enrollment YR1'!G480*$Q$2)</f>
        <v>578.97549048075064</v>
      </c>
      <c r="H480" s="219">
        <v>0</v>
      </c>
      <c r="I480" s="220">
        <v>0</v>
      </c>
      <c r="J480" s="219">
        <v>0</v>
      </c>
      <c r="K480" s="220">
        <v>0</v>
      </c>
      <c r="L480" s="73"/>
      <c r="M480" s="2"/>
      <c r="N480"/>
      <c r="O480"/>
      <c r="P480"/>
      <c r="Q480"/>
    </row>
    <row r="481" spans="1:17" ht="18" thickTop="1" thickBot="1" x14ac:dyDescent="0.35">
      <c r="A481" s="38" t="str">
        <f>'1.2 Budgeted Enrollment YR1'!A481</f>
        <v>Clark</v>
      </c>
      <c r="B481" s="40">
        <f>'1.2 Budgeted Enrollment YR1'!B481</f>
        <v>2</v>
      </c>
      <c r="C481" s="40">
        <f>'1.2 Budgeted Enrollment YR1'!C481</f>
        <v>2</v>
      </c>
      <c r="D481" s="40" t="str">
        <f>'1.2 Budgeted Enrollment YR1'!D481</f>
        <v>Las Vegas</v>
      </c>
      <c r="E481" s="38" t="str">
        <f>'1.2 Budgeted Enrollment YR1'!E481</f>
        <v>Wynn, Elaine ES</v>
      </c>
      <c r="F481" s="590"/>
      <c r="G481" s="220">
        <f>'1.2 Budgeted Enrollment YR1'!G481+('1.2 Budgeted Enrollment YR1'!G481*$Q$2)</f>
        <v>685.06419626575325</v>
      </c>
      <c r="H481" s="219">
        <v>0</v>
      </c>
      <c r="I481" s="220">
        <v>0</v>
      </c>
      <c r="J481" s="219">
        <v>0</v>
      </c>
      <c r="K481" s="220">
        <v>0</v>
      </c>
      <c r="L481" s="73"/>
      <c r="M481" s="2"/>
      <c r="N481"/>
      <c r="O481"/>
      <c r="P481"/>
      <c r="Q481"/>
    </row>
    <row r="482" spans="1:17" ht="18" thickTop="1" thickBot="1" x14ac:dyDescent="0.35">
      <c r="A482" s="38" t="str">
        <f>'1.2 Budgeted Enrollment YR1'!A482</f>
        <v>Douglas</v>
      </c>
      <c r="B482" s="40">
        <f>'1.2 Budgeted Enrollment YR1'!B482</f>
        <v>3</v>
      </c>
      <c r="C482" s="40">
        <f>'1.2 Budgeted Enrollment YR1'!C482</f>
        <v>3</v>
      </c>
      <c r="D482" s="40" t="str">
        <f>'1.2 Budgeted Enrollment YR1'!D482</f>
        <v>Gardnerville/Minden</v>
      </c>
      <c r="E482" s="38" t="str">
        <f>'1.2 Budgeted Enrollment YR1'!E482</f>
        <v>ALT School</v>
      </c>
      <c r="F482" s="590"/>
      <c r="G482" s="220">
        <f>'1.2 Budgeted Enrollment YR1'!G482+('1.2 Budgeted Enrollment YR1'!G482*$Q$2)</f>
        <v>5.4938586615952048</v>
      </c>
      <c r="H482" s="219">
        <v>0</v>
      </c>
      <c r="I482" s="220">
        <v>0</v>
      </c>
      <c r="J482" s="219">
        <v>0</v>
      </c>
      <c r="K482" s="220">
        <v>0</v>
      </c>
      <c r="L482" s="73"/>
      <c r="M482" s="2"/>
      <c r="N482"/>
      <c r="O482"/>
      <c r="P482"/>
      <c r="Q482"/>
    </row>
    <row r="483" spans="1:17" ht="18" thickTop="1" thickBot="1" x14ac:dyDescent="0.35">
      <c r="A483" s="38" t="str">
        <f>'1.2 Budgeted Enrollment YR1'!A483</f>
        <v>Douglas</v>
      </c>
      <c r="B483" s="40">
        <f>'1.2 Budgeted Enrollment YR1'!B483</f>
        <v>3</v>
      </c>
      <c r="C483" s="40">
        <f>'1.2 Budgeted Enrollment YR1'!C483</f>
        <v>3</v>
      </c>
      <c r="D483" s="40" t="str">
        <f>'1.2 Budgeted Enrollment YR1'!D483</f>
        <v>Gardnerville/Minden</v>
      </c>
      <c r="E483" s="38" t="str">
        <f>'1.2 Budgeted Enrollment YR1'!E483</f>
        <v>ASPIRE Academy High School</v>
      </c>
      <c r="F483" s="590"/>
      <c r="G483" s="220">
        <f>'1.2 Budgeted Enrollment YR1'!G483+('1.2 Budgeted Enrollment YR1'!G483*$Q$2)</f>
        <v>45.169701960017377</v>
      </c>
      <c r="H483" s="219">
        <v>0</v>
      </c>
      <c r="I483" s="220">
        <v>0</v>
      </c>
      <c r="J483" s="219">
        <v>0</v>
      </c>
      <c r="K483" s="220">
        <v>0</v>
      </c>
      <c r="L483" s="73"/>
      <c r="M483" s="2"/>
      <c r="N483"/>
      <c r="O483"/>
      <c r="P483"/>
      <c r="Q483"/>
    </row>
    <row r="484" spans="1:17" ht="18" thickTop="1" thickBot="1" x14ac:dyDescent="0.35">
      <c r="A484" s="38" t="str">
        <f>'1.2 Budgeted Enrollment YR1'!A484</f>
        <v>Douglas</v>
      </c>
      <c r="B484" s="40">
        <f>'1.2 Budgeted Enrollment YR1'!B484</f>
        <v>3</v>
      </c>
      <c r="C484" s="40">
        <f>'1.2 Budgeted Enrollment YR1'!C484</f>
        <v>3</v>
      </c>
      <c r="D484" s="40" t="str">
        <f>'1.2 Budgeted Enrollment YR1'!D484</f>
        <v>Gardnerville/Minden</v>
      </c>
      <c r="E484" s="38" t="str">
        <f>'1.2 Budgeted Enrollment YR1'!E484</f>
        <v>C. C. Meneley Elementary School</v>
      </c>
      <c r="F484" s="590"/>
      <c r="G484" s="220">
        <f>'1.2 Budgeted Enrollment YR1'!G484+('1.2 Budgeted Enrollment YR1'!G484*$Q$2)</f>
        <v>385.33521116187171</v>
      </c>
      <c r="H484" s="219">
        <v>0</v>
      </c>
      <c r="I484" s="220">
        <v>0</v>
      </c>
      <c r="J484" s="219">
        <v>0</v>
      </c>
      <c r="K484" s="220">
        <v>0</v>
      </c>
      <c r="L484" s="73"/>
      <c r="M484" s="2"/>
      <c r="N484"/>
      <c r="O484"/>
      <c r="P484"/>
      <c r="Q484"/>
    </row>
    <row r="485" spans="1:17" ht="18" thickTop="1" thickBot="1" x14ac:dyDescent="0.35">
      <c r="A485" s="38" t="str">
        <f>'1.2 Budgeted Enrollment YR1'!A485</f>
        <v>Douglas</v>
      </c>
      <c r="B485" s="40">
        <f>'1.2 Budgeted Enrollment YR1'!B485</f>
        <v>3</v>
      </c>
      <c r="C485" s="40">
        <f>'1.2 Budgeted Enrollment YR1'!C485</f>
        <v>3</v>
      </c>
      <c r="D485" s="40" t="str">
        <f>'1.2 Budgeted Enrollment YR1'!D485</f>
        <v>Gardnerville/Minden</v>
      </c>
      <c r="E485" s="38" t="str">
        <f>'1.2 Budgeted Enrollment YR1'!E485</f>
        <v>Carson Valley Middle School</v>
      </c>
      <c r="F485" s="590"/>
      <c r="G485" s="220">
        <f>'1.2 Budgeted Enrollment YR1'!G485+('1.2 Budgeted Enrollment YR1'!G485*$Q$2)</f>
        <v>595.24601435006844</v>
      </c>
      <c r="H485" s="219">
        <v>0</v>
      </c>
      <c r="I485" s="220">
        <v>0</v>
      </c>
      <c r="J485" s="219">
        <v>0</v>
      </c>
      <c r="K485" s="220">
        <v>0</v>
      </c>
      <c r="L485" s="73"/>
      <c r="M485" s="2"/>
      <c r="N485"/>
      <c r="O485"/>
      <c r="P485"/>
      <c r="Q485"/>
    </row>
    <row r="486" spans="1:17" ht="18" thickTop="1" thickBot="1" x14ac:dyDescent="0.35">
      <c r="A486" s="38" t="str">
        <f>'1.2 Budgeted Enrollment YR1'!A486</f>
        <v>Douglas</v>
      </c>
      <c r="B486" s="40">
        <f>'1.2 Budgeted Enrollment YR1'!B486</f>
        <v>3</v>
      </c>
      <c r="C486" s="40">
        <f>'1.2 Budgeted Enrollment YR1'!C486</f>
        <v>3</v>
      </c>
      <c r="D486" s="40" t="str">
        <f>'1.2 Budgeted Enrollment YR1'!D486</f>
        <v>Gardnerville/Minden</v>
      </c>
      <c r="E486" s="38" t="str">
        <f>'1.2 Budgeted Enrollment YR1'!E486</f>
        <v>Douglas High School</v>
      </c>
      <c r="F486" s="590"/>
      <c r="G486" s="220">
        <f>'1.2 Budgeted Enrollment YR1'!G486+('1.2 Budgeted Enrollment YR1'!G486*$Q$2)</f>
        <v>1598.8436580057025</v>
      </c>
      <c r="H486" s="219"/>
      <c r="I486" s="220"/>
      <c r="J486" s="219"/>
      <c r="K486" s="220">
        <v>0</v>
      </c>
      <c r="L486" s="73"/>
      <c r="M486" s="2"/>
      <c r="N486"/>
      <c r="O486"/>
      <c r="P486"/>
      <c r="Q486"/>
    </row>
    <row r="487" spans="1:17" ht="18" thickTop="1" thickBot="1" x14ac:dyDescent="0.35">
      <c r="A487" s="38" t="str">
        <f>'1.2 Budgeted Enrollment YR1'!A487</f>
        <v>Douglas</v>
      </c>
      <c r="B487" s="40">
        <f>'1.2 Budgeted Enrollment YR1'!B487</f>
        <v>3</v>
      </c>
      <c r="C487" s="40">
        <f>'1.2 Budgeted Enrollment YR1'!C487</f>
        <v>3</v>
      </c>
      <c r="D487" s="40" t="str">
        <f>'1.2 Budgeted Enrollment YR1'!D487</f>
        <v>Gardnerville/Minden</v>
      </c>
      <c r="E487" s="38" t="str">
        <f>'1.2 Budgeted Enrollment YR1'!E487</f>
        <v xml:space="preserve">Douglas Nevada Online </v>
      </c>
      <c r="F487" s="590"/>
      <c r="G487" s="220">
        <f>'1.2 Budgeted Enrollment YR1'!G487+('1.2 Budgeted Enrollment YR1'!G487*$Q$2)</f>
        <v>57.491615100284619</v>
      </c>
      <c r="H487" s="219">
        <v>0</v>
      </c>
      <c r="I487" s="220">
        <v>0</v>
      </c>
      <c r="J487" s="219">
        <v>0</v>
      </c>
      <c r="K487" s="220">
        <v>57.491615100284598</v>
      </c>
      <c r="L487" s="73"/>
      <c r="M487" s="2"/>
      <c r="N487"/>
      <c r="O487"/>
      <c r="P487"/>
      <c r="Q487"/>
    </row>
    <row r="488" spans="1:17" ht="18" thickTop="1" thickBot="1" x14ac:dyDescent="0.35">
      <c r="A488" s="38" t="str">
        <f>'1.2 Budgeted Enrollment YR1'!A488</f>
        <v>Douglas</v>
      </c>
      <c r="B488" s="40">
        <f>'1.2 Budgeted Enrollment YR1'!B488</f>
        <v>3</v>
      </c>
      <c r="C488" s="40">
        <f>'1.2 Budgeted Enrollment YR1'!C488</f>
        <v>3</v>
      </c>
      <c r="D488" s="40" t="str">
        <f>'1.2 Budgeted Enrollment YR1'!D488</f>
        <v>Gardnerville/Minden</v>
      </c>
      <c r="E488" s="38" t="str">
        <f>'1.2 Budgeted Enrollment YR1'!E488</f>
        <v>G. L. Scarselli Elementary School</v>
      </c>
      <c r="F488" s="590"/>
      <c r="G488" s="220">
        <f>'1.2 Budgeted Enrollment YR1'!G488+('1.2 Budgeted Enrollment YR1'!G488*$Q$2)</f>
        <v>369.67769921078855</v>
      </c>
      <c r="H488" s="219">
        <v>0</v>
      </c>
      <c r="I488" s="220">
        <v>0</v>
      </c>
      <c r="J488" s="219">
        <v>0</v>
      </c>
      <c r="K488" s="220">
        <v>0</v>
      </c>
      <c r="L488" s="73"/>
      <c r="M488" s="2"/>
      <c r="N488"/>
      <c r="O488"/>
      <c r="P488"/>
      <c r="Q488"/>
    </row>
    <row r="489" spans="1:17" ht="18" thickTop="1" thickBot="1" x14ac:dyDescent="0.35">
      <c r="A489" s="38" t="str">
        <f>'1.2 Budgeted Enrollment YR1'!A489</f>
        <v>Douglas</v>
      </c>
      <c r="B489" s="40">
        <f>'1.2 Budgeted Enrollment YR1'!B489</f>
        <v>3</v>
      </c>
      <c r="C489" s="40">
        <f>'1.2 Budgeted Enrollment YR1'!C489</f>
        <v>3</v>
      </c>
      <c r="D489" s="40" t="str">
        <f>'1.2 Budgeted Enrollment YR1'!D489</f>
        <v>Gardnerville/Minden</v>
      </c>
      <c r="E489" s="38" t="str">
        <f>'1.2 Budgeted Enrollment YR1'!E489</f>
        <v>Gardnerville Elementary School</v>
      </c>
      <c r="F489" s="590"/>
      <c r="G489" s="220">
        <f>'1.2 Budgeted Enrollment YR1'!G489+('1.2 Budgeted Enrollment YR1'!G489*$Q$2)</f>
        <v>344.9125467306738</v>
      </c>
      <c r="H489" s="219">
        <v>0</v>
      </c>
      <c r="I489" s="220">
        <v>0</v>
      </c>
      <c r="J489" s="219">
        <v>0</v>
      </c>
      <c r="K489" s="220">
        <v>0</v>
      </c>
      <c r="L489" s="73"/>
      <c r="M489" s="2"/>
      <c r="N489"/>
      <c r="O489"/>
      <c r="P489"/>
      <c r="Q489"/>
    </row>
    <row r="490" spans="1:17" ht="18" thickTop="1" thickBot="1" x14ac:dyDescent="0.35">
      <c r="A490" s="38" t="str">
        <f>'1.2 Budgeted Enrollment YR1'!A490</f>
        <v>Douglas</v>
      </c>
      <c r="B490" s="40">
        <f>'1.2 Budgeted Enrollment YR1'!B490</f>
        <v>3</v>
      </c>
      <c r="C490" s="40">
        <f>'1.2 Budgeted Enrollment YR1'!C490</f>
        <v>3</v>
      </c>
      <c r="D490" s="40" t="str">
        <f>'1.2 Budgeted Enrollment YR1'!D490</f>
        <v>Zephyr Cove</v>
      </c>
      <c r="E490" s="38" t="str">
        <f>'1.2 Budgeted Enrollment YR1'!E490</f>
        <v>George Whittell High School</v>
      </c>
      <c r="F490" s="590"/>
      <c r="G490" s="220">
        <f>'1.2 Budgeted Enrollment YR1'!G490+('1.2 Budgeted Enrollment YR1'!G490*$Q$2)</f>
        <v>149.34603529587417</v>
      </c>
      <c r="H490" s="219">
        <v>0</v>
      </c>
      <c r="I490" s="220">
        <v>0</v>
      </c>
      <c r="J490" s="219">
        <v>0</v>
      </c>
      <c r="K490" s="220">
        <v>0</v>
      </c>
      <c r="L490" s="73"/>
      <c r="M490" s="2"/>
      <c r="N490"/>
      <c r="O490"/>
      <c r="P490"/>
      <c r="Q490"/>
    </row>
    <row r="491" spans="1:17" ht="18" thickTop="1" thickBot="1" x14ac:dyDescent="0.35">
      <c r="A491" s="38" t="str">
        <f>'1.2 Budgeted Enrollment YR1'!A491</f>
        <v>Douglas</v>
      </c>
      <c r="B491" s="40">
        <f>'1.2 Budgeted Enrollment YR1'!B491</f>
        <v>3</v>
      </c>
      <c r="C491" s="40">
        <f>'1.2 Budgeted Enrollment YR1'!C491</f>
        <v>3</v>
      </c>
      <c r="D491" s="40" t="str">
        <f>'1.2 Budgeted Enrollment YR1'!D491</f>
        <v>Gardnerville/Minden</v>
      </c>
      <c r="E491" s="38" t="str">
        <f>'1.2 Budgeted Enrollment YR1'!E491</f>
        <v>Jacks Valley Elementary School</v>
      </c>
      <c r="F491" s="590"/>
      <c r="G491" s="220">
        <f>'1.2 Budgeted Enrollment YR1'!G491+('1.2 Budgeted Enrollment YR1'!G491*$Q$2)</f>
        <v>324.03860088641136</v>
      </c>
      <c r="H491" s="219">
        <v>0</v>
      </c>
      <c r="I491" s="220">
        <v>0</v>
      </c>
      <c r="J491" s="219">
        <v>0</v>
      </c>
      <c r="K491" s="220">
        <v>0</v>
      </c>
      <c r="L491" s="73"/>
      <c r="M491" s="2"/>
      <c r="N491"/>
      <c r="O491"/>
      <c r="P491"/>
      <c r="Q491"/>
    </row>
    <row r="492" spans="1:17" ht="18" thickTop="1" thickBot="1" x14ac:dyDescent="0.35">
      <c r="A492" s="38" t="str">
        <f>'1.2 Budgeted Enrollment YR1'!A492</f>
        <v>Douglas</v>
      </c>
      <c r="B492" s="40">
        <f>'1.2 Budgeted Enrollment YR1'!B492</f>
        <v>3</v>
      </c>
      <c r="C492" s="40">
        <f>'1.2 Budgeted Enrollment YR1'!C492</f>
        <v>3</v>
      </c>
      <c r="D492" s="40" t="str">
        <f>'1.2 Budgeted Enrollment YR1'!D492</f>
        <v>Jacobsen</v>
      </c>
      <c r="E492" s="38" t="str">
        <f>'1.2 Budgeted Enrollment YR1'!E492</f>
        <v>Jacobsen High School</v>
      </c>
      <c r="F492" s="590"/>
      <c r="G492" s="220">
        <f>'1.2 Budgeted Enrollment YR1'!G492+('1.2 Budgeted Enrollment YR1'!G492*$Q$2)</f>
        <v>22.39490312277896</v>
      </c>
      <c r="H492" s="219">
        <v>0</v>
      </c>
      <c r="I492" s="220">
        <v>0</v>
      </c>
      <c r="J492" s="219">
        <v>0</v>
      </c>
      <c r="K492" s="220">
        <v>0</v>
      </c>
      <c r="L492" s="73"/>
      <c r="M492" s="2"/>
      <c r="N492"/>
      <c r="O492"/>
      <c r="P492"/>
      <c r="Q492"/>
    </row>
    <row r="493" spans="1:17" ht="18" thickTop="1" thickBot="1" x14ac:dyDescent="0.35">
      <c r="A493" s="38" t="str">
        <f>'1.2 Budgeted Enrollment YR1'!A493</f>
        <v>Douglas</v>
      </c>
      <c r="B493" s="40">
        <f>'1.2 Budgeted Enrollment YR1'!B493</f>
        <v>3</v>
      </c>
      <c r="C493" s="40">
        <f>'1.2 Budgeted Enrollment YR1'!C493</f>
        <v>3</v>
      </c>
      <c r="D493" s="40" t="str">
        <f>'1.2 Budgeted Enrollment YR1'!D493</f>
        <v>Gardnerville/Minden</v>
      </c>
      <c r="E493" s="38" t="str">
        <f>'1.2 Budgeted Enrollment YR1'!E493</f>
        <v>Minden Elementary School</v>
      </c>
      <c r="F493" s="590"/>
      <c r="G493" s="220">
        <f>'1.2 Budgeted Enrollment YR1'!G493+('1.2 Budgeted Enrollment YR1'!G493*$Q$2)</f>
        <v>370.16707594617424</v>
      </c>
      <c r="H493" s="219">
        <v>0</v>
      </c>
      <c r="I493" s="220">
        <v>0</v>
      </c>
      <c r="J493" s="219">
        <v>0</v>
      </c>
      <c r="K493" s="220">
        <v>0</v>
      </c>
      <c r="L493" s="73"/>
      <c r="M493" s="2"/>
      <c r="N493"/>
      <c r="O493"/>
      <c r="P493"/>
      <c r="Q493"/>
    </row>
    <row r="494" spans="1:17" ht="18" thickTop="1" thickBot="1" x14ac:dyDescent="0.35">
      <c r="A494" s="38" t="str">
        <f>'1.2 Budgeted Enrollment YR1'!A494</f>
        <v>Douglas</v>
      </c>
      <c r="B494" s="40">
        <f>'1.2 Budgeted Enrollment YR1'!B494</f>
        <v>3</v>
      </c>
      <c r="C494" s="40">
        <f>'1.2 Budgeted Enrollment YR1'!C494</f>
        <v>3</v>
      </c>
      <c r="D494" s="40" t="str">
        <f>'1.2 Budgeted Enrollment YR1'!D494</f>
        <v>Gardnerville/Minden</v>
      </c>
      <c r="E494" s="38" t="str">
        <f>'1.2 Budgeted Enrollment YR1'!E494</f>
        <v>Pau Wa Lu Middle School</v>
      </c>
      <c r="F494" s="590"/>
      <c r="G494" s="220">
        <f>'1.2 Budgeted Enrollment YR1'!G494+('1.2 Budgeted Enrollment YR1'!G494*$Q$2)</f>
        <v>481.29407391397893</v>
      </c>
      <c r="H494" s="219">
        <v>0</v>
      </c>
      <c r="I494" s="220">
        <v>0</v>
      </c>
      <c r="J494" s="219">
        <v>0</v>
      </c>
      <c r="K494" s="220">
        <v>0</v>
      </c>
      <c r="L494" s="73"/>
      <c r="M494" s="2"/>
      <c r="N494"/>
      <c r="O494"/>
      <c r="P494"/>
      <c r="Q494"/>
    </row>
    <row r="495" spans="1:17" ht="18" thickTop="1" thickBot="1" x14ac:dyDescent="0.35">
      <c r="A495" s="38" t="str">
        <f>'1.2 Budgeted Enrollment YR1'!A495</f>
        <v>Douglas</v>
      </c>
      <c r="B495" s="40">
        <f>'1.2 Budgeted Enrollment YR1'!B495</f>
        <v>3</v>
      </c>
      <c r="C495" s="40">
        <f>'1.2 Budgeted Enrollment YR1'!C495</f>
        <v>3</v>
      </c>
      <c r="D495" s="40" t="str">
        <f>'1.2 Budgeted Enrollment YR1'!D495</f>
        <v>Gardnerville/Minden</v>
      </c>
      <c r="E495" s="38" t="str">
        <f>'1.2 Budgeted Enrollment YR1'!E495</f>
        <v>Pinon Hills Elementary School</v>
      </c>
      <c r="F495" s="590"/>
      <c r="G495" s="220">
        <f>'1.2 Budgeted Enrollment YR1'!G495+('1.2 Budgeted Enrollment YR1'!G495*$Q$2)</f>
        <v>277.1429267349173</v>
      </c>
      <c r="H495" s="219">
        <v>0</v>
      </c>
      <c r="I495" s="220">
        <v>0</v>
      </c>
      <c r="J495" s="219">
        <v>0</v>
      </c>
      <c r="K495" s="220">
        <v>0</v>
      </c>
      <c r="L495" s="73"/>
      <c r="M495" s="2"/>
      <c r="N495"/>
      <c r="O495"/>
      <c r="P495"/>
      <c r="Q495"/>
    </row>
    <row r="496" spans="1:17" ht="18" thickTop="1" thickBot="1" x14ac:dyDescent="0.35">
      <c r="A496" s="38" t="str">
        <f>'1.2 Budgeted Enrollment YR1'!A496</f>
        <v>Douglas</v>
      </c>
      <c r="B496" s="40">
        <f>'1.2 Budgeted Enrollment YR1'!B496</f>
        <v>3</v>
      </c>
      <c r="C496" s="40">
        <f>'1.2 Budgeted Enrollment YR1'!C496</f>
        <v>3</v>
      </c>
      <c r="D496" s="40" t="str">
        <f>'1.2 Budgeted Enrollment YR1'!D496</f>
        <v>Zephyr Cove</v>
      </c>
      <c r="E496" s="38" t="str">
        <f>'1.2 Budgeted Enrollment YR1'!E496</f>
        <v>Zephyr Cove Elementary School</v>
      </c>
      <c r="F496" s="590"/>
      <c r="G496" s="220">
        <f>'1.2 Budgeted Enrollment YR1'!G496+('1.2 Budgeted Enrollment YR1'!G496*$Q$2)</f>
        <v>144.08792638304408</v>
      </c>
      <c r="H496" s="219">
        <v>0</v>
      </c>
      <c r="I496" s="220">
        <v>0</v>
      </c>
      <c r="J496" s="219">
        <v>0</v>
      </c>
      <c r="K496" s="220">
        <v>0</v>
      </c>
      <c r="L496" s="73"/>
      <c r="M496" s="2"/>
      <c r="N496"/>
      <c r="O496"/>
      <c r="P496"/>
      <c r="Q496"/>
    </row>
    <row r="497" spans="1:17" ht="18" thickTop="1" thickBot="1" x14ac:dyDescent="0.35">
      <c r="A497" s="38" t="str">
        <f>'1.2 Budgeted Enrollment YR1'!A497</f>
        <v>Elko</v>
      </c>
      <c r="B497" s="40">
        <f>'1.2 Budgeted Enrollment YR1'!B497</f>
        <v>4</v>
      </c>
      <c r="C497" s="40">
        <f>'1.2 Budgeted Enrollment YR1'!C497</f>
        <v>4</v>
      </c>
      <c r="D497" s="40" t="str">
        <f>'1.2 Budgeted Enrollment YR1'!D497</f>
        <v>Elko</v>
      </c>
      <c r="E497" s="38" t="str">
        <f>'1.2 Budgeted Enrollment YR1'!E497</f>
        <v>Adobe Middle School</v>
      </c>
      <c r="F497" s="590"/>
      <c r="G497" s="220">
        <f>'1.2 Budgeted Enrollment YR1'!G497+('1.2 Budgeted Enrollment YR1'!G497*$Q$2)</f>
        <v>721.78480758390481</v>
      </c>
      <c r="H497" s="219">
        <v>0</v>
      </c>
      <c r="I497" s="220">
        <v>0</v>
      </c>
      <c r="J497" s="219">
        <v>0</v>
      </c>
      <c r="K497" s="220">
        <v>0</v>
      </c>
      <c r="L497" s="73"/>
      <c r="M497" s="2"/>
      <c r="N497"/>
      <c r="O497"/>
      <c r="P497"/>
      <c r="Q497"/>
    </row>
    <row r="498" spans="1:17" ht="18" thickTop="1" thickBot="1" x14ac:dyDescent="0.35">
      <c r="A498" s="38" t="str">
        <f>'1.2 Budgeted Enrollment YR1'!A498</f>
        <v>Elko</v>
      </c>
      <c r="B498" s="40">
        <f>'1.2 Budgeted Enrollment YR1'!B498</f>
        <v>4</v>
      </c>
      <c r="C498" s="40">
        <f>'1.2 Budgeted Enrollment YR1'!C498</f>
        <v>4</v>
      </c>
      <c r="D498" s="40" t="str">
        <f>'1.2 Budgeted Enrollment YR1'!D498</f>
        <v>Carlin</v>
      </c>
      <c r="E498" s="38" t="str">
        <f>'1.2 Budgeted Enrollment YR1'!E498</f>
        <v>Carlin Elementary School</v>
      </c>
      <c r="F498" s="590"/>
      <c r="G498" s="220">
        <f>'1.2 Budgeted Enrollment YR1'!G498+('1.2 Budgeted Enrollment YR1'!G498*$Q$2)</f>
        <v>106.12972134949881</v>
      </c>
      <c r="H498" s="219">
        <v>0</v>
      </c>
      <c r="I498" s="220">
        <v>0</v>
      </c>
      <c r="J498" s="219">
        <v>0</v>
      </c>
      <c r="K498" s="220">
        <v>0</v>
      </c>
      <c r="L498" s="73"/>
      <c r="M498" s="2"/>
      <c r="N498"/>
      <c r="O498"/>
      <c r="P498"/>
      <c r="Q498"/>
    </row>
    <row r="499" spans="1:17" ht="18" thickTop="1" thickBot="1" x14ac:dyDescent="0.35">
      <c r="A499" s="38" t="str">
        <f>'1.2 Budgeted Enrollment YR1'!A499</f>
        <v>Elko</v>
      </c>
      <c r="B499" s="40">
        <f>'1.2 Budgeted Enrollment YR1'!B499</f>
        <v>4</v>
      </c>
      <c r="C499" s="40">
        <f>'1.2 Budgeted Enrollment YR1'!C499</f>
        <v>4</v>
      </c>
      <c r="D499" s="40" t="str">
        <f>'1.2 Budgeted Enrollment YR1'!D499</f>
        <v>Carlin</v>
      </c>
      <c r="E499" s="38" t="str">
        <f>'1.2 Budgeted Enrollment YR1'!E499</f>
        <v>Carlin High School</v>
      </c>
      <c r="F499" s="590"/>
      <c r="G499" s="220">
        <f>'1.2 Budgeted Enrollment YR1'!G499+('1.2 Budgeted Enrollment YR1'!G499*$Q$2)</f>
        <v>126.77159928329704</v>
      </c>
      <c r="H499" s="219">
        <v>0</v>
      </c>
      <c r="I499" s="220">
        <v>0</v>
      </c>
      <c r="J499" s="219">
        <v>0</v>
      </c>
      <c r="K499" s="220">
        <v>0</v>
      </c>
      <c r="L499" s="73"/>
      <c r="M499" s="2"/>
      <c r="N499"/>
      <c r="O499"/>
      <c r="P499"/>
      <c r="Q499"/>
    </row>
    <row r="500" spans="1:17" ht="18" thickTop="1" thickBot="1" x14ac:dyDescent="0.35">
      <c r="A500" s="38" t="str">
        <f>'1.2 Budgeted Enrollment YR1'!A500</f>
        <v>Elko</v>
      </c>
      <c r="B500" s="40">
        <f>'1.2 Budgeted Enrollment YR1'!B500</f>
        <v>4</v>
      </c>
      <c r="C500" s="40">
        <f>'1.2 Budgeted Enrollment YR1'!C500</f>
        <v>4</v>
      </c>
      <c r="D500" s="40" t="str">
        <f>'1.2 Budgeted Enrollment YR1'!D500</f>
        <v>Carlin</v>
      </c>
      <c r="E500" s="38" t="str">
        <f>'1.2 Budgeted Enrollment YR1'!E500</f>
        <v>Carlin Jr High School</v>
      </c>
      <c r="F500" s="590"/>
      <c r="G500" s="220">
        <f>'1.2 Budgeted Enrollment YR1'!G500+('1.2 Budgeted Enrollment YR1'!G500*$Q$2)</f>
        <v>84.416503881270344</v>
      </c>
      <c r="H500" s="219">
        <v>0</v>
      </c>
      <c r="I500" s="220">
        <v>0</v>
      </c>
      <c r="J500" s="219">
        <v>0</v>
      </c>
      <c r="K500" s="220">
        <v>0</v>
      </c>
      <c r="L500" s="73"/>
      <c r="M500" s="2"/>
      <c r="N500"/>
      <c r="O500"/>
      <c r="P500"/>
      <c r="Q500"/>
    </row>
    <row r="501" spans="1:17" ht="18" thickTop="1" thickBot="1" x14ac:dyDescent="0.35">
      <c r="A501" s="38" t="str">
        <f>'1.2 Budgeted Enrollment YR1'!A501</f>
        <v>Elko</v>
      </c>
      <c r="B501" s="40">
        <f>'1.2 Budgeted Enrollment YR1'!B501</f>
        <v>4</v>
      </c>
      <c r="C501" s="40">
        <f>'1.2 Budgeted Enrollment YR1'!C501</f>
        <v>4</v>
      </c>
      <c r="D501" s="40" t="str">
        <f>'1.2 Budgeted Enrollment YR1'!D501</f>
        <v>Elko</v>
      </c>
      <c r="E501" s="38" t="str">
        <f>'1.2 Budgeted Enrollment YR1'!E501</f>
        <v>Early Childhood</v>
      </c>
      <c r="F501" s="590"/>
      <c r="G501" s="220">
        <f>'1.2 Budgeted Enrollment YR1'!G501+('1.2 Budgeted Enrollment YR1'!G501*$Q$2)</f>
        <v>43.037507638864916</v>
      </c>
      <c r="H501" s="219">
        <v>0</v>
      </c>
      <c r="I501" s="220">
        <v>0</v>
      </c>
      <c r="J501" s="219">
        <v>0</v>
      </c>
      <c r="K501" s="220">
        <v>0</v>
      </c>
      <c r="L501" s="73"/>
      <c r="M501" s="2"/>
      <c r="N501"/>
      <c r="O501"/>
      <c r="P501"/>
      <c r="Q501"/>
    </row>
    <row r="502" spans="1:17" ht="18" thickTop="1" thickBot="1" x14ac:dyDescent="0.35">
      <c r="A502" s="38" t="str">
        <f>'1.2 Budgeted Enrollment YR1'!A502</f>
        <v>Elko</v>
      </c>
      <c r="B502" s="40">
        <f>'1.2 Budgeted Enrollment YR1'!B502</f>
        <v>4</v>
      </c>
      <c r="C502" s="40">
        <f>'1.2 Budgeted Enrollment YR1'!C502</f>
        <v>4</v>
      </c>
      <c r="D502" s="40" t="str">
        <f>'1.2 Budgeted Enrollment YR1'!D502</f>
        <v>Elko</v>
      </c>
      <c r="E502" s="38" t="str">
        <f>'1.2 Budgeted Enrollment YR1'!E502</f>
        <v>Elko High School</v>
      </c>
      <c r="F502" s="590"/>
      <c r="G502" s="220">
        <f>'1.2 Budgeted Enrollment YR1'!G502+('1.2 Budgeted Enrollment YR1'!G502*$Q$2)</f>
        <v>1376.5938804440477</v>
      </c>
      <c r="H502" s="219">
        <v>0</v>
      </c>
      <c r="I502" s="220">
        <v>0</v>
      </c>
      <c r="J502" s="219">
        <v>0</v>
      </c>
      <c r="K502" s="220">
        <v>0</v>
      </c>
      <c r="L502" s="73"/>
      <c r="M502" s="2"/>
      <c r="N502"/>
      <c r="O502"/>
      <c r="P502"/>
      <c r="Q502"/>
    </row>
    <row r="503" spans="1:17" ht="18" thickTop="1" thickBot="1" x14ac:dyDescent="0.35">
      <c r="A503" s="38" t="str">
        <f>'1.2 Budgeted Enrollment YR1'!A503</f>
        <v>Elko</v>
      </c>
      <c r="B503" s="40">
        <f>'1.2 Budgeted Enrollment YR1'!B503</f>
        <v>4</v>
      </c>
      <c r="C503" s="40">
        <f>'1.2 Budgeted Enrollment YR1'!C503</f>
        <v>4</v>
      </c>
      <c r="D503" s="40" t="str">
        <f>'1.2 Budgeted Enrollment YR1'!D503</f>
        <v>Elko</v>
      </c>
      <c r="E503" s="38" t="str">
        <f>'1.2 Budgeted Enrollment YR1'!E503</f>
        <v>Flagview Intermediate School</v>
      </c>
      <c r="F503" s="590"/>
      <c r="G503" s="220">
        <f>'1.2 Budgeted Enrollment YR1'!G503+('1.2 Budgeted Enrollment YR1'!G503*$Q$2)</f>
        <v>682.84039967855949</v>
      </c>
      <c r="H503" s="219">
        <v>0</v>
      </c>
      <c r="I503" s="220">
        <v>0</v>
      </c>
      <c r="J503" s="219">
        <v>0</v>
      </c>
      <c r="K503" s="220">
        <v>0</v>
      </c>
      <c r="L503" s="73"/>
      <c r="M503" s="2"/>
      <c r="N503"/>
      <c r="O503"/>
      <c r="P503"/>
      <c r="Q503"/>
    </row>
    <row r="504" spans="1:17" ht="18" thickTop="1" thickBot="1" x14ac:dyDescent="0.35">
      <c r="A504" s="38" t="str">
        <f>'1.2 Budgeted Enrollment YR1'!A504</f>
        <v>Elko</v>
      </c>
      <c r="B504" s="40">
        <f>'1.2 Budgeted Enrollment YR1'!B504</f>
        <v>4</v>
      </c>
      <c r="C504" s="40">
        <f>'1.2 Budgeted Enrollment YR1'!C504</f>
        <v>4</v>
      </c>
      <c r="D504" s="40" t="str">
        <f>'1.2 Budgeted Enrollment YR1'!D504</f>
        <v>Elko</v>
      </c>
      <c r="E504" s="38" t="str">
        <f>'1.2 Budgeted Enrollment YR1'!E504</f>
        <v>Grammar School #2</v>
      </c>
      <c r="F504" s="590"/>
      <c r="G504" s="220">
        <f>'1.2 Budgeted Enrollment YR1'!G504+('1.2 Budgeted Enrollment YR1'!G504*$Q$2)</f>
        <v>323.94641717364868</v>
      </c>
      <c r="H504" s="219">
        <v>0</v>
      </c>
      <c r="I504" s="220">
        <v>0</v>
      </c>
      <c r="J504" s="219">
        <v>0</v>
      </c>
      <c r="K504" s="220">
        <v>0</v>
      </c>
      <c r="L504" s="73"/>
      <c r="M504" s="2"/>
      <c r="N504"/>
      <c r="O504"/>
      <c r="P504"/>
      <c r="Q504"/>
    </row>
    <row r="505" spans="1:17" ht="18" thickTop="1" thickBot="1" x14ac:dyDescent="0.35">
      <c r="A505" s="38" t="str">
        <f>'1.2 Budgeted Enrollment YR1'!A505</f>
        <v>Elko</v>
      </c>
      <c r="B505" s="40">
        <f>'1.2 Budgeted Enrollment YR1'!B505</f>
        <v>4</v>
      </c>
      <c r="C505" s="40">
        <f>'1.2 Budgeted Enrollment YR1'!C505</f>
        <v>4</v>
      </c>
      <c r="D505" s="40" t="str">
        <f>'1.2 Budgeted Enrollment YR1'!D505</f>
        <v>Independence</v>
      </c>
      <c r="E505" s="38" t="str">
        <f>'1.2 Budgeted Enrollment YR1'!E505</f>
        <v>Independence Valley Elementary School</v>
      </c>
      <c r="F505" s="590"/>
      <c r="G505" s="220">
        <f>'1.2 Budgeted Enrollment YR1'!G505+('1.2 Budgeted Enrollment YR1'!G505*$Q$2)</f>
        <v>4.4325703607184996</v>
      </c>
      <c r="H505" s="219">
        <v>0</v>
      </c>
      <c r="I505" s="220">
        <v>0</v>
      </c>
      <c r="J505" s="219">
        <v>0</v>
      </c>
      <c r="K505" s="220">
        <v>0</v>
      </c>
      <c r="L505" s="73"/>
      <c r="M505" s="2"/>
      <c r="N505"/>
      <c r="O505"/>
      <c r="P505"/>
      <c r="Q505"/>
    </row>
    <row r="506" spans="1:17" ht="18" thickTop="1" thickBot="1" x14ac:dyDescent="0.35">
      <c r="A506" s="38" t="str">
        <f>'1.2 Budgeted Enrollment YR1'!A506</f>
        <v>Elko</v>
      </c>
      <c r="B506" s="40">
        <f>'1.2 Budgeted Enrollment YR1'!B506</f>
        <v>4</v>
      </c>
      <c r="C506" s="40">
        <f>'1.2 Budgeted Enrollment YR1'!C506</f>
        <v>4</v>
      </c>
      <c r="D506" s="40" t="str">
        <f>'1.2 Budgeted Enrollment YR1'!D506</f>
        <v>Jackpot</v>
      </c>
      <c r="E506" s="38" t="str">
        <f>'1.2 Budgeted Enrollment YR1'!E506</f>
        <v>Jackpot Elementary School</v>
      </c>
      <c r="F506" s="590"/>
      <c r="G506" s="220">
        <f>'1.2 Budgeted Enrollment YR1'!G506+('1.2 Budgeted Enrollment YR1'!G506*$Q$2)</f>
        <v>67.175432061994059</v>
      </c>
      <c r="H506" s="219">
        <v>0</v>
      </c>
      <c r="I506" s="220">
        <v>0</v>
      </c>
      <c r="J506" s="219">
        <v>0</v>
      </c>
      <c r="K506" s="220">
        <v>0</v>
      </c>
      <c r="L506" s="73"/>
      <c r="M506" s="2"/>
      <c r="N506"/>
      <c r="O506"/>
      <c r="P506"/>
      <c r="Q506"/>
    </row>
    <row r="507" spans="1:17" ht="18" thickTop="1" thickBot="1" x14ac:dyDescent="0.35">
      <c r="A507" s="38" t="str">
        <f>'1.2 Budgeted Enrollment YR1'!A507</f>
        <v>Elko</v>
      </c>
      <c r="B507" s="40">
        <f>'1.2 Budgeted Enrollment YR1'!B507</f>
        <v>4</v>
      </c>
      <c r="C507" s="40">
        <f>'1.2 Budgeted Enrollment YR1'!C507</f>
        <v>4</v>
      </c>
      <c r="D507" s="40" t="str">
        <f>'1.2 Budgeted Enrollment YR1'!D507</f>
        <v>Jackpot</v>
      </c>
      <c r="E507" s="38" t="str">
        <f>'1.2 Budgeted Enrollment YR1'!E507</f>
        <v>Jackpot High School</v>
      </c>
      <c r="F507" s="590"/>
      <c r="G507" s="220">
        <f>'1.2 Budgeted Enrollment YR1'!G507+('1.2 Budgeted Enrollment YR1'!G507*$Q$2)</f>
        <v>42.217827341361172</v>
      </c>
      <c r="H507" s="219">
        <v>0</v>
      </c>
      <c r="I507" s="220">
        <v>0</v>
      </c>
      <c r="J507" s="219">
        <v>0</v>
      </c>
      <c r="K507" s="220">
        <v>0</v>
      </c>
      <c r="L507" s="73"/>
      <c r="M507" s="2"/>
      <c r="N507"/>
      <c r="O507"/>
      <c r="P507"/>
      <c r="Q507"/>
    </row>
    <row r="508" spans="1:17" ht="18" thickTop="1" thickBot="1" x14ac:dyDescent="0.35">
      <c r="A508" s="38" t="str">
        <f>'1.2 Budgeted Enrollment YR1'!A508</f>
        <v>Elko</v>
      </c>
      <c r="B508" s="40">
        <f>'1.2 Budgeted Enrollment YR1'!B508</f>
        <v>4</v>
      </c>
      <c r="C508" s="40">
        <f>'1.2 Budgeted Enrollment YR1'!C508</f>
        <v>4</v>
      </c>
      <c r="D508" s="40" t="str">
        <f>'1.2 Budgeted Enrollment YR1'!D508</f>
        <v>Jackpot</v>
      </c>
      <c r="E508" s="38" t="str">
        <f>'1.2 Budgeted Enrollment YR1'!E508</f>
        <v>Jackpot Jr High School</v>
      </c>
      <c r="F508" s="590"/>
      <c r="G508" s="220">
        <f>'1.2 Budgeted Enrollment YR1'!G508+('1.2 Budgeted Enrollment YR1'!G508*$Q$2)</f>
        <v>14.566255782765461</v>
      </c>
      <c r="H508" s="219">
        <v>0</v>
      </c>
      <c r="I508" s="220">
        <v>0</v>
      </c>
      <c r="J508" s="219">
        <v>0</v>
      </c>
      <c r="K508" s="220">
        <v>0</v>
      </c>
      <c r="L508" s="73"/>
      <c r="M508" s="2"/>
      <c r="N508"/>
      <c r="O508"/>
      <c r="P508"/>
      <c r="Q508"/>
    </row>
    <row r="509" spans="1:17" ht="18" thickTop="1" thickBot="1" x14ac:dyDescent="0.35">
      <c r="A509" s="38" t="str">
        <f>'1.2 Budgeted Enrollment YR1'!A509</f>
        <v>Elko</v>
      </c>
      <c r="B509" s="40">
        <f>'1.2 Budgeted Enrollment YR1'!B509</f>
        <v>4</v>
      </c>
      <c r="C509" s="40">
        <f>'1.2 Budgeted Enrollment YR1'!C509</f>
        <v>4</v>
      </c>
      <c r="D509" s="40" t="str">
        <f>'1.2 Budgeted Enrollment YR1'!D509</f>
        <v>Spring Creek</v>
      </c>
      <c r="E509" s="38" t="str">
        <f>'1.2 Budgeted Enrollment YR1'!E509</f>
        <v>Liberty Peak Elementary School</v>
      </c>
      <c r="F509" s="590"/>
      <c r="G509" s="220">
        <f>'1.2 Budgeted Enrollment YR1'!G509+('1.2 Budgeted Enrollment YR1'!G509*$Q$2)</f>
        <v>623.88309513527702</v>
      </c>
      <c r="H509" s="219">
        <v>0</v>
      </c>
      <c r="I509" s="220">
        <v>0</v>
      </c>
      <c r="J509" s="219">
        <v>0</v>
      </c>
      <c r="K509" s="220">
        <v>0</v>
      </c>
      <c r="L509" s="73"/>
      <c r="M509" s="2"/>
      <c r="N509"/>
      <c r="O509"/>
      <c r="P509"/>
      <c r="Q509"/>
    </row>
    <row r="510" spans="1:17" ht="18" thickTop="1" thickBot="1" x14ac:dyDescent="0.35">
      <c r="A510" s="38" t="str">
        <f>'1.2 Budgeted Enrollment YR1'!A510</f>
        <v>Elko</v>
      </c>
      <c r="B510" s="40">
        <f>'1.2 Budgeted Enrollment YR1'!B510</f>
        <v>4</v>
      </c>
      <c r="C510" s="40">
        <f>'1.2 Budgeted Enrollment YR1'!C510</f>
        <v>4</v>
      </c>
      <c r="D510" s="40" t="str">
        <f>'1.2 Budgeted Enrollment YR1'!D510</f>
        <v>Montello</v>
      </c>
      <c r="E510" s="38" t="str">
        <f>'1.2 Budgeted Enrollment YR1'!E510</f>
        <v>Montello Elementary School</v>
      </c>
      <c r="F510" s="590"/>
      <c r="G510" s="220">
        <f>'1.2 Budgeted Enrollment YR1'!G510+('1.2 Budgeted Enrollment YR1'!G510*$Q$2)</f>
        <v>10.647763626500002</v>
      </c>
      <c r="H510" s="219">
        <v>0</v>
      </c>
      <c r="I510" s="220">
        <v>0</v>
      </c>
      <c r="J510" s="219">
        <v>0</v>
      </c>
      <c r="K510" s="220"/>
      <c r="L510" s="73"/>
      <c r="M510" s="2"/>
      <c r="N510"/>
      <c r="O510"/>
      <c r="P510"/>
      <c r="Q510"/>
    </row>
    <row r="511" spans="1:17" ht="18" thickTop="1" thickBot="1" x14ac:dyDescent="0.35">
      <c r="A511" s="38" t="str">
        <f>'1.2 Budgeted Enrollment YR1'!A511</f>
        <v>Elko</v>
      </c>
      <c r="B511" s="40">
        <f>'1.2 Budgeted Enrollment YR1'!B511</f>
        <v>4</v>
      </c>
      <c r="C511" s="40">
        <f>'1.2 Budgeted Enrollment YR1'!C511</f>
        <v>4</v>
      </c>
      <c r="D511" s="40" t="str">
        <f>'1.2 Budgeted Enrollment YR1'!D511</f>
        <v>Mound Valley</v>
      </c>
      <c r="E511" s="38" t="str">
        <f>'1.2 Budgeted Enrollment YR1'!E511</f>
        <v>Mound Valley Elementary School</v>
      </c>
      <c r="F511" s="590"/>
      <c r="G511" s="220">
        <f>'1.2 Budgeted Enrollment YR1'!G511+('1.2 Budgeted Enrollment YR1'!G511*$Q$2)</f>
        <v>9.4999544469829988</v>
      </c>
      <c r="H511" s="219">
        <v>0</v>
      </c>
      <c r="I511" s="220">
        <v>0</v>
      </c>
      <c r="J511" s="219">
        <v>0</v>
      </c>
      <c r="K511" s="220">
        <v>0</v>
      </c>
      <c r="L511" s="73"/>
      <c r="M511" s="2"/>
      <c r="N511"/>
      <c r="O511"/>
      <c r="P511"/>
      <c r="Q511"/>
    </row>
    <row r="512" spans="1:17" ht="18" thickTop="1" thickBot="1" x14ac:dyDescent="0.35">
      <c r="A512" s="38" t="str">
        <f>'1.2 Budgeted Enrollment YR1'!A512</f>
        <v>Elko</v>
      </c>
      <c r="B512" s="40">
        <f>'1.2 Budgeted Enrollment YR1'!B512</f>
        <v>4</v>
      </c>
      <c r="C512" s="40">
        <f>'1.2 Budgeted Enrollment YR1'!C512</f>
        <v>4</v>
      </c>
      <c r="D512" s="40" t="str">
        <f>'1.2 Budgeted Enrollment YR1'!D512</f>
        <v>Elko</v>
      </c>
      <c r="E512" s="38" t="str">
        <f>'1.2 Budgeted Enrollment YR1'!E512</f>
        <v>Mountain View Elementary School</v>
      </c>
      <c r="F512" s="590"/>
      <c r="G512" s="220">
        <f>'1.2 Budgeted Enrollment YR1'!G512+('1.2 Budgeted Enrollment YR1'!G512*$Q$2)</f>
        <v>611.9749497557309</v>
      </c>
      <c r="H512" s="219">
        <v>0</v>
      </c>
      <c r="I512" s="220">
        <v>0</v>
      </c>
      <c r="J512" s="219">
        <v>0</v>
      </c>
      <c r="K512" s="220">
        <v>0</v>
      </c>
      <c r="L512" s="73"/>
      <c r="M512" s="2"/>
      <c r="N512"/>
      <c r="O512"/>
      <c r="P512"/>
      <c r="Q512"/>
    </row>
    <row r="513" spans="1:17" ht="18" thickTop="1" thickBot="1" x14ac:dyDescent="0.35">
      <c r="A513" s="38" t="str">
        <f>'1.2 Budgeted Enrollment YR1'!A513</f>
        <v>Elko</v>
      </c>
      <c r="B513" s="40">
        <f>'1.2 Budgeted Enrollment YR1'!B513</f>
        <v>4</v>
      </c>
      <c r="C513" s="40">
        <f>'1.2 Budgeted Enrollment YR1'!C513</f>
        <v>4</v>
      </c>
      <c r="D513" s="40" t="str">
        <f>'1.2 Budgeted Enrollment YR1'!D513</f>
        <v>Elko</v>
      </c>
      <c r="E513" s="38" t="str">
        <f>'1.2 Budgeted Enrollment YR1'!E513</f>
        <v>Northeastern Nevada Virtual Academy</v>
      </c>
      <c r="F513" s="590"/>
      <c r="G513" s="220">
        <f>'1.2 Budgeted Enrollment YR1'!G513+('1.2 Budgeted Enrollment YR1'!G513*$Q$2)</f>
        <v>113.79311705937175</v>
      </c>
      <c r="H513" s="219">
        <v>0</v>
      </c>
      <c r="I513" s="220">
        <v>0</v>
      </c>
      <c r="J513" s="219">
        <v>0</v>
      </c>
      <c r="K513" s="220">
        <v>113.79311705937175</v>
      </c>
      <c r="L513" s="73"/>
      <c r="M513" s="2"/>
      <c r="N513"/>
      <c r="O513"/>
      <c r="P513"/>
      <c r="Q513"/>
    </row>
    <row r="514" spans="1:17" ht="18" thickTop="1" thickBot="1" x14ac:dyDescent="0.35">
      <c r="A514" s="38" t="str">
        <f>'1.2 Budgeted Enrollment YR1'!A514</f>
        <v>Elko</v>
      </c>
      <c r="B514" s="40">
        <f>'1.2 Budgeted Enrollment YR1'!B514</f>
        <v>4</v>
      </c>
      <c r="C514" s="40">
        <f>'1.2 Budgeted Enrollment YR1'!C514</f>
        <v>4</v>
      </c>
      <c r="D514" s="40" t="str">
        <f>'1.2 Budgeted Enrollment YR1'!D514</f>
        <v>Elko</v>
      </c>
      <c r="E514" s="38" t="str">
        <f>'1.2 Budgeted Enrollment YR1'!E514</f>
        <v>Northside Elementary School</v>
      </c>
      <c r="F514" s="590"/>
      <c r="G514" s="220">
        <f>'1.2 Budgeted Enrollment YR1'!G514+('1.2 Budgeted Enrollment YR1'!G514*$Q$2)</f>
        <v>338.26648657850888</v>
      </c>
      <c r="H514" s="219">
        <v>0</v>
      </c>
      <c r="I514" s="220">
        <v>0</v>
      </c>
      <c r="J514" s="219">
        <v>0</v>
      </c>
      <c r="K514" s="220">
        <v>0</v>
      </c>
      <c r="L514" s="73"/>
      <c r="M514" s="2"/>
      <c r="N514"/>
      <c r="O514"/>
      <c r="P514"/>
      <c r="Q514"/>
    </row>
    <row r="515" spans="1:17" ht="18" thickTop="1" thickBot="1" x14ac:dyDescent="0.35">
      <c r="A515" s="38" t="str">
        <f>'1.2 Budgeted Enrollment YR1'!A515</f>
        <v>Elko</v>
      </c>
      <c r="B515" s="40">
        <f>'1.2 Budgeted Enrollment YR1'!B515</f>
        <v>4</v>
      </c>
      <c r="C515" s="40">
        <f>'1.2 Budgeted Enrollment YR1'!C515</f>
        <v>4</v>
      </c>
      <c r="D515" s="40" t="str">
        <f>'1.2 Budgeted Enrollment YR1'!D515</f>
        <v>Owyhee</v>
      </c>
      <c r="E515" s="38" t="str">
        <f>'1.2 Budgeted Enrollment YR1'!E515</f>
        <v>Owyhee Elementary School</v>
      </c>
      <c r="F515" s="590"/>
      <c r="G515" s="220">
        <f>'1.2 Budgeted Enrollment YR1'!G515+('1.2 Budgeted Enrollment YR1'!G515*$Q$2)</f>
        <v>118.24599561551264</v>
      </c>
      <c r="H515" s="219">
        <v>0</v>
      </c>
      <c r="I515" s="220">
        <v>0</v>
      </c>
      <c r="J515" s="219">
        <v>0</v>
      </c>
      <c r="K515" s="220">
        <v>0</v>
      </c>
      <c r="L515" s="73"/>
      <c r="M515" s="2"/>
      <c r="N515"/>
      <c r="O515"/>
      <c r="P515"/>
      <c r="Q515"/>
    </row>
    <row r="516" spans="1:17" ht="18" thickTop="1" thickBot="1" x14ac:dyDescent="0.35">
      <c r="A516" s="38" t="str">
        <f>'1.2 Budgeted Enrollment YR1'!A516</f>
        <v>Elko</v>
      </c>
      <c r="B516" s="40">
        <f>'1.2 Budgeted Enrollment YR1'!B516</f>
        <v>4</v>
      </c>
      <c r="C516" s="40">
        <f>'1.2 Budgeted Enrollment YR1'!C516</f>
        <v>4</v>
      </c>
      <c r="D516" s="40" t="str">
        <f>'1.2 Budgeted Enrollment YR1'!D516</f>
        <v>Owyhee</v>
      </c>
      <c r="E516" s="38" t="str">
        <f>'1.2 Budgeted Enrollment YR1'!E516</f>
        <v>Owyhee High School</v>
      </c>
      <c r="F516" s="590"/>
      <c r="G516" s="220">
        <f>'1.2 Budgeted Enrollment YR1'!G516+('1.2 Budgeted Enrollment YR1'!G516*$Q$2)</f>
        <v>65.541052374779326</v>
      </c>
      <c r="H516" s="219">
        <v>0</v>
      </c>
      <c r="I516" s="220">
        <v>0</v>
      </c>
      <c r="J516" s="219">
        <v>0</v>
      </c>
      <c r="K516" s="220">
        <v>0</v>
      </c>
      <c r="L516" s="73"/>
      <c r="M516" s="2"/>
      <c r="N516"/>
      <c r="O516"/>
      <c r="P516"/>
      <c r="Q516"/>
    </row>
    <row r="517" spans="1:17" ht="18" thickTop="1" thickBot="1" x14ac:dyDescent="0.35">
      <c r="A517" s="38" t="str">
        <f>'1.2 Budgeted Enrollment YR1'!A517</f>
        <v>Elko</v>
      </c>
      <c r="B517" s="40">
        <f>'1.2 Budgeted Enrollment YR1'!B517</f>
        <v>4</v>
      </c>
      <c r="C517" s="40">
        <f>'1.2 Budgeted Enrollment YR1'!C517</f>
        <v>4</v>
      </c>
      <c r="D517" s="40" t="str">
        <f>'1.2 Budgeted Enrollment YR1'!D517</f>
        <v>Owyhee</v>
      </c>
      <c r="E517" s="38" t="str">
        <f>'1.2 Budgeted Enrollment YR1'!E517</f>
        <v>Owyhee Jr High School</v>
      </c>
      <c r="F517" s="590"/>
      <c r="G517" s="220">
        <f>'1.2 Budgeted Enrollment YR1'!G517+('1.2 Budgeted Enrollment YR1'!G517*$Q$2)</f>
        <v>35.975257907562771</v>
      </c>
      <c r="H517" s="219">
        <v>0</v>
      </c>
      <c r="I517" s="220">
        <v>0</v>
      </c>
      <c r="J517" s="219">
        <v>0</v>
      </c>
      <c r="K517" s="220">
        <v>0</v>
      </c>
      <c r="L517" s="73"/>
      <c r="M517" s="2"/>
      <c r="N517"/>
      <c r="O517"/>
      <c r="P517"/>
      <c r="Q517"/>
    </row>
    <row r="518" spans="1:17" ht="18" thickTop="1" thickBot="1" x14ac:dyDescent="0.35">
      <c r="A518" s="38" t="str">
        <f>'1.2 Budgeted Enrollment YR1'!A518</f>
        <v>Elko</v>
      </c>
      <c r="B518" s="40">
        <f>'1.2 Budgeted Enrollment YR1'!B518</f>
        <v>4</v>
      </c>
      <c r="C518" s="40">
        <f>'1.2 Budgeted Enrollment YR1'!C518</f>
        <v>4</v>
      </c>
      <c r="D518" s="40" t="str">
        <f>'1.2 Budgeted Enrollment YR1'!D518</f>
        <v>Ruby Valley</v>
      </c>
      <c r="E518" s="38" t="str">
        <f>'1.2 Budgeted Enrollment YR1'!E518</f>
        <v>Ruby Valley Elementary School</v>
      </c>
      <c r="F518" s="590"/>
      <c r="G518" s="220">
        <f>'1.2 Budgeted Enrollment YR1'!G518+('1.2 Budgeted Enrollment YR1'!G518*$Q$2)</f>
        <v>10.238794914347999</v>
      </c>
      <c r="H518" s="219">
        <v>0</v>
      </c>
      <c r="I518" s="220">
        <v>0</v>
      </c>
      <c r="J518" s="219">
        <v>0</v>
      </c>
      <c r="K518" s="220">
        <v>0</v>
      </c>
      <c r="L518" s="73"/>
      <c r="M518" s="2"/>
      <c r="N518"/>
      <c r="O518"/>
      <c r="P518"/>
      <c r="Q518"/>
    </row>
    <row r="519" spans="1:17" ht="18" thickTop="1" thickBot="1" x14ac:dyDescent="0.35">
      <c r="A519" s="38" t="str">
        <f>'1.2 Budgeted Enrollment YR1'!A519</f>
        <v>Elko</v>
      </c>
      <c r="B519" s="40">
        <f>'1.2 Budgeted Enrollment YR1'!B519</f>
        <v>4</v>
      </c>
      <c r="C519" s="40">
        <f>'1.2 Budgeted Enrollment YR1'!C519</f>
        <v>4</v>
      </c>
      <c r="D519" s="40" t="str">
        <f>'1.2 Budgeted Enrollment YR1'!D519</f>
        <v>Spring Creek</v>
      </c>
      <c r="E519" s="38" t="str">
        <f>'1.2 Budgeted Enrollment YR1'!E519</f>
        <v>Sage Elementary School</v>
      </c>
      <c r="F519" s="590"/>
      <c r="G519" s="220">
        <f>'1.2 Budgeted Enrollment YR1'!G519+('1.2 Budgeted Enrollment YR1'!G519*$Q$2)</f>
        <v>428.39253399314003</v>
      </c>
      <c r="H519" s="219">
        <v>0</v>
      </c>
      <c r="I519" s="220">
        <v>0</v>
      </c>
      <c r="J519" s="219">
        <v>0</v>
      </c>
      <c r="K519" s="220">
        <v>0</v>
      </c>
      <c r="L519" s="73"/>
      <c r="M519" s="2"/>
      <c r="N519"/>
      <c r="O519"/>
      <c r="P519"/>
      <c r="Q519"/>
    </row>
    <row r="520" spans="1:17" ht="18" thickTop="1" thickBot="1" x14ac:dyDescent="0.35">
      <c r="A520" s="38" t="str">
        <f>'1.2 Budgeted Enrollment YR1'!A520</f>
        <v>Elko</v>
      </c>
      <c r="B520" s="40">
        <f>'1.2 Budgeted Enrollment YR1'!B520</f>
        <v>4</v>
      </c>
      <c r="C520" s="40">
        <f>'1.2 Budgeted Enrollment YR1'!C520</f>
        <v>4</v>
      </c>
      <c r="D520" s="40" t="str">
        <f>'1.2 Budgeted Enrollment YR1'!D520</f>
        <v>Elko</v>
      </c>
      <c r="E520" s="38" t="str">
        <f>'1.2 Budgeted Enrollment YR1'!E520</f>
        <v>Southside Elementary School</v>
      </c>
      <c r="F520" s="590"/>
      <c r="G520" s="220">
        <f>'1.2 Budgeted Enrollment YR1'!G520+('1.2 Budgeted Enrollment YR1'!G520*$Q$2)</f>
        <v>578.75017566461258</v>
      </c>
      <c r="H520" s="219">
        <v>0</v>
      </c>
      <c r="I520" s="220">
        <v>0</v>
      </c>
      <c r="J520" s="219">
        <v>0</v>
      </c>
      <c r="K520" s="220">
        <v>0</v>
      </c>
      <c r="L520" s="73"/>
      <c r="M520" s="2"/>
      <c r="N520"/>
      <c r="O520"/>
      <c r="P520"/>
      <c r="Q520"/>
    </row>
    <row r="521" spans="1:17" ht="18" thickTop="1" thickBot="1" x14ac:dyDescent="0.35">
      <c r="A521" s="38" t="str">
        <f>'1.2 Budgeted Enrollment YR1'!A521</f>
        <v>Elko</v>
      </c>
      <c r="B521" s="40">
        <f>'1.2 Budgeted Enrollment YR1'!B521</f>
        <v>4</v>
      </c>
      <c r="C521" s="40">
        <f>'1.2 Budgeted Enrollment YR1'!C521</f>
        <v>4</v>
      </c>
      <c r="D521" s="40" t="str">
        <f>'1.2 Budgeted Enrollment YR1'!D521</f>
        <v>Spring Creek</v>
      </c>
      <c r="E521" s="38" t="str">
        <f>'1.2 Budgeted Enrollment YR1'!E521</f>
        <v>Spring Creek Elementary School</v>
      </c>
      <c r="F521" s="590"/>
      <c r="G521" s="220">
        <f>'1.2 Budgeted Enrollment YR1'!G521+('1.2 Budgeted Enrollment YR1'!G521*$Q$2)</f>
        <v>412.0295377295414</v>
      </c>
      <c r="H521" s="219">
        <v>0</v>
      </c>
      <c r="I521" s="220">
        <v>0</v>
      </c>
      <c r="J521" s="219">
        <v>0</v>
      </c>
      <c r="K521" s="220">
        <v>0</v>
      </c>
      <c r="L521" s="73"/>
      <c r="M521" s="2"/>
      <c r="N521"/>
      <c r="O521"/>
      <c r="P521"/>
      <c r="Q521"/>
    </row>
    <row r="522" spans="1:17" ht="18" thickTop="1" thickBot="1" x14ac:dyDescent="0.35">
      <c r="A522" s="38" t="str">
        <f>'1.2 Budgeted Enrollment YR1'!A522</f>
        <v>Elko</v>
      </c>
      <c r="B522" s="40">
        <f>'1.2 Budgeted Enrollment YR1'!B522</f>
        <v>4</v>
      </c>
      <c r="C522" s="40">
        <f>'1.2 Budgeted Enrollment YR1'!C522</f>
        <v>4</v>
      </c>
      <c r="D522" s="40" t="str">
        <f>'1.2 Budgeted Enrollment YR1'!D522</f>
        <v>Spring Creek</v>
      </c>
      <c r="E522" s="38" t="str">
        <f>'1.2 Budgeted Enrollment YR1'!E522</f>
        <v>Spring Creek High School</v>
      </c>
      <c r="F522" s="590"/>
      <c r="G522" s="220">
        <f>'1.2 Budgeted Enrollment YR1'!G522+('1.2 Budgeted Enrollment YR1'!G522*$Q$2)</f>
        <v>888.30320076485395</v>
      </c>
      <c r="H522" s="219">
        <v>0</v>
      </c>
      <c r="I522" s="220">
        <v>0</v>
      </c>
      <c r="J522" s="219">
        <v>0</v>
      </c>
      <c r="K522" s="220">
        <v>0</v>
      </c>
      <c r="L522" s="73"/>
      <c r="M522" s="2"/>
      <c r="N522"/>
      <c r="O522"/>
      <c r="P522"/>
      <c r="Q522"/>
    </row>
    <row r="523" spans="1:17" ht="18" thickTop="1" thickBot="1" x14ac:dyDescent="0.35">
      <c r="A523" s="38" t="str">
        <f>'1.2 Budgeted Enrollment YR1'!A523</f>
        <v>Elko</v>
      </c>
      <c r="B523" s="40">
        <f>'1.2 Budgeted Enrollment YR1'!B523</f>
        <v>4</v>
      </c>
      <c r="C523" s="40">
        <f>'1.2 Budgeted Enrollment YR1'!C523</f>
        <v>4</v>
      </c>
      <c r="D523" s="40" t="str">
        <f>'1.2 Budgeted Enrollment YR1'!D523</f>
        <v>Spring Creek</v>
      </c>
      <c r="E523" s="38" t="str">
        <f>'1.2 Budgeted Enrollment YR1'!E523</f>
        <v>Spring Creek Middle School</v>
      </c>
      <c r="F523" s="590"/>
      <c r="G523" s="220">
        <f>'1.2 Budgeted Enrollment YR1'!G523+('1.2 Budgeted Enrollment YR1'!G523*$Q$2)</f>
        <v>723.69505801692594</v>
      </c>
      <c r="H523" s="219">
        <v>0</v>
      </c>
      <c r="I523" s="220">
        <v>0</v>
      </c>
      <c r="J523" s="219">
        <v>0</v>
      </c>
      <c r="K523" s="220">
        <v>0</v>
      </c>
      <c r="L523" s="73"/>
      <c r="M523" s="2"/>
      <c r="N523"/>
      <c r="O523"/>
      <c r="P523"/>
      <c r="Q523"/>
    </row>
    <row r="524" spans="1:17" ht="18" thickTop="1" thickBot="1" x14ac:dyDescent="0.35">
      <c r="A524" s="38" t="str">
        <f>'1.2 Budgeted Enrollment YR1'!A524</f>
        <v>Elko</v>
      </c>
      <c r="B524" s="40">
        <f>'1.2 Budgeted Enrollment YR1'!B524</f>
        <v>4</v>
      </c>
      <c r="C524" s="40">
        <f>'1.2 Budgeted Enrollment YR1'!C524</f>
        <v>4</v>
      </c>
      <c r="D524" s="40" t="str">
        <f>'1.2 Budgeted Enrollment YR1'!D524</f>
        <v>Wells</v>
      </c>
      <c r="E524" s="38" t="str">
        <f>'1.2 Budgeted Enrollment YR1'!E524</f>
        <v>Wells Elementary School</v>
      </c>
      <c r="F524" s="590"/>
      <c r="G524" s="220">
        <f>'1.2 Budgeted Enrollment YR1'!G524+('1.2 Budgeted Enrollment YR1'!G524*$Q$2)</f>
        <v>167.99087369589523</v>
      </c>
      <c r="H524" s="219">
        <v>0</v>
      </c>
      <c r="I524" s="220">
        <v>0</v>
      </c>
      <c r="J524" s="219">
        <v>0</v>
      </c>
      <c r="K524" s="220">
        <v>0</v>
      </c>
      <c r="L524" s="73"/>
      <c r="M524" s="2"/>
      <c r="N524"/>
      <c r="O524"/>
      <c r="P524"/>
      <c r="Q524"/>
    </row>
    <row r="525" spans="1:17" ht="18" thickTop="1" thickBot="1" x14ac:dyDescent="0.35">
      <c r="A525" s="38" t="str">
        <f>'1.2 Budgeted Enrollment YR1'!A525</f>
        <v>Elko</v>
      </c>
      <c r="B525" s="40">
        <f>'1.2 Budgeted Enrollment YR1'!B525</f>
        <v>4</v>
      </c>
      <c r="C525" s="40">
        <f>'1.2 Budgeted Enrollment YR1'!C525</f>
        <v>4</v>
      </c>
      <c r="D525" s="40" t="str">
        <f>'1.2 Budgeted Enrollment YR1'!D525</f>
        <v>Wells</v>
      </c>
      <c r="E525" s="38" t="str">
        <f>'1.2 Budgeted Enrollment YR1'!E525</f>
        <v>Wells High School</v>
      </c>
      <c r="F525" s="590"/>
      <c r="G525" s="220">
        <f>'1.2 Budgeted Enrollment YR1'!G525+('1.2 Budgeted Enrollment YR1'!G525*$Q$2)</f>
        <v>99.598140634742762</v>
      </c>
      <c r="H525" s="219">
        <v>0</v>
      </c>
      <c r="I525" s="220">
        <v>0</v>
      </c>
      <c r="J525" s="219">
        <v>0</v>
      </c>
      <c r="K525" s="220">
        <v>0</v>
      </c>
      <c r="L525" s="73"/>
      <c r="M525" s="2"/>
      <c r="N525"/>
      <c r="O525"/>
      <c r="P525"/>
      <c r="Q525"/>
    </row>
    <row r="526" spans="1:17" ht="18" thickTop="1" thickBot="1" x14ac:dyDescent="0.35">
      <c r="A526" s="38" t="str">
        <f>'1.2 Budgeted Enrollment YR1'!A526</f>
        <v>Elko</v>
      </c>
      <c r="B526" s="40">
        <f>'1.2 Budgeted Enrollment YR1'!B526</f>
        <v>4</v>
      </c>
      <c r="C526" s="40">
        <f>'1.2 Budgeted Enrollment YR1'!C526</f>
        <v>4</v>
      </c>
      <c r="D526" s="40" t="str">
        <f>'1.2 Budgeted Enrollment YR1'!D526</f>
        <v>Wells</v>
      </c>
      <c r="E526" s="38" t="str">
        <f>'1.2 Budgeted Enrollment YR1'!E526</f>
        <v>Wells Jr High School</v>
      </c>
      <c r="F526" s="590"/>
      <c r="G526" s="220">
        <f>'1.2 Budgeted Enrollment YR1'!G526+('1.2 Budgeted Enrollment YR1'!G526*$Q$2)</f>
        <v>51.443510395777501</v>
      </c>
      <c r="H526" s="219">
        <v>0</v>
      </c>
      <c r="I526" s="220">
        <v>0</v>
      </c>
      <c r="J526" s="219">
        <v>0</v>
      </c>
      <c r="K526" s="220">
        <v>0</v>
      </c>
      <c r="L526" s="73"/>
      <c r="M526" s="2"/>
      <c r="N526"/>
      <c r="O526"/>
      <c r="P526"/>
      <c r="Q526"/>
    </row>
    <row r="527" spans="1:17" ht="18" thickTop="1" thickBot="1" x14ac:dyDescent="0.35">
      <c r="A527" s="38" t="str">
        <f>'1.2 Budgeted Enrollment YR1'!A527</f>
        <v>Elko</v>
      </c>
      <c r="B527" s="40">
        <f>'1.2 Budgeted Enrollment YR1'!B527</f>
        <v>4</v>
      </c>
      <c r="C527" s="40">
        <f>'1.2 Budgeted Enrollment YR1'!C527</f>
        <v>4</v>
      </c>
      <c r="D527" s="40" t="str">
        <f>'1.2 Budgeted Enrollment YR1'!D527</f>
        <v>Wells</v>
      </c>
      <c r="E527" s="38" t="str">
        <f>'1.2 Budgeted Enrollment YR1'!E527</f>
        <v>West Wendover Elementary School</v>
      </c>
      <c r="F527" s="590"/>
      <c r="G527" s="220">
        <f>'1.2 Budgeted Enrollment YR1'!G527+('1.2 Budgeted Enrollment YR1'!G527*$Q$2)</f>
        <v>410.75583220655847</v>
      </c>
      <c r="H527" s="219">
        <v>0</v>
      </c>
      <c r="I527" s="220">
        <v>0</v>
      </c>
      <c r="J527" s="219">
        <v>0</v>
      </c>
      <c r="K527" s="220">
        <v>0</v>
      </c>
      <c r="L527" s="73"/>
      <c r="M527" s="2"/>
      <c r="N527"/>
      <c r="O527"/>
      <c r="P527"/>
      <c r="Q527"/>
    </row>
    <row r="528" spans="1:17" ht="18" thickTop="1" thickBot="1" x14ac:dyDescent="0.35">
      <c r="A528" s="38" t="str">
        <f>'1.2 Budgeted Enrollment YR1'!A528</f>
        <v>Elko</v>
      </c>
      <c r="B528" s="40">
        <f>'1.2 Budgeted Enrollment YR1'!B528</f>
        <v>4</v>
      </c>
      <c r="C528" s="40">
        <f>'1.2 Budgeted Enrollment YR1'!C528</f>
        <v>4</v>
      </c>
      <c r="D528" s="40" t="str">
        <f>'1.2 Budgeted Enrollment YR1'!D528</f>
        <v>West Wendover</v>
      </c>
      <c r="E528" s="38" t="str">
        <f>'1.2 Budgeted Enrollment YR1'!E528</f>
        <v>West Wendover High School</v>
      </c>
      <c r="F528" s="590"/>
      <c r="G528" s="220">
        <f>'1.2 Budgeted Enrollment YR1'!G528+('1.2 Budgeted Enrollment YR1'!G528*$Q$2)</f>
        <v>315.50422771786884</v>
      </c>
      <c r="H528" s="219"/>
      <c r="I528" s="220"/>
      <c r="J528" s="219"/>
      <c r="K528" s="220">
        <v>0</v>
      </c>
      <c r="L528" s="73"/>
      <c r="M528" s="2"/>
      <c r="N528"/>
      <c r="O528"/>
      <c r="P528"/>
      <c r="Q528"/>
    </row>
    <row r="529" spans="1:19" ht="18" thickTop="1" thickBot="1" x14ac:dyDescent="0.35">
      <c r="A529" s="38" t="str">
        <f>'1.2 Budgeted Enrollment YR1'!A529</f>
        <v>Elko</v>
      </c>
      <c r="B529" s="40">
        <f>'1.2 Budgeted Enrollment YR1'!B529</f>
        <v>4</v>
      </c>
      <c r="C529" s="40">
        <f>'1.2 Budgeted Enrollment YR1'!C529</f>
        <v>4</v>
      </c>
      <c r="D529" s="40" t="str">
        <f>'1.2 Budgeted Enrollment YR1'!D529</f>
        <v>West Wendover</v>
      </c>
      <c r="E529" s="38" t="str">
        <f>'1.2 Budgeted Enrollment YR1'!E529</f>
        <v>West Wendover Middle School</v>
      </c>
      <c r="F529" s="590"/>
      <c r="G529" s="220">
        <f>'1.2 Budgeted Enrollment YR1'!G529+('1.2 Budgeted Enrollment YR1'!G529*$Q$2)</f>
        <v>209.96187033600998</v>
      </c>
      <c r="H529" s="219">
        <v>0</v>
      </c>
      <c r="I529" s="220">
        <v>0</v>
      </c>
      <c r="J529" s="219">
        <v>0</v>
      </c>
      <c r="K529" s="220">
        <v>0</v>
      </c>
      <c r="L529" s="73"/>
      <c r="M529" s="2"/>
      <c r="N529"/>
      <c r="O529"/>
      <c r="P529"/>
      <c r="Q529"/>
    </row>
    <row r="530" spans="1:19" ht="18" thickTop="1" thickBot="1" x14ac:dyDescent="0.35">
      <c r="A530" s="38" t="str">
        <f>'1.2 Budgeted Enrollment YR1'!A530</f>
        <v>Esmeralda</v>
      </c>
      <c r="B530" s="40">
        <f>'1.2 Budgeted Enrollment YR1'!B530</f>
        <v>5</v>
      </c>
      <c r="C530" s="40">
        <f>'1.2 Budgeted Enrollment YR1'!C530</f>
        <v>5</v>
      </c>
      <c r="D530" s="40" t="str">
        <f>'1.2 Budgeted Enrollment YR1'!D530</f>
        <v>Dyer</v>
      </c>
      <c r="E530" s="38" t="str">
        <f>'1.2 Budgeted Enrollment YR1'!E530</f>
        <v>Dyer Elementary School</v>
      </c>
      <c r="F530" s="590"/>
      <c r="G530" s="220">
        <f>'1.2 Budgeted Enrollment YR1'!G530+('1.2 Budgeted Enrollment YR1'!G530*$Q$2)</f>
        <v>34.816184734054779</v>
      </c>
      <c r="H530" s="219">
        <v>0</v>
      </c>
      <c r="I530" s="220">
        <v>0</v>
      </c>
      <c r="J530" s="219">
        <v>0</v>
      </c>
      <c r="K530" s="220">
        <v>0</v>
      </c>
      <c r="L530" s="73"/>
      <c r="M530" s="2"/>
      <c r="N530"/>
      <c r="O530"/>
      <c r="P530"/>
      <c r="Q530"/>
    </row>
    <row r="531" spans="1:19" ht="18" thickTop="1" thickBot="1" x14ac:dyDescent="0.35">
      <c r="A531" s="38" t="str">
        <f>'1.2 Budgeted Enrollment YR1'!A531</f>
        <v>Esmeralda</v>
      </c>
      <c r="B531" s="40">
        <f>'1.2 Budgeted Enrollment YR1'!B531</f>
        <v>5</v>
      </c>
      <c r="C531" s="40">
        <f>'1.2 Budgeted Enrollment YR1'!C531</f>
        <v>5</v>
      </c>
      <c r="D531" s="40" t="str">
        <f>'1.2 Budgeted Enrollment YR1'!D531</f>
        <v>Dyer</v>
      </c>
      <c r="E531" s="38" t="str">
        <f>'1.2 Budgeted Enrollment YR1'!E531</f>
        <v>Esmeralda Virtual High School</v>
      </c>
      <c r="F531" s="590"/>
      <c r="G531" s="220">
        <f>'1.2 Budgeted Enrollment YR1'!G531+('1.2 Budgeted Enrollment YR1'!G531*$Q$2)</f>
        <v>15.278970774325909</v>
      </c>
      <c r="H531" s="219">
        <v>0</v>
      </c>
      <c r="I531" s="220">
        <v>0</v>
      </c>
      <c r="J531" s="219">
        <v>0</v>
      </c>
      <c r="K531" s="220">
        <v>15.278970774325909</v>
      </c>
      <c r="L531" s="73"/>
      <c r="M531" s="2"/>
      <c r="N531"/>
      <c r="O531"/>
      <c r="P531"/>
      <c r="Q531"/>
    </row>
    <row r="532" spans="1:19" ht="18" thickTop="1" thickBot="1" x14ac:dyDescent="0.35">
      <c r="A532" s="38" t="str">
        <f>'1.2 Budgeted Enrollment YR1'!A532</f>
        <v>Esmeralda</v>
      </c>
      <c r="B532" s="40">
        <f>'1.2 Budgeted Enrollment YR1'!B532</f>
        <v>5</v>
      </c>
      <c r="C532" s="40">
        <f>'1.2 Budgeted Enrollment YR1'!C532</f>
        <v>5</v>
      </c>
      <c r="D532" s="40" t="str">
        <f>'1.2 Budgeted Enrollment YR1'!D532</f>
        <v>Goldfield</v>
      </c>
      <c r="E532" s="38" t="str">
        <f>'1.2 Budgeted Enrollment YR1'!E532</f>
        <v>Goldfield Elementary School</v>
      </c>
      <c r="F532" s="590"/>
      <c r="G532" s="220">
        <f>'1.2 Budgeted Enrollment YR1'!G532+('1.2 Budgeted Enrollment YR1'!G532*$Q$2)</f>
        <v>21.434872362765883</v>
      </c>
      <c r="H532" s="219">
        <v>0</v>
      </c>
      <c r="I532" s="220">
        <v>0</v>
      </c>
      <c r="J532" s="219">
        <v>0</v>
      </c>
      <c r="K532" s="220">
        <v>0</v>
      </c>
      <c r="L532" s="73"/>
      <c r="M532" s="2"/>
      <c r="N532"/>
      <c r="O532"/>
      <c r="P532"/>
      <c r="Q532"/>
    </row>
    <row r="533" spans="1:19" ht="18" thickTop="1" thickBot="1" x14ac:dyDescent="0.35">
      <c r="A533" s="38" t="str">
        <f>'1.2 Budgeted Enrollment YR1'!A533</f>
        <v>Esmeralda</v>
      </c>
      <c r="B533" s="40">
        <f>'1.2 Budgeted Enrollment YR1'!B533</f>
        <v>5</v>
      </c>
      <c r="C533" s="40">
        <f>'1.2 Budgeted Enrollment YR1'!C533</f>
        <v>5</v>
      </c>
      <c r="D533" s="40" t="str">
        <f>'1.2 Budgeted Enrollment YR1'!D533</f>
        <v>Silver Peak</v>
      </c>
      <c r="E533" s="38" t="str">
        <f>'1.2 Budgeted Enrollment YR1'!E533</f>
        <v>Silver Peak Elementary School</v>
      </c>
      <c r="F533" s="590"/>
      <c r="G533" s="220">
        <f>'1.2 Budgeted Enrollment YR1'!G533+('1.2 Budgeted Enrollment YR1'!G533*$Q$2)</f>
        <v>5.8625094548019998</v>
      </c>
      <c r="H533" s="219">
        <v>0</v>
      </c>
      <c r="I533" s="220">
        <v>0</v>
      </c>
      <c r="J533" s="219">
        <v>0</v>
      </c>
      <c r="K533" s="220">
        <v>0</v>
      </c>
      <c r="L533" s="73"/>
      <c r="M533" s="2"/>
      <c r="N533"/>
      <c r="O533"/>
      <c r="P533"/>
      <c r="Q533"/>
    </row>
    <row r="534" spans="1:19" ht="18" thickTop="1" thickBot="1" x14ac:dyDescent="0.35">
      <c r="A534" s="38" t="str">
        <f>'1.2 Budgeted Enrollment YR1'!A534</f>
        <v>Eureka</v>
      </c>
      <c r="B534" s="40">
        <f>'1.2 Budgeted Enrollment YR1'!B534</f>
        <v>6</v>
      </c>
      <c r="C534" s="40">
        <f>'1.2 Budgeted Enrollment YR1'!C534</f>
        <v>6</v>
      </c>
      <c r="D534" s="40" t="str">
        <f>'1.2 Budgeted Enrollment YR1'!D534</f>
        <v>Crescent Valley</v>
      </c>
      <c r="E534" s="38" t="str">
        <f>'1.2 Budgeted Enrollment YR1'!E534</f>
        <v>Crescent Valley Elementary</v>
      </c>
      <c r="F534" s="590"/>
      <c r="G534" s="220">
        <f>'1.2 Budgeted Enrollment YR1'!G534+('1.2 Budgeted Enrollment YR1'!G534*$Q$2)</f>
        <v>35.280247161551422</v>
      </c>
      <c r="H534" s="219">
        <v>0</v>
      </c>
      <c r="I534" s="220">
        <v>0</v>
      </c>
      <c r="J534" s="219">
        <v>0</v>
      </c>
      <c r="K534" s="220">
        <v>0</v>
      </c>
      <c r="L534" s="73"/>
      <c r="M534" s="2"/>
      <c r="N534"/>
      <c r="O534"/>
      <c r="P534"/>
      <c r="Q534"/>
    </row>
    <row r="535" spans="1:19" ht="18" thickTop="1" thickBot="1" x14ac:dyDescent="0.35">
      <c r="A535" s="38" t="str">
        <f>'1.2 Budgeted Enrollment YR1'!A535</f>
        <v>Eureka</v>
      </c>
      <c r="B535" s="40">
        <f>'1.2 Budgeted Enrollment YR1'!B535</f>
        <v>6</v>
      </c>
      <c r="C535" s="40">
        <f>'1.2 Budgeted Enrollment YR1'!C535</f>
        <v>6</v>
      </c>
      <c r="D535" s="40" t="str">
        <f>'1.2 Budgeted Enrollment YR1'!D535</f>
        <v>Eureka</v>
      </c>
      <c r="E535" s="38" t="str">
        <f>'1.2 Budgeted Enrollment YR1'!E535</f>
        <v>Eureka County High School</v>
      </c>
      <c r="F535" s="590"/>
      <c r="G535" s="220">
        <f>'1.2 Budgeted Enrollment YR1'!G535+('1.2 Budgeted Enrollment YR1'!G535*$Q$2)</f>
        <v>162.62165905062358</v>
      </c>
      <c r="H535" s="219">
        <v>0</v>
      </c>
      <c r="I535" s="220">
        <v>0</v>
      </c>
      <c r="J535" s="219">
        <v>0</v>
      </c>
      <c r="K535" s="220">
        <v>0</v>
      </c>
      <c r="L535" s="73"/>
      <c r="M535" s="2"/>
      <c r="N535"/>
      <c r="O535"/>
      <c r="P535"/>
      <c r="Q535"/>
    </row>
    <row r="536" spans="1:19" ht="18" thickTop="1" thickBot="1" x14ac:dyDescent="0.35">
      <c r="A536" s="38" t="str">
        <f>'1.2 Budgeted Enrollment YR1'!A536</f>
        <v>Eureka</v>
      </c>
      <c r="B536" s="40">
        <f>'1.2 Budgeted Enrollment YR1'!B536</f>
        <v>6</v>
      </c>
      <c r="C536" s="40">
        <f>'1.2 Budgeted Enrollment YR1'!C536</f>
        <v>6</v>
      </c>
      <c r="D536" s="40" t="str">
        <f>'1.2 Budgeted Enrollment YR1'!D536</f>
        <v>Eureka</v>
      </c>
      <c r="E536" s="38" t="str">
        <f>'1.2 Budgeted Enrollment YR1'!E536</f>
        <v>Eureka Elementary School</v>
      </c>
      <c r="F536" s="590"/>
      <c r="G536" s="220">
        <f>'1.2 Budgeted Enrollment YR1'!G536+('1.2 Budgeted Enrollment YR1'!G536*$Q$2)</f>
        <v>126.12432984880051</v>
      </c>
      <c r="H536" s="219">
        <v>0</v>
      </c>
      <c r="I536" s="220">
        <v>0</v>
      </c>
      <c r="J536" s="219">
        <v>0</v>
      </c>
      <c r="K536" s="220">
        <v>0</v>
      </c>
      <c r="L536" s="73"/>
      <c r="M536" s="2"/>
      <c r="N536"/>
      <c r="O536"/>
      <c r="P536"/>
      <c r="Q536"/>
    </row>
    <row r="537" spans="1:19" ht="18" thickTop="1" thickBot="1" x14ac:dyDescent="0.35">
      <c r="A537" s="38" t="str">
        <f>'1.2 Budgeted Enrollment YR1'!A537</f>
        <v>Humboldt</v>
      </c>
      <c r="B537" s="40">
        <f>'1.2 Budgeted Enrollment YR1'!B537</f>
        <v>7</v>
      </c>
      <c r="C537" s="40">
        <f>'1.2 Budgeted Enrollment YR1'!C537</f>
        <v>7</v>
      </c>
      <c r="D537" s="40" t="str">
        <f>'1.2 Budgeted Enrollment YR1'!D537</f>
        <v>Winnemucca</v>
      </c>
      <c r="E537" s="38" t="str">
        <f>'1.2 Budgeted Enrollment YR1'!E537</f>
        <v>Albert M. Lowry High School</v>
      </c>
      <c r="F537" s="590"/>
      <c r="G537" s="220">
        <f>'1.2 Budgeted Enrollment YR1'!G537+('1.2 Budgeted Enrollment YR1'!G537*$Q$2)</f>
        <v>937.86097298491109</v>
      </c>
      <c r="H537" s="219">
        <v>0</v>
      </c>
      <c r="I537" s="220">
        <v>0</v>
      </c>
      <c r="J537" s="219">
        <v>0</v>
      </c>
      <c r="K537" s="220">
        <v>0</v>
      </c>
      <c r="L537" s="73"/>
      <c r="M537" s="2"/>
      <c r="N537"/>
      <c r="O537"/>
      <c r="P537"/>
      <c r="Q537"/>
    </row>
    <row r="538" spans="1:19" ht="18" thickTop="1" thickBot="1" x14ac:dyDescent="0.35">
      <c r="A538" s="38" t="str">
        <f>'1.2 Budgeted Enrollment YR1'!A538</f>
        <v>Humboldt</v>
      </c>
      <c r="B538" s="40">
        <f>'1.2 Budgeted Enrollment YR1'!B538</f>
        <v>7</v>
      </c>
      <c r="C538" s="40">
        <f>'1.2 Budgeted Enrollment YR1'!C538</f>
        <v>7</v>
      </c>
      <c r="D538" s="40" t="str">
        <f>'1.2 Budgeted Enrollment YR1'!D538</f>
        <v>Denio</v>
      </c>
      <c r="E538" s="38" t="str">
        <f>'1.2 Budgeted Enrollment YR1'!E538</f>
        <v>Denio - Includes Child Find</v>
      </c>
      <c r="F538" s="590"/>
      <c r="G538" s="220">
        <f>'1.2 Budgeted Enrollment YR1'!G538+('1.2 Budgeted Enrollment YR1'!G538*$Q$2)</f>
        <v>7.9494554203575767</v>
      </c>
      <c r="H538" s="219">
        <v>0</v>
      </c>
      <c r="I538" s="220">
        <v>0</v>
      </c>
      <c r="J538" s="219">
        <v>0</v>
      </c>
      <c r="K538" s="220">
        <v>0</v>
      </c>
      <c r="L538" s="73"/>
      <c r="M538" s="2"/>
      <c r="N538"/>
      <c r="O538"/>
      <c r="P538"/>
      <c r="Q538"/>
      <c r="S538"/>
    </row>
    <row r="539" spans="1:19" ht="18" thickTop="1" thickBot="1" x14ac:dyDescent="0.35">
      <c r="A539" s="38" t="str">
        <f>'1.2 Budgeted Enrollment YR1'!A539</f>
        <v>Humboldt</v>
      </c>
      <c r="B539" s="40">
        <f>'1.2 Budgeted Enrollment YR1'!B539</f>
        <v>7</v>
      </c>
      <c r="C539" s="40">
        <f>'1.2 Budgeted Enrollment YR1'!C539</f>
        <v>7</v>
      </c>
      <c r="D539" s="40" t="str">
        <f>'1.2 Budgeted Enrollment YR1'!D539</f>
        <v>Winnemucca</v>
      </c>
      <c r="E539" s="38" t="str">
        <f>'1.2 Budgeted Enrollment YR1'!E539</f>
        <v>French Ford Middle School</v>
      </c>
      <c r="F539" s="590"/>
      <c r="G539" s="220">
        <f>'1.2 Budgeted Enrollment YR1'!G539+('1.2 Budgeted Enrollment YR1'!G539*$Q$2)</f>
        <v>478.19008964449228</v>
      </c>
      <c r="H539" s="219">
        <v>0</v>
      </c>
      <c r="I539" s="220">
        <v>0</v>
      </c>
      <c r="J539" s="219">
        <v>0</v>
      </c>
      <c r="K539" s="220">
        <v>0</v>
      </c>
      <c r="L539" s="73"/>
      <c r="M539" s="2"/>
      <c r="N539"/>
      <c r="O539"/>
      <c r="P539"/>
      <c r="Q539"/>
    </row>
    <row r="540" spans="1:19" ht="18" thickTop="1" thickBot="1" x14ac:dyDescent="0.35">
      <c r="A540" s="38" t="str">
        <f>'1.2 Budgeted Enrollment YR1'!A540</f>
        <v>Humboldt</v>
      </c>
      <c r="B540" s="40">
        <f>'1.2 Budgeted Enrollment YR1'!B540</f>
        <v>7</v>
      </c>
      <c r="C540" s="40">
        <f>'1.2 Budgeted Enrollment YR1'!C540</f>
        <v>7</v>
      </c>
      <c r="D540" s="40" t="str">
        <f>'1.2 Budgeted Enrollment YR1'!D540</f>
        <v>Winnemucca</v>
      </c>
      <c r="E540" s="38" t="str">
        <f>'1.2 Budgeted Enrollment YR1'!E540</f>
        <v>Grass Valley Elementary</v>
      </c>
      <c r="F540" s="590"/>
      <c r="G540" s="220">
        <f>'1.2 Budgeted Enrollment YR1'!G540+('1.2 Budgeted Enrollment YR1'!G540*$Q$2)</f>
        <v>363.34192983540441</v>
      </c>
      <c r="H540" s="219">
        <v>0</v>
      </c>
      <c r="I540" s="220">
        <v>0</v>
      </c>
      <c r="J540" s="219">
        <v>0</v>
      </c>
      <c r="K540" s="220">
        <v>0</v>
      </c>
      <c r="L540" s="73"/>
      <c r="M540" s="2"/>
      <c r="N540"/>
      <c r="O540"/>
      <c r="P540"/>
      <c r="Q540"/>
    </row>
    <row r="541" spans="1:19" ht="18" thickTop="1" thickBot="1" x14ac:dyDescent="0.35">
      <c r="A541" s="38" t="str">
        <f>'1.2 Budgeted Enrollment YR1'!A541</f>
        <v>Humboldt</v>
      </c>
      <c r="B541" s="40">
        <f>'1.2 Budgeted Enrollment YR1'!B541</f>
        <v>7</v>
      </c>
      <c r="C541" s="40">
        <f>'1.2 Budgeted Enrollment YR1'!C541</f>
        <v>7</v>
      </c>
      <c r="D541" s="40" t="str">
        <f>'1.2 Budgeted Enrollment YR1'!D541</f>
        <v>Kings River</v>
      </c>
      <c r="E541" s="38" t="str">
        <f>'1.2 Budgeted Enrollment YR1'!E541</f>
        <v>Kings River</v>
      </c>
      <c r="F541" s="590"/>
      <c r="G541" s="220">
        <f>'1.2 Budgeted Enrollment YR1'!G541+('1.2 Budgeted Enrollment YR1'!G541*$Q$2)</f>
        <v>5.9909138789500007</v>
      </c>
      <c r="H541" s="219">
        <v>0</v>
      </c>
      <c r="I541" s="220">
        <v>0</v>
      </c>
      <c r="J541" s="219">
        <v>0</v>
      </c>
      <c r="K541" s="220">
        <v>0</v>
      </c>
      <c r="L541" s="73"/>
      <c r="M541" s="2"/>
      <c r="N541"/>
      <c r="O541"/>
      <c r="P541"/>
      <c r="Q541"/>
    </row>
    <row r="542" spans="1:19" ht="18" thickTop="1" thickBot="1" x14ac:dyDescent="0.35">
      <c r="A542" s="38" t="str">
        <f>'1.2 Budgeted Enrollment YR1'!A542</f>
        <v>Humboldt</v>
      </c>
      <c r="B542" s="40">
        <f>'1.2 Budgeted Enrollment YR1'!B542</f>
        <v>7</v>
      </c>
      <c r="C542" s="40">
        <f>'1.2 Budgeted Enrollment YR1'!C542</f>
        <v>7</v>
      </c>
      <c r="D542" s="40" t="str">
        <f>'1.2 Budgeted Enrollment YR1'!D542</f>
        <v>McDermitt</v>
      </c>
      <c r="E542" s="38" t="str">
        <f>'1.2 Budgeted Enrollment YR1'!E542</f>
        <v>McDermitt Elementary</v>
      </c>
      <c r="F542" s="590"/>
      <c r="G542" s="220">
        <f>'1.2 Budgeted Enrollment YR1'!G542+('1.2 Budgeted Enrollment YR1'!G542*$Q$2)</f>
        <v>49.682484119217904</v>
      </c>
      <c r="H542" s="219">
        <v>0</v>
      </c>
      <c r="I542" s="220">
        <v>0</v>
      </c>
      <c r="J542" s="219">
        <v>0</v>
      </c>
      <c r="K542" s="220">
        <v>0</v>
      </c>
      <c r="L542" s="73"/>
      <c r="M542" s="2"/>
      <c r="N542"/>
      <c r="O542"/>
      <c r="P542"/>
      <c r="Q542"/>
    </row>
    <row r="543" spans="1:19" ht="18" thickTop="1" thickBot="1" x14ac:dyDescent="0.35">
      <c r="A543" s="38" t="str">
        <f>'1.2 Budgeted Enrollment YR1'!A543</f>
        <v>Humboldt</v>
      </c>
      <c r="B543" s="40">
        <f>'1.2 Budgeted Enrollment YR1'!B543</f>
        <v>7</v>
      </c>
      <c r="C543" s="40">
        <f>'1.2 Budgeted Enrollment YR1'!C543</f>
        <v>7</v>
      </c>
      <c r="D543" s="40" t="str">
        <f>'1.2 Budgeted Enrollment YR1'!D543</f>
        <v>McDermitt</v>
      </c>
      <c r="E543" s="38" t="str">
        <f>'1.2 Budgeted Enrollment YR1'!E543</f>
        <v>McDermitt High School</v>
      </c>
      <c r="F543" s="590"/>
      <c r="G543" s="220">
        <f>'1.2 Budgeted Enrollment YR1'!G543+('1.2 Budgeted Enrollment YR1'!G543*$Q$2)</f>
        <v>28.607887816357948</v>
      </c>
      <c r="H543" s="219">
        <v>0</v>
      </c>
      <c r="I543" s="220">
        <v>0</v>
      </c>
      <c r="J543" s="219">
        <v>0</v>
      </c>
      <c r="K543" s="220">
        <v>0</v>
      </c>
      <c r="L543" s="73"/>
      <c r="M543" s="2"/>
      <c r="N543"/>
      <c r="O543"/>
      <c r="P543"/>
      <c r="Q543"/>
    </row>
    <row r="544" spans="1:19" ht="18" thickTop="1" thickBot="1" x14ac:dyDescent="0.35">
      <c r="A544" s="38" t="str">
        <f>'1.2 Budgeted Enrollment YR1'!A544</f>
        <v>Humboldt</v>
      </c>
      <c r="B544" s="40">
        <f>'1.2 Budgeted Enrollment YR1'!B544</f>
        <v>7</v>
      </c>
      <c r="C544" s="40">
        <f>'1.2 Budgeted Enrollment YR1'!C544</f>
        <v>7</v>
      </c>
      <c r="D544" s="40" t="str">
        <f>'1.2 Budgeted Enrollment YR1'!D544</f>
        <v>McDermitt</v>
      </c>
      <c r="E544" s="38" t="str">
        <f>'1.2 Budgeted Enrollment YR1'!E544</f>
        <v>McDermitt Junior High School</v>
      </c>
      <c r="F544" s="590"/>
      <c r="G544" s="220">
        <f>'1.2 Budgeted Enrollment YR1'!G544+('1.2 Budgeted Enrollment YR1'!G544*$Q$2)</f>
        <v>19.287867949349998</v>
      </c>
      <c r="H544" s="219">
        <v>0</v>
      </c>
      <c r="I544" s="220">
        <v>0</v>
      </c>
      <c r="J544" s="219">
        <v>0</v>
      </c>
      <c r="K544" s="220">
        <v>0</v>
      </c>
      <c r="L544" s="73"/>
      <c r="M544" s="2"/>
      <c r="N544"/>
      <c r="O544"/>
      <c r="P544"/>
      <c r="Q544"/>
    </row>
    <row r="545" spans="1:17" ht="18" thickTop="1" thickBot="1" x14ac:dyDescent="0.35">
      <c r="A545" s="38" t="str">
        <f>'1.2 Budgeted Enrollment YR1'!A545</f>
        <v>Humboldt</v>
      </c>
      <c r="B545" s="40">
        <f>'1.2 Budgeted Enrollment YR1'!B545</f>
        <v>7</v>
      </c>
      <c r="C545" s="40">
        <f>'1.2 Budgeted Enrollment YR1'!C545</f>
        <v>7</v>
      </c>
      <c r="D545" s="40" t="str">
        <f>'1.2 Budgeted Enrollment YR1'!D545</f>
        <v>Orovada</v>
      </c>
      <c r="E545" s="38" t="str">
        <f>'1.2 Budgeted Enrollment YR1'!E545</f>
        <v>Orovada School</v>
      </c>
      <c r="F545" s="590"/>
      <c r="G545" s="220">
        <f>'1.2 Budgeted Enrollment YR1'!G545+('1.2 Budgeted Enrollment YR1'!G545*$Q$2)</f>
        <v>37.761259385850003</v>
      </c>
      <c r="H545" s="219">
        <v>0</v>
      </c>
      <c r="I545" s="220">
        <v>0</v>
      </c>
      <c r="J545" s="219">
        <v>0</v>
      </c>
      <c r="K545" s="220">
        <v>0</v>
      </c>
      <c r="L545" s="73"/>
      <c r="M545" s="2"/>
      <c r="N545"/>
      <c r="O545"/>
      <c r="P545"/>
      <c r="Q545"/>
    </row>
    <row r="546" spans="1:17" ht="18" thickTop="1" thickBot="1" x14ac:dyDescent="0.35">
      <c r="A546" s="38" t="str">
        <f>'1.2 Budgeted Enrollment YR1'!A546</f>
        <v>Humboldt</v>
      </c>
      <c r="B546" s="40">
        <f>'1.2 Budgeted Enrollment YR1'!B546</f>
        <v>7</v>
      </c>
      <c r="C546" s="40">
        <f>'1.2 Budgeted Enrollment YR1'!C546</f>
        <v>7</v>
      </c>
      <c r="D546" s="40" t="str">
        <f>'1.2 Budgeted Enrollment YR1'!D546</f>
        <v>Paradise Valley</v>
      </c>
      <c r="E546" s="38" t="str">
        <f>'1.2 Budgeted Enrollment YR1'!E546</f>
        <v>Paradise Valley School</v>
      </c>
      <c r="F546" s="590"/>
      <c r="G546" s="220">
        <f>'1.2 Budgeted Enrollment YR1'!G546+('1.2 Budgeted Enrollment YR1'!G546*$Q$2)</f>
        <v>29.67630944762394</v>
      </c>
      <c r="H546" s="219">
        <v>0</v>
      </c>
      <c r="I546" s="220">
        <v>0</v>
      </c>
      <c r="J546" s="219">
        <v>0</v>
      </c>
      <c r="K546" s="220">
        <v>0</v>
      </c>
      <c r="L546" s="73"/>
      <c r="M546" s="2"/>
      <c r="N546"/>
      <c r="O546"/>
      <c r="P546"/>
      <c r="Q546"/>
    </row>
    <row r="547" spans="1:17" ht="18" thickTop="1" thickBot="1" x14ac:dyDescent="0.35">
      <c r="A547" s="38" t="str">
        <f>'1.2 Budgeted Enrollment YR1'!A547</f>
        <v>Humboldt</v>
      </c>
      <c r="B547" s="40">
        <f>'1.2 Budgeted Enrollment YR1'!B547</f>
        <v>7</v>
      </c>
      <c r="C547" s="40">
        <f>'1.2 Budgeted Enrollment YR1'!C547</f>
        <v>7</v>
      </c>
      <c r="D547" s="40" t="str">
        <f>'1.2 Budgeted Enrollment YR1'!D547</f>
        <v>Winnemucca</v>
      </c>
      <c r="E547" s="38" t="str">
        <f>'1.2 Budgeted Enrollment YR1'!E547</f>
        <v>Sonoma Heights Elementary</v>
      </c>
      <c r="F547" s="590"/>
      <c r="G547" s="220">
        <f>'1.2 Budgeted Enrollment YR1'!G547+('1.2 Budgeted Enrollment YR1'!G547*$Q$2)</f>
        <v>460.39568589894878</v>
      </c>
      <c r="H547" s="219">
        <v>0</v>
      </c>
      <c r="I547" s="220">
        <v>0</v>
      </c>
      <c r="J547" s="219">
        <v>0</v>
      </c>
      <c r="K547" s="220">
        <v>0</v>
      </c>
      <c r="L547" s="73"/>
      <c r="M547" s="2"/>
      <c r="N547"/>
      <c r="O547"/>
      <c r="P547"/>
      <c r="Q547"/>
    </row>
    <row r="548" spans="1:17" ht="18" thickTop="1" thickBot="1" x14ac:dyDescent="0.35">
      <c r="A548" s="38" t="str">
        <f>'1.2 Budgeted Enrollment YR1'!A548</f>
        <v>Humboldt</v>
      </c>
      <c r="B548" s="40">
        <f>'1.2 Budgeted Enrollment YR1'!B548</f>
        <v>7</v>
      </c>
      <c r="C548" s="40">
        <f>'1.2 Budgeted Enrollment YR1'!C548</f>
        <v>7</v>
      </c>
      <c r="D548" s="40" t="str">
        <f>'1.2 Budgeted Enrollment YR1'!D548</f>
        <v>Winnemucca</v>
      </c>
      <c r="E548" s="38" t="str">
        <f>'1.2 Budgeted Enrollment YR1'!E548</f>
        <v>Winnemucca Grammar School</v>
      </c>
      <c r="F548" s="590"/>
      <c r="G548" s="220">
        <f>'1.2 Budgeted Enrollment YR1'!G548+('1.2 Budgeted Enrollment YR1'!G548*$Q$2)</f>
        <v>303.07862722957839</v>
      </c>
      <c r="H548" s="219">
        <v>0</v>
      </c>
      <c r="I548" s="220">
        <v>0</v>
      </c>
      <c r="J548" s="219">
        <v>0</v>
      </c>
      <c r="K548" s="220">
        <v>0</v>
      </c>
      <c r="L548" s="73"/>
      <c r="M548" s="2"/>
      <c r="N548"/>
      <c r="O548"/>
      <c r="P548"/>
      <c r="Q548"/>
    </row>
    <row r="549" spans="1:17" ht="18" thickTop="1" thickBot="1" x14ac:dyDescent="0.35">
      <c r="A549" s="38" t="str">
        <f>'1.2 Budgeted Enrollment YR1'!A549</f>
        <v>Humboldt</v>
      </c>
      <c r="B549" s="40">
        <f>'1.2 Budgeted Enrollment YR1'!B549</f>
        <v>7</v>
      </c>
      <c r="C549" s="40">
        <f>'1.2 Budgeted Enrollment YR1'!C549</f>
        <v>7</v>
      </c>
      <c r="D549" s="40" t="str">
        <f>'1.2 Budgeted Enrollment YR1'!D549</f>
        <v>Winnemucca</v>
      </c>
      <c r="E549" s="38" t="str">
        <f>'1.2 Budgeted Enrollment YR1'!E549</f>
        <v>Winnemucca Junior High School</v>
      </c>
      <c r="F549" s="590"/>
      <c r="G549" s="220">
        <f>'1.2 Budgeted Enrollment YR1'!G549+('1.2 Budgeted Enrollment YR1'!G549*$Q$2)</f>
        <v>463.98171120591292</v>
      </c>
      <c r="H549" s="219">
        <v>0</v>
      </c>
      <c r="I549" s="220">
        <v>0</v>
      </c>
      <c r="J549" s="219">
        <v>0</v>
      </c>
      <c r="K549" s="220">
        <v>0</v>
      </c>
      <c r="L549" s="73"/>
      <c r="M549" s="2"/>
      <c r="N549"/>
      <c r="O549"/>
      <c r="P549"/>
      <c r="Q549"/>
    </row>
    <row r="550" spans="1:17" ht="18" thickTop="1" thickBot="1" x14ac:dyDescent="0.35">
      <c r="A550" s="38" t="str">
        <f>'1.2 Budgeted Enrollment YR1'!A550</f>
        <v>Lander</v>
      </c>
      <c r="B550" s="40">
        <f>'1.2 Budgeted Enrollment YR1'!B550</f>
        <v>8</v>
      </c>
      <c r="C550" s="40">
        <f>'1.2 Budgeted Enrollment YR1'!C550</f>
        <v>8</v>
      </c>
      <c r="D550" s="40" t="str">
        <f>'1.2 Budgeted Enrollment YR1'!D550</f>
        <v>Austin</v>
      </c>
      <c r="E550" s="38" t="str">
        <f>'1.2 Budgeted Enrollment YR1'!E550</f>
        <v>Austin Combined Schools</v>
      </c>
      <c r="F550" s="590"/>
      <c r="G550" s="220">
        <f>'1.2 Budgeted Enrollment YR1'!G550+('1.2 Budgeted Enrollment YR1'!G550*$Q$2)</f>
        <v>9.3686730600538315</v>
      </c>
      <c r="H550" s="219">
        <v>0</v>
      </c>
      <c r="I550" s="220">
        <v>0</v>
      </c>
      <c r="J550" s="219">
        <v>0</v>
      </c>
      <c r="K550" s="220">
        <v>0</v>
      </c>
      <c r="L550" s="73"/>
      <c r="M550" s="2"/>
      <c r="N550"/>
      <c r="O550"/>
      <c r="P550"/>
      <c r="Q550"/>
    </row>
    <row r="551" spans="1:17" ht="18" thickTop="1" thickBot="1" x14ac:dyDescent="0.35">
      <c r="A551" s="38" t="str">
        <f>'1.2 Budgeted Enrollment YR1'!A551</f>
        <v>Lander</v>
      </c>
      <c r="B551" s="40">
        <f>'1.2 Budgeted Enrollment YR1'!B551</f>
        <v>8</v>
      </c>
      <c r="C551" s="40">
        <f>'1.2 Budgeted Enrollment YR1'!C551</f>
        <v>8</v>
      </c>
      <c r="D551" s="40" t="str">
        <f>'1.2 Budgeted Enrollment YR1'!D551</f>
        <v>Battle Mountain</v>
      </c>
      <c r="E551" s="38" t="str">
        <f>'1.2 Budgeted Enrollment YR1'!E551</f>
        <v>Battle Mountain Elementary School</v>
      </c>
      <c r="F551" s="590"/>
      <c r="G551" s="220">
        <f>'1.2 Budgeted Enrollment YR1'!G551+('1.2 Budgeted Enrollment YR1'!G551*$Q$2)</f>
        <v>385.59655078937698</v>
      </c>
      <c r="H551" s="219">
        <v>0</v>
      </c>
      <c r="I551" s="220">
        <v>0</v>
      </c>
      <c r="J551" s="219">
        <v>0</v>
      </c>
      <c r="K551" s="220">
        <v>0</v>
      </c>
      <c r="L551" s="73"/>
      <c r="M551" s="2"/>
      <c r="N551"/>
      <c r="O551"/>
      <c r="P551"/>
      <c r="Q551"/>
    </row>
    <row r="552" spans="1:17" ht="18" thickTop="1" thickBot="1" x14ac:dyDescent="0.35">
      <c r="A552" s="38" t="str">
        <f>'1.2 Budgeted Enrollment YR1'!A552</f>
        <v>Lander</v>
      </c>
      <c r="B552" s="40">
        <f>'1.2 Budgeted Enrollment YR1'!B552</f>
        <v>8</v>
      </c>
      <c r="C552" s="40">
        <f>'1.2 Budgeted Enrollment YR1'!C552</f>
        <v>8</v>
      </c>
      <c r="D552" s="40" t="str">
        <f>'1.2 Budgeted Enrollment YR1'!D552</f>
        <v>Battle Mountain</v>
      </c>
      <c r="E552" s="38" t="str">
        <f>'1.2 Budgeted Enrollment YR1'!E552</f>
        <v>Battle Mountain High School</v>
      </c>
      <c r="F552" s="590"/>
      <c r="G552" s="220">
        <f>'1.2 Budgeted Enrollment YR1'!G552+('1.2 Budgeted Enrollment YR1'!G552*$Q$2)</f>
        <v>292.06782391549694</v>
      </c>
      <c r="H552" s="219">
        <v>0</v>
      </c>
      <c r="I552" s="220">
        <v>0</v>
      </c>
      <c r="J552" s="219">
        <v>0</v>
      </c>
      <c r="K552" s="220">
        <v>0</v>
      </c>
      <c r="L552" s="73"/>
      <c r="M552" s="2"/>
      <c r="N552"/>
      <c r="O552"/>
      <c r="P552"/>
      <c r="Q552"/>
    </row>
    <row r="553" spans="1:17" ht="18" thickTop="1" thickBot="1" x14ac:dyDescent="0.35">
      <c r="A553" s="38" t="str">
        <f>'1.2 Budgeted Enrollment YR1'!A553</f>
        <v>Lander</v>
      </c>
      <c r="B553" s="40">
        <f>'1.2 Budgeted Enrollment YR1'!B553</f>
        <v>8</v>
      </c>
      <c r="C553" s="40">
        <f>'1.2 Budgeted Enrollment YR1'!C553</f>
        <v>8</v>
      </c>
      <c r="D553" s="40" t="str">
        <f>'1.2 Budgeted Enrollment YR1'!D553</f>
        <v>Battle Mountain</v>
      </c>
      <c r="E553" s="38" t="str">
        <f>'1.2 Budgeted Enrollment YR1'!E553</f>
        <v>Eleanor Lemaire Junior High School</v>
      </c>
      <c r="F553" s="590"/>
      <c r="G553" s="220">
        <f>'1.2 Budgeted Enrollment YR1'!G553+('1.2 Budgeted Enrollment YR1'!G553*$Q$2)</f>
        <v>316.8424333987096</v>
      </c>
      <c r="H553" s="219">
        <v>0</v>
      </c>
      <c r="I553" s="220">
        <v>0</v>
      </c>
      <c r="J553" s="219">
        <v>0</v>
      </c>
      <c r="K553" s="220">
        <v>0</v>
      </c>
      <c r="L553" s="73"/>
      <c r="M553" s="2"/>
      <c r="N553"/>
      <c r="O553"/>
      <c r="P553"/>
      <c r="Q553"/>
    </row>
    <row r="554" spans="1:17" ht="18" thickTop="1" thickBot="1" x14ac:dyDescent="0.35">
      <c r="A554" s="38" t="str">
        <f>'1.2 Budgeted Enrollment YR1'!A554</f>
        <v>Lincoln</v>
      </c>
      <c r="B554" s="40">
        <f>'1.2 Budgeted Enrollment YR1'!B554</f>
        <v>9</v>
      </c>
      <c r="C554" s="40">
        <f>'1.2 Budgeted Enrollment YR1'!C554</f>
        <v>9</v>
      </c>
      <c r="D554" s="40" t="str">
        <f>'1.2 Budgeted Enrollment YR1'!D554</f>
        <v>Caliente</v>
      </c>
      <c r="E554" s="38" t="str">
        <f>'1.2 Budgeted Enrollment YR1'!E554</f>
        <v>C O Bastian High School</v>
      </c>
      <c r="F554" s="590"/>
      <c r="G554" s="220">
        <f>'1.2 Budgeted Enrollment YR1'!G554+('1.2 Budgeted Enrollment YR1'!G554*$Q$2)</f>
        <v>45.689352569610755</v>
      </c>
      <c r="H554" s="219">
        <v>0</v>
      </c>
      <c r="I554" s="220">
        <v>0</v>
      </c>
      <c r="J554" s="219">
        <v>0</v>
      </c>
      <c r="K554" s="220">
        <v>0</v>
      </c>
      <c r="L554" s="73"/>
      <c r="M554" s="2"/>
      <c r="N554"/>
      <c r="O554"/>
      <c r="P554"/>
      <c r="Q554"/>
    </row>
    <row r="555" spans="1:17" ht="18" thickTop="1" thickBot="1" x14ac:dyDescent="0.35">
      <c r="A555" s="38" t="str">
        <f>'1.2 Budgeted Enrollment YR1'!A555</f>
        <v>Lincoln</v>
      </c>
      <c r="B555" s="40">
        <f>'1.2 Budgeted Enrollment YR1'!B555</f>
        <v>9</v>
      </c>
      <c r="C555" s="40">
        <f>'1.2 Budgeted Enrollment YR1'!C555</f>
        <v>9</v>
      </c>
      <c r="D555" s="40" t="str">
        <f>'1.2 Budgeted Enrollment YR1'!D555</f>
        <v>Caliente</v>
      </c>
      <c r="E555" s="38" t="str">
        <f>'1.2 Budgeted Enrollment YR1'!E555</f>
        <v>Caliente Elementary School</v>
      </c>
      <c r="F555" s="590"/>
      <c r="G555" s="220">
        <f>'1.2 Budgeted Enrollment YR1'!G555+('1.2 Budgeted Enrollment YR1'!G555*$Q$2)</f>
        <v>66.32215721291162</v>
      </c>
      <c r="H555" s="219">
        <v>0</v>
      </c>
      <c r="I555" s="220">
        <v>0</v>
      </c>
      <c r="J555" s="219">
        <v>0</v>
      </c>
      <c r="K555" s="220">
        <v>0</v>
      </c>
      <c r="L555" s="73"/>
      <c r="M555" s="2"/>
      <c r="N555"/>
      <c r="O555"/>
      <c r="P555"/>
      <c r="Q555"/>
    </row>
    <row r="556" spans="1:17" ht="18" thickTop="1" thickBot="1" x14ac:dyDescent="0.35">
      <c r="A556" s="38" t="str">
        <f>'1.2 Budgeted Enrollment YR1'!A556</f>
        <v>Lincoln</v>
      </c>
      <c r="B556" s="40">
        <f>'1.2 Budgeted Enrollment YR1'!B556</f>
        <v>9</v>
      </c>
      <c r="C556" s="40">
        <f>'1.2 Budgeted Enrollment YR1'!C556</f>
        <v>9</v>
      </c>
      <c r="D556" s="40" t="str">
        <f>'1.2 Budgeted Enrollment YR1'!D556</f>
        <v>Panaca</v>
      </c>
      <c r="E556" s="38" t="str">
        <f>'1.2 Budgeted Enrollment YR1'!E556</f>
        <v>Lincoln County High School</v>
      </c>
      <c r="F556" s="590"/>
      <c r="G556" s="220">
        <f>'1.2 Budgeted Enrollment YR1'!G556+('1.2 Budgeted Enrollment YR1'!G556*$Q$2)</f>
        <v>167.01875837772121</v>
      </c>
      <c r="H556" s="219">
        <v>0</v>
      </c>
      <c r="I556" s="220">
        <v>0</v>
      </c>
      <c r="J556" s="219">
        <v>0</v>
      </c>
      <c r="K556" s="220">
        <v>0</v>
      </c>
      <c r="L556" s="73"/>
      <c r="M556" s="2"/>
      <c r="N556"/>
      <c r="O556"/>
      <c r="P556"/>
      <c r="Q556"/>
    </row>
    <row r="557" spans="1:17" ht="18" thickTop="1" thickBot="1" x14ac:dyDescent="0.35">
      <c r="A557" s="38" t="str">
        <f>'1.2 Budgeted Enrollment YR1'!A557</f>
        <v>Lincoln</v>
      </c>
      <c r="B557" s="40">
        <f>'1.2 Budgeted Enrollment YR1'!B557</f>
        <v>9</v>
      </c>
      <c r="C557" s="40">
        <f>'1.2 Budgeted Enrollment YR1'!C557</f>
        <v>9</v>
      </c>
      <c r="D557" s="40" t="str">
        <f>'1.2 Budgeted Enrollment YR1'!D557</f>
        <v>Panaca</v>
      </c>
      <c r="E557" s="38" t="str">
        <f>'1.2 Budgeted Enrollment YR1'!E557</f>
        <v>Meadow Valley Middle School</v>
      </c>
      <c r="F557" s="590"/>
      <c r="G557" s="220">
        <f>'1.2 Budgeted Enrollment YR1'!G557+('1.2 Budgeted Enrollment YR1'!G557*$Q$2)</f>
        <v>77.704207362531761</v>
      </c>
      <c r="H557" s="219">
        <v>0</v>
      </c>
      <c r="I557" s="220">
        <v>0</v>
      </c>
      <c r="J557" s="219">
        <v>0</v>
      </c>
      <c r="K557" s="220">
        <v>0</v>
      </c>
      <c r="L557" s="73"/>
      <c r="M557" s="2"/>
      <c r="N557"/>
      <c r="O557"/>
      <c r="P557"/>
      <c r="Q557"/>
    </row>
    <row r="558" spans="1:17" ht="18" thickTop="1" thickBot="1" x14ac:dyDescent="0.35">
      <c r="A558" s="38" t="str">
        <f>'1.2 Budgeted Enrollment YR1'!A558</f>
        <v>Lincoln</v>
      </c>
      <c r="B558" s="40">
        <f>'1.2 Budgeted Enrollment YR1'!B558</f>
        <v>9</v>
      </c>
      <c r="C558" s="40">
        <f>'1.2 Budgeted Enrollment YR1'!C558</f>
        <v>9</v>
      </c>
      <c r="D558" s="40" t="str">
        <f>'1.2 Budgeted Enrollment YR1'!D558</f>
        <v>Alamo</v>
      </c>
      <c r="E558" s="38" t="str">
        <f>'1.2 Budgeted Enrollment YR1'!E558</f>
        <v>Pahranagat Valley Elementary School</v>
      </c>
      <c r="F558" s="590"/>
      <c r="G558" s="220">
        <f>'1.2 Budgeted Enrollment YR1'!G558+('1.2 Budgeted Enrollment YR1'!G558*$Q$2)</f>
        <v>139.47405709922683</v>
      </c>
      <c r="H558" s="219">
        <v>0</v>
      </c>
      <c r="I558" s="220">
        <v>0</v>
      </c>
      <c r="J558" s="219">
        <v>0</v>
      </c>
      <c r="K558" s="220">
        <v>0</v>
      </c>
      <c r="L558" s="73"/>
      <c r="M558" s="2"/>
      <c r="N558"/>
      <c r="O558"/>
      <c r="P558"/>
      <c r="Q558"/>
    </row>
    <row r="559" spans="1:17" ht="18" thickTop="1" thickBot="1" x14ac:dyDescent="0.35">
      <c r="A559" s="38" t="str">
        <f>'1.2 Budgeted Enrollment YR1'!A559</f>
        <v>Lincoln</v>
      </c>
      <c r="B559" s="40">
        <f>'1.2 Budgeted Enrollment YR1'!B559</f>
        <v>9</v>
      </c>
      <c r="C559" s="40">
        <f>'1.2 Budgeted Enrollment YR1'!C559</f>
        <v>9</v>
      </c>
      <c r="D559" s="40" t="str">
        <f>'1.2 Budgeted Enrollment YR1'!D559</f>
        <v>Alamo</v>
      </c>
      <c r="E559" s="38" t="str">
        <f>'1.2 Budgeted Enrollment YR1'!E559</f>
        <v>Pahranagat Valley High School</v>
      </c>
      <c r="F559" s="590"/>
      <c r="G559" s="220">
        <f>'1.2 Budgeted Enrollment YR1'!G559+('1.2 Budgeted Enrollment YR1'!G559*$Q$2)</f>
        <v>102.10817017375976</v>
      </c>
      <c r="H559" s="219">
        <v>0</v>
      </c>
      <c r="I559" s="220">
        <v>0</v>
      </c>
      <c r="J559" s="219">
        <v>0</v>
      </c>
      <c r="K559" s="220">
        <v>0</v>
      </c>
      <c r="L559" s="73"/>
      <c r="M559" s="2"/>
      <c r="N559"/>
      <c r="O559"/>
      <c r="P559"/>
      <c r="Q559"/>
    </row>
    <row r="560" spans="1:17" ht="18" thickTop="1" thickBot="1" x14ac:dyDescent="0.35">
      <c r="A560" s="38" t="str">
        <f>'1.2 Budgeted Enrollment YR1'!A560</f>
        <v>Lincoln</v>
      </c>
      <c r="B560" s="40">
        <f>'1.2 Budgeted Enrollment YR1'!B560</f>
        <v>9</v>
      </c>
      <c r="C560" s="40">
        <f>'1.2 Budgeted Enrollment YR1'!C560</f>
        <v>9</v>
      </c>
      <c r="D560" s="40" t="str">
        <f>'1.2 Budgeted Enrollment YR1'!D560</f>
        <v>Alamo</v>
      </c>
      <c r="E560" s="38" t="str">
        <f>'1.2 Budgeted Enrollment YR1'!E560</f>
        <v>Pahranagat Valley Middle School</v>
      </c>
      <c r="F560" s="590"/>
      <c r="G560" s="220">
        <f>'1.2 Budgeted Enrollment YR1'!G560+('1.2 Budgeted Enrollment YR1'!G560*$Q$2)</f>
        <v>66.753907820599991</v>
      </c>
      <c r="H560" s="219">
        <v>0</v>
      </c>
      <c r="I560" s="220">
        <v>0</v>
      </c>
      <c r="J560" s="219">
        <v>0</v>
      </c>
      <c r="K560" s="220">
        <v>0</v>
      </c>
      <c r="L560" s="73"/>
      <c r="M560" s="2"/>
      <c r="N560"/>
      <c r="O560"/>
      <c r="P560"/>
      <c r="Q560"/>
    </row>
    <row r="561" spans="1:17" ht="18" thickTop="1" thickBot="1" x14ac:dyDescent="0.35">
      <c r="A561" s="38" t="str">
        <f>'1.2 Budgeted Enrollment YR1'!A561</f>
        <v>Lincoln</v>
      </c>
      <c r="B561" s="40">
        <f>'1.2 Budgeted Enrollment YR1'!B561</f>
        <v>9</v>
      </c>
      <c r="C561" s="40">
        <f>'1.2 Budgeted Enrollment YR1'!C561</f>
        <v>9</v>
      </c>
      <c r="D561" s="40" t="str">
        <f>'1.2 Budgeted Enrollment YR1'!D561</f>
        <v>Panaca</v>
      </c>
      <c r="E561" s="38" t="str">
        <f>'1.2 Budgeted Enrollment YR1'!E561</f>
        <v>Panaca Elementary School</v>
      </c>
      <c r="F561" s="590"/>
      <c r="G561" s="220">
        <f>'1.2 Budgeted Enrollment YR1'!G561+('1.2 Budgeted Enrollment YR1'!G561*$Q$2)</f>
        <v>162.8521362667199</v>
      </c>
      <c r="H561" s="219">
        <v>0</v>
      </c>
      <c r="I561" s="220">
        <v>0</v>
      </c>
      <c r="J561" s="219">
        <v>0</v>
      </c>
      <c r="K561" s="220">
        <v>0</v>
      </c>
      <c r="L561" s="73"/>
      <c r="M561" s="2"/>
      <c r="N561"/>
      <c r="O561"/>
      <c r="P561"/>
      <c r="Q561"/>
    </row>
    <row r="562" spans="1:17" ht="18" thickTop="1" thickBot="1" x14ac:dyDescent="0.35">
      <c r="A562" s="38" t="str">
        <f>'1.2 Budgeted Enrollment YR1'!A562</f>
        <v>Lincoln</v>
      </c>
      <c r="B562" s="40">
        <f>'1.2 Budgeted Enrollment YR1'!B562</f>
        <v>9</v>
      </c>
      <c r="C562" s="40">
        <f>'1.2 Budgeted Enrollment YR1'!C562</f>
        <v>9</v>
      </c>
      <c r="D562" s="40" t="str">
        <f>'1.2 Budgeted Enrollment YR1'!D562</f>
        <v>Pioche</v>
      </c>
      <c r="E562" s="38" t="str">
        <f>'1.2 Budgeted Enrollment YR1'!E562</f>
        <v>Pioche Elementary School</v>
      </c>
      <c r="F562" s="590"/>
      <c r="G562" s="220">
        <f>'1.2 Budgeted Enrollment YR1'!G562+('1.2 Budgeted Enrollment YR1'!G562*$Q$2)</f>
        <v>55.97972257963086</v>
      </c>
      <c r="H562" s="219">
        <v>0</v>
      </c>
      <c r="I562" s="220">
        <v>0</v>
      </c>
      <c r="J562" s="219">
        <v>0</v>
      </c>
      <c r="K562" s="220">
        <v>0</v>
      </c>
      <c r="L562" s="73"/>
      <c r="M562" s="2"/>
      <c r="N562"/>
      <c r="O562"/>
      <c r="P562"/>
      <c r="Q562"/>
    </row>
    <row r="563" spans="1:17" ht="18" thickTop="1" thickBot="1" x14ac:dyDescent="0.35">
      <c r="A563" s="38" t="str">
        <f>'1.2 Budgeted Enrollment YR1'!A563</f>
        <v>Lyon</v>
      </c>
      <c r="B563" s="40">
        <f>'1.2 Budgeted Enrollment YR1'!B563</f>
        <v>10</v>
      </c>
      <c r="C563" s="40">
        <f>'1.2 Budgeted Enrollment YR1'!C563</f>
        <v>10</v>
      </c>
      <c r="D563" s="40" t="str">
        <f>'1.2 Budgeted Enrollment YR1'!D563</f>
        <v>Fernley</v>
      </c>
      <c r="E563" s="38" t="str">
        <f>'1.2 Budgeted Enrollment YR1'!E563</f>
        <v>Cottonwood Elementary School</v>
      </c>
      <c r="F563" s="590"/>
      <c r="G563" s="220">
        <f>'1.2 Budgeted Enrollment YR1'!G563+('1.2 Budgeted Enrollment YR1'!G563*$Q$2)</f>
        <v>588.54082388366976</v>
      </c>
      <c r="H563" s="219">
        <v>0</v>
      </c>
      <c r="I563" s="220">
        <v>0</v>
      </c>
      <c r="J563" s="219">
        <v>0</v>
      </c>
      <c r="K563" s="220">
        <v>0</v>
      </c>
      <c r="L563" s="73"/>
      <c r="M563" s="2"/>
      <c r="N563"/>
      <c r="O563"/>
      <c r="P563"/>
      <c r="Q563"/>
    </row>
    <row r="564" spans="1:17" ht="18" thickTop="1" thickBot="1" x14ac:dyDescent="0.35">
      <c r="A564" s="38" t="str">
        <f>'1.2 Budgeted Enrollment YR1'!A564</f>
        <v>Lyon</v>
      </c>
      <c r="B564" s="40">
        <f>'1.2 Budgeted Enrollment YR1'!B564</f>
        <v>10</v>
      </c>
      <c r="C564" s="40">
        <f>'1.2 Budgeted Enrollment YR1'!C564</f>
        <v>10</v>
      </c>
      <c r="D564" s="40" t="str">
        <f>'1.2 Budgeted Enrollment YR1'!D564</f>
        <v>Dayton</v>
      </c>
      <c r="E564" s="38" t="str">
        <f>'1.2 Budgeted Enrollment YR1'!E564</f>
        <v>Dayton Elementary School</v>
      </c>
      <c r="F564" s="590"/>
      <c r="G564" s="220">
        <f>'1.2 Budgeted Enrollment YR1'!G564+('1.2 Budgeted Enrollment YR1'!G564*$Q$2)</f>
        <v>442.69337682661046</v>
      </c>
      <c r="H564" s="219">
        <v>0</v>
      </c>
      <c r="I564" s="220">
        <v>0</v>
      </c>
      <c r="J564" s="219">
        <v>0</v>
      </c>
      <c r="K564" s="220">
        <v>0</v>
      </c>
      <c r="L564" s="73"/>
      <c r="M564" s="2"/>
      <c r="N564"/>
      <c r="O564"/>
      <c r="P564"/>
      <c r="Q564"/>
    </row>
    <row r="565" spans="1:17" ht="18" thickTop="1" thickBot="1" x14ac:dyDescent="0.35">
      <c r="A565" s="38" t="str">
        <f>'1.2 Budgeted Enrollment YR1'!A565</f>
        <v>Lyon</v>
      </c>
      <c r="B565" s="40">
        <f>'1.2 Budgeted Enrollment YR1'!B565</f>
        <v>10</v>
      </c>
      <c r="C565" s="40">
        <f>'1.2 Budgeted Enrollment YR1'!C565</f>
        <v>10</v>
      </c>
      <c r="D565" s="40" t="str">
        <f>'1.2 Budgeted Enrollment YR1'!D565</f>
        <v>Dayton</v>
      </c>
      <c r="E565" s="38" t="str">
        <f>'1.2 Budgeted Enrollment YR1'!E565</f>
        <v>Dayton High School</v>
      </c>
      <c r="F565" s="590"/>
      <c r="G565" s="220">
        <f>'1.2 Budgeted Enrollment YR1'!G565+('1.2 Budgeted Enrollment YR1'!G565*$Q$2)</f>
        <v>739.44040835465307</v>
      </c>
      <c r="H565" s="219">
        <v>0</v>
      </c>
      <c r="I565" s="220">
        <v>0</v>
      </c>
      <c r="J565" s="219">
        <v>0</v>
      </c>
      <c r="K565" s="220">
        <v>0</v>
      </c>
      <c r="L565" s="73"/>
      <c r="M565" s="2"/>
      <c r="N565"/>
      <c r="O565"/>
      <c r="P565"/>
      <c r="Q565"/>
    </row>
    <row r="566" spans="1:17" ht="18" thickTop="1" thickBot="1" x14ac:dyDescent="0.35">
      <c r="A566" s="38" t="str">
        <f>'1.2 Budgeted Enrollment YR1'!A566</f>
        <v>Lyon</v>
      </c>
      <c r="B566" s="40">
        <f>'1.2 Budgeted Enrollment YR1'!B566</f>
        <v>10</v>
      </c>
      <c r="C566" s="40">
        <f>'1.2 Budgeted Enrollment YR1'!C566</f>
        <v>10</v>
      </c>
      <c r="D566" s="40" t="str">
        <f>'1.2 Budgeted Enrollment YR1'!D566</f>
        <v>Dayton</v>
      </c>
      <c r="E566" s="38" t="str">
        <f>'1.2 Budgeted Enrollment YR1'!E566</f>
        <v>Dayton Intermediate School</v>
      </c>
      <c r="F566" s="590"/>
      <c r="G566" s="220">
        <f>'1.2 Budgeted Enrollment YR1'!G566+('1.2 Budgeted Enrollment YR1'!G566*$Q$2)</f>
        <v>377.11595373847126</v>
      </c>
      <c r="H566" s="219">
        <v>0</v>
      </c>
      <c r="I566" s="220">
        <v>0</v>
      </c>
      <c r="J566" s="219">
        <v>0</v>
      </c>
      <c r="K566" s="220">
        <v>0</v>
      </c>
      <c r="L566" s="73"/>
      <c r="M566" s="2"/>
      <c r="N566"/>
      <c r="O566"/>
      <c r="P566"/>
      <c r="Q566"/>
    </row>
    <row r="567" spans="1:17" ht="18" thickTop="1" thickBot="1" x14ac:dyDescent="0.35">
      <c r="A567" s="38" t="str">
        <f>'1.2 Budgeted Enrollment YR1'!A567</f>
        <v>Lyon</v>
      </c>
      <c r="B567" s="40">
        <f>'1.2 Budgeted Enrollment YR1'!B567</f>
        <v>10</v>
      </c>
      <c r="C567" s="40">
        <f>'1.2 Budgeted Enrollment YR1'!C567</f>
        <v>10</v>
      </c>
      <c r="D567" s="40" t="str">
        <f>'1.2 Budgeted Enrollment YR1'!D567</f>
        <v>Silver Springs</v>
      </c>
      <c r="E567" s="38" t="str">
        <f>'1.2 Budgeted Enrollment YR1'!E567</f>
        <v>Eagle Ridge High School</v>
      </c>
      <c r="F567" s="590"/>
      <c r="G567" s="220">
        <f>'1.2 Budgeted Enrollment YR1'!G567+('1.2 Budgeted Enrollment YR1'!G567*$Q$2)</f>
        <v>8.7451129293567043</v>
      </c>
      <c r="H567" s="219">
        <v>0</v>
      </c>
      <c r="I567" s="220">
        <v>0</v>
      </c>
      <c r="J567" s="219">
        <v>0</v>
      </c>
      <c r="K567" s="220">
        <v>0</v>
      </c>
      <c r="L567" s="73"/>
      <c r="M567" s="2"/>
      <c r="N567"/>
      <c r="O567"/>
      <c r="P567"/>
      <c r="Q567"/>
    </row>
    <row r="568" spans="1:17" ht="18" thickTop="1" thickBot="1" x14ac:dyDescent="0.35">
      <c r="A568" s="38" t="str">
        <f>'1.2 Budgeted Enrollment YR1'!A568</f>
        <v>Lyon</v>
      </c>
      <c r="B568" s="40">
        <f>'1.2 Budgeted Enrollment YR1'!B568</f>
        <v>10</v>
      </c>
      <c r="C568" s="40">
        <f>'1.2 Budgeted Enrollment YR1'!C568</f>
        <v>10</v>
      </c>
      <c r="D568" s="40" t="str">
        <f>'1.2 Budgeted Enrollment YR1'!D568</f>
        <v>Fernley</v>
      </c>
      <c r="E568" s="38" t="str">
        <f>'1.2 Budgeted Enrollment YR1'!E568</f>
        <v>East Valley Elementary School</v>
      </c>
      <c r="F568" s="590"/>
      <c r="G568" s="220">
        <f>'1.2 Budgeted Enrollment YR1'!G568+('1.2 Budgeted Enrollment YR1'!G568*$Q$2)</f>
        <v>548.44377821091837</v>
      </c>
      <c r="H568" s="219">
        <v>0</v>
      </c>
      <c r="I568" s="220">
        <v>0</v>
      </c>
      <c r="J568" s="219">
        <v>0</v>
      </c>
      <c r="K568" s="220">
        <v>0</v>
      </c>
      <c r="L568" s="73"/>
      <c r="M568" s="2"/>
      <c r="N568"/>
      <c r="O568"/>
      <c r="P568"/>
      <c r="Q568"/>
    </row>
    <row r="569" spans="1:17" ht="18" thickTop="1" thickBot="1" x14ac:dyDescent="0.35">
      <c r="A569" s="38" t="str">
        <f>'1.2 Budgeted Enrollment YR1'!A569</f>
        <v>Lyon</v>
      </c>
      <c r="B569" s="40">
        <f>'1.2 Budgeted Enrollment YR1'!B569</f>
        <v>10</v>
      </c>
      <c r="C569" s="40">
        <f>'1.2 Budgeted Enrollment YR1'!C569</f>
        <v>10</v>
      </c>
      <c r="D569" s="40" t="str">
        <f>'1.2 Budgeted Enrollment YR1'!D569</f>
        <v>Fernley</v>
      </c>
      <c r="E569" s="38" t="str">
        <f>'1.2 Budgeted Enrollment YR1'!E569</f>
        <v>Fernley Elementary School</v>
      </c>
      <c r="F569" s="590"/>
      <c r="G569" s="220">
        <f>'1.2 Budgeted Enrollment YR1'!G569+('1.2 Budgeted Enrollment YR1'!G569*$Q$2)</f>
        <v>427.83572500040208</v>
      </c>
      <c r="H569" s="219"/>
      <c r="I569" s="220"/>
      <c r="J569" s="219"/>
      <c r="K569" s="220">
        <v>0</v>
      </c>
      <c r="L569" s="73"/>
      <c r="M569" s="2"/>
      <c r="N569"/>
      <c r="O569"/>
      <c r="P569"/>
      <c r="Q569"/>
    </row>
    <row r="570" spans="1:17" ht="18" thickTop="1" thickBot="1" x14ac:dyDescent="0.35">
      <c r="A570" s="38" t="str">
        <f>'1.2 Budgeted Enrollment YR1'!A570</f>
        <v>Lyon</v>
      </c>
      <c r="B570" s="40">
        <f>'1.2 Budgeted Enrollment YR1'!B570</f>
        <v>10</v>
      </c>
      <c r="C570" s="40">
        <f>'1.2 Budgeted Enrollment YR1'!C570</f>
        <v>10</v>
      </c>
      <c r="D570" s="40" t="str">
        <f>'1.2 Budgeted Enrollment YR1'!D570</f>
        <v>Fernley</v>
      </c>
      <c r="E570" s="38" t="str">
        <f>'1.2 Budgeted Enrollment YR1'!E570</f>
        <v>Fernley High School</v>
      </c>
      <c r="F570" s="590"/>
      <c r="G570" s="220">
        <f>'1.2 Budgeted Enrollment YR1'!G570+('1.2 Budgeted Enrollment YR1'!G570*$Q$2)</f>
        <v>1293.105249037917</v>
      </c>
      <c r="H570" s="219">
        <v>0</v>
      </c>
      <c r="I570" s="220">
        <v>0</v>
      </c>
      <c r="J570" s="219">
        <v>0</v>
      </c>
      <c r="K570" s="220">
        <v>0</v>
      </c>
      <c r="L570" s="73"/>
      <c r="M570" s="2"/>
      <c r="N570"/>
      <c r="O570"/>
      <c r="P570"/>
      <c r="Q570"/>
    </row>
    <row r="571" spans="1:17" ht="18" thickTop="1" thickBot="1" x14ac:dyDescent="0.35">
      <c r="A571" s="38" t="str">
        <f>'1.2 Budgeted Enrollment YR1'!A571</f>
        <v>Lyon</v>
      </c>
      <c r="B571" s="40">
        <f>'1.2 Budgeted Enrollment YR1'!B571</f>
        <v>10</v>
      </c>
      <c r="C571" s="40">
        <f>'1.2 Budgeted Enrollment YR1'!C571</f>
        <v>10</v>
      </c>
      <c r="D571" s="40" t="str">
        <f>'1.2 Budgeted Enrollment YR1'!D571</f>
        <v>Fernley</v>
      </c>
      <c r="E571" s="38" t="str">
        <f>'1.2 Budgeted Enrollment YR1'!E571</f>
        <v>Fernley Intermediate School</v>
      </c>
      <c r="F571" s="590"/>
      <c r="G571" s="220">
        <f>'1.2 Budgeted Enrollment YR1'!G571+('1.2 Budgeted Enrollment YR1'!G571*$Q$2)</f>
        <v>649.26032930765132</v>
      </c>
      <c r="H571" s="219">
        <v>0</v>
      </c>
      <c r="I571" s="220">
        <v>0</v>
      </c>
      <c r="J571" s="219">
        <v>0</v>
      </c>
      <c r="K571" s="220">
        <v>0</v>
      </c>
      <c r="L571" s="73"/>
      <c r="M571" s="2"/>
      <c r="N571"/>
      <c r="O571"/>
      <c r="P571"/>
      <c r="Q571"/>
    </row>
    <row r="572" spans="1:17" ht="18" thickTop="1" thickBot="1" x14ac:dyDescent="0.35">
      <c r="A572" s="38" t="str">
        <f>'1.2 Budgeted Enrollment YR1'!A572</f>
        <v>Lyon</v>
      </c>
      <c r="B572" s="40">
        <f>'1.2 Budgeted Enrollment YR1'!B572</f>
        <v>10</v>
      </c>
      <c r="C572" s="40">
        <f>'1.2 Budgeted Enrollment YR1'!C572</f>
        <v>10</v>
      </c>
      <c r="D572" s="40" t="str">
        <f>'1.2 Budgeted Enrollment YR1'!D572</f>
        <v>Dayton</v>
      </c>
      <c r="E572" s="38" t="str">
        <f>'1.2 Budgeted Enrollment YR1'!E572</f>
        <v>Riverview Elementary School</v>
      </c>
      <c r="F572" s="590"/>
      <c r="G572" s="220">
        <f>'1.2 Budgeted Enrollment YR1'!G572+('1.2 Budgeted Enrollment YR1'!G572*$Q$2)</f>
        <v>415.01922091969595</v>
      </c>
      <c r="H572" s="219">
        <v>0</v>
      </c>
      <c r="I572" s="220">
        <v>0</v>
      </c>
      <c r="J572" s="219">
        <v>0</v>
      </c>
      <c r="K572" s="220">
        <v>0</v>
      </c>
      <c r="L572" s="73"/>
      <c r="M572" s="2"/>
      <c r="N572"/>
      <c r="O572"/>
      <c r="P572"/>
      <c r="Q572"/>
    </row>
    <row r="573" spans="1:17" ht="18" thickTop="1" thickBot="1" x14ac:dyDescent="0.35">
      <c r="A573" s="38" t="str">
        <f>'1.2 Budgeted Enrollment YR1'!A573</f>
        <v>Lyon</v>
      </c>
      <c r="B573" s="40">
        <f>'1.2 Budgeted Enrollment YR1'!B573</f>
        <v>10</v>
      </c>
      <c r="C573" s="40">
        <f>'1.2 Budgeted Enrollment YR1'!C573</f>
        <v>10</v>
      </c>
      <c r="D573" s="40" t="str">
        <f>'1.2 Budgeted Enrollment YR1'!D573</f>
        <v>Silver Springs</v>
      </c>
      <c r="E573" s="38" t="str">
        <f>'1.2 Budgeted Enrollment YR1'!E573</f>
        <v>Silver Stage Elementary School</v>
      </c>
      <c r="F573" s="590"/>
      <c r="G573" s="220">
        <f>'1.2 Budgeted Enrollment YR1'!G573+('1.2 Budgeted Enrollment YR1'!G573*$Q$2)</f>
        <v>364.47516783700098</v>
      </c>
      <c r="H573" s="219">
        <v>0</v>
      </c>
      <c r="I573" s="220">
        <v>0</v>
      </c>
      <c r="J573" s="219">
        <v>0</v>
      </c>
      <c r="K573" s="220">
        <v>0</v>
      </c>
      <c r="L573" s="73"/>
      <c r="M573" s="2"/>
      <c r="N573"/>
      <c r="O573"/>
      <c r="P573"/>
      <c r="Q573"/>
    </row>
    <row r="574" spans="1:17" ht="18" thickTop="1" thickBot="1" x14ac:dyDescent="0.35">
      <c r="A574" s="38" t="str">
        <f>'1.2 Budgeted Enrollment YR1'!A574</f>
        <v>Lyon</v>
      </c>
      <c r="B574" s="40">
        <f>'1.2 Budgeted Enrollment YR1'!B574</f>
        <v>10</v>
      </c>
      <c r="C574" s="40">
        <f>'1.2 Budgeted Enrollment YR1'!C574</f>
        <v>10</v>
      </c>
      <c r="D574" s="40" t="str">
        <f>'1.2 Budgeted Enrollment YR1'!D574</f>
        <v>Silver Springs</v>
      </c>
      <c r="E574" s="38" t="str">
        <f>'1.2 Budgeted Enrollment YR1'!E574</f>
        <v>Silver Stage High School</v>
      </c>
      <c r="F574" s="590"/>
      <c r="G574" s="220">
        <f>'1.2 Budgeted Enrollment YR1'!G574+('1.2 Budgeted Enrollment YR1'!G574*$Q$2)</f>
        <v>332.83027522533393</v>
      </c>
      <c r="H574" s="219">
        <v>0</v>
      </c>
      <c r="I574" s="220">
        <v>0</v>
      </c>
      <c r="J574" s="219">
        <v>0</v>
      </c>
      <c r="K574" s="220">
        <v>0</v>
      </c>
      <c r="L574" s="73"/>
      <c r="M574" s="2"/>
      <c r="N574"/>
      <c r="O574"/>
      <c r="P574"/>
      <c r="Q574"/>
    </row>
    <row r="575" spans="1:17" ht="18" thickTop="1" thickBot="1" x14ac:dyDescent="0.35">
      <c r="A575" s="38" t="str">
        <f>'1.2 Budgeted Enrollment YR1'!A575</f>
        <v>Lyon</v>
      </c>
      <c r="B575" s="40">
        <f>'1.2 Budgeted Enrollment YR1'!B575</f>
        <v>10</v>
      </c>
      <c r="C575" s="40">
        <f>'1.2 Budgeted Enrollment YR1'!C575</f>
        <v>10</v>
      </c>
      <c r="D575" s="40" t="str">
        <f>'1.2 Budgeted Enrollment YR1'!D575</f>
        <v>Silver Springs</v>
      </c>
      <c r="E575" s="38" t="str">
        <f>'1.2 Budgeted Enrollment YR1'!E575</f>
        <v>Silver Stage Middle School</v>
      </c>
      <c r="F575" s="590"/>
      <c r="G575" s="220">
        <f>'1.2 Budgeted Enrollment YR1'!G575+('1.2 Budgeted Enrollment YR1'!G575*$Q$2)</f>
        <v>328.58395216364067</v>
      </c>
      <c r="H575" s="219">
        <v>0</v>
      </c>
      <c r="I575" s="220">
        <v>0</v>
      </c>
      <c r="J575" s="219">
        <v>0</v>
      </c>
      <c r="K575" s="220">
        <v>0</v>
      </c>
      <c r="L575" s="73"/>
      <c r="M575" s="2"/>
      <c r="N575"/>
      <c r="O575"/>
      <c r="P575"/>
      <c r="Q575"/>
    </row>
    <row r="576" spans="1:17" ht="18" thickTop="1" thickBot="1" x14ac:dyDescent="0.35">
      <c r="A576" s="38" t="str">
        <f>'1.2 Budgeted Enrollment YR1'!A576</f>
        <v>Lyon</v>
      </c>
      <c r="B576" s="40">
        <f>'1.2 Budgeted Enrollment YR1'!B576</f>
        <v>10</v>
      </c>
      <c r="C576" s="40">
        <f>'1.2 Budgeted Enrollment YR1'!C576</f>
        <v>10</v>
      </c>
      <c r="D576" s="40" t="str">
        <f>'1.2 Budgeted Enrollment YR1'!D576</f>
        <v>Fernley</v>
      </c>
      <c r="E576" s="38" t="str">
        <f>'1.2 Budgeted Enrollment YR1'!E576</f>
        <v>Silverland Middle School</v>
      </c>
      <c r="F576" s="590"/>
      <c r="G576" s="220">
        <f>'1.2 Budgeted Enrollment YR1'!G576+('1.2 Budgeted Enrollment YR1'!G576*$Q$2)</f>
        <v>642.92649261898021</v>
      </c>
      <c r="H576" s="219">
        <v>0</v>
      </c>
      <c r="I576" s="220">
        <v>0</v>
      </c>
      <c r="J576" s="219">
        <v>0</v>
      </c>
      <c r="K576" s="220">
        <v>0</v>
      </c>
      <c r="L576" s="73"/>
      <c r="M576" s="2"/>
      <c r="N576"/>
      <c r="O576"/>
      <c r="P576"/>
      <c r="Q576"/>
    </row>
    <row r="577" spans="1:17" ht="18" thickTop="1" thickBot="1" x14ac:dyDescent="0.35">
      <c r="A577" s="38" t="str">
        <f>'1.2 Budgeted Enrollment YR1'!A577</f>
        <v>Lyon</v>
      </c>
      <c r="B577" s="40">
        <f>'1.2 Budgeted Enrollment YR1'!B577</f>
        <v>10</v>
      </c>
      <c r="C577" s="40">
        <f>'1.2 Budgeted Enrollment YR1'!C577</f>
        <v>10</v>
      </c>
      <c r="D577" s="40" t="str">
        <f>'1.2 Budgeted Enrollment YR1'!D577</f>
        <v>Smith Valley</v>
      </c>
      <c r="E577" s="38" t="str">
        <f>'1.2 Budgeted Enrollment YR1'!E577</f>
        <v>Smith Valley Schools</v>
      </c>
      <c r="F577" s="590"/>
      <c r="G577" s="220">
        <f>'1.2 Budgeted Enrollment YR1'!G577+('1.2 Budgeted Enrollment YR1'!G577*$Q$2)</f>
        <v>205.2033127404311</v>
      </c>
      <c r="H577" s="219">
        <v>0</v>
      </c>
      <c r="I577" s="220">
        <v>0</v>
      </c>
      <c r="J577" s="219">
        <v>0</v>
      </c>
      <c r="K577" s="220">
        <v>0</v>
      </c>
      <c r="L577" s="73"/>
      <c r="M577" s="2"/>
      <c r="N577"/>
      <c r="O577"/>
      <c r="P577"/>
      <c r="Q577"/>
    </row>
    <row r="578" spans="1:17" ht="18" thickTop="1" thickBot="1" x14ac:dyDescent="0.35">
      <c r="A578" s="38" t="str">
        <f>'1.2 Budgeted Enrollment YR1'!A578</f>
        <v>Lyon</v>
      </c>
      <c r="B578" s="40">
        <f>'1.2 Budgeted Enrollment YR1'!B578</f>
        <v>10</v>
      </c>
      <c r="C578" s="40">
        <f>'1.2 Budgeted Enrollment YR1'!C578</f>
        <v>10</v>
      </c>
      <c r="D578" s="40" t="str">
        <f>'1.2 Budgeted Enrollment YR1'!D578</f>
        <v>Dayton</v>
      </c>
      <c r="E578" s="38" t="str">
        <f>'1.2 Budgeted Enrollment YR1'!E578</f>
        <v>Sutro Elementary School</v>
      </c>
      <c r="F578" s="590"/>
      <c r="G578" s="220">
        <f>'1.2 Budgeted Enrollment YR1'!G578+('1.2 Budgeted Enrollment YR1'!G578*$Q$2)</f>
        <v>396.20427705534797</v>
      </c>
      <c r="H578" s="219">
        <v>0</v>
      </c>
      <c r="I578" s="220">
        <v>0</v>
      </c>
      <c r="J578" s="219">
        <v>0</v>
      </c>
      <c r="K578" s="220">
        <v>0</v>
      </c>
      <c r="L578" s="73"/>
      <c r="M578" s="2"/>
      <c r="N578"/>
      <c r="O578"/>
      <c r="P578"/>
      <c r="Q578"/>
    </row>
    <row r="579" spans="1:17" ht="18" thickTop="1" thickBot="1" x14ac:dyDescent="0.35">
      <c r="A579" s="38" t="str">
        <f>'1.2 Budgeted Enrollment YR1'!A579</f>
        <v>Lyon</v>
      </c>
      <c r="B579" s="40">
        <f>'1.2 Budgeted Enrollment YR1'!B579</f>
        <v>10</v>
      </c>
      <c r="C579" s="40">
        <f>'1.2 Budgeted Enrollment YR1'!C579</f>
        <v>10</v>
      </c>
      <c r="D579" s="40" t="str">
        <f>'1.2 Budgeted Enrollment YR1'!D579</f>
        <v>Yerington</v>
      </c>
      <c r="E579" s="38" t="str">
        <f>'1.2 Budgeted Enrollment YR1'!E579</f>
        <v>Yerington Elementary School</v>
      </c>
      <c r="F579" s="590"/>
      <c r="G579" s="220">
        <f>'1.2 Budgeted Enrollment YR1'!G579+('1.2 Budgeted Enrollment YR1'!G579*$Q$2)</f>
        <v>484.31508674231611</v>
      </c>
      <c r="H579" s="219">
        <v>0</v>
      </c>
      <c r="I579" s="220">
        <v>0</v>
      </c>
      <c r="J579" s="219">
        <v>0</v>
      </c>
      <c r="K579" s="220">
        <v>0</v>
      </c>
      <c r="L579" s="73"/>
      <c r="M579" s="2"/>
      <c r="N579"/>
      <c r="O579"/>
      <c r="P579"/>
      <c r="Q579"/>
    </row>
    <row r="580" spans="1:17" ht="18" thickTop="1" thickBot="1" x14ac:dyDescent="0.35">
      <c r="A580" s="38" t="str">
        <f>'1.2 Budgeted Enrollment YR1'!A580</f>
        <v>Lyon</v>
      </c>
      <c r="B580" s="40">
        <f>'1.2 Budgeted Enrollment YR1'!B580</f>
        <v>10</v>
      </c>
      <c r="C580" s="40">
        <f>'1.2 Budgeted Enrollment YR1'!C580</f>
        <v>10</v>
      </c>
      <c r="D580" s="40" t="str">
        <f>'1.2 Budgeted Enrollment YR1'!D580</f>
        <v>Yerington</v>
      </c>
      <c r="E580" s="38" t="str">
        <f>'1.2 Budgeted Enrollment YR1'!E580</f>
        <v>Yerington High School</v>
      </c>
      <c r="F580" s="590"/>
      <c r="G580" s="220">
        <f>'1.2 Budgeted Enrollment YR1'!G580+('1.2 Budgeted Enrollment YR1'!G580*$Q$2)</f>
        <v>393.98973483312807</v>
      </c>
      <c r="H580" s="219">
        <v>0</v>
      </c>
      <c r="I580" s="220">
        <v>0</v>
      </c>
      <c r="J580" s="219">
        <v>0</v>
      </c>
      <c r="K580" s="220">
        <v>0</v>
      </c>
      <c r="L580" s="73"/>
      <c r="M580" s="2"/>
      <c r="N580"/>
      <c r="O580"/>
      <c r="P580"/>
      <c r="Q580"/>
    </row>
    <row r="581" spans="1:17" ht="18" thickTop="1" thickBot="1" x14ac:dyDescent="0.35">
      <c r="A581" s="38" t="str">
        <f>'1.2 Budgeted Enrollment YR1'!A581</f>
        <v>Lyon</v>
      </c>
      <c r="B581" s="40">
        <f>'1.2 Budgeted Enrollment YR1'!B581</f>
        <v>10</v>
      </c>
      <c r="C581" s="40">
        <f>'1.2 Budgeted Enrollment YR1'!C581</f>
        <v>10</v>
      </c>
      <c r="D581" s="40" t="str">
        <f>'1.2 Budgeted Enrollment YR1'!D581</f>
        <v>Yerington</v>
      </c>
      <c r="E581" s="38" t="str">
        <f>'1.2 Budgeted Enrollment YR1'!E581</f>
        <v>Yerington Intermediate School</v>
      </c>
      <c r="F581" s="590"/>
      <c r="G581" s="220">
        <f>'1.2 Budgeted Enrollment YR1'!G581+('1.2 Budgeted Enrollment YR1'!G581*$Q$2)</f>
        <v>406.34120783425556</v>
      </c>
      <c r="H581" s="219">
        <v>0</v>
      </c>
      <c r="I581" s="220">
        <v>0</v>
      </c>
      <c r="J581" s="219">
        <v>0</v>
      </c>
      <c r="K581" s="220">
        <v>0</v>
      </c>
      <c r="L581" s="73"/>
      <c r="M581" s="2"/>
      <c r="N581"/>
      <c r="O581"/>
      <c r="P581"/>
      <c r="Q581"/>
    </row>
    <row r="582" spans="1:17" ht="18" thickTop="1" thickBot="1" x14ac:dyDescent="0.35">
      <c r="A582" s="38" t="str">
        <f>'1.2 Budgeted Enrollment YR1'!A582</f>
        <v>Mineral</v>
      </c>
      <c r="B582" s="40">
        <f>'1.2 Budgeted Enrollment YR1'!B582</f>
        <v>11</v>
      </c>
      <c r="C582" s="40">
        <f>'1.2 Budgeted Enrollment YR1'!C582</f>
        <v>11</v>
      </c>
      <c r="D582" s="40" t="str">
        <f>'1.2 Budgeted Enrollment YR1'!D582</f>
        <v>Hawthorne</v>
      </c>
      <c r="E582" s="38" t="str">
        <f>'1.2 Budgeted Enrollment YR1'!E582</f>
        <v>Hawthorne Elementary</v>
      </c>
      <c r="F582" s="590"/>
      <c r="G582" s="220">
        <f>'1.2 Budgeted Enrollment YR1'!G582+('1.2 Budgeted Enrollment YR1'!G582*$Q$2)</f>
        <v>279.39195157268819</v>
      </c>
      <c r="H582" s="219">
        <v>0</v>
      </c>
      <c r="I582" s="220">
        <v>0</v>
      </c>
      <c r="J582" s="219">
        <v>0</v>
      </c>
      <c r="K582" s="220">
        <v>0</v>
      </c>
      <c r="L582" s="73"/>
      <c r="M582" s="2"/>
      <c r="N582"/>
      <c r="O582"/>
      <c r="P582"/>
      <c r="Q582"/>
    </row>
    <row r="583" spans="1:17" ht="18" thickTop="1" thickBot="1" x14ac:dyDescent="0.35">
      <c r="A583" s="38" t="str">
        <f>'1.2 Budgeted Enrollment YR1'!A583</f>
        <v>Mineral</v>
      </c>
      <c r="B583" s="40">
        <f>'1.2 Budgeted Enrollment YR1'!B583</f>
        <v>11</v>
      </c>
      <c r="C583" s="40">
        <f>'1.2 Budgeted Enrollment YR1'!C583</f>
        <v>11</v>
      </c>
      <c r="D583" s="40" t="str">
        <f>'1.2 Budgeted Enrollment YR1'!D583</f>
        <v>Hawthorne</v>
      </c>
      <c r="E583" s="38" t="str">
        <f>'1.2 Budgeted Enrollment YR1'!E583</f>
        <v>Hawthorne Junior High</v>
      </c>
      <c r="F583" s="590"/>
      <c r="G583" s="220">
        <f>'1.2 Budgeted Enrollment YR1'!G583+('1.2 Budgeted Enrollment YR1'!G583*$Q$2)</f>
        <v>77.485927832438136</v>
      </c>
      <c r="H583" s="219">
        <v>0</v>
      </c>
      <c r="I583" s="220">
        <v>0</v>
      </c>
      <c r="J583" s="219">
        <v>0</v>
      </c>
      <c r="K583" s="220">
        <v>0</v>
      </c>
      <c r="L583" s="73"/>
      <c r="M583" s="2"/>
      <c r="N583"/>
      <c r="O583"/>
      <c r="P583"/>
      <c r="Q583"/>
    </row>
    <row r="584" spans="1:17" ht="18" thickTop="1" thickBot="1" x14ac:dyDescent="0.35">
      <c r="A584" s="38" t="str">
        <f>'1.2 Budgeted Enrollment YR1'!A584</f>
        <v>Mineral</v>
      </c>
      <c r="B584" s="40">
        <f>'1.2 Budgeted Enrollment YR1'!B584</f>
        <v>11</v>
      </c>
      <c r="C584" s="40">
        <f>'1.2 Budgeted Enrollment YR1'!C584</f>
        <v>11</v>
      </c>
      <c r="D584" s="40" t="str">
        <f>'1.2 Budgeted Enrollment YR1'!D584</f>
        <v>Hawthorne</v>
      </c>
      <c r="E584" s="38" t="str">
        <f>'1.2 Budgeted Enrollment YR1'!E584</f>
        <v>Mineral County High School</v>
      </c>
      <c r="F584" s="590"/>
      <c r="G584" s="220">
        <f>'1.2 Budgeted Enrollment YR1'!G584+('1.2 Budgeted Enrollment YR1'!G584*$Q$2)</f>
        <v>141.80884351470104</v>
      </c>
      <c r="H584" s="219">
        <v>0</v>
      </c>
      <c r="I584" s="220">
        <v>0</v>
      </c>
      <c r="J584" s="219">
        <v>0</v>
      </c>
      <c r="K584" s="220">
        <v>0</v>
      </c>
      <c r="L584" s="73"/>
      <c r="M584" s="2"/>
      <c r="N584"/>
      <c r="O584"/>
      <c r="P584"/>
      <c r="Q584"/>
    </row>
    <row r="585" spans="1:17" ht="18" thickTop="1" thickBot="1" x14ac:dyDescent="0.35">
      <c r="A585" s="38" t="str">
        <f>'1.2 Budgeted Enrollment YR1'!A585</f>
        <v>Mineral</v>
      </c>
      <c r="B585" s="40">
        <f>'1.2 Budgeted Enrollment YR1'!B585</f>
        <v>11</v>
      </c>
      <c r="C585" s="40">
        <f>'1.2 Budgeted Enrollment YR1'!C585</f>
        <v>11</v>
      </c>
      <c r="D585" s="40" t="str">
        <f>'1.2 Budgeted Enrollment YR1'!D585</f>
        <v>Schurz</v>
      </c>
      <c r="E585" s="38" t="str">
        <f>'1.2 Budgeted Enrollment YR1'!E585</f>
        <v>Schurz Elementary</v>
      </c>
      <c r="F585" s="590"/>
      <c r="G585" s="220">
        <f>'1.2 Budgeted Enrollment YR1'!G585+('1.2 Budgeted Enrollment YR1'!G585*$Q$2)</f>
        <v>69.313982454972361</v>
      </c>
      <c r="H585" s="219">
        <v>0</v>
      </c>
      <c r="I585" s="220">
        <v>0</v>
      </c>
      <c r="J585" s="219">
        <v>0</v>
      </c>
      <c r="K585" s="220">
        <v>0</v>
      </c>
      <c r="L585" s="73"/>
      <c r="M585" s="2"/>
      <c r="N585"/>
      <c r="O585"/>
      <c r="P585"/>
      <c r="Q585"/>
    </row>
    <row r="586" spans="1:17" ht="18" thickTop="1" thickBot="1" x14ac:dyDescent="0.35">
      <c r="A586" s="38" t="str">
        <f>'1.2 Budgeted Enrollment YR1'!A586</f>
        <v>Nye</v>
      </c>
      <c r="B586" s="40">
        <f>'1.2 Budgeted Enrollment YR1'!B586</f>
        <v>12</v>
      </c>
      <c r="C586" s="40">
        <f>'1.2 Budgeted Enrollment YR1'!C586</f>
        <v>12</v>
      </c>
      <c r="D586" s="40" t="str">
        <f>'1.2 Budgeted Enrollment YR1'!D586</f>
        <v>Amargosa Valley</v>
      </c>
      <c r="E586" s="38" t="str">
        <f>'1.2 Budgeted Enrollment YR1'!E586</f>
        <v>Amargosa Valley Elementary School</v>
      </c>
      <c r="F586" s="590"/>
      <c r="G586" s="220">
        <f>'1.2 Budgeted Enrollment YR1'!G586+('1.2 Budgeted Enrollment YR1'!G586*$Q$2)</f>
        <v>94.462347621152063</v>
      </c>
      <c r="H586" s="219">
        <v>0</v>
      </c>
      <c r="I586" s="220">
        <v>0</v>
      </c>
      <c r="J586" s="219">
        <v>0</v>
      </c>
      <c r="K586" s="220">
        <v>0</v>
      </c>
      <c r="L586" s="73"/>
      <c r="M586" s="2"/>
      <c r="N586"/>
      <c r="O586"/>
      <c r="P586"/>
      <c r="Q586"/>
    </row>
    <row r="587" spans="1:17" ht="18" thickTop="1" thickBot="1" x14ac:dyDescent="0.35">
      <c r="A587" s="38" t="str">
        <f>'1.2 Budgeted Enrollment YR1'!A587</f>
        <v>Nye</v>
      </c>
      <c r="B587" s="40">
        <f>'1.2 Budgeted Enrollment YR1'!B587</f>
        <v>12</v>
      </c>
      <c r="C587" s="40">
        <f>'1.2 Budgeted Enrollment YR1'!C587</f>
        <v>12</v>
      </c>
      <c r="D587" s="40" t="str">
        <f>'1.2 Budgeted Enrollment YR1'!D587</f>
        <v>Amargosa Valley</v>
      </c>
      <c r="E587" s="38" t="str">
        <f>'1.2 Budgeted Enrollment YR1'!E587</f>
        <v>Amargosa Valley Middle School</v>
      </c>
      <c r="F587" s="590"/>
      <c r="G587" s="220">
        <f>'1.2 Budgeted Enrollment YR1'!G587+('1.2 Budgeted Enrollment YR1'!G587*$Q$2)</f>
        <v>55.795432022151324</v>
      </c>
      <c r="H587" s="219">
        <v>0</v>
      </c>
      <c r="I587" s="220">
        <v>0</v>
      </c>
      <c r="J587" s="219">
        <v>0</v>
      </c>
      <c r="K587" s="220">
        <v>0</v>
      </c>
      <c r="L587" s="73"/>
      <c r="M587" s="2"/>
      <c r="N587"/>
      <c r="O587"/>
      <c r="P587"/>
      <c r="Q587"/>
    </row>
    <row r="588" spans="1:17" ht="18" thickTop="1" thickBot="1" x14ac:dyDescent="0.35">
      <c r="A588" s="38" t="str">
        <f>'1.2 Budgeted Enrollment YR1'!A588</f>
        <v>Nye</v>
      </c>
      <c r="B588" s="40">
        <f>'1.2 Budgeted Enrollment YR1'!B588</f>
        <v>12</v>
      </c>
      <c r="C588" s="40">
        <f>'1.2 Budgeted Enrollment YR1'!C588</f>
        <v>12</v>
      </c>
      <c r="D588" s="40" t="str">
        <f>'1.2 Budgeted Enrollment YR1'!D588</f>
        <v>Beatty</v>
      </c>
      <c r="E588" s="38" t="str">
        <f>'1.2 Budgeted Enrollment YR1'!E588</f>
        <v>Beatty Elementary School</v>
      </c>
      <c r="F588" s="590"/>
      <c r="G588" s="220">
        <f>'1.2 Budgeted Enrollment YR1'!G588+('1.2 Budgeted Enrollment YR1'!G588*$Q$2)</f>
        <v>64.507951622850484</v>
      </c>
      <c r="H588" s="219">
        <v>0</v>
      </c>
      <c r="I588" s="220">
        <v>0</v>
      </c>
      <c r="J588" s="219">
        <v>0</v>
      </c>
      <c r="K588" s="220">
        <v>0</v>
      </c>
      <c r="L588" s="73"/>
      <c r="M588" s="2"/>
      <c r="N588"/>
      <c r="O588"/>
      <c r="P588"/>
      <c r="Q588"/>
    </row>
    <row r="589" spans="1:17" ht="18" thickTop="1" thickBot="1" x14ac:dyDescent="0.35">
      <c r="A589" s="38" t="str">
        <f>'1.2 Budgeted Enrollment YR1'!A589</f>
        <v>Nye</v>
      </c>
      <c r="B589" s="40">
        <f>'1.2 Budgeted Enrollment YR1'!B589</f>
        <v>12</v>
      </c>
      <c r="C589" s="40">
        <f>'1.2 Budgeted Enrollment YR1'!C589</f>
        <v>12</v>
      </c>
      <c r="D589" s="40" t="str">
        <f>'1.2 Budgeted Enrollment YR1'!D589</f>
        <v>Beatty</v>
      </c>
      <c r="E589" s="38" t="str">
        <f>'1.2 Budgeted Enrollment YR1'!E589</f>
        <v>Beatty High School</v>
      </c>
      <c r="F589" s="590"/>
      <c r="G589" s="220">
        <f>'1.2 Budgeted Enrollment YR1'!G589+('1.2 Budgeted Enrollment YR1'!G589*$Q$2)</f>
        <v>107.48918085924585</v>
      </c>
      <c r="H589" s="219">
        <v>0</v>
      </c>
      <c r="I589" s="220">
        <v>0</v>
      </c>
      <c r="J589" s="219">
        <v>0</v>
      </c>
      <c r="K589" s="220">
        <v>0</v>
      </c>
      <c r="L589" s="73"/>
      <c r="M589" s="2"/>
      <c r="N589"/>
      <c r="O589"/>
      <c r="P589"/>
      <c r="Q589"/>
    </row>
    <row r="590" spans="1:17" ht="18" thickTop="1" thickBot="1" x14ac:dyDescent="0.35">
      <c r="A590" s="38" t="str">
        <f>'1.2 Budgeted Enrollment YR1'!A590</f>
        <v>Nye</v>
      </c>
      <c r="B590" s="40">
        <f>'1.2 Budgeted Enrollment YR1'!B590</f>
        <v>12</v>
      </c>
      <c r="C590" s="40">
        <f>'1.2 Budgeted Enrollment YR1'!C590</f>
        <v>12</v>
      </c>
      <c r="D590" s="40" t="str">
        <f>'1.2 Budgeted Enrollment YR1'!D590</f>
        <v>Beatty</v>
      </c>
      <c r="E590" s="38" t="str">
        <f>'1.2 Budgeted Enrollment YR1'!E590</f>
        <v>Beatty Middle School</v>
      </c>
      <c r="F590" s="590"/>
      <c r="G590" s="220">
        <f>'1.2 Budgeted Enrollment YR1'!G590+('1.2 Budgeted Enrollment YR1'!G590*$Q$2)</f>
        <v>26.420716275954</v>
      </c>
      <c r="H590" s="219">
        <v>0</v>
      </c>
      <c r="I590" s="220">
        <v>0</v>
      </c>
      <c r="J590" s="219">
        <v>0</v>
      </c>
      <c r="K590" s="220">
        <v>0</v>
      </c>
      <c r="L590" s="73"/>
      <c r="M590" s="2"/>
      <c r="N590"/>
      <c r="O590"/>
      <c r="P590"/>
      <c r="Q590"/>
    </row>
    <row r="591" spans="1:17" ht="18" thickTop="1" thickBot="1" x14ac:dyDescent="0.35">
      <c r="A591" s="38" t="str">
        <f>'1.2 Budgeted Enrollment YR1'!A591</f>
        <v>Nye</v>
      </c>
      <c r="B591" s="40">
        <f>'1.2 Budgeted Enrollment YR1'!B591</f>
        <v>12</v>
      </c>
      <c r="C591" s="40">
        <f>'1.2 Budgeted Enrollment YR1'!C591</f>
        <v>12</v>
      </c>
      <c r="D591" s="40" t="str">
        <f>'1.2 Budgeted Enrollment YR1'!D591</f>
        <v>Duckwater</v>
      </c>
      <c r="E591" s="38" t="str">
        <f>'1.2 Budgeted Enrollment YR1'!E591</f>
        <v>Duckwater Elementary School</v>
      </c>
      <c r="F591" s="590"/>
      <c r="G591" s="220">
        <f>'1.2 Budgeted Enrollment YR1'!G591+('1.2 Budgeted Enrollment YR1'!G591*$Q$2)</f>
        <v>3.0054769494750002</v>
      </c>
      <c r="H591" s="219">
        <v>0</v>
      </c>
      <c r="I591" s="220">
        <v>0</v>
      </c>
      <c r="J591" s="219">
        <v>0</v>
      </c>
      <c r="K591" s="220">
        <v>0</v>
      </c>
      <c r="L591" s="73"/>
      <c r="M591" s="2"/>
      <c r="N591"/>
      <c r="O591"/>
      <c r="P591"/>
      <c r="Q591"/>
    </row>
    <row r="592" spans="1:17" ht="18" thickTop="1" thickBot="1" x14ac:dyDescent="0.35">
      <c r="A592" s="38" t="str">
        <f>'1.2 Budgeted Enrollment YR1'!A592</f>
        <v>Nye</v>
      </c>
      <c r="B592" s="40">
        <f>'1.2 Budgeted Enrollment YR1'!B592</f>
        <v>12</v>
      </c>
      <c r="C592" s="40">
        <f>'1.2 Budgeted Enrollment YR1'!C592</f>
        <v>12</v>
      </c>
      <c r="D592" s="40" t="str">
        <f>'1.2 Budgeted Enrollment YR1'!D592</f>
        <v>Duckwater</v>
      </c>
      <c r="E592" s="38" t="str">
        <f>'1.2 Budgeted Enrollment YR1'!E592</f>
        <v>Duckwater Middle School</v>
      </c>
      <c r="F592" s="590"/>
      <c r="G592" s="220">
        <f>'1.2 Budgeted Enrollment YR1'!G592+('1.2 Budgeted Enrollment YR1'!G592*$Q$2)</f>
        <v>2.00365129965</v>
      </c>
      <c r="H592" s="219">
        <v>0</v>
      </c>
      <c r="I592" s="220">
        <v>0</v>
      </c>
      <c r="J592" s="219">
        <v>0</v>
      </c>
      <c r="K592" s="220">
        <v>0</v>
      </c>
      <c r="L592" s="73"/>
      <c r="M592" s="2"/>
      <c r="N592"/>
      <c r="O592"/>
      <c r="P592"/>
      <c r="Q592"/>
    </row>
    <row r="593" spans="1:17" ht="18" thickTop="1" thickBot="1" x14ac:dyDescent="0.35">
      <c r="A593" s="38" t="str">
        <f>'1.2 Budgeted Enrollment YR1'!A593</f>
        <v>Nye</v>
      </c>
      <c r="B593" s="40">
        <f>'1.2 Budgeted Enrollment YR1'!B593</f>
        <v>12</v>
      </c>
      <c r="C593" s="40">
        <f>'1.2 Budgeted Enrollment YR1'!C593</f>
        <v>12</v>
      </c>
      <c r="D593" s="40" t="str">
        <f>'1.2 Budgeted Enrollment YR1'!D593</f>
        <v>Pahrump</v>
      </c>
      <c r="E593" s="38" t="str">
        <f>'1.2 Budgeted Enrollment YR1'!E593</f>
        <v>Floyd Elementary School</v>
      </c>
      <c r="F593" s="590"/>
      <c r="G593" s="220">
        <f>'1.2 Budgeted Enrollment YR1'!G593+('1.2 Budgeted Enrollment YR1'!G593*$Q$2)</f>
        <v>547.06578976937556</v>
      </c>
      <c r="H593" s="219">
        <v>0</v>
      </c>
      <c r="I593" s="220">
        <v>0</v>
      </c>
      <c r="J593" s="219">
        <v>0</v>
      </c>
      <c r="K593" s="220">
        <v>0</v>
      </c>
      <c r="L593" s="73"/>
      <c r="M593" s="2"/>
      <c r="N593"/>
      <c r="O593"/>
      <c r="P593"/>
      <c r="Q593"/>
    </row>
    <row r="594" spans="1:17" ht="18" thickTop="1" thickBot="1" x14ac:dyDescent="0.35">
      <c r="A594" s="38" t="str">
        <f>'1.2 Budgeted Enrollment YR1'!A594</f>
        <v>Nye</v>
      </c>
      <c r="B594" s="40">
        <f>'1.2 Budgeted Enrollment YR1'!B594</f>
        <v>12</v>
      </c>
      <c r="C594" s="40">
        <f>'1.2 Budgeted Enrollment YR1'!C594</f>
        <v>12</v>
      </c>
      <c r="D594" s="40" t="str">
        <f>'1.2 Budgeted Enrollment YR1'!D594</f>
        <v>Gabbs</v>
      </c>
      <c r="E594" s="38" t="str">
        <f>'1.2 Budgeted Enrollment YR1'!E594</f>
        <v>Gabbs Elementary School</v>
      </c>
      <c r="F594" s="590"/>
      <c r="G594" s="220">
        <f>'1.2 Budgeted Enrollment YR1'!G594+('1.2 Budgeted Enrollment YR1'!G594*$Q$2)</f>
        <v>14.645714192652445</v>
      </c>
      <c r="H594" s="219">
        <v>0</v>
      </c>
      <c r="I594" s="220">
        <v>0</v>
      </c>
      <c r="J594" s="219">
        <v>0</v>
      </c>
      <c r="K594" s="220">
        <v>0</v>
      </c>
      <c r="L594" s="73"/>
      <c r="M594" s="2"/>
      <c r="N594"/>
      <c r="O594"/>
      <c r="P594"/>
      <c r="Q594"/>
    </row>
    <row r="595" spans="1:17" ht="18" thickTop="1" thickBot="1" x14ac:dyDescent="0.35">
      <c r="A595" s="38" t="str">
        <f>'1.2 Budgeted Enrollment YR1'!A595</f>
        <v>Nye</v>
      </c>
      <c r="B595" s="40">
        <f>'1.2 Budgeted Enrollment YR1'!B595</f>
        <v>12</v>
      </c>
      <c r="C595" s="40">
        <f>'1.2 Budgeted Enrollment YR1'!C595</f>
        <v>12</v>
      </c>
      <c r="D595" s="40" t="str">
        <f>'1.2 Budgeted Enrollment YR1'!D595</f>
        <v>Gabbs</v>
      </c>
      <c r="E595" s="38" t="str">
        <f>'1.2 Budgeted Enrollment YR1'!E595</f>
        <v>Gabbs High School</v>
      </c>
      <c r="F595" s="590"/>
      <c r="G595" s="220">
        <f>'1.2 Budgeted Enrollment YR1'!G595+('1.2 Budgeted Enrollment YR1'!G595*$Q$2)</f>
        <v>6.0518377584056644</v>
      </c>
      <c r="H595" s="219">
        <v>0</v>
      </c>
      <c r="I595" s="220">
        <v>0</v>
      </c>
      <c r="J595" s="219">
        <v>0</v>
      </c>
      <c r="K595" s="220">
        <v>0</v>
      </c>
      <c r="L595" s="73"/>
      <c r="M595" s="2"/>
      <c r="N595"/>
      <c r="O595"/>
      <c r="P595"/>
      <c r="Q595"/>
    </row>
    <row r="596" spans="1:17" ht="18" thickTop="1" thickBot="1" x14ac:dyDescent="0.35">
      <c r="A596" s="38" t="str">
        <f>'1.2 Budgeted Enrollment YR1'!A596</f>
        <v>Nye</v>
      </c>
      <c r="B596" s="40">
        <f>'1.2 Budgeted Enrollment YR1'!B596</f>
        <v>12</v>
      </c>
      <c r="C596" s="40">
        <f>'1.2 Budgeted Enrollment YR1'!C596</f>
        <v>12</v>
      </c>
      <c r="D596" s="40" t="str">
        <f>'1.2 Budgeted Enrollment YR1'!D596</f>
        <v>Gabbs</v>
      </c>
      <c r="E596" s="38" t="str">
        <f>'1.2 Budgeted Enrollment YR1'!E596</f>
        <v>Gabbs Middle School</v>
      </c>
      <c r="F596" s="590"/>
      <c r="G596" s="220">
        <f>'1.2 Budgeted Enrollment YR1'!G596+('1.2 Budgeted Enrollment YR1'!G596*$Q$2)</f>
        <v>10.059140357705664</v>
      </c>
      <c r="H596" s="219">
        <v>0</v>
      </c>
      <c r="I596" s="220">
        <v>0</v>
      </c>
      <c r="J596" s="219">
        <v>0</v>
      </c>
      <c r="K596" s="220">
        <v>0</v>
      </c>
      <c r="L596" s="73"/>
      <c r="M596" s="2"/>
      <c r="N596"/>
      <c r="O596"/>
      <c r="P596"/>
      <c r="Q596"/>
    </row>
    <row r="597" spans="1:17" ht="18" thickTop="1" thickBot="1" x14ac:dyDescent="0.35">
      <c r="A597" s="38" t="str">
        <f>'1.2 Budgeted Enrollment YR1'!A597</f>
        <v>Nye</v>
      </c>
      <c r="B597" s="40">
        <f>'1.2 Budgeted Enrollment YR1'!B597</f>
        <v>12</v>
      </c>
      <c r="C597" s="40">
        <f>'1.2 Budgeted Enrollment YR1'!C597</f>
        <v>12</v>
      </c>
      <c r="D597" s="40" t="str">
        <f>'1.2 Budgeted Enrollment YR1'!D597</f>
        <v>Pahrump</v>
      </c>
      <c r="E597" s="38" t="str">
        <f>'1.2 Budgeted Enrollment YR1'!E597</f>
        <v>Hafen Elementary School</v>
      </c>
      <c r="F597" s="590"/>
      <c r="G597" s="220">
        <f>'1.2 Budgeted Enrollment YR1'!G597+('1.2 Budgeted Enrollment YR1'!G597*$Q$2)</f>
        <v>440.96751330496284</v>
      </c>
      <c r="H597" s="219">
        <v>0</v>
      </c>
      <c r="I597" s="220">
        <v>0</v>
      </c>
      <c r="J597" s="219">
        <v>0</v>
      </c>
      <c r="K597" s="220">
        <v>0</v>
      </c>
      <c r="L597" s="73"/>
      <c r="M597" s="2"/>
      <c r="N597"/>
      <c r="O597"/>
      <c r="P597"/>
      <c r="Q597"/>
    </row>
    <row r="598" spans="1:17" ht="18" thickTop="1" thickBot="1" x14ac:dyDescent="0.35">
      <c r="A598" s="38" t="str">
        <f>'1.2 Budgeted Enrollment YR1'!A598</f>
        <v>Nye</v>
      </c>
      <c r="B598" s="40">
        <f>'1.2 Budgeted Enrollment YR1'!B598</f>
        <v>12</v>
      </c>
      <c r="C598" s="40">
        <f>'1.2 Budgeted Enrollment YR1'!C598</f>
        <v>12</v>
      </c>
      <c r="D598" s="40" t="str">
        <f>'1.2 Budgeted Enrollment YR1'!D598</f>
        <v>Pahrump</v>
      </c>
      <c r="E598" s="38" t="str">
        <f>'1.2 Budgeted Enrollment YR1'!E598</f>
        <v>J G Johnson Elementary School</v>
      </c>
      <c r="F598" s="590"/>
      <c r="G598" s="220">
        <f>'1.2 Budgeted Enrollment YR1'!G598+('1.2 Budgeted Enrollment YR1'!G598*$Q$2)</f>
        <v>512.83837137324974</v>
      </c>
      <c r="H598" s="219">
        <v>0</v>
      </c>
      <c r="I598" s="220">
        <v>0</v>
      </c>
      <c r="J598" s="219">
        <v>0</v>
      </c>
      <c r="K598" s="220">
        <v>0</v>
      </c>
      <c r="L598" s="73"/>
      <c r="M598" s="2"/>
      <c r="N598"/>
      <c r="O598"/>
      <c r="P598"/>
      <c r="Q598"/>
    </row>
    <row r="599" spans="1:17" ht="18" thickTop="1" thickBot="1" x14ac:dyDescent="0.35">
      <c r="A599" s="38" t="str">
        <f>'1.2 Budgeted Enrollment YR1'!A599</f>
        <v>Nye</v>
      </c>
      <c r="B599" s="40">
        <f>'1.2 Budgeted Enrollment YR1'!B599</f>
        <v>12</v>
      </c>
      <c r="C599" s="40">
        <f>'1.2 Budgeted Enrollment YR1'!C599</f>
        <v>12</v>
      </c>
      <c r="D599" s="40" t="str">
        <f>'1.2 Budgeted Enrollment YR1'!D599</f>
        <v>Pahrump</v>
      </c>
      <c r="E599" s="38" t="str">
        <f>'1.2 Budgeted Enrollment YR1'!E599</f>
        <v>Manse Elementary School</v>
      </c>
      <c r="F599" s="590"/>
      <c r="G599" s="220">
        <f>'1.2 Budgeted Enrollment YR1'!G599+('1.2 Budgeted Enrollment YR1'!G599*$Q$2)</f>
        <v>521.2039205538839</v>
      </c>
      <c r="H599" s="219">
        <v>0</v>
      </c>
      <c r="I599" s="220">
        <v>0</v>
      </c>
      <c r="J599" s="219">
        <v>0</v>
      </c>
      <c r="K599" s="220">
        <v>0</v>
      </c>
      <c r="L599" s="73"/>
      <c r="M599" s="2"/>
      <c r="N599"/>
      <c r="O599"/>
      <c r="P599"/>
      <c r="Q599"/>
    </row>
    <row r="600" spans="1:17" ht="18" thickTop="1" thickBot="1" x14ac:dyDescent="0.35">
      <c r="A600" s="38" t="str">
        <f>'1.2 Budgeted Enrollment YR1'!A600</f>
        <v>Nye</v>
      </c>
      <c r="B600" s="40">
        <f>'1.2 Budgeted Enrollment YR1'!B600</f>
        <v>12</v>
      </c>
      <c r="C600" s="40">
        <f>'1.2 Budgeted Enrollment YR1'!C600</f>
        <v>12</v>
      </c>
      <c r="D600" s="40" t="str">
        <f>'1.2 Budgeted Enrollment YR1'!D600</f>
        <v>Pahrump</v>
      </c>
      <c r="E600" s="38" t="str">
        <f>'1.2 Budgeted Enrollment YR1'!E600</f>
        <v>Mt Charleston Elementary School</v>
      </c>
      <c r="F600" s="590"/>
      <c r="G600" s="220">
        <f>'1.2 Budgeted Enrollment YR1'!G600+('1.2 Budgeted Enrollment YR1'!G600*$Q$2)</f>
        <v>33.186927290656421</v>
      </c>
      <c r="H600" s="219">
        <v>0</v>
      </c>
      <c r="I600" s="220">
        <v>0</v>
      </c>
      <c r="J600" s="219">
        <v>0</v>
      </c>
      <c r="K600" s="220">
        <v>0</v>
      </c>
      <c r="L600" s="73"/>
      <c r="M600" s="2"/>
      <c r="N600"/>
      <c r="O600"/>
      <c r="P600"/>
      <c r="Q600"/>
    </row>
    <row r="601" spans="1:17" ht="18" thickTop="1" thickBot="1" x14ac:dyDescent="0.35">
      <c r="A601" s="38" t="str">
        <f>'1.2 Budgeted Enrollment YR1'!A601</f>
        <v>Nye</v>
      </c>
      <c r="B601" s="40">
        <f>'1.2 Budgeted Enrollment YR1'!B601</f>
        <v>12</v>
      </c>
      <c r="C601" s="40">
        <f>'1.2 Budgeted Enrollment YR1'!C601</f>
        <v>12</v>
      </c>
      <c r="D601" s="40" t="str">
        <f>'1.2 Budgeted Enrollment YR1'!D601</f>
        <v>Pahrump</v>
      </c>
      <c r="E601" s="38" t="str">
        <f>'1.2 Budgeted Enrollment YR1'!E601</f>
        <v>Pahrump Valley High School</v>
      </c>
      <c r="F601" s="590"/>
      <c r="G601" s="220">
        <f>'1.2 Budgeted Enrollment YR1'!G601+('1.2 Budgeted Enrollment YR1'!G601*$Q$2)</f>
        <v>1341.3111899823662</v>
      </c>
      <c r="H601" s="219">
        <v>0</v>
      </c>
      <c r="I601" s="220">
        <v>0</v>
      </c>
      <c r="J601" s="219">
        <v>0</v>
      </c>
      <c r="K601" s="220">
        <v>0</v>
      </c>
      <c r="L601" s="73"/>
      <c r="M601" s="2"/>
      <c r="N601"/>
      <c r="O601"/>
      <c r="P601"/>
      <c r="Q601"/>
    </row>
    <row r="602" spans="1:17" ht="18" thickTop="1" thickBot="1" x14ac:dyDescent="0.35">
      <c r="A602" s="38" t="str">
        <f>'1.2 Budgeted Enrollment YR1'!A602</f>
        <v>Nye</v>
      </c>
      <c r="B602" s="40">
        <f>'1.2 Budgeted Enrollment YR1'!B602</f>
        <v>12</v>
      </c>
      <c r="C602" s="40">
        <f>'1.2 Budgeted Enrollment YR1'!C602</f>
        <v>12</v>
      </c>
      <c r="D602" s="40" t="str">
        <f>'1.2 Budgeted Enrollment YR1'!D602</f>
        <v>Pahrump</v>
      </c>
      <c r="E602" s="38" t="str">
        <f>'1.2 Budgeted Enrollment YR1'!E602</f>
        <v>Pathways Elementary School</v>
      </c>
      <c r="F602" s="590"/>
      <c r="G602" s="220">
        <f>'1.2 Budgeted Enrollment YR1'!G602+('1.2 Budgeted Enrollment YR1'!G602*$Q$2)</f>
        <v>26.514009267881583</v>
      </c>
      <c r="H602" s="219">
        <v>0</v>
      </c>
      <c r="I602" s="220">
        <v>0</v>
      </c>
      <c r="J602" s="219">
        <v>0</v>
      </c>
      <c r="K602" s="220">
        <v>0</v>
      </c>
      <c r="L602" s="73"/>
      <c r="M602" s="2"/>
      <c r="N602"/>
      <c r="O602"/>
      <c r="P602"/>
      <c r="Q602"/>
    </row>
    <row r="603" spans="1:17" ht="18" thickTop="1" thickBot="1" x14ac:dyDescent="0.35">
      <c r="A603" s="38" t="str">
        <f>'1.2 Budgeted Enrollment YR1'!A603</f>
        <v>Nye</v>
      </c>
      <c r="B603" s="40">
        <f>'1.2 Budgeted Enrollment YR1'!B603</f>
        <v>12</v>
      </c>
      <c r="C603" s="40">
        <f>'1.2 Budgeted Enrollment YR1'!C603</f>
        <v>12</v>
      </c>
      <c r="D603" s="40" t="str">
        <f>'1.2 Budgeted Enrollment YR1'!D603</f>
        <v>Pahrump</v>
      </c>
      <c r="E603" s="38" t="str">
        <f>'1.2 Budgeted Enrollment YR1'!E603</f>
        <v>Pathways High School</v>
      </c>
      <c r="F603" s="590"/>
      <c r="G603" s="220">
        <f>'1.2 Budgeted Enrollment YR1'!G603+('1.2 Budgeted Enrollment YR1'!G603*$Q$2)</f>
        <v>87.434954930048477</v>
      </c>
      <c r="H603" s="219">
        <v>0</v>
      </c>
      <c r="I603" s="220">
        <v>0</v>
      </c>
      <c r="J603" s="219">
        <v>0</v>
      </c>
      <c r="K603" s="220">
        <v>0</v>
      </c>
      <c r="L603" s="73"/>
      <c r="M603" s="2"/>
      <c r="N603"/>
      <c r="O603"/>
      <c r="P603"/>
      <c r="Q603"/>
    </row>
    <row r="604" spans="1:17" ht="18" thickTop="1" thickBot="1" x14ac:dyDescent="0.35">
      <c r="A604" s="38" t="str">
        <f>'1.2 Budgeted Enrollment YR1'!A604</f>
        <v>Nye</v>
      </c>
      <c r="B604" s="40">
        <f>'1.2 Budgeted Enrollment YR1'!B604</f>
        <v>12</v>
      </c>
      <c r="C604" s="40">
        <f>'1.2 Budgeted Enrollment YR1'!C604</f>
        <v>12</v>
      </c>
      <c r="D604" s="40" t="str">
        <f>'1.2 Budgeted Enrollment YR1'!D604</f>
        <v>Pahrump</v>
      </c>
      <c r="E604" s="38" t="str">
        <f>'1.2 Budgeted Enrollment YR1'!E604</f>
        <v>Pathways Middle School</v>
      </c>
      <c r="F604" s="590"/>
      <c r="G604" s="220">
        <f>'1.2 Budgeted Enrollment YR1'!G604+('1.2 Budgeted Enrollment YR1'!G604*$Q$2)</f>
        <v>64.520654456560152</v>
      </c>
      <c r="H604" s="219">
        <v>0</v>
      </c>
      <c r="I604" s="220">
        <v>0</v>
      </c>
      <c r="J604" s="219">
        <v>0</v>
      </c>
      <c r="K604" s="220">
        <v>0</v>
      </c>
      <c r="L604" s="73"/>
      <c r="M604" s="2"/>
      <c r="N604"/>
      <c r="O604"/>
      <c r="P604"/>
      <c r="Q604"/>
    </row>
    <row r="605" spans="1:17" ht="18" thickTop="1" thickBot="1" x14ac:dyDescent="0.35">
      <c r="A605" s="38" t="str">
        <f>'1.2 Budgeted Enrollment YR1'!A605</f>
        <v>Nye</v>
      </c>
      <c r="B605" s="40">
        <f>'1.2 Budgeted Enrollment YR1'!B605</f>
        <v>12</v>
      </c>
      <c r="C605" s="40">
        <f>'1.2 Budgeted Enrollment YR1'!C605</f>
        <v>12</v>
      </c>
      <c r="D605" s="40" t="str">
        <f>'1.2 Budgeted Enrollment YR1'!D605</f>
        <v>Pahrump</v>
      </c>
      <c r="E605" s="38" t="str">
        <f>'1.2 Budgeted Enrollment YR1'!E605</f>
        <v>Rosemary Clarke Middle School</v>
      </c>
      <c r="F605" s="590"/>
      <c r="G605" s="220">
        <f>'1.2 Budgeted Enrollment YR1'!G605+('1.2 Budgeted Enrollment YR1'!G605*$Q$2)</f>
        <v>1042.2579372565028</v>
      </c>
      <c r="H605" s="219">
        <v>0</v>
      </c>
      <c r="I605" s="220">
        <v>0</v>
      </c>
      <c r="J605" s="219">
        <v>0</v>
      </c>
      <c r="K605" s="220">
        <v>0</v>
      </c>
      <c r="L605" s="73"/>
      <c r="M605" s="2"/>
      <c r="N605"/>
      <c r="O605"/>
      <c r="P605"/>
      <c r="Q605"/>
    </row>
    <row r="606" spans="1:17" ht="18" thickTop="1" thickBot="1" x14ac:dyDescent="0.35">
      <c r="A606" s="38" t="str">
        <f>'1.2 Budgeted Enrollment YR1'!A606</f>
        <v>Nye</v>
      </c>
      <c r="B606" s="40">
        <f>'1.2 Budgeted Enrollment YR1'!B606</f>
        <v>12</v>
      </c>
      <c r="C606" s="40">
        <f>'1.2 Budgeted Enrollment YR1'!C606</f>
        <v>12</v>
      </c>
      <c r="D606" s="40" t="str">
        <f>'1.2 Budgeted Enrollment YR1'!D606</f>
        <v>Round Mountain</v>
      </c>
      <c r="E606" s="38" t="str">
        <f>'1.2 Budgeted Enrollment YR1'!E606</f>
        <v>Round Mountain Elementary School</v>
      </c>
      <c r="F606" s="590"/>
      <c r="G606" s="220">
        <f>'1.2 Budgeted Enrollment YR1'!G606+('1.2 Budgeted Enrollment YR1'!G606*$Q$2)</f>
        <v>131.38912256721707</v>
      </c>
      <c r="H606" s="219">
        <v>0</v>
      </c>
      <c r="I606" s="220">
        <v>0</v>
      </c>
      <c r="J606" s="219">
        <v>0</v>
      </c>
      <c r="K606" s="220">
        <v>0</v>
      </c>
      <c r="L606" s="73"/>
      <c r="M606" s="2"/>
      <c r="N606"/>
      <c r="O606"/>
      <c r="P606"/>
      <c r="Q606"/>
    </row>
    <row r="607" spans="1:17" ht="18" thickTop="1" thickBot="1" x14ac:dyDescent="0.35">
      <c r="A607" s="38" t="str">
        <f>'1.2 Budgeted Enrollment YR1'!A607</f>
        <v>Nye</v>
      </c>
      <c r="B607" s="40">
        <f>'1.2 Budgeted Enrollment YR1'!B607</f>
        <v>12</v>
      </c>
      <c r="C607" s="40">
        <f>'1.2 Budgeted Enrollment YR1'!C607</f>
        <v>12</v>
      </c>
      <c r="D607" s="40" t="str">
        <f>'1.2 Budgeted Enrollment YR1'!D607</f>
        <v>Round Mountain</v>
      </c>
      <c r="E607" s="38" t="str">
        <f>'1.2 Budgeted Enrollment YR1'!E607</f>
        <v>Round Mountain High School</v>
      </c>
      <c r="F607" s="590"/>
      <c r="G607" s="220">
        <f>'1.2 Budgeted Enrollment YR1'!G607+('1.2 Budgeted Enrollment YR1'!G607*$Q$2)</f>
        <v>80.598223832032957</v>
      </c>
      <c r="H607" s="219">
        <v>0</v>
      </c>
      <c r="I607" s="220">
        <v>0</v>
      </c>
      <c r="J607" s="219">
        <v>0</v>
      </c>
      <c r="K607" s="220">
        <v>0</v>
      </c>
      <c r="L607" s="73"/>
      <c r="M607" s="2"/>
      <c r="N607"/>
      <c r="O607"/>
      <c r="P607"/>
      <c r="Q607"/>
    </row>
    <row r="608" spans="1:17" ht="18" thickTop="1" thickBot="1" x14ac:dyDescent="0.35">
      <c r="A608" s="38" t="str">
        <f>'1.2 Budgeted Enrollment YR1'!A608</f>
        <v>Nye</v>
      </c>
      <c r="B608" s="40">
        <f>'1.2 Budgeted Enrollment YR1'!B608</f>
        <v>12</v>
      </c>
      <c r="C608" s="40">
        <f>'1.2 Budgeted Enrollment YR1'!C608</f>
        <v>12</v>
      </c>
      <c r="D608" s="40" t="str">
        <f>'1.2 Budgeted Enrollment YR1'!D608</f>
        <v>Round Mountain</v>
      </c>
      <c r="E608" s="38" t="str">
        <f>'1.2 Budgeted Enrollment YR1'!E608</f>
        <v>Round Mountain Middle School</v>
      </c>
      <c r="F608" s="590"/>
      <c r="G608" s="220">
        <f>'1.2 Budgeted Enrollment YR1'!G608+('1.2 Budgeted Enrollment YR1'!G608*$Q$2)</f>
        <v>62.31352965346089</v>
      </c>
      <c r="H608" s="219">
        <v>0</v>
      </c>
      <c r="I608" s="220">
        <v>0</v>
      </c>
      <c r="J608" s="219">
        <v>0</v>
      </c>
      <c r="K608" s="220">
        <v>0</v>
      </c>
      <c r="L608" s="73"/>
      <c r="M608" s="2"/>
      <c r="N608"/>
      <c r="O608"/>
      <c r="P608"/>
      <c r="Q608"/>
    </row>
    <row r="609" spans="1:17" ht="18" thickTop="1" thickBot="1" x14ac:dyDescent="0.35">
      <c r="A609" s="38" t="str">
        <f>'1.2 Budgeted Enrollment YR1'!A609</f>
        <v>Nye</v>
      </c>
      <c r="B609" s="40">
        <f>'1.2 Budgeted Enrollment YR1'!B609</f>
        <v>12</v>
      </c>
      <c r="C609" s="40">
        <f>'1.2 Budgeted Enrollment YR1'!C609</f>
        <v>12</v>
      </c>
      <c r="D609" s="40" t="str">
        <f>'1.2 Budgeted Enrollment YR1'!D609</f>
        <v>Tonopah</v>
      </c>
      <c r="E609" s="38" t="str">
        <f>'1.2 Budgeted Enrollment YR1'!E609</f>
        <v>Tonopah Elementary School</v>
      </c>
      <c r="F609" s="590"/>
      <c r="G609" s="220">
        <f>'1.2 Budgeted Enrollment YR1'!G609+('1.2 Budgeted Enrollment YR1'!G609*$Q$2)</f>
        <v>148.30019031547013</v>
      </c>
      <c r="H609" s="219">
        <v>0</v>
      </c>
      <c r="I609" s="220">
        <v>0</v>
      </c>
      <c r="J609" s="219">
        <v>0</v>
      </c>
      <c r="K609" s="220">
        <v>0</v>
      </c>
      <c r="L609" s="73"/>
      <c r="M609" s="2"/>
      <c r="N609"/>
      <c r="O609"/>
      <c r="P609"/>
      <c r="Q609"/>
    </row>
    <row r="610" spans="1:17" ht="18" thickTop="1" thickBot="1" x14ac:dyDescent="0.35">
      <c r="A610" s="38" t="str">
        <f>'1.2 Budgeted Enrollment YR1'!A610</f>
        <v>Nye</v>
      </c>
      <c r="B610" s="40">
        <f>'1.2 Budgeted Enrollment YR1'!B610</f>
        <v>12</v>
      </c>
      <c r="C610" s="40">
        <f>'1.2 Budgeted Enrollment YR1'!C610</f>
        <v>12</v>
      </c>
      <c r="D610" s="40" t="str">
        <f>'1.2 Budgeted Enrollment YR1'!D610</f>
        <v>Tonopah</v>
      </c>
      <c r="E610" s="38" t="str">
        <f>'1.2 Budgeted Enrollment YR1'!E610</f>
        <v>Tonopah High School</v>
      </c>
      <c r="F610" s="590"/>
      <c r="G610" s="220">
        <f>'1.2 Budgeted Enrollment YR1'!G610+('1.2 Budgeted Enrollment YR1'!G610*$Q$2)</f>
        <v>101.50001994534905</v>
      </c>
      <c r="H610" s="219">
        <v>0</v>
      </c>
      <c r="I610" s="220">
        <v>0</v>
      </c>
      <c r="J610" s="219">
        <v>0</v>
      </c>
      <c r="K610" s="220">
        <v>0</v>
      </c>
      <c r="L610" s="73"/>
      <c r="M610" s="2"/>
      <c r="N610"/>
      <c r="O610"/>
      <c r="P610"/>
      <c r="Q610"/>
    </row>
    <row r="611" spans="1:17" ht="18" thickTop="1" thickBot="1" x14ac:dyDescent="0.35">
      <c r="A611" s="38" t="str">
        <f>'1.2 Budgeted Enrollment YR1'!A611</f>
        <v>Nye</v>
      </c>
      <c r="B611" s="40">
        <f>'1.2 Budgeted Enrollment YR1'!B611</f>
        <v>12</v>
      </c>
      <c r="C611" s="40">
        <f>'1.2 Budgeted Enrollment YR1'!C611</f>
        <v>12</v>
      </c>
      <c r="D611" s="40" t="str">
        <f>'1.2 Budgeted Enrollment YR1'!D611</f>
        <v>Tonopah</v>
      </c>
      <c r="E611" s="38" t="str">
        <f>'1.2 Budgeted Enrollment YR1'!E611</f>
        <v>Tonopah Middle School</v>
      </c>
      <c r="F611" s="590"/>
      <c r="G611" s="220">
        <f>'1.2 Budgeted Enrollment YR1'!G611+('1.2 Budgeted Enrollment YR1'!G611*$Q$2)</f>
        <v>68.668629742226813</v>
      </c>
      <c r="H611" s="219"/>
      <c r="I611" s="220"/>
      <c r="J611" s="219"/>
      <c r="K611" s="220">
        <v>0</v>
      </c>
      <c r="L611" s="73"/>
      <c r="M611" s="2"/>
      <c r="N611"/>
      <c r="O611"/>
      <c r="P611"/>
      <c r="Q611"/>
    </row>
    <row r="612" spans="1:17" ht="18" thickTop="1" thickBot="1" x14ac:dyDescent="0.35">
      <c r="A612" s="38" t="str">
        <f>'1.2 Budgeted Enrollment YR1'!A612</f>
        <v>Pershing</v>
      </c>
      <c r="B612" s="40">
        <f>'1.2 Budgeted Enrollment YR1'!B612</f>
        <v>14</v>
      </c>
      <c r="C612" s="40">
        <f>'1.2 Budgeted Enrollment YR1'!C612</f>
        <v>14</v>
      </c>
      <c r="D612" s="40" t="str">
        <f>'1.2 Budgeted Enrollment YR1'!D612</f>
        <v>Lovelock</v>
      </c>
      <c r="E612" s="38" t="str">
        <f>'1.2 Budgeted Enrollment YR1'!E612</f>
        <v>Early Childhood Education PK</v>
      </c>
      <c r="F612" s="590"/>
      <c r="G612" s="220">
        <f>'1.2 Budgeted Enrollment YR1'!G612+('1.2 Budgeted Enrollment YR1'!G612*$Q$2)</f>
        <v>1.4125836939300584</v>
      </c>
      <c r="H612" s="219">
        <v>0</v>
      </c>
      <c r="I612" s="220">
        <v>0</v>
      </c>
      <c r="J612" s="219">
        <v>0</v>
      </c>
      <c r="K612" s="220"/>
      <c r="L612" s="73"/>
      <c r="M612" s="2"/>
      <c r="N612"/>
      <c r="O612"/>
      <c r="P612"/>
      <c r="Q612"/>
    </row>
    <row r="613" spans="1:17" ht="18" thickTop="1" thickBot="1" x14ac:dyDescent="0.35">
      <c r="A613" s="38" t="str">
        <f>'1.2 Budgeted Enrollment YR1'!A613</f>
        <v>Pershing</v>
      </c>
      <c r="B613" s="40">
        <f>'1.2 Budgeted Enrollment YR1'!B613</f>
        <v>14</v>
      </c>
      <c r="C613" s="40">
        <f>'1.2 Budgeted Enrollment YR1'!C613</f>
        <v>14</v>
      </c>
      <c r="D613" s="40" t="str">
        <f>'1.2 Budgeted Enrollment YR1'!D613</f>
        <v>Imlay</v>
      </c>
      <c r="E613" s="38" t="str">
        <f>'1.2 Budgeted Enrollment YR1'!E613</f>
        <v>Imlay Elementary School</v>
      </c>
      <c r="F613" s="590"/>
      <c r="G613" s="220">
        <f>'1.2 Budgeted Enrollment YR1'!G613+('1.2 Budgeted Enrollment YR1'!G613*$Q$2)</f>
        <v>16.750623474973359</v>
      </c>
      <c r="H613" s="219">
        <v>0</v>
      </c>
      <c r="I613" s="220">
        <v>0</v>
      </c>
      <c r="J613" s="219">
        <v>0</v>
      </c>
      <c r="K613" s="220">
        <v>0</v>
      </c>
      <c r="L613" s="73"/>
      <c r="M613" s="2"/>
      <c r="N613"/>
      <c r="O613"/>
      <c r="P613"/>
      <c r="Q613"/>
    </row>
    <row r="614" spans="1:17" ht="18" thickTop="1" thickBot="1" x14ac:dyDescent="0.35">
      <c r="A614" s="38" t="str">
        <f>'1.2 Budgeted Enrollment YR1'!A614</f>
        <v>Pershing</v>
      </c>
      <c r="B614" s="40">
        <f>'1.2 Budgeted Enrollment YR1'!B614</f>
        <v>14</v>
      </c>
      <c r="C614" s="40">
        <f>'1.2 Budgeted Enrollment YR1'!C614</f>
        <v>14</v>
      </c>
      <c r="D614" s="40" t="str">
        <f>'1.2 Budgeted Enrollment YR1'!D614</f>
        <v>Lovelock</v>
      </c>
      <c r="E614" s="38" t="str">
        <f>'1.2 Budgeted Enrollment YR1'!E614</f>
        <v>Lovelock Elementary School</v>
      </c>
      <c r="F614" s="590"/>
      <c r="G614" s="220">
        <f>'1.2 Budgeted Enrollment YR1'!G614+('1.2 Budgeted Enrollment YR1'!G614*$Q$2)</f>
        <v>310.42171624200188</v>
      </c>
      <c r="H614" s="219">
        <v>0</v>
      </c>
      <c r="I614" s="220">
        <v>0</v>
      </c>
      <c r="J614" s="219">
        <v>0</v>
      </c>
      <c r="K614" s="220">
        <v>0</v>
      </c>
      <c r="L614" s="73"/>
      <c r="M614" s="2"/>
      <c r="N614"/>
      <c r="O614"/>
      <c r="P614"/>
      <c r="Q614"/>
    </row>
    <row r="615" spans="1:17" ht="18" thickTop="1" thickBot="1" x14ac:dyDescent="0.35">
      <c r="A615" s="38" t="str">
        <f>'1.2 Budgeted Enrollment YR1'!A615</f>
        <v>Pershing</v>
      </c>
      <c r="B615" s="40">
        <f>'1.2 Budgeted Enrollment YR1'!B615</f>
        <v>14</v>
      </c>
      <c r="C615" s="40">
        <f>'1.2 Budgeted Enrollment YR1'!C615</f>
        <v>14</v>
      </c>
      <c r="D615" s="40" t="str">
        <f>'1.2 Budgeted Enrollment YR1'!D615</f>
        <v>Lovelock</v>
      </c>
      <c r="E615" s="38" t="str">
        <f>'1.2 Budgeted Enrollment YR1'!E615</f>
        <v>Pershing County High School</v>
      </c>
      <c r="F615" s="590"/>
      <c r="G615" s="220">
        <f>'1.2 Budgeted Enrollment YR1'!G615+('1.2 Budgeted Enrollment YR1'!G615*$Q$2)</f>
        <v>180.49515023176704</v>
      </c>
      <c r="H615" s="219">
        <v>0</v>
      </c>
      <c r="I615" s="220">
        <v>0</v>
      </c>
      <c r="J615" s="219">
        <v>0</v>
      </c>
      <c r="K615" s="220">
        <v>0</v>
      </c>
      <c r="L615" s="73"/>
      <c r="M615" s="2"/>
      <c r="N615"/>
      <c r="O615"/>
      <c r="P615"/>
      <c r="Q615"/>
    </row>
    <row r="616" spans="1:17" ht="18" thickTop="1" thickBot="1" x14ac:dyDescent="0.35">
      <c r="A616" s="38" t="str">
        <f>'1.2 Budgeted Enrollment YR1'!A616</f>
        <v>Pershing</v>
      </c>
      <c r="B616" s="40">
        <f>'1.2 Budgeted Enrollment YR1'!B616</f>
        <v>14</v>
      </c>
      <c r="C616" s="40">
        <f>'1.2 Budgeted Enrollment YR1'!C616</f>
        <v>14</v>
      </c>
      <c r="D616" s="40" t="str">
        <f>'1.2 Budgeted Enrollment YR1'!D616</f>
        <v>Lovelock</v>
      </c>
      <c r="E616" s="38" t="str">
        <f>'1.2 Budgeted Enrollment YR1'!E616</f>
        <v>Pershing County Middle School</v>
      </c>
      <c r="F616" s="590"/>
      <c r="G616" s="220">
        <f>'1.2 Budgeted Enrollment YR1'!G616+('1.2 Budgeted Enrollment YR1'!G616*$Q$2)</f>
        <v>151.74048739222644</v>
      </c>
      <c r="H616" s="219">
        <v>0</v>
      </c>
      <c r="I616" s="220">
        <v>0</v>
      </c>
      <c r="J616" s="219">
        <v>0</v>
      </c>
      <c r="K616" s="220">
        <v>0</v>
      </c>
      <c r="L616" s="73"/>
      <c r="M616" s="2"/>
      <c r="N616"/>
      <c r="O616"/>
      <c r="P616"/>
      <c r="Q616"/>
    </row>
    <row r="617" spans="1:17" ht="18" thickTop="1" thickBot="1" x14ac:dyDescent="0.35">
      <c r="A617" s="38" t="str">
        <f>'1.2 Budgeted Enrollment YR1'!A617</f>
        <v>Storey</v>
      </c>
      <c r="B617" s="40">
        <f>'1.2 Budgeted Enrollment YR1'!B617</f>
        <v>15</v>
      </c>
      <c r="C617" s="40">
        <f>'1.2 Budgeted Enrollment YR1'!C617</f>
        <v>15</v>
      </c>
      <c r="D617" s="40" t="str">
        <f>'1.2 Budgeted Enrollment YR1'!D617</f>
        <v>Hillside</v>
      </c>
      <c r="E617" s="38" t="str">
        <f>'1.2 Budgeted Enrollment YR1'!E617</f>
        <v>Hillside Elementary School</v>
      </c>
      <c r="F617" s="590"/>
      <c r="G617" s="220">
        <f>'1.2 Budgeted Enrollment YR1'!G617+('1.2 Budgeted Enrollment YR1'!G617*$Q$2)</f>
        <v>48.932046909712525</v>
      </c>
      <c r="H617" s="219">
        <v>0</v>
      </c>
      <c r="I617" s="220">
        <v>0</v>
      </c>
      <c r="J617" s="219">
        <v>0</v>
      </c>
      <c r="K617" s="220">
        <v>0</v>
      </c>
      <c r="L617" s="73"/>
      <c r="M617" s="2"/>
      <c r="N617"/>
      <c r="O617"/>
      <c r="P617"/>
      <c r="Q617"/>
    </row>
    <row r="618" spans="1:17" ht="18" thickTop="1" thickBot="1" x14ac:dyDescent="0.35">
      <c r="A618" s="38" t="str">
        <f>'1.2 Budgeted Enrollment YR1'!A618</f>
        <v>Storey</v>
      </c>
      <c r="B618" s="40">
        <f>'1.2 Budgeted Enrollment YR1'!B618</f>
        <v>15</v>
      </c>
      <c r="C618" s="40">
        <f>'1.2 Budgeted Enrollment YR1'!C618</f>
        <v>15</v>
      </c>
      <c r="D618" s="40" t="str">
        <f>'1.2 Budgeted Enrollment YR1'!D618</f>
        <v>Virginia City</v>
      </c>
      <c r="E618" s="38" t="str">
        <f>'1.2 Budgeted Enrollment YR1'!E618</f>
        <v>Hugh Gallagher Elementary School</v>
      </c>
      <c r="F618" s="590"/>
      <c r="G618" s="220">
        <f>'1.2 Budgeted Enrollment YR1'!G618+('1.2 Budgeted Enrollment YR1'!G618*$Q$2)</f>
        <v>123.34276747192152</v>
      </c>
      <c r="H618" s="219">
        <v>0</v>
      </c>
      <c r="I618" s="220">
        <v>0</v>
      </c>
      <c r="J618" s="219">
        <v>0</v>
      </c>
      <c r="K618" s="220">
        <v>0</v>
      </c>
      <c r="L618" s="73"/>
      <c r="M618" s="2"/>
      <c r="N618"/>
      <c r="O618"/>
      <c r="P618"/>
      <c r="Q618"/>
    </row>
    <row r="619" spans="1:17" ht="18" thickTop="1" thickBot="1" x14ac:dyDescent="0.35">
      <c r="A619" s="38" t="str">
        <f>'1.2 Budgeted Enrollment YR1'!A619</f>
        <v>Storey</v>
      </c>
      <c r="B619" s="40">
        <f>'1.2 Budgeted Enrollment YR1'!B619</f>
        <v>15</v>
      </c>
      <c r="C619" s="40">
        <f>'1.2 Budgeted Enrollment YR1'!C619</f>
        <v>15</v>
      </c>
      <c r="D619" s="40" t="str">
        <f>'1.2 Budgeted Enrollment YR1'!D619</f>
        <v>Virginia City</v>
      </c>
      <c r="E619" s="38" t="str">
        <f>'1.2 Budgeted Enrollment YR1'!E619</f>
        <v>Virginia City High School</v>
      </c>
      <c r="F619" s="590"/>
      <c r="G619" s="220">
        <f>'1.2 Budgeted Enrollment YR1'!G619+('1.2 Budgeted Enrollment YR1'!G619*$Q$2)</f>
        <v>146.01811153142148</v>
      </c>
      <c r="H619" s="219">
        <v>0</v>
      </c>
      <c r="I619" s="220">
        <v>0</v>
      </c>
      <c r="J619" s="219">
        <v>0</v>
      </c>
      <c r="K619" s="220">
        <v>0</v>
      </c>
      <c r="L619" s="73"/>
      <c r="M619" s="2"/>
      <c r="N619"/>
      <c r="O619"/>
      <c r="P619"/>
      <c r="Q619"/>
    </row>
    <row r="620" spans="1:17" ht="18" thickTop="1" thickBot="1" x14ac:dyDescent="0.35">
      <c r="A620" s="38" t="str">
        <f>'1.2 Budgeted Enrollment YR1'!A620</f>
        <v>Storey</v>
      </c>
      <c r="B620" s="40">
        <f>'1.2 Budgeted Enrollment YR1'!B620</f>
        <v>15</v>
      </c>
      <c r="C620" s="40">
        <f>'1.2 Budgeted Enrollment YR1'!C620</f>
        <v>15</v>
      </c>
      <c r="D620" s="40" t="str">
        <f>'1.2 Budgeted Enrollment YR1'!D620</f>
        <v>Virginia City</v>
      </c>
      <c r="E620" s="38" t="str">
        <f>'1.2 Budgeted Enrollment YR1'!E620</f>
        <v>Virginia City Middle School</v>
      </c>
      <c r="F620" s="590"/>
      <c r="G620" s="220">
        <f>'1.2 Budgeted Enrollment YR1'!G620+('1.2 Budgeted Enrollment YR1'!G620*$Q$2)</f>
        <v>95.174575266931043</v>
      </c>
      <c r="H620" s="219">
        <v>0</v>
      </c>
      <c r="I620" s="220">
        <v>0</v>
      </c>
      <c r="J620" s="219">
        <v>0</v>
      </c>
      <c r="K620" s="220">
        <v>0</v>
      </c>
      <c r="L620" s="73"/>
      <c r="M620" s="2"/>
      <c r="N620"/>
      <c r="O620"/>
      <c r="P620"/>
      <c r="Q620"/>
    </row>
    <row r="621" spans="1:17" ht="18" thickTop="1" thickBot="1" x14ac:dyDescent="0.35">
      <c r="A621" s="38" t="str">
        <f>'1.2 Budgeted Enrollment YR1'!A621</f>
        <v>Washoe</v>
      </c>
      <c r="B621" s="40">
        <f>'1.2 Budgeted Enrollment YR1'!B621</f>
        <v>16</v>
      </c>
      <c r="C621" s="40">
        <f>'1.2 Budgeted Enrollment YR1'!C621</f>
        <v>16</v>
      </c>
      <c r="D621" s="40" t="str">
        <f>'1.2 Budgeted Enrollment YR1'!D621</f>
        <v>Reno/Sparks</v>
      </c>
      <c r="E621" s="38" t="str">
        <f>'1.2 Budgeted Enrollment YR1'!E621</f>
        <v>ACADEMY OF ARTS CAREERS &amp; TECH</v>
      </c>
      <c r="F621" s="590"/>
      <c r="G621" s="220">
        <f>'1.2 Budgeted Enrollment YR1'!G621+('1.2 Budgeted Enrollment YR1'!G621*$Q$2)</f>
        <v>524.76093610236956</v>
      </c>
      <c r="H621" s="219">
        <v>0</v>
      </c>
      <c r="I621" s="220">
        <v>0</v>
      </c>
      <c r="J621" s="219">
        <v>0</v>
      </c>
      <c r="K621" s="220">
        <v>0</v>
      </c>
      <c r="L621" s="73"/>
      <c r="M621" s="2"/>
      <c r="N621"/>
      <c r="O621"/>
      <c r="P621"/>
      <c r="Q621"/>
    </row>
    <row r="622" spans="1:17" ht="18" thickTop="1" thickBot="1" x14ac:dyDescent="0.35">
      <c r="A622" s="38" t="str">
        <f>'1.2 Budgeted Enrollment YR1'!A622</f>
        <v>Washoe</v>
      </c>
      <c r="B622" s="40">
        <f>'1.2 Budgeted Enrollment YR1'!B622</f>
        <v>16</v>
      </c>
      <c r="C622" s="40">
        <f>'1.2 Budgeted Enrollment YR1'!C622</f>
        <v>16</v>
      </c>
      <c r="D622" s="40" t="str">
        <f>'1.2 Budgeted Enrollment YR1'!D622</f>
        <v>Reno/Sparks</v>
      </c>
      <c r="E622" s="38" t="str">
        <f>'1.2 Budgeted Enrollment YR1'!E622</f>
        <v>AGNES RISLEY ELEMENTARY</v>
      </c>
      <c r="F622" s="590"/>
      <c r="G622" s="220">
        <f>'1.2 Budgeted Enrollment YR1'!G622+('1.2 Budgeted Enrollment YR1'!G622*$Q$2)</f>
        <v>352.17163039104366</v>
      </c>
      <c r="H622" s="219">
        <v>0</v>
      </c>
      <c r="I622" s="220">
        <v>0</v>
      </c>
      <c r="J622" s="219">
        <v>0</v>
      </c>
      <c r="K622" s="220">
        <v>0</v>
      </c>
      <c r="L622" s="73"/>
      <c r="M622" s="2"/>
      <c r="N622"/>
      <c r="O622"/>
      <c r="P622"/>
      <c r="Q622"/>
    </row>
    <row r="623" spans="1:17" ht="18" thickTop="1" thickBot="1" x14ac:dyDescent="0.35">
      <c r="A623" s="38" t="str">
        <f>'1.2 Budgeted Enrollment YR1'!A623</f>
        <v>Washoe</v>
      </c>
      <c r="B623" s="40">
        <f>'1.2 Budgeted Enrollment YR1'!B623</f>
        <v>16</v>
      </c>
      <c r="C623" s="40">
        <f>'1.2 Budgeted Enrollment YR1'!C623</f>
        <v>16</v>
      </c>
      <c r="D623" s="40" t="str">
        <f>'1.2 Budgeted Enrollment YR1'!D623</f>
        <v>Reno/Sparks</v>
      </c>
      <c r="E623" s="38" t="str">
        <f>'1.2 Budgeted Enrollment YR1'!E623</f>
        <v>ALICE MAXWELL ELEMENTARY</v>
      </c>
      <c r="F623" s="590"/>
      <c r="G623" s="220">
        <f>'1.2 Budgeted Enrollment YR1'!G623+('1.2 Budgeted Enrollment YR1'!G623*$Q$2)</f>
        <v>391.58658811774689</v>
      </c>
      <c r="H623" s="219">
        <v>0</v>
      </c>
      <c r="I623" s="220">
        <v>0</v>
      </c>
      <c r="J623" s="219">
        <v>0</v>
      </c>
      <c r="K623" s="220">
        <v>0</v>
      </c>
      <c r="L623" s="73"/>
      <c r="M623" s="2"/>
      <c r="N623"/>
      <c r="O623"/>
      <c r="P623"/>
      <c r="Q623"/>
    </row>
    <row r="624" spans="1:17" ht="18" thickTop="1" thickBot="1" x14ac:dyDescent="0.35">
      <c r="A624" s="38" t="str">
        <f>'1.2 Budgeted Enrollment YR1'!A624</f>
        <v>Washoe</v>
      </c>
      <c r="B624" s="40">
        <f>'1.2 Budgeted Enrollment YR1'!B624</f>
        <v>16</v>
      </c>
      <c r="C624" s="40">
        <f>'1.2 Budgeted Enrollment YR1'!C624</f>
        <v>16</v>
      </c>
      <c r="D624" s="40" t="str">
        <f>'1.2 Budgeted Enrollment YR1'!D624</f>
        <v>Stead</v>
      </c>
      <c r="E624" s="38" t="str">
        <f>'1.2 Budgeted Enrollment YR1'!E624</f>
        <v>ALICE SMITH ELEMENTARY</v>
      </c>
      <c r="F624" s="590"/>
      <c r="G624" s="220">
        <f>'1.2 Budgeted Enrollment YR1'!G624+('1.2 Budgeted Enrollment YR1'!G624*$Q$2)</f>
        <v>496.92184847117272</v>
      </c>
      <c r="H624" s="219">
        <v>0</v>
      </c>
      <c r="I624" s="220">
        <v>0</v>
      </c>
      <c r="J624" s="219">
        <v>0</v>
      </c>
      <c r="K624" s="220">
        <v>0</v>
      </c>
      <c r="L624" s="73"/>
      <c r="M624" s="2"/>
      <c r="N624"/>
      <c r="O624"/>
      <c r="P624"/>
      <c r="Q624"/>
    </row>
    <row r="625" spans="1:17" ht="18" thickTop="1" thickBot="1" x14ac:dyDescent="0.35">
      <c r="A625" s="38" t="str">
        <f>'1.2 Budgeted Enrollment YR1'!A625</f>
        <v>Washoe</v>
      </c>
      <c r="B625" s="40">
        <f>'1.2 Budgeted Enrollment YR1'!B625</f>
        <v>16</v>
      </c>
      <c r="C625" s="40">
        <f>'1.2 Budgeted Enrollment YR1'!C625</f>
        <v>16</v>
      </c>
      <c r="D625" s="40" t="str">
        <f>'1.2 Budgeted Enrollment YR1'!D625</f>
        <v>Reno/Sparks</v>
      </c>
      <c r="E625" s="38" t="str">
        <f>'1.2 Budgeted Enrollment YR1'!E625</f>
        <v>ALYCE TAYLOR ELEMENTARY</v>
      </c>
      <c r="F625" s="590"/>
      <c r="G625" s="220">
        <f>'1.2 Budgeted Enrollment YR1'!G625+('1.2 Budgeted Enrollment YR1'!G625*$Q$2)</f>
        <v>448.9851726965835</v>
      </c>
      <c r="H625" s="219">
        <v>0</v>
      </c>
      <c r="I625" s="220">
        <v>0</v>
      </c>
      <c r="J625" s="219">
        <v>0</v>
      </c>
      <c r="K625" s="220">
        <v>0</v>
      </c>
      <c r="L625" s="73"/>
      <c r="M625" s="2"/>
      <c r="N625"/>
      <c r="O625"/>
      <c r="P625"/>
      <c r="Q625"/>
    </row>
    <row r="626" spans="1:17" ht="18" thickTop="1" thickBot="1" x14ac:dyDescent="0.35">
      <c r="A626" s="38" t="str">
        <f>'1.2 Budgeted Enrollment YR1'!A626</f>
        <v>Washoe</v>
      </c>
      <c r="B626" s="40">
        <f>'1.2 Budgeted Enrollment YR1'!B626</f>
        <v>16</v>
      </c>
      <c r="C626" s="40">
        <f>'1.2 Budgeted Enrollment YR1'!C626</f>
        <v>16</v>
      </c>
      <c r="D626" s="40" t="str">
        <f>'1.2 Budgeted Enrollment YR1'!D626</f>
        <v>Reno/Sparks</v>
      </c>
      <c r="E626" s="38" t="str">
        <f>'1.2 Budgeted Enrollment YR1'!E626</f>
        <v>ANDERSON ELEMENTARY</v>
      </c>
      <c r="F626" s="590"/>
      <c r="G626" s="220">
        <f>'1.2 Budgeted Enrollment YR1'!G626+('1.2 Budgeted Enrollment YR1'!G626*$Q$2)</f>
        <v>344.88096929320511</v>
      </c>
      <c r="H626" s="219">
        <v>0</v>
      </c>
      <c r="I626" s="220">
        <v>0</v>
      </c>
      <c r="J626" s="219">
        <v>0</v>
      </c>
      <c r="K626" s="220">
        <v>0</v>
      </c>
      <c r="L626" s="73"/>
      <c r="M626" s="2"/>
      <c r="N626"/>
      <c r="O626"/>
      <c r="P626"/>
      <c r="Q626"/>
    </row>
    <row r="627" spans="1:17" ht="18" thickTop="1" thickBot="1" x14ac:dyDescent="0.35">
      <c r="A627" s="38" t="str">
        <f>'1.2 Budgeted Enrollment YR1'!A627</f>
        <v>Washoe</v>
      </c>
      <c r="B627" s="40">
        <f>'1.2 Budgeted Enrollment YR1'!B627</f>
        <v>16</v>
      </c>
      <c r="C627" s="40">
        <f>'1.2 Budgeted Enrollment YR1'!C627</f>
        <v>16</v>
      </c>
      <c r="D627" s="40" t="str">
        <f>'1.2 Budgeted Enrollment YR1'!D627</f>
        <v>Reno/Sparks</v>
      </c>
      <c r="E627" s="38" t="str">
        <f>'1.2 Budgeted Enrollment YR1'!E627</f>
        <v>ARCHIE CLAYTON PRE-A.P. ACADEMY</v>
      </c>
      <c r="F627" s="590"/>
      <c r="G627" s="220">
        <f>'1.2 Budgeted Enrollment YR1'!G627+('1.2 Budgeted Enrollment YR1'!G627*$Q$2)</f>
        <v>721.01769694965344</v>
      </c>
      <c r="H627" s="219">
        <v>0</v>
      </c>
      <c r="I627" s="220">
        <v>0</v>
      </c>
      <c r="J627" s="219">
        <v>0</v>
      </c>
      <c r="K627" s="220">
        <v>0</v>
      </c>
      <c r="L627" s="73"/>
      <c r="M627" s="2"/>
      <c r="N627"/>
      <c r="O627"/>
      <c r="P627"/>
      <c r="Q627"/>
    </row>
    <row r="628" spans="1:17" ht="18" thickTop="1" thickBot="1" x14ac:dyDescent="0.35">
      <c r="A628" s="38" t="str">
        <f>'1.2 Budgeted Enrollment YR1'!A628</f>
        <v>Washoe</v>
      </c>
      <c r="B628" s="40">
        <f>'1.2 Budgeted Enrollment YR1'!B628</f>
        <v>16</v>
      </c>
      <c r="C628" s="40">
        <f>'1.2 Budgeted Enrollment YR1'!C628</f>
        <v>16</v>
      </c>
      <c r="D628" s="40" t="str">
        <f>'1.2 Budgeted Enrollment YR1'!D628</f>
        <v>Reno/Sparks</v>
      </c>
      <c r="E628" s="38" t="str">
        <f>'1.2 Budgeted Enrollment YR1'!E628</f>
        <v>BERNICE MATHEWS ELEMENTARY</v>
      </c>
      <c r="F628" s="590"/>
      <c r="G628" s="220">
        <f>'1.2 Budgeted Enrollment YR1'!G628+('1.2 Budgeted Enrollment YR1'!G628*$Q$2)</f>
        <v>431.27248908346081</v>
      </c>
      <c r="H628" s="219">
        <v>0</v>
      </c>
      <c r="I628" s="220">
        <v>0</v>
      </c>
      <c r="J628" s="219">
        <v>0</v>
      </c>
      <c r="K628" s="220">
        <v>0</v>
      </c>
      <c r="L628" s="73"/>
      <c r="M628" s="2"/>
      <c r="N628"/>
      <c r="O628"/>
      <c r="P628"/>
      <c r="Q628"/>
    </row>
    <row r="629" spans="1:17" ht="18" thickTop="1" thickBot="1" x14ac:dyDescent="0.35">
      <c r="A629" s="38" t="str">
        <f>'1.2 Budgeted Enrollment YR1'!A629</f>
        <v>Washoe</v>
      </c>
      <c r="B629" s="40">
        <f>'1.2 Budgeted Enrollment YR1'!B629</f>
        <v>16</v>
      </c>
      <c r="C629" s="40">
        <f>'1.2 Budgeted Enrollment YR1'!C629</f>
        <v>16</v>
      </c>
      <c r="D629" s="40" t="str">
        <f>'1.2 Budgeted Enrollment YR1'!D629</f>
        <v>Reno/Sparks</v>
      </c>
      <c r="E629" s="38" t="str">
        <f>'1.2 Budgeted Enrollment YR1'!E629</f>
        <v>BILLINGHURST MIDDLE SCHOOL</v>
      </c>
      <c r="F629" s="590"/>
      <c r="G629" s="220">
        <f>'1.2 Budgeted Enrollment YR1'!G629+('1.2 Budgeted Enrollment YR1'!G629*$Q$2)</f>
        <v>899.06732091209085</v>
      </c>
      <c r="H629" s="219">
        <v>0</v>
      </c>
      <c r="I629" s="220">
        <v>0</v>
      </c>
      <c r="J629" s="219">
        <v>0</v>
      </c>
      <c r="K629" s="220">
        <v>0</v>
      </c>
      <c r="L629" s="73"/>
      <c r="M629" s="2"/>
      <c r="N629"/>
      <c r="O629"/>
      <c r="P629"/>
      <c r="Q629"/>
    </row>
    <row r="630" spans="1:17" ht="18" thickTop="1" thickBot="1" x14ac:dyDescent="0.35">
      <c r="A630" s="38" t="str">
        <f>'1.2 Budgeted Enrollment YR1'!A630</f>
        <v>Washoe</v>
      </c>
      <c r="B630" s="40">
        <f>'1.2 Budgeted Enrollment YR1'!B630</f>
        <v>16</v>
      </c>
      <c r="C630" s="40">
        <f>'1.2 Budgeted Enrollment YR1'!C630</f>
        <v>16</v>
      </c>
      <c r="D630" s="40" t="str">
        <f>'1.2 Budgeted Enrollment YR1'!D630</f>
        <v>Reno/Sparks</v>
      </c>
      <c r="E630" s="38" t="str">
        <f>'1.2 Budgeted Enrollment YR1'!E630</f>
        <v>BROWN ELEMENTARY</v>
      </c>
      <c r="F630" s="590"/>
      <c r="G630" s="220">
        <f>'1.2 Budgeted Enrollment YR1'!G630+('1.2 Budgeted Enrollment YR1'!G630*$Q$2)</f>
        <v>661.28349779762345</v>
      </c>
      <c r="H630" s="219">
        <v>0</v>
      </c>
      <c r="I630" s="220">
        <v>0</v>
      </c>
      <c r="J630" s="219">
        <v>0</v>
      </c>
      <c r="K630" s="220">
        <v>0</v>
      </c>
      <c r="L630" s="73"/>
      <c r="M630" s="2"/>
      <c r="N630"/>
      <c r="O630"/>
      <c r="P630"/>
      <c r="Q630"/>
    </row>
    <row r="631" spans="1:17" ht="18" thickTop="1" thickBot="1" x14ac:dyDescent="0.35">
      <c r="A631" s="38" t="str">
        <f>'1.2 Budgeted Enrollment YR1'!A631</f>
        <v>Washoe</v>
      </c>
      <c r="B631" s="40">
        <f>'1.2 Budgeted Enrollment YR1'!B631</f>
        <v>16</v>
      </c>
      <c r="C631" s="40">
        <f>'1.2 Budgeted Enrollment YR1'!C631</f>
        <v>16</v>
      </c>
      <c r="D631" s="40" t="str">
        <f>'1.2 Budgeted Enrollment YR1'!D631</f>
        <v>Reno/Sparks</v>
      </c>
      <c r="E631" s="38" t="str">
        <f>'1.2 Budgeted Enrollment YR1'!E631</f>
        <v>BUD BEASLEY ELEMENTARY</v>
      </c>
      <c r="F631" s="590"/>
      <c r="G631" s="220">
        <f>'1.2 Budgeted Enrollment YR1'!G631+('1.2 Budgeted Enrollment YR1'!G631*$Q$2)</f>
        <v>603.29706929458166</v>
      </c>
      <c r="H631" s="219">
        <v>0</v>
      </c>
      <c r="I631" s="220">
        <v>0</v>
      </c>
      <c r="J631" s="219">
        <v>0</v>
      </c>
      <c r="K631" s="220">
        <v>0</v>
      </c>
      <c r="L631" s="73"/>
      <c r="M631" s="2"/>
      <c r="N631"/>
      <c r="O631"/>
      <c r="P631"/>
      <c r="Q631"/>
    </row>
    <row r="632" spans="1:17" ht="18" thickTop="1" thickBot="1" x14ac:dyDescent="0.35">
      <c r="A632" s="38" t="str">
        <f>'1.2 Budgeted Enrollment YR1'!A632</f>
        <v>Washoe</v>
      </c>
      <c r="B632" s="40">
        <f>'1.2 Budgeted Enrollment YR1'!B632</f>
        <v>16</v>
      </c>
      <c r="C632" s="40">
        <f>'1.2 Budgeted Enrollment YR1'!C632</f>
        <v>16</v>
      </c>
      <c r="D632" s="40" t="str">
        <f>'1.2 Budgeted Enrollment YR1'!D632</f>
        <v>Reno/Sparks</v>
      </c>
      <c r="E632" s="38" t="str">
        <f>'1.2 Budgeted Enrollment YR1'!E632</f>
        <v>CAUGHLIN RANCH ELEMENTARY</v>
      </c>
      <c r="F632" s="590"/>
      <c r="G632" s="220">
        <f>'1.2 Budgeted Enrollment YR1'!G632+('1.2 Budgeted Enrollment YR1'!G632*$Q$2)</f>
        <v>478.66480328962808</v>
      </c>
      <c r="H632" s="219">
        <v>0</v>
      </c>
      <c r="I632" s="220">
        <v>0</v>
      </c>
      <c r="J632" s="219">
        <v>0</v>
      </c>
      <c r="K632" s="220">
        <v>0</v>
      </c>
      <c r="L632" s="73"/>
      <c r="M632" s="2"/>
      <c r="N632"/>
      <c r="O632"/>
      <c r="P632"/>
      <c r="Q632"/>
    </row>
    <row r="633" spans="1:17" ht="18" thickTop="1" thickBot="1" x14ac:dyDescent="0.35">
      <c r="A633" s="38" t="str">
        <f>'1.2 Budgeted Enrollment YR1'!A633</f>
        <v>Washoe</v>
      </c>
      <c r="B633" s="40">
        <f>'1.2 Budgeted Enrollment YR1'!B633</f>
        <v>16</v>
      </c>
      <c r="C633" s="40">
        <f>'1.2 Budgeted Enrollment YR1'!C633</f>
        <v>16</v>
      </c>
      <c r="D633" s="40" t="str">
        <f>'1.2 Budgeted Enrollment YR1'!D633</f>
        <v>Bordertown</v>
      </c>
      <c r="E633" s="38" t="str">
        <f>'1.2 Budgeted Enrollment YR1'!E633</f>
        <v>COLD SPRINGS MIDDLE SCHOOL</v>
      </c>
      <c r="F633" s="590"/>
      <c r="G633" s="220">
        <f>'1.2 Budgeted Enrollment YR1'!G633+('1.2 Budgeted Enrollment YR1'!G633*$Q$2)</f>
        <v>649.70804129315002</v>
      </c>
      <c r="H633" s="219">
        <v>0</v>
      </c>
      <c r="I633" s="220">
        <v>0</v>
      </c>
      <c r="J633" s="219">
        <v>0</v>
      </c>
      <c r="K633" s="220">
        <v>0</v>
      </c>
      <c r="L633" s="73"/>
      <c r="M633" s="2"/>
      <c r="N633"/>
      <c r="O633"/>
      <c r="P633"/>
      <c r="Q633"/>
    </row>
    <row r="634" spans="1:17" ht="18" thickTop="1" thickBot="1" x14ac:dyDescent="0.35">
      <c r="A634" s="38" t="str">
        <f>'1.2 Budgeted Enrollment YR1'!A634</f>
        <v>Washoe</v>
      </c>
      <c r="B634" s="40">
        <f>'1.2 Budgeted Enrollment YR1'!B634</f>
        <v>16</v>
      </c>
      <c r="C634" s="40">
        <f>'1.2 Budgeted Enrollment YR1'!C634</f>
        <v>16</v>
      </c>
      <c r="D634" s="40" t="str">
        <f>'1.2 Budgeted Enrollment YR1'!D634</f>
        <v>Reno/Sparks</v>
      </c>
      <c r="E634" s="38" t="str">
        <f>'1.2 Budgeted Enrollment YR1'!E634</f>
        <v>DAMONTE RANCH HIGH SCHOOL</v>
      </c>
      <c r="F634" s="590"/>
      <c r="G634" s="220">
        <f>'1.2 Budgeted Enrollment YR1'!G634+('1.2 Budgeted Enrollment YR1'!G634*$Q$2)</f>
        <v>1874.2595935905035</v>
      </c>
      <c r="H634" s="219">
        <v>0</v>
      </c>
      <c r="I634" s="220">
        <v>0</v>
      </c>
      <c r="J634" s="219">
        <v>0</v>
      </c>
      <c r="K634" s="220">
        <v>0</v>
      </c>
      <c r="L634" s="73"/>
      <c r="M634" s="2"/>
      <c r="N634"/>
      <c r="O634"/>
      <c r="P634"/>
      <c r="Q634"/>
    </row>
    <row r="635" spans="1:17" ht="18" thickTop="1" thickBot="1" x14ac:dyDescent="0.35">
      <c r="A635" s="38" t="str">
        <f>'1.2 Budgeted Enrollment YR1'!A635</f>
        <v>Washoe</v>
      </c>
      <c r="B635" s="40">
        <f>'1.2 Budgeted Enrollment YR1'!B635</f>
        <v>16</v>
      </c>
      <c r="C635" s="40">
        <f>'1.2 Budgeted Enrollment YR1'!C635</f>
        <v>16</v>
      </c>
      <c r="D635" s="40" t="str">
        <f>'1.2 Budgeted Enrollment YR1'!D635</f>
        <v>Reno/Sparks</v>
      </c>
      <c r="E635" s="38" t="str">
        <f>'1.2 Budgeted Enrollment YR1'!E635</f>
        <v>DARREL SWOPE MIDDLE SCHOOL</v>
      </c>
      <c r="F635" s="590"/>
      <c r="G635" s="220">
        <f>'1.2 Budgeted Enrollment YR1'!G635+('1.2 Budgeted Enrollment YR1'!G635*$Q$2)</f>
        <v>942.47181654664939</v>
      </c>
      <c r="H635" s="219">
        <v>0</v>
      </c>
      <c r="I635" s="220">
        <v>0</v>
      </c>
      <c r="J635" s="219">
        <v>0</v>
      </c>
      <c r="K635" s="220">
        <v>0</v>
      </c>
      <c r="L635" s="73"/>
      <c r="M635" s="2"/>
      <c r="N635"/>
      <c r="O635"/>
      <c r="P635"/>
      <c r="Q635"/>
    </row>
    <row r="636" spans="1:17" ht="18" thickTop="1" thickBot="1" x14ac:dyDescent="0.35">
      <c r="A636" s="38" t="str">
        <f>'1.2 Budgeted Enrollment YR1'!A636</f>
        <v>Washoe</v>
      </c>
      <c r="B636" s="40">
        <f>'1.2 Budgeted Enrollment YR1'!B636</f>
        <v>16</v>
      </c>
      <c r="C636" s="40">
        <f>'1.2 Budgeted Enrollment YR1'!C636</f>
        <v>16</v>
      </c>
      <c r="D636" s="40" t="str">
        <f>'1.2 Budgeted Enrollment YR1'!D636</f>
        <v>Reno/Sparks</v>
      </c>
      <c r="E636" s="38" t="str">
        <f>'1.2 Budgeted Enrollment YR1'!E636</f>
        <v>DESERT HEIGHTS ELEMENTARY</v>
      </c>
      <c r="F636" s="590"/>
      <c r="G636" s="220">
        <f>'1.2 Budgeted Enrollment YR1'!G636+('1.2 Budgeted Enrollment YR1'!G636*$Q$2)</f>
        <v>441.01793484301083</v>
      </c>
      <c r="H636" s="219">
        <v>0</v>
      </c>
      <c r="I636" s="220">
        <v>0</v>
      </c>
      <c r="J636" s="219">
        <v>0</v>
      </c>
      <c r="K636" s="220">
        <v>0</v>
      </c>
      <c r="L636" s="73"/>
      <c r="M636" s="2"/>
      <c r="N636"/>
      <c r="O636"/>
      <c r="P636"/>
      <c r="Q636"/>
    </row>
    <row r="637" spans="1:17" ht="18" thickTop="1" thickBot="1" x14ac:dyDescent="0.35">
      <c r="A637" s="38" t="str">
        <f>'1.2 Budgeted Enrollment YR1'!A637</f>
        <v>Washoe</v>
      </c>
      <c r="B637" s="40">
        <f>'1.2 Budgeted Enrollment YR1'!B637</f>
        <v>16</v>
      </c>
      <c r="C637" s="40">
        <f>'1.2 Budgeted Enrollment YR1'!C637</f>
        <v>16</v>
      </c>
      <c r="D637" s="40" t="str">
        <f>'1.2 Budgeted Enrollment YR1'!D637</f>
        <v>Reno/Sparks</v>
      </c>
      <c r="E637" s="38" t="str">
        <f>'1.2 Budgeted Enrollment YR1'!E637</f>
        <v>DESERT SKIES MIDDLE SCHOOL</v>
      </c>
      <c r="F637" s="590"/>
      <c r="G637" s="220">
        <f>'1.2 Budgeted Enrollment YR1'!G637+('1.2 Budgeted Enrollment YR1'!G637*$Q$2)</f>
        <v>958.35720676830886</v>
      </c>
      <c r="H637" s="219">
        <v>0</v>
      </c>
      <c r="I637" s="220">
        <v>0</v>
      </c>
      <c r="J637" s="219">
        <v>0</v>
      </c>
      <c r="K637" s="220">
        <v>0</v>
      </c>
      <c r="L637" s="73"/>
      <c r="M637" s="2"/>
      <c r="N637"/>
      <c r="O637"/>
      <c r="P637"/>
      <c r="Q637"/>
    </row>
    <row r="638" spans="1:17" ht="18" thickTop="1" thickBot="1" x14ac:dyDescent="0.35">
      <c r="A638" s="38" t="str">
        <f>'1.2 Budgeted Enrollment YR1'!A638</f>
        <v>Washoe</v>
      </c>
      <c r="B638" s="40">
        <f>'1.2 Budgeted Enrollment YR1'!B638</f>
        <v>16</v>
      </c>
      <c r="C638" s="40">
        <f>'1.2 Budgeted Enrollment YR1'!C638</f>
        <v>16</v>
      </c>
      <c r="D638" s="40" t="str">
        <f>'1.2 Budgeted Enrollment YR1'!D638</f>
        <v>Reno/Sparks</v>
      </c>
      <c r="E638" s="38" t="str">
        <f>'1.2 Budgeted Enrollment YR1'!E638</f>
        <v>DONNER SPRINGS ELEMENTARY</v>
      </c>
      <c r="F638" s="590"/>
      <c r="G638" s="220">
        <f>'1.2 Budgeted Enrollment YR1'!G638+('1.2 Budgeted Enrollment YR1'!G638*$Q$2)</f>
        <v>455.18177028332974</v>
      </c>
      <c r="H638" s="219">
        <v>0</v>
      </c>
      <c r="I638" s="220">
        <v>0</v>
      </c>
      <c r="J638" s="219">
        <v>0</v>
      </c>
      <c r="K638" s="220">
        <v>0</v>
      </c>
      <c r="L638" s="73"/>
      <c r="M638" s="2"/>
      <c r="N638"/>
      <c r="O638"/>
      <c r="P638"/>
      <c r="Q638"/>
    </row>
    <row r="639" spans="1:17" ht="18" thickTop="1" thickBot="1" x14ac:dyDescent="0.35">
      <c r="A639" s="38" t="str">
        <f>'1.2 Budgeted Enrollment YR1'!A639</f>
        <v>Washoe</v>
      </c>
      <c r="B639" s="40">
        <f>'1.2 Budgeted Enrollment YR1'!B639</f>
        <v>16</v>
      </c>
      <c r="C639" s="40">
        <f>'1.2 Budgeted Enrollment YR1'!C639</f>
        <v>16</v>
      </c>
      <c r="D639" s="40" t="str">
        <f>'1.2 Budgeted Enrollment YR1'!D639</f>
        <v>Reno/Sparks</v>
      </c>
      <c r="E639" s="38" t="str">
        <f>'1.2 Budgeted Enrollment YR1'!E639</f>
        <v>DOROTHY LEMELSON S.T.E.M. ACADEMY ES</v>
      </c>
      <c r="F639" s="590"/>
      <c r="G639" s="220">
        <f>'1.2 Budgeted Enrollment YR1'!G639+('1.2 Budgeted Enrollment YR1'!G639*$Q$2)</f>
        <v>282.33492235056383</v>
      </c>
      <c r="H639" s="219">
        <v>0</v>
      </c>
      <c r="I639" s="220">
        <v>0</v>
      </c>
      <c r="J639" s="219">
        <v>0</v>
      </c>
      <c r="K639" s="220">
        <v>0</v>
      </c>
      <c r="L639" s="73"/>
      <c r="M639" s="2"/>
      <c r="N639"/>
      <c r="O639"/>
      <c r="P639"/>
      <c r="Q639"/>
    </row>
    <row r="640" spans="1:17" ht="18" thickTop="1" thickBot="1" x14ac:dyDescent="0.35">
      <c r="A640" s="38" t="str">
        <f>'1.2 Budgeted Enrollment YR1'!A640</f>
        <v>Washoe</v>
      </c>
      <c r="B640" s="40">
        <f>'1.2 Budgeted Enrollment YR1'!B640</f>
        <v>16</v>
      </c>
      <c r="C640" s="40">
        <f>'1.2 Budgeted Enrollment YR1'!C640</f>
        <v>16</v>
      </c>
      <c r="D640" s="40" t="str">
        <f>'1.2 Budgeted Enrollment YR1'!D640</f>
        <v>Reno/Sparks</v>
      </c>
      <c r="E640" s="38" t="str">
        <f>'1.2 Budgeted Enrollment YR1'!E640</f>
        <v>DOUBLE DIAMOND ELEMENTARY</v>
      </c>
      <c r="F640" s="590"/>
      <c r="G640" s="220">
        <f>'1.2 Budgeted Enrollment YR1'!G640+('1.2 Budgeted Enrollment YR1'!G640*$Q$2)</f>
        <v>523.86970066318179</v>
      </c>
      <c r="H640" s="219">
        <v>0</v>
      </c>
      <c r="I640" s="220">
        <v>0</v>
      </c>
      <c r="J640" s="219">
        <v>0</v>
      </c>
      <c r="K640" s="220">
        <v>0</v>
      </c>
      <c r="L640" s="73"/>
      <c r="M640" s="2"/>
      <c r="N640"/>
      <c r="O640"/>
      <c r="P640"/>
      <c r="Q640"/>
    </row>
    <row r="641" spans="1:17" ht="18" thickTop="1" thickBot="1" x14ac:dyDescent="0.35">
      <c r="A641" s="38" t="str">
        <f>'1.2 Budgeted Enrollment YR1'!A641</f>
        <v>Washoe</v>
      </c>
      <c r="B641" s="40">
        <f>'1.2 Budgeted Enrollment YR1'!B641</f>
        <v>16</v>
      </c>
      <c r="C641" s="40">
        <f>'1.2 Budgeted Enrollment YR1'!C641</f>
        <v>16</v>
      </c>
      <c r="D641" s="40" t="str">
        <f>'1.2 Budgeted Enrollment YR1'!D641</f>
        <v>Reno/Sparks</v>
      </c>
      <c r="E641" s="38" t="str">
        <f>'1.2 Budgeted Enrollment YR1'!E641</f>
        <v>E. OTIS VAUGHN MIDDLE SCHOOL</v>
      </c>
      <c r="F641" s="590"/>
      <c r="G641" s="220">
        <f>'1.2 Budgeted Enrollment YR1'!G641+('1.2 Budgeted Enrollment YR1'!G641*$Q$2)</f>
        <v>650.23941859709873</v>
      </c>
      <c r="H641" s="219">
        <v>0</v>
      </c>
      <c r="I641" s="220">
        <v>0</v>
      </c>
      <c r="J641" s="219">
        <v>0</v>
      </c>
      <c r="K641" s="220">
        <v>0</v>
      </c>
      <c r="L641" s="73"/>
      <c r="M641" s="2"/>
      <c r="N641"/>
      <c r="O641"/>
      <c r="P641"/>
      <c r="Q641"/>
    </row>
    <row r="642" spans="1:17" ht="18" thickTop="1" thickBot="1" x14ac:dyDescent="0.35">
      <c r="A642" s="38" t="str">
        <f>'1.2 Budgeted Enrollment YR1'!A642</f>
        <v>Washoe</v>
      </c>
      <c r="B642" s="40">
        <f>'1.2 Budgeted Enrollment YR1'!B642</f>
        <v>16</v>
      </c>
      <c r="C642" s="40">
        <f>'1.2 Budgeted Enrollment YR1'!C642</f>
        <v>16</v>
      </c>
      <c r="D642" s="40" t="str">
        <f>'1.2 Budgeted Enrollment YR1'!D642</f>
        <v>Reno/Sparks</v>
      </c>
      <c r="E642" s="38" t="str">
        <f>'1.2 Budgeted Enrollment YR1'!E642</f>
        <v>EARL WOOSTER HIGH SCHOOL</v>
      </c>
      <c r="F642" s="590"/>
      <c r="G642" s="220">
        <f>'1.2 Budgeted Enrollment YR1'!G642+('1.2 Budgeted Enrollment YR1'!G642*$Q$2)</f>
        <v>1476.6238226173127</v>
      </c>
      <c r="H642" s="219">
        <v>0</v>
      </c>
      <c r="I642" s="220">
        <v>0</v>
      </c>
      <c r="J642" s="219">
        <v>0</v>
      </c>
      <c r="K642" s="220">
        <v>0</v>
      </c>
      <c r="L642" s="73"/>
      <c r="M642" s="2"/>
      <c r="N642"/>
      <c r="O642"/>
      <c r="P642"/>
      <c r="Q642"/>
    </row>
    <row r="643" spans="1:17" ht="18" thickTop="1" thickBot="1" x14ac:dyDescent="0.35">
      <c r="A643" s="38" t="str">
        <f>'1.2 Budgeted Enrollment YR1'!A643</f>
        <v>Washoe</v>
      </c>
      <c r="B643" s="40">
        <f>'1.2 Budgeted Enrollment YR1'!B643</f>
        <v>16</v>
      </c>
      <c r="C643" s="40">
        <f>'1.2 Budgeted Enrollment YR1'!C643</f>
        <v>16</v>
      </c>
      <c r="D643" s="40" t="str">
        <f>'1.2 Budgeted Enrollment YR1'!D643</f>
        <v>Reno/Sparks</v>
      </c>
      <c r="E643" s="38" t="str">
        <f>'1.2 Budgeted Enrollment YR1'!E643</f>
        <v>ECHO LODER ELEMENTARY SCHOOL</v>
      </c>
      <c r="F643" s="590"/>
      <c r="G643" s="220">
        <f>'1.2 Budgeted Enrollment YR1'!G643+('1.2 Budgeted Enrollment YR1'!G643*$Q$2)</f>
        <v>372.65756659493434</v>
      </c>
      <c r="H643" s="219">
        <v>0</v>
      </c>
      <c r="I643" s="220">
        <v>0</v>
      </c>
      <c r="J643" s="219">
        <v>0</v>
      </c>
      <c r="K643" s="220">
        <v>0</v>
      </c>
      <c r="L643" s="73"/>
      <c r="M643" s="2"/>
      <c r="N643"/>
      <c r="O643"/>
      <c r="P643"/>
      <c r="Q643"/>
    </row>
    <row r="644" spans="1:17" ht="18" thickTop="1" thickBot="1" x14ac:dyDescent="0.35">
      <c r="A644" s="38" t="str">
        <f>'1.2 Budgeted Enrollment YR1'!A644</f>
        <v>Washoe</v>
      </c>
      <c r="B644" s="40">
        <f>'1.2 Budgeted Enrollment YR1'!B644</f>
        <v>16</v>
      </c>
      <c r="C644" s="40">
        <f>'1.2 Budgeted Enrollment YR1'!C644</f>
        <v>16</v>
      </c>
      <c r="D644" s="40" t="str">
        <f>'1.2 Budgeted Enrollment YR1'!D644</f>
        <v>Reno/Sparks</v>
      </c>
      <c r="E644" s="38" t="str">
        <f>'1.2 Budgeted Enrollment YR1'!E644</f>
        <v>EDWARD C. REED HIGH SCHOOL</v>
      </c>
      <c r="F644" s="590"/>
      <c r="G644" s="220">
        <f>'1.2 Budgeted Enrollment YR1'!G644+('1.2 Budgeted Enrollment YR1'!G644*$Q$2)</f>
        <v>2098.9171877589661</v>
      </c>
      <c r="H644" s="219">
        <v>0</v>
      </c>
      <c r="I644" s="220">
        <v>0</v>
      </c>
      <c r="J644" s="219">
        <v>0</v>
      </c>
      <c r="K644" s="220">
        <v>0</v>
      </c>
      <c r="L644" s="73"/>
      <c r="M644" s="2"/>
      <c r="N644"/>
      <c r="O644"/>
      <c r="P644"/>
      <c r="Q644"/>
    </row>
    <row r="645" spans="1:17" ht="18" thickTop="1" thickBot="1" x14ac:dyDescent="0.35">
      <c r="A645" s="38" t="str">
        <f>'1.2 Budgeted Enrollment YR1'!A645</f>
        <v>Washoe</v>
      </c>
      <c r="B645" s="40">
        <f>'1.2 Budgeted Enrollment YR1'!B645</f>
        <v>16</v>
      </c>
      <c r="C645" s="40">
        <f>'1.2 Budgeted Enrollment YR1'!C645</f>
        <v>16</v>
      </c>
      <c r="D645" s="40" t="str">
        <f>'1.2 Budgeted Enrollment YR1'!D645</f>
        <v>Reno/Sparks</v>
      </c>
      <c r="E645" s="38" t="str">
        <f>'1.2 Budgeted Enrollment YR1'!E645</f>
        <v>EDWARD L. PINE MIDDLE SCHOOL</v>
      </c>
      <c r="F645" s="590"/>
      <c r="G645" s="220">
        <f>'1.2 Budgeted Enrollment YR1'!G645+('1.2 Budgeted Enrollment YR1'!G645*$Q$2)</f>
        <v>834.57896166176135</v>
      </c>
      <c r="H645" s="219">
        <v>0</v>
      </c>
      <c r="I645" s="220">
        <v>0</v>
      </c>
      <c r="J645" s="219">
        <v>0</v>
      </c>
      <c r="K645" s="220">
        <v>0</v>
      </c>
      <c r="L645" s="73"/>
      <c r="M645" s="2"/>
      <c r="N645"/>
      <c r="O645"/>
      <c r="P645"/>
      <c r="Q645"/>
    </row>
    <row r="646" spans="1:17" ht="18" thickTop="1" thickBot="1" x14ac:dyDescent="0.35">
      <c r="A646" s="38" t="str">
        <f>'1.2 Budgeted Enrollment YR1'!A646</f>
        <v>Washoe</v>
      </c>
      <c r="B646" s="40">
        <f>'1.2 Budgeted Enrollment YR1'!B646</f>
        <v>16</v>
      </c>
      <c r="C646" s="40">
        <f>'1.2 Budgeted Enrollment YR1'!C646</f>
        <v>16</v>
      </c>
      <c r="D646" s="40" t="str">
        <f>'1.2 Budgeted Enrollment YR1'!D646</f>
        <v>Reno/Sparks</v>
      </c>
      <c r="E646" s="38" t="str">
        <f>'1.2 Budgeted Enrollment YR1'!E646</f>
        <v>EDWIN S. DODSON ELEMENTARY</v>
      </c>
      <c r="F646" s="590"/>
      <c r="G646" s="220">
        <f>'1.2 Budgeted Enrollment YR1'!G646+('1.2 Budgeted Enrollment YR1'!G646*$Q$2)</f>
        <v>232.45762908564865</v>
      </c>
      <c r="H646" s="219">
        <v>0</v>
      </c>
      <c r="I646" s="220">
        <v>0</v>
      </c>
      <c r="J646" s="219">
        <v>0</v>
      </c>
      <c r="K646" s="220">
        <v>0</v>
      </c>
      <c r="L646" s="73"/>
      <c r="M646" s="2"/>
      <c r="N646"/>
      <c r="O646"/>
      <c r="P646"/>
      <c r="Q646"/>
    </row>
    <row r="647" spans="1:17" ht="18" thickTop="1" thickBot="1" x14ac:dyDescent="0.35">
      <c r="A647" s="38" t="str">
        <f>'1.2 Budgeted Enrollment YR1'!A647</f>
        <v>Washoe</v>
      </c>
      <c r="B647" s="40">
        <f>'1.2 Budgeted Enrollment YR1'!B647</f>
        <v>16</v>
      </c>
      <c r="C647" s="40">
        <f>'1.2 Budgeted Enrollment YR1'!C647</f>
        <v>16</v>
      </c>
      <c r="D647" s="40" t="str">
        <f>'1.2 Budgeted Enrollment YR1'!D647</f>
        <v>Reno/Sparks</v>
      </c>
      <c r="E647" s="38" t="str">
        <f>'1.2 Budgeted Enrollment YR1'!E647</f>
        <v>ELIZABETH LENZ ELEMENTARY</v>
      </c>
      <c r="F647" s="590"/>
      <c r="G647" s="220">
        <f>'1.2 Budgeted Enrollment YR1'!G647+('1.2 Budgeted Enrollment YR1'!G647*$Q$2)</f>
        <v>470.7107502989092</v>
      </c>
      <c r="H647" s="219">
        <v>0</v>
      </c>
      <c r="I647" s="220">
        <v>0</v>
      </c>
      <c r="J647" s="219">
        <v>0</v>
      </c>
      <c r="K647" s="220">
        <v>0</v>
      </c>
      <c r="L647" s="73"/>
      <c r="M647" s="2"/>
      <c r="N647"/>
      <c r="O647"/>
      <c r="P647"/>
      <c r="Q647"/>
    </row>
    <row r="648" spans="1:17" ht="18" thickTop="1" thickBot="1" x14ac:dyDescent="0.35">
      <c r="A648" s="38" t="str">
        <f>'1.2 Budgeted Enrollment YR1'!A648</f>
        <v>Washoe</v>
      </c>
      <c r="B648" s="40">
        <f>'1.2 Budgeted Enrollment YR1'!B648</f>
        <v>16</v>
      </c>
      <c r="C648" s="40">
        <f>'1.2 Budgeted Enrollment YR1'!C648</f>
        <v>16</v>
      </c>
      <c r="D648" s="40" t="str">
        <f>'1.2 Budgeted Enrollment YR1'!D648</f>
        <v>Reno/Sparks</v>
      </c>
      <c r="E648" s="38" t="str">
        <f>'1.2 Budgeted Enrollment YR1'!E648</f>
        <v>ELMCREST ELEMENTARY</v>
      </c>
      <c r="F648" s="590"/>
      <c r="G648" s="220">
        <f>'1.2 Budgeted Enrollment YR1'!G648+('1.2 Budgeted Enrollment YR1'!G648*$Q$2)</f>
        <v>320.88277143738912</v>
      </c>
      <c r="H648" s="219">
        <v>0</v>
      </c>
      <c r="I648" s="220">
        <v>0</v>
      </c>
      <c r="J648" s="219">
        <v>0</v>
      </c>
      <c r="K648" s="220">
        <v>0</v>
      </c>
      <c r="L648" s="73"/>
      <c r="M648" s="2"/>
      <c r="N648"/>
      <c r="O648"/>
      <c r="P648"/>
      <c r="Q648"/>
    </row>
    <row r="649" spans="1:17" ht="18" thickTop="1" thickBot="1" x14ac:dyDescent="0.35">
      <c r="A649" s="38" t="str">
        <f>'1.2 Budgeted Enrollment YR1'!A649</f>
        <v>Washoe</v>
      </c>
      <c r="B649" s="40">
        <f>'1.2 Budgeted Enrollment YR1'!B649</f>
        <v>16</v>
      </c>
      <c r="C649" s="40">
        <f>'1.2 Budgeted Enrollment YR1'!C649</f>
        <v>16</v>
      </c>
      <c r="D649" s="40" t="str">
        <f>'1.2 Budgeted Enrollment YR1'!D649</f>
        <v>Stead</v>
      </c>
      <c r="E649" s="38" t="str">
        <f>'1.2 Budgeted Enrollment YR1'!E649</f>
        <v>ESTHER BENNETT ELEMENTARY</v>
      </c>
      <c r="F649" s="590"/>
      <c r="G649" s="220">
        <f>'1.2 Budgeted Enrollment YR1'!G649+('1.2 Budgeted Enrollment YR1'!G649*$Q$2)</f>
        <v>527.06729597837079</v>
      </c>
      <c r="H649" s="219">
        <v>0</v>
      </c>
      <c r="I649" s="220">
        <v>0</v>
      </c>
      <c r="J649" s="219">
        <v>0</v>
      </c>
      <c r="K649" s="220">
        <v>0</v>
      </c>
      <c r="L649" s="73"/>
      <c r="M649" s="2"/>
      <c r="N649"/>
      <c r="O649"/>
      <c r="P649"/>
      <c r="Q649"/>
    </row>
    <row r="650" spans="1:17" ht="18" thickTop="1" thickBot="1" x14ac:dyDescent="0.35">
      <c r="A650" s="38" t="str">
        <f>'1.2 Budgeted Enrollment YR1'!A650</f>
        <v>Washoe</v>
      </c>
      <c r="B650" s="40">
        <f>'1.2 Budgeted Enrollment YR1'!B650</f>
        <v>16</v>
      </c>
      <c r="C650" s="40">
        <f>'1.2 Budgeted Enrollment YR1'!C650</f>
        <v>16</v>
      </c>
      <c r="D650" s="40" t="str">
        <f>'1.2 Budgeted Enrollment YR1'!D650</f>
        <v>Reno/Sparks</v>
      </c>
      <c r="E650" s="38" t="str">
        <f>'1.2 Budgeted Enrollment YR1'!E650</f>
        <v>FLORENCE DRAKE ELEMENTARY</v>
      </c>
      <c r="F650" s="590"/>
      <c r="G650" s="220">
        <f>'1.2 Budgeted Enrollment YR1'!G650+('1.2 Budgeted Enrollment YR1'!G650*$Q$2)</f>
        <v>223.70073614213663</v>
      </c>
      <c r="H650" s="219">
        <v>0</v>
      </c>
      <c r="I650" s="220">
        <v>0</v>
      </c>
      <c r="J650" s="219">
        <v>0</v>
      </c>
      <c r="K650" s="220">
        <v>0</v>
      </c>
      <c r="L650" s="73"/>
      <c r="M650" s="2"/>
      <c r="N650"/>
      <c r="O650"/>
      <c r="P650"/>
      <c r="Q650"/>
    </row>
    <row r="651" spans="1:17" ht="18" thickTop="1" thickBot="1" x14ac:dyDescent="0.35">
      <c r="A651" s="38" t="str">
        <f>'1.2 Budgeted Enrollment YR1'!A651</f>
        <v>Washoe</v>
      </c>
      <c r="B651" s="40">
        <f>'1.2 Budgeted Enrollment YR1'!B651</f>
        <v>16</v>
      </c>
      <c r="C651" s="40">
        <f>'1.2 Budgeted Enrollment YR1'!C651</f>
        <v>16</v>
      </c>
      <c r="D651" s="40" t="str">
        <f>'1.2 Budgeted Enrollment YR1'!D651</f>
        <v>Reno/Sparks</v>
      </c>
      <c r="E651" s="38" t="str">
        <f>'1.2 Budgeted Enrollment YR1'!E651</f>
        <v>FRED W. TRANER MIDDLE SCHOOL</v>
      </c>
      <c r="F651" s="590"/>
      <c r="G651" s="220">
        <f>'1.2 Budgeted Enrollment YR1'!G651+('1.2 Budgeted Enrollment YR1'!G651*$Q$2)</f>
        <v>539.71969302052025</v>
      </c>
      <c r="H651" s="219">
        <v>0</v>
      </c>
      <c r="I651" s="220">
        <v>0</v>
      </c>
      <c r="J651" s="219">
        <v>0</v>
      </c>
      <c r="K651" s="220">
        <v>0</v>
      </c>
      <c r="L651" s="73"/>
      <c r="M651" s="2"/>
      <c r="N651"/>
      <c r="O651"/>
      <c r="P651"/>
      <c r="Q651"/>
    </row>
    <row r="652" spans="1:17" ht="18" thickTop="1" thickBot="1" x14ac:dyDescent="0.35">
      <c r="A652" s="38" t="str">
        <f>'1.2 Budgeted Enrollment YR1'!A652</f>
        <v>Washoe</v>
      </c>
      <c r="B652" s="40">
        <f>'1.2 Budgeted Enrollment YR1'!B652</f>
        <v>16</v>
      </c>
      <c r="C652" s="40">
        <f>'1.2 Budgeted Enrollment YR1'!C652</f>
        <v>16</v>
      </c>
      <c r="D652" s="40" t="str">
        <f>'1.2 Budgeted Enrollment YR1'!D652</f>
        <v>Reno/Sparks</v>
      </c>
      <c r="E652" s="38" t="str">
        <f>'1.2 Budgeted Enrollment YR1'!E652</f>
        <v>GALENA HIGH SCHOOL</v>
      </c>
      <c r="F652" s="590"/>
      <c r="G652" s="220">
        <f>'1.2 Budgeted Enrollment YR1'!G652+('1.2 Budgeted Enrollment YR1'!G652*$Q$2)</f>
        <v>1244.5788151993279</v>
      </c>
      <c r="H652" s="219">
        <v>0</v>
      </c>
      <c r="I652" s="220">
        <v>0</v>
      </c>
      <c r="J652" s="219">
        <v>0</v>
      </c>
      <c r="K652" s="220">
        <v>0</v>
      </c>
      <c r="L652" s="73"/>
      <c r="M652" s="2"/>
      <c r="N652"/>
      <c r="O652"/>
      <c r="P652"/>
      <c r="Q652"/>
    </row>
    <row r="653" spans="1:17" ht="18" thickTop="1" thickBot="1" x14ac:dyDescent="0.35">
      <c r="A653" s="38" t="str">
        <f>'1.2 Budgeted Enrollment YR1'!A653</f>
        <v>Washoe</v>
      </c>
      <c r="B653" s="40">
        <f>'1.2 Budgeted Enrollment YR1'!B653</f>
        <v>16</v>
      </c>
      <c r="C653" s="40">
        <f>'1.2 Budgeted Enrollment YR1'!C653</f>
        <v>16</v>
      </c>
      <c r="D653" s="40" t="str">
        <f>'1.2 Budgeted Enrollment YR1'!D653</f>
        <v>Reno/Sparks</v>
      </c>
      <c r="E653" s="38" t="str">
        <f>'1.2 Budgeted Enrollment YR1'!E653</f>
        <v>GEORGE L. DILWORTH S.T.E.M ACADEMY</v>
      </c>
      <c r="F653" s="590"/>
      <c r="G653" s="220">
        <f>'1.2 Budgeted Enrollment YR1'!G653+('1.2 Budgeted Enrollment YR1'!G653*$Q$2)</f>
        <v>605.49581590016192</v>
      </c>
      <c r="H653" s="219">
        <v>0</v>
      </c>
      <c r="I653" s="220">
        <v>0</v>
      </c>
      <c r="J653" s="219">
        <v>0</v>
      </c>
      <c r="K653" s="220">
        <v>0</v>
      </c>
      <c r="L653" s="73"/>
      <c r="M653" s="2"/>
      <c r="N653"/>
      <c r="O653"/>
      <c r="P653"/>
      <c r="Q653"/>
    </row>
    <row r="654" spans="1:17" ht="18" thickTop="1" thickBot="1" x14ac:dyDescent="0.35">
      <c r="A654" s="38" t="str">
        <f>'1.2 Budgeted Enrollment YR1'!A654</f>
        <v>Washoe</v>
      </c>
      <c r="B654" s="40">
        <f>'1.2 Budgeted Enrollment YR1'!B654</f>
        <v>16</v>
      </c>
      <c r="C654" s="40">
        <f>'1.2 Budgeted Enrollment YR1'!C654</f>
        <v>16</v>
      </c>
      <c r="D654" s="40" t="str">
        <f>'1.2 Budgeted Enrollment YR1'!D654</f>
        <v>Reno/Sparks</v>
      </c>
      <c r="E654" s="38" t="str">
        <f>'1.2 Budgeted Enrollment YR1'!E654</f>
        <v>GEORGE WESTERGARD ELEMENTARY</v>
      </c>
      <c r="F654" s="590"/>
      <c r="G654" s="220">
        <f>'1.2 Budgeted Enrollment YR1'!G654+('1.2 Budgeted Enrollment YR1'!G654*$Q$2)</f>
        <v>479.85955634240764</v>
      </c>
      <c r="H654" s="219">
        <v>0</v>
      </c>
      <c r="I654" s="220">
        <v>0</v>
      </c>
      <c r="J654" s="219">
        <v>0</v>
      </c>
      <c r="K654" s="220">
        <v>0</v>
      </c>
      <c r="L654" s="73"/>
      <c r="M654" s="2"/>
      <c r="N654"/>
      <c r="O654"/>
      <c r="P654"/>
      <c r="Q654"/>
    </row>
    <row r="655" spans="1:17" ht="18" thickTop="1" thickBot="1" x14ac:dyDescent="0.35">
      <c r="A655" s="38" t="str">
        <f>'1.2 Budgeted Enrollment YR1'!A655</f>
        <v>Washoe</v>
      </c>
      <c r="B655" s="40">
        <f>'1.2 Budgeted Enrollment YR1'!B655</f>
        <v>16</v>
      </c>
      <c r="C655" s="40">
        <f>'1.2 Budgeted Enrollment YR1'!C655</f>
        <v>16</v>
      </c>
      <c r="D655" s="40" t="str">
        <f>'1.2 Budgeted Enrollment YR1'!D655</f>
        <v>Gerlach</v>
      </c>
      <c r="E655" s="38" t="str">
        <f>'1.2 Budgeted Enrollment YR1'!E655</f>
        <v>GERLACH K-12 SCHOOL</v>
      </c>
      <c r="F655" s="590"/>
      <c r="G655" s="220">
        <f>'1.2 Budgeted Enrollment YR1'!G655+('1.2 Budgeted Enrollment YR1'!G655*$Q$2)</f>
        <v>19.215021764593018</v>
      </c>
      <c r="H655" s="219">
        <v>0</v>
      </c>
      <c r="I655" s="220">
        <v>0</v>
      </c>
      <c r="J655" s="219">
        <v>0</v>
      </c>
      <c r="K655" s="220">
        <v>0</v>
      </c>
      <c r="L655" s="73"/>
      <c r="M655" s="2"/>
      <c r="N655"/>
      <c r="O655"/>
      <c r="P655"/>
      <c r="Q655"/>
    </row>
    <row r="656" spans="1:17" ht="18" thickTop="1" thickBot="1" x14ac:dyDescent="0.35">
      <c r="A656" s="38" t="str">
        <f>'1.2 Budgeted Enrollment YR1'!A656</f>
        <v>Washoe</v>
      </c>
      <c r="B656" s="40">
        <f>'1.2 Budgeted Enrollment YR1'!B656</f>
        <v>16</v>
      </c>
      <c r="C656" s="40">
        <f>'1.2 Budgeted Enrollment YR1'!C656</f>
        <v>16</v>
      </c>
      <c r="D656" s="40" t="str">
        <f>'1.2 Budgeted Enrollment YR1'!D656</f>
        <v>Reno/Sparks</v>
      </c>
      <c r="E656" s="38" t="str">
        <f>'1.2 Budgeted Enrollment YR1'!E656</f>
        <v>GLENN DUNCAN S.T.E.M. ACADEMY</v>
      </c>
      <c r="F656" s="590"/>
      <c r="G656" s="220">
        <f>'1.2 Budgeted Enrollment YR1'!G656+('1.2 Budgeted Enrollment YR1'!G656*$Q$2)</f>
        <v>348.30753113552834</v>
      </c>
      <c r="H656" s="219">
        <v>0</v>
      </c>
      <c r="I656" s="220">
        <v>0</v>
      </c>
      <c r="J656" s="219">
        <v>0</v>
      </c>
      <c r="K656" s="220">
        <v>0</v>
      </c>
      <c r="L656" s="73"/>
      <c r="M656" s="2"/>
      <c r="N656"/>
      <c r="O656"/>
      <c r="P656"/>
      <c r="Q656"/>
    </row>
    <row r="657" spans="1:17" ht="18" thickTop="1" thickBot="1" x14ac:dyDescent="0.35">
      <c r="A657" s="38" t="str">
        <f>'1.2 Budgeted Enrollment YR1'!A657</f>
        <v>Washoe</v>
      </c>
      <c r="B657" s="40">
        <f>'1.2 Budgeted Enrollment YR1'!B657</f>
        <v>16</v>
      </c>
      <c r="C657" s="40">
        <f>'1.2 Budgeted Enrollment YR1'!C657</f>
        <v>16</v>
      </c>
      <c r="D657" s="40" t="str">
        <f>'1.2 Budgeted Enrollment YR1'!D657</f>
        <v>Reno/Sparks</v>
      </c>
      <c r="E657" s="38" t="str">
        <f>'1.2 Budgeted Enrollment YR1'!E657</f>
        <v>GRACE WARNER ELEMENTARY</v>
      </c>
      <c r="F657" s="590"/>
      <c r="G657" s="220">
        <f>'1.2 Budgeted Enrollment YR1'!G657+('1.2 Budgeted Enrollment YR1'!G657*$Q$2)</f>
        <v>398.46374473574235</v>
      </c>
      <c r="H657" s="219">
        <v>0</v>
      </c>
      <c r="I657" s="220">
        <v>0</v>
      </c>
      <c r="J657" s="219">
        <v>0</v>
      </c>
      <c r="K657" s="220">
        <v>0</v>
      </c>
      <c r="L657" s="73"/>
      <c r="M657" s="2"/>
      <c r="N657"/>
      <c r="O657"/>
      <c r="P657"/>
      <c r="Q657"/>
    </row>
    <row r="658" spans="1:17" ht="18" thickTop="1" thickBot="1" x14ac:dyDescent="0.35">
      <c r="A658" s="38" t="str">
        <f>'1.2 Budgeted Enrollment YR1'!A658</f>
        <v>Washoe</v>
      </c>
      <c r="B658" s="40">
        <f>'1.2 Budgeted Enrollment YR1'!B658</f>
        <v>16</v>
      </c>
      <c r="C658" s="40">
        <f>'1.2 Budgeted Enrollment YR1'!C658</f>
        <v>16</v>
      </c>
      <c r="D658" s="40" t="str">
        <f>'1.2 Budgeted Enrollment YR1'!D658</f>
        <v>Reno/Sparks</v>
      </c>
      <c r="E658" s="38" t="str">
        <f>'1.2 Budgeted Enrollment YR1'!E658</f>
        <v>GREENBRAE ELEMENTARY</v>
      </c>
      <c r="F658" s="590"/>
      <c r="G658" s="220">
        <f>'1.2 Budgeted Enrollment YR1'!G658+('1.2 Budgeted Enrollment YR1'!G658*$Q$2)</f>
        <v>322.75391796118237</v>
      </c>
      <c r="H658" s="219">
        <v>0</v>
      </c>
      <c r="I658" s="220">
        <v>0</v>
      </c>
      <c r="J658" s="219">
        <v>0</v>
      </c>
      <c r="K658" s="220">
        <v>0</v>
      </c>
      <c r="L658" s="73"/>
      <c r="M658" s="2"/>
      <c r="N658"/>
      <c r="O658"/>
      <c r="P658"/>
      <c r="Q658"/>
    </row>
    <row r="659" spans="1:17" ht="18" thickTop="1" thickBot="1" x14ac:dyDescent="0.35">
      <c r="A659" s="38" t="str">
        <f>'1.2 Budgeted Enrollment YR1'!A659</f>
        <v>Washoe</v>
      </c>
      <c r="B659" s="40">
        <f>'1.2 Budgeted Enrollment YR1'!B659</f>
        <v>16</v>
      </c>
      <c r="C659" s="40">
        <f>'1.2 Budgeted Enrollment YR1'!C659</f>
        <v>16</v>
      </c>
      <c r="D659" s="40" t="str">
        <f>'1.2 Budgeted Enrollment YR1'!D659</f>
        <v>Reno/Sparks</v>
      </c>
      <c r="E659" s="38" t="str">
        <f>'1.2 Budgeted Enrollment YR1'!E659</f>
        <v>HIDDEN VALLEY ELEMENTARY</v>
      </c>
      <c r="F659" s="590"/>
      <c r="G659" s="220">
        <f>'1.2 Budgeted Enrollment YR1'!G659+('1.2 Budgeted Enrollment YR1'!G659*$Q$2)</f>
        <v>226.69888933992524</v>
      </c>
      <c r="H659" s="219">
        <v>0</v>
      </c>
      <c r="I659" s="220">
        <v>0</v>
      </c>
      <c r="J659" s="219">
        <v>0</v>
      </c>
      <c r="K659" s="220">
        <v>0</v>
      </c>
      <c r="L659" s="73"/>
      <c r="M659" s="2"/>
      <c r="N659"/>
      <c r="O659"/>
      <c r="P659"/>
      <c r="Q659"/>
    </row>
    <row r="660" spans="1:17" ht="18" thickTop="1" thickBot="1" x14ac:dyDescent="0.35">
      <c r="A660" s="38" t="str">
        <f>'1.2 Budgeted Enrollment YR1'!A660</f>
        <v>Washoe</v>
      </c>
      <c r="B660" s="40">
        <f>'1.2 Budgeted Enrollment YR1'!B660</f>
        <v>16</v>
      </c>
      <c r="C660" s="40">
        <f>'1.2 Budgeted Enrollment YR1'!C660</f>
        <v>16</v>
      </c>
      <c r="D660" s="40" t="str">
        <f>'1.2 Budgeted Enrollment YR1'!D660</f>
        <v>Reno/Sparks</v>
      </c>
      <c r="E660" s="38" t="str">
        <f>'1.2 Budgeted Enrollment YR1'!E660</f>
        <v>HUFFAKER ELEMENTARY</v>
      </c>
      <c r="F660" s="590"/>
      <c r="G660" s="220">
        <f>'1.2 Budgeted Enrollment YR1'!G660+('1.2 Budgeted Enrollment YR1'!G660*$Q$2)</f>
        <v>324.20299017303836</v>
      </c>
      <c r="H660" s="219">
        <v>0</v>
      </c>
      <c r="I660" s="220">
        <v>0</v>
      </c>
      <c r="J660" s="219">
        <v>0</v>
      </c>
      <c r="K660" s="220">
        <v>0</v>
      </c>
      <c r="L660" s="73"/>
      <c r="M660" s="2"/>
      <c r="N660"/>
      <c r="O660"/>
      <c r="P660"/>
      <c r="Q660"/>
    </row>
    <row r="661" spans="1:17" ht="18" thickTop="1" thickBot="1" x14ac:dyDescent="0.35">
      <c r="A661" s="38" t="str">
        <f>'1.2 Budgeted Enrollment YR1'!A661</f>
        <v>Washoe</v>
      </c>
      <c r="B661" s="40">
        <f>'1.2 Budgeted Enrollment YR1'!B661</f>
        <v>16</v>
      </c>
      <c r="C661" s="40">
        <f>'1.2 Budgeted Enrollment YR1'!C661</f>
        <v>16</v>
      </c>
      <c r="D661" s="40" t="str">
        <f>'1.2 Budgeted Enrollment YR1'!D661</f>
        <v>Reno/Sparks</v>
      </c>
      <c r="E661" s="38" t="str">
        <f>'1.2 Budgeted Enrollment YR1'!E661</f>
        <v>HUNTER LAKE ELEMENTARY</v>
      </c>
      <c r="F661" s="590"/>
      <c r="G661" s="220">
        <f>'1.2 Budgeted Enrollment YR1'!G661+('1.2 Budgeted Enrollment YR1'!G661*$Q$2)</f>
        <v>303.01631645766793</v>
      </c>
      <c r="H661" s="219">
        <v>0</v>
      </c>
      <c r="I661" s="220">
        <v>0</v>
      </c>
      <c r="J661" s="219">
        <v>0</v>
      </c>
      <c r="K661" s="220">
        <v>0</v>
      </c>
      <c r="L661" s="73"/>
      <c r="M661" s="2"/>
      <c r="N661"/>
      <c r="O661"/>
      <c r="P661"/>
      <c r="Q661"/>
    </row>
    <row r="662" spans="1:17" ht="18" thickTop="1" thickBot="1" x14ac:dyDescent="0.35">
      <c r="A662" s="38" t="str">
        <f>'1.2 Budgeted Enrollment YR1'!A662</f>
        <v>Washoe</v>
      </c>
      <c r="B662" s="40">
        <f>'1.2 Budgeted Enrollment YR1'!B662</f>
        <v>16</v>
      </c>
      <c r="C662" s="40">
        <f>'1.2 Budgeted Enrollment YR1'!C662</f>
        <v>16</v>
      </c>
      <c r="D662" s="40" t="str">
        <f>'1.2 Budgeted Enrollment YR1'!D662</f>
        <v>Incline Village</v>
      </c>
      <c r="E662" s="38" t="str">
        <f>'1.2 Budgeted Enrollment YR1'!E662</f>
        <v>INCLINE ELEMENTARY</v>
      </c>
      <c r="F662" s="590"/>
      <c r="G662" s="220">
        <f>'1.2 Budgeted Enrollment YR1'!G662+('1.2 Budgeted Enrollment YR1'!G662*$Q$2)</f>
        <v>232.84921977208384</v>
      </c>
      <c r="H662" s="219">
        <v>0</v>
      </c>
      <c r="I662" s="220">
        <v>0</v>
      </c>
      <c r="J662" s="219">
        <v>0</v>
      </c>
      <c r="K662" s="220">
        <v>0</v>
      </c>
      <c r="L662" s="73"/>
      <c r="M662" s="2"/>
      <c r="N662"/>
      <c r="O662"/>
      <c r="P662"/>
      <c r="Q662"/>
    </row>
    <row r="663" spans="1:17" ht="18" thickTop="1" thickBot="1" x14ac:dyDescent="0.35">
      <c r="A663" s="38" t="str">
        <f>'1.2 Budgeted Enrollment YR1'!A663</f>
        <v>Washoe</v>
      </c>
      <c r="B663" s="40">
        <f>'1.2 Budgeted Enrollment YR1'!B663</f>
        <v>16</v>
      </c>
      <c r="C663" s="40">
        <f>'1.2 Budgeted Enrollment YR1'!C663</f>
        <v>16</v>
      </c>
      <c r="D663" s="40" t="str">
        <f>'1.2 Budgeted Enrollment YR1'!D663</f>
        <v>Incline Village</v>
      </c>
      <c r="E663" s="38" t="str">
        <f>'1.2 Budgeted Enrollment YR1'!E663</f>
        <v>INCLINE HIGH SCHOOL</v>
      </c>
      <c r="F663" s="590"/>
      <c r="G663" s="220">
        <f>'1.2 Budgeted Enrollment YR1'!G663+('1.2 Budgeted Enrollment YR1'!G663*$Q$2)</f>
        <v>320.66495853823432</v>
      </c>
      <c r="H663" s="219">
        <v>0</v>
      </c>
      <c r="I663" s="220">
        <v>0</v>
      </c>
      <c r="J663" s="219">
        <v>0</v>
      </c>
      <c r="K663" s="220">
        <v>0</v>
      </c>
      <c r="L663" s="73"/>
      <c r="M663" s="2"/>
      <c r="N663"/>
      <c r="O663"/>
      <c r="P663"/>
      <c r="Q663"/>
    </row>
    <row r="664" spans="1:17" ht="18" thickTop="1" thickBot="1" x14ac:dyDescent="0.35">
      <c r="A664" s="38" t="str">
        <f>'1.2 Budgeted Enrollment YR1'!A664</f>
        <v>Washoe</v>
      </c>
      <c r="B664" s="40">
        <f>'1.2 Budgeted Enrollment YR1'!B664</f>
        <v>16</v>
      </c>
      <c r="C664" s="40">
        <f>'1.2 Budgeted Enrollment YR1'!C664</f>
        <v>16</v>
      </c>
      <c r="D664" s="40" t="str">
        <f>'1.2 Budgeted Enrollment YR1'!D664</f>
        <v>Incline Village</v>
      </c>
      <c r="E664" s="38" t="str">
        <f>'1.2 Budgeted Enrollment YR1'!E664</f>
        <v>INCLINE MIDDLE SCHOOL</v>
      </c>
      <c r="F664" s="590"/>
      <c r="G664" s="220">
        <f>'1.2 Budgeted Enrollment YR1'!G664+('1.2 Budgeted Enrollment YR1'!G664*$Q$2)</f>
        <v>141.12408660539256</v>
      </c>
      <c r="H664" s="219">
        <v>0</v>
      </c>
      <c r="I664" s="220">
        <v>0</v>
      </c>
      <c r="J664" s="219">
        <v>0</v>
      </c>
      <c r="K664" s="220">
        <v>0</v>
      </c>
      <c r="L664" s="73"/>
      <c r="M664" s="2"/>
      <c r="N664"/>
      <c r="O664"/>
      <c r="P664"/>
      <c r="Q664"/>
    </row>
    <row r="665" spans="1:17" ht="18" thickTop="1" thickBot="1" x14ac:dyDescent="0.35">
      <c r="A665" s="38" t="str">
        <f>'1.2 Budgeted Enrollment YR1'!A665</f>
        <v>Washoe</v>
      </c>
      <c r="B665" s="40">
        <f>'1.2 Budgeted Enrollment YR1'!B665</f>
        <v>16</v>
      </c>
      <c r="C665" s="40">
        <f>'1.2 Budgeted Enrollment YR1'!C665</f>
        <v>16</v>
      </c>
      <c r="D665" s="40" t="str">
        <f>'1.2 Budgeted Enrollment YR1'!D665</f>
        <v>Reno/Sparks</v>
      </c>
      <c r="E665" s="38" t="str">
        <f>'1.2 Budgeted Enrollment YR1'!E665</f>
        <v>INNOVATIONS HIGH SCHOOL</v>
      </c>
      <c r="F665" s="590"/>
      <c r="G665" s="220">
        <f>'1.2 Budgeted Enrollment YR1'!G665+('1.2 Budgeted Enrollment YR1'!G665*$Q$2)</f>
        <v>125.09294312897562</v>
      </c>
      <c r="H665" s="219">
        <v>0</v>
      </c>
      <c r="I665" s="220">
        <v>0</v>
      </c>
      <c r="J665" s="219">
        <v>0</v>
      </c>
      <c r="K665" s="220">
        <v>0</v>
      </c>
      <c r="L665" s="73"/>
      <c r="M665" s="2"/>
      <c r="N665"/>
      <c r="O665"/>
      <c r="P665"/>
      <c r="Q665"/>
    </row>
    <row r="666" spans="1:17" ht="18" thickTop="1" thickBot="1" x14ac:dyDescent="0.35">
      <c r="A666" s="38" t="str">
        <f>'1.2 Budgeted Enrollment YR1'!A666</f>
        <v>Washoe</v>
      </c>
      <c r="B666" s="40">
        <f>'1.2 Budgeted Enrollment YR1'!B666</f>
        <v>16</v>
      </c>
      <c r="C666" s="40">
        <f>'1.2 Budgeted Enrollment YR1'!C666</f>
        <v>16</v>
      </c>
      <c r="D666" s="40" t="str">
        <f>'1.2 Budgeted Enrollment YR1'!D666</f>
        <v>Reno/Sparks</v>
      </c>
      <c r="E666" s="38" t="str">
        <f>'1.2 Budgeted Enrollment YR1'!E666</f>
        <v>JERRY WHITEHEAD ELEMENTARY</v>
      </c>
      <c r="F666" s="590"/>
      <c r="G666" s="220">
        <f>'1.2 Budgeted Enrollment YR1'!G666+('1.2 Budgeted Enrollment YR1'!G666*$Q$2)</f>
        <v>264.86740585448831</v>
      </c>
      <c r="H666" s="219">
        <v>0</v>
      </c>
      <c r="I666" s="220">
        <v>0</v>
      </c>
      <c r="J666" s="219">
        <v>0</v>
      </c>
      <c r="K666" s="220">
        <v>0</v>
      </c>
      <c r="L666" s="73"/>
      <c r="M666" s="2"/>
      <c r="N666"/>
      <c r="O666"/>
      <c r="P666"/>
      <c r="Q666"/>
    </row>
    <row r="667" spans="1:17" ht="18" thickTop="1" thickBot="1" x14ac:dyDescent="0.35">
      <c r="A667" s="38" t="str">
        <f>'1.2 Budgeted Enrollment YR1'!A667</f>
        <v>Washoe</v>
      </c>
      <c r="B667" s="40">
        <f>'1.2 Budgeted Enrollment YR1'!B667</f>
        <v>16</v>
      </c>
      <c r="C667" s="40">
        <f>'1.2 Budgeted Enrollment YR1'!C667</f>
        <v>16</v>
      </c>
      <c r="D667" s="40" t="str">
        <f>'1.2 Budgeted Enrollment YR1'!D667</f>
        <v>Reno/Sparks</v>
      </c>
      <c r="E667" s="38" t="str">
        <f>'1.2 Budgeted Enrollment YR1'!E667</f>
        <v>JESSE HALL ELEMENTARY SCHOOL</v>
      </c>
      <c r="F667" s="590"/>
      <c r="G667" s="220">
        <f>'1.2 Budgeted Enrollment YR1'!G667+('1.2 Budgeted Enrollment YR1'!G667*$Q$2)</f>
        <v>448.4970669756388</v>
      </c>
      <c r="H667" s="219">
        <v>0</v>
      </c>
      <c r="I667" s="220">
        <v>0</v>
      </c>
      <c r="J667" s="219">
        <v>0</v>
      </c>
      <c r="K667" s="220">
        <v>0</v>
      </c>
      <c r="L667" s="73"/>
      <c r="M667" s="2"/>
      <c r="N667"/>
      <c r="O667"/>
      <c r="P667"/>
      <c r="Q667"/>
    </row>
    <row r="668" spans="1:17" ht="18" thickTop="1" thickBot="1" x14ac:dyDescent="0.35">
      <c r="A668" s="38" t="str">
        <f>'1.2 Budgeted Enrollment YR1'!A668</f>
        <v>Washoe</v>
      </c>
      <c r="B668" s="40">
        <f>'1.2 Budgeted Enrollment YR1'!B668</f>
        <v>16</v>
      </c>
      <c r="C668" s="40">
        <f>'1.2 Budgeted Enrollment YR1'!C668</f>
        <v>16</v>
      </c>
      <c r="D668" s="40" t="str">
        <f>'1.2 Budgeted Enrollment YR1'!D668</f>
        <v>Reno/Sparks</v>
      </c>
      <c r="E668" s="38" t="str">
        <f>'1.2 Budgeted Enrollment YR1'!E668</f>
        <v>JESSIE BECK ELEMENTARY</v>
      </c>
      <c r="F668" s="590"/>
      <c r="G668" s="220">
        <f>'1.2 Budgeted Enrollment YR1'!G668+('1.2 Budgeted Enrollment YR1'!G668*$Q$2)</f>
        <v>471.86583682418478</v>
      </c>
      <c r="H668" s="219">
        <v>0</v>
      </c>
      <c r="I668" s="220">
        <v>0</v>
      </c>
      <c r="J668" s="219">
        <v>0</v>
      </c>
      <c r="K668" s="220">
        <v>0</v>
      </c>
      <c r="L668" s="73"/>
      <c r="M668" s="2"/>
      <c r="N668"/>
      <c r="O668"/>
      <c r="P668"/>
      <c r="Q668"/>
    </row>
    <row r="669" spans="1:17" ht="18" thickTop="1" thickBot="1" x14ac:dyDescent="0.35">
      <c r="A669" s="38" t="str">
        <f>'1.2 Budgeted Enrollment YR1'!A669</f>
        <v>Washoe</v>
      </c>
      <c r="B669" s="40">
        <f>'1.2 Budgeted Enrollment YR1'!B669</f>
        <v>16</v>
      </c>
      <c r="C669" s="40">
        <f>'1.2 Budgeted Enrollment YR1'!C669</f>
        <v>16</v>
      </c>
      <c r="D669" s="40" t="str">
        <f>'1.2 Budgeted Enrollment YR1'!D669</f>
        <v>Reno/Sparks</v>
      </c>
      <c r="E669" s="38" t="str">
        <f>'1.2 Budgeted Enrollment YR1'!E669</f>
        <v>JOHN BOHACH ELEMENTARY SCHOOL</v>
      </c>
      <c r="F669" s="590"/>
      <c r="G669" s="220">
        <f>'1.2 Budgeted Enrollment YR1'!G669+('1.2 Budgeted Enrollment YR1'!G669*$Q$2)</f>
        <v>813.84322915813732</v>
      </c>
      <c r="H669" s="219">
        <v>0</v>
      </c>
      <c r="I669" s="220">
        <v>0</v>
      </c>
      <c r="J669" s="219">
        <v>0</v>
      </c>
      <c r="K669" s="220"/>
      <c r="L669" s="73"/>
      <c r="M669" s="2"/>
      <c r="N669"/>
      <c r="O669"/>
      <c r="P669"/>
      <c r="Q669"/>
    </row>
    <row r="670" spans="1:17" ht="18" thickTop="1" thickBot="1" x14ac:dyDescent="0.35">
      <c r="A670" s="38" t="str">
        <f>'1.2 Budgeted Enrollment YR1'!A670</f>
        <v>Washoe</v>
      </c>
      <c r="B670" s="40">
        <f>'1.2 Budgeted Enrollment YR1'!B670</f>
        <v>16</v>
      </c>
      <c r="C670" s="40">
        <f>'1.2 Budgeted Enrollment YR1'!C670</f>
        <v>16</v>
      </c>
      <c r="D670" s="40" t="str">
        <f>'1.2 Budgeted Enrollment YR1'!D670</f>
        <v>Reno/Sparks</v>
      </c>
      <c r="E670" s="38" t="str">
        <f>'1.2 Budgeted Enrollment YR1'!E670</f>
        <v>KATE SMITH ELEMENTARY</v>
      </c>
      <c r="F670" s="590"/>
      <c r="G670" s="220">
        <f>'1.2 Budgeted Enrollment YR1'!G670+('1.2 Budgeted Enrollment YR1'!G670*$Q$2)</f>
        <v>209.75646378976646</v>
      </c>
      <c r="H670" s="219">
        <v>0</v>
      </c>
      <c r="I670" s="220">
        <v>0</v>
      </c>
      <c r="J670" s="219">
        <v>0</v>
      </c>
      <c r="K670" s="220">
        <v>0</v>
      </c>
      <c r="L670" s="73"/>
      <c r="M670" s="2"/>
      <c r="N670"/>
      <c r="O670"/>
      <c r="P670"/>
      <c r="Q670"/>
    </row>
    <row r="671" spans="1:17" ht="18" thickTop="1" thickBot="1" x14ac:dyDescent="0.35">
      <c r="A671" s="38" t="str">
        <f>'1.2 Budgeted Enrollment YR1'!A671</f>
        <v>Washoe</v>
      </c>
      <c r="B671" s="40">
        <f>'1.2 Budgeted Enrollment YR1'!B671</f>
        <v>16</v>
      </c>
      <c r="C671" s="40">
        <f>'1.2 Budgeted Enrollment YR1'!C671</f>
        <v>16</v>
      </c>
      <c r="D671" s="40" t="str">
        <f>'1.2 Budgeted Enrollment YR1'!D671</f>
        <v>Reno/Sparks</v>
      </c>
      <c r="E671" s="38" t="str">
        <f>'1.2 Budgeted Enrollment YR1'!E671</f>
        <v>KATHERINE DUNN ELEMENTARY</v>
      </c>
      <c r="F671" s="590"/>
      <c r="G671" s="220">
        <f>'1.2 Budgeted Enrollment YR1'!G671+('1.2 Budgeted Enrollment YR1'!G671*$Q$2)</f>
        <v>441.96622675526294</v>
      </c>
      <c r="H671" s="219">
        <v>0</v>
      </c>
      <c r="I671" s="220">
        <v>0</v>
      </c>
      <c r="J671" s="219">
        <v>0</v>
      </c>
      <c r="K671" s="220">
        <v>0</v>
      </c>
      <c r="L671" s="73"/>
      <c r="M671" s="2"/>
      <c r="N671"/>
      <c r="O671"/>
      <c r="P671"/>
      <c r="Q671"/>
    </row>
    <row r="672" spans="1:17" ht="18" thickTop="1" thickBot="1" x14ac:dyDescent="0.35">
      <c r="A672" s="38" t="str">
        <f>'1.2 Budgeted Enrollment YR1'!A672</f>
        <v>Washoe</v>
      </c>
      <c r="B672" s="40">
        <f>'1.2 Budgeted Enrollment YR1'!B672</f>
        <v>16</v>
      </c>
      <c r="C672" s="40">
        <f>'1.2 Budgeted Enrollment YR1'!C672</f>
        <v>16</v>
      </c>
      <c r="D672" s="40" t="str">
        <f>'1.2 Budgeted Enrollment YR1'!D672</f>
        <v>Reno/Sparks</v>
      </c>
      <c r="E672" s="38" t="str">
        <f>'1.2 Budgeted Enrollment YR1'!E672</f>
        <v>KENDYL DEPOALI MIDDLE SCHOOL</v>
      </c>
      <c r="F672" s="590"/>
      <c r="G672" s="220">
        <f>'1.2 Budgeted Enrollment YR1'!G672+('1.2 Budgeted Enrollment YR1'!G672*$Q$2)</f>
        <v>839.82073445955461</v>
      </c>
      <c r="H672" s="219">
        <v>0</v>
      </c>
      <c r="I672" s="220">
        <v>0</v>
      </c>
      <c r="J672" s="219">
        <v>0</v>
      </c>
      <c r="K672" s="220">
        <v>0</v>
      </c>
      <c r="L672" s="73"/>
      <c r="M672" s="2"/>
      <c r="N672"/>
      <c r="O672"/>
      <c r="P672"/>
      <c r="Q672"/>
    </row>
    <row r="673" spans="1:17" ht="18" thickTop="1" thickBot="1" x14ac:dyDescent="0.35">
      <c r="A673" s="38" t="str">
        <f>'1.2 Budgeted Enrollment YR1'!A673</f>
        <v>Washoe</v>
      </c>
      <c r="B673" s="40">
        <f>'1.2 Budgeted Enrollment YR1'!B673</f>
        <v>16</v>
      </c>
      <c r="C673" s="40">
        <f>'1.2 Budgeted Enrollment YR1'!C673</f>
        <v>16</v>
      </c>
      <c r="D673" s="40" t="str">
        <f>'1.2 Budgeted Enrollment YR1'!D673</f>
        <v>Reno/Sparks</v>
      </c>
      <c r="E673" s="38" t="str">
        <f>'1.2 Budgeted Enrollment YR1'!E673</f>
        <v>LEMMON VALLEY ELEMENTARY</v>
      </c>
      <c r="F673" s="590"/>
      <c r="G673" s="220">
        <f>'1.2 Budgeted Enrollment YR1'!G673+('1.2 Budgeted Enrollment YR1'!G673*$Q$2)</f>
        <v>717.64571439140855</v>
      </c>
      <c r="H673" s="219">
        <v>0</v>
      </c>
      <c r="I673" s="220">
        <v>0</v>
      </c>
      <c r="J673" s="219">
        <v>0</v>
      </c>
      <c r="K673" s="220">
        <v>0</v>
      </c>
      <c r="L673" s="73"/>
      <c r="M673" s="2"/>
      <c r="N673"/>
      <c r="O673"/>
      <c r="P673"/>
      <c r="Q673"/>
    </row>
    <row r="674" spans="1:17" ht="18" thickTop="1" thickBot="1" x14ac:dyDescent="0.35">
      <c r="A674" s="38" t="str">
        <f>'1.2 Budgeted Enrollment YR1'!A674</f>
        <v>Washoe</v>
      </c>
      <c r="B674" s="40">
        <f>'1.2 Budgeted Enrollment YR1'!B674</f>
        <v>16</v>
      </c>
      <c r="C674" s="40">
        <f>'1.2 Budgeted Enrollment YR1'!C674</f>
        <v>16</v>
      </c>
      <c r="D674" s="40" t="str">
        <f>'1.2 Budgeted Enrollment YR1'!D674</f>
        <v>Reno/Sparks</v>
      </c>
      <c r="E674" s="38" t="str">
        <f>'1.2 Budgeted Enrollment YR1'!E674</f>
        <v>LENA JUNIPER ELEMENTARY</v>
      </c>
      <c r="F674" s="590"/>
      <c r="G674" s="220">
        <f>'1.2 Budgeted Enrollment YR1'!G674+('1.2 Budgeted Enrollment YR1'!G674*$Q$2)</f>
        <v>401.97625765548054</v>
      </c>
      <c r="H674" s="219">
        <v>0</v>
      </c>
      <c r="I674" s="220">
        <v>0</v>
      </c>
      <c r="J674" s="219">
        <v>0</v>
      </c>
      <c r="K674" s="220">
        <v>0</v>
      </c>
      <c r="L674" s="73"/>
      <c r="M674" s="2"/>
      <c r="N674"/>
      <c r="O674"/>
      <c r="P674"/>
      <c r="Q674"/>
    </row>
    <row r="675" spans="1:17" ht="18" thickTop="1" thickBot="1" x14ac:dyDescent="0.35">
      <c r="A675" s="38" t="str">
        <f>'1.2 Budgeted Enrollment YR1'!A675</f>
        <v>Washoe</v>
      </c>
      <c r="B675" s="40">
        <f>'1.2 Budgeted Enrollment YR1'!B675</f>
        <v>16</v>
      </c>
      <c r="C675" s="40">
        <f>'1.2 Budgeted Enrollment YR1'!C675</f>
        <v>16</v>
      </c>
      <c r="D675" s="40" t="str">
        <f>'1.2 Budgeted Enrollment YR1'!D675</f>
        <v>Reno/Sparks</v>
      </c>
      <c r="E675" s="38" t="str">
        <f>'1.2 Budgeted Enrollment YR1'!E675</f>
        <v>LIBBY BOOTH ELEMENTARY</v>
      </c>
      <c r="F675" s="590"/>
      <c r="G675" s="220">
        <f>'1.2 Budgeted Enrollment YR1'!G675+('1.2 Budgeted Enrollment YR1'!G675*$Q$2)</f>
        <v>370.53206835552385</v>
      </c>
      <c r="H675" s="219">
        <v>0</v>
      </c>
      <c r="I675" s="220">
        <v>0</v>
      </c>
      <c r="J675" s="219">
        <v>0</v>
      </c>
      <c r="K675" s="220">
        <v>0</v>
      </c>
      <c r="L675" s="73"/>
      <c r="M675" s="2"/>
      <c r="N675"/>
      <c r="O675"/>
      <c r="P675"/>
      <c r="Q675"/>
    </row>
    <row r="676" spans="1:17" ht="18" thickTop="1" thickBot="1" x14ac:dyDescent="0.35">
      <c r="A676" s="38" t="str">
        <f>'1.2 Budgeted Enrollment YR1'!A676</f>
        <v>Washoe</v>
      </c>
      <c r="B676" s="40">
        <f>'1.2 Budgeted Enrollment YR1'!B676</f>
        <v>16</v>
      </c>
      <c r="C676" s="40">
        <f>'1.2 Budgeted Enrollment YR1'!C676</f>
        <v>16</v>
      </c>
      <c r="D676" s="40" t="str">
        <f>'1.2 Budgeted Enrollment YR1'!D676</f>
        <v>Reno/Sparks</v>
      </c>
      <c r="E676" s="38" t="str">
        <f>'1.2 Budgeted Enrollment YR1'!E676</f>
        <v>LINCOLN PARK ELEMENTARY</v>
      </c>
      <c r="F676" s="590"/>
      <c r="G676" s="220">
        <f>'1.2 Budgeted Enrollment YR1'!G676+('1.2 Budgeted Enrollment YR1'!G676*$Q$2)</f>
        <v>417.59321672229186</v>
      </c>
      <c r="H676" s="219">
        <v>0</v>
      </c>
      <c r="I676" s="220">
        <v>0</v>
      </c>
      <c r="J676" s="219">
        <v>0</v>
      </c>
      <c r="K676" s="220">
        <v>0</v>
      </c>
      <c r="L676" s="73"/>
      <c r="M676" s="2"/>
      <c r="N676"/>
      <c r="O676"/>
      <c r="P676"/>
      <c r="Q676"/>
    </row>
    <row r="677" spans="1:17" ht="18" thickTop="1" thickBot="1" x14ac:dyDescent="0.35">
      <c r="A677" s="38" t="str">
        <f>'1.2 Budgeted Enrollment YR1'!A677</f>
        <v>Washoe</v>
      </c>
      <c r="B677" s="40">
        <f>'1.2 Budgeted Enrollment YR1'!B677</f>
        <v>16</v>
      </c>
      <c r="C677" s="40">
        <f>'1.2 Budgeted Enrollment YR1'!C677</f>
        <v>16</v>
      </c>
      <c r="D677" s="40" t="str">
        <f>'1.2 Budgeted Enrollment YR1'!D677</f>
        <v>Reno/Sparks</v>
      </c>
      <c r="E677" s="38" t="str">
        <f>'1.2 Budgeted Enrollment YR1'!E677</f>
        <v>LLOYD DIEDRICHSEN ELEMENTARY</v>
      </c>
      <c r="F677" s="590"/>
      <c r="G677" s="220">
        <f>'1.2 Budgeted Enrollment YR1'!G677+('1.2 Budgeted Enrollment YR1'!G677*$Q$2)</f>
        <v>367.21995150344833</v>
      </c>
      <c r="H677" s="219">
        <v>0</v>
      </c>
      <c r="I677" s="220">
        <v>0</v>
      </c>
      <c r="J677" s="219">
        <v>0</v>
      </c>
      <c r="K677" s="220">
        <v>0</v>
      </c>
      <c r="L677" s="73"/>
      <c r="M677" s="2"/>
      <c r="N677"/>
      <c r="O677"/>
      <c r="P677"/>
      <c r="Q677"/>
    </row>
    <row r="678" spans="1:17" ht="18" thickTop="1" thickBot="1" x14ac:dyDescent="0.35">
      <c r="A678" s="38" t="str">
        <f>'1.2 Budgeted Enrollment YR1'!A678</f>
        <v>Washoe</v>
      </c>
      <c r="B678" s="40">
        <f>'1.2 Budgeted Enrollment YR1'!B678</f>
        <v>16</v>
      </c>
      <c r="C678" s="40">
        <f>'1.2 Budgeted Enrollment YR1'!C678</f>
        <v>16</v>
      </c>
      <c r="D678" s="40" t="str">
        <f>'1.2 Budgeted Enrollment YR1'!D678</f>
        <v>Reno/Sparks</v>
      </c>
      <c r="E678" s="38" t="str">
        <f>'1.2 Budgeted Enrollment YR1'!E678</f>
        <v>LOIS ALLEN ELEMENTARY</v>
      </c>
      <c r="F678" s="590"/>
      <c r="G678" s="220">
        <f>'1.2 Budgeted Enrollment YR1'!G678+('1.2 Budgeted Enrollment YR1'!G678*$Q$2)</f>
        <v>435.02342100509833</v>
      </c>
      <c r="H678" s="219">
        <v>0</v>
      </c>
      <c r="I678" s="220">
        <v>0</v>
      </c>
      <c r="J678" s="219">
        <v>0</v>
      </c>
      <c r="K678" s="220">
        <v>0</v>
      </c>
      <c r="L678" s="73"/>
      <c r="M678" s="2"/>
      <c r="N678"/>
      <c r="O678"/>
      <c r="P678"/>
      <c r="Q678"/>
    </row>
    <row r="679" spans="1:17" ht="18" thickTop="1" thickBot="1" x14ac:dyDescent="0.35">
      <c r="A679" s="38" t="str">
        <f>'1.2 Budgeted Enrollment YR1'!A679</f>
        <v>Washoe</v>
      </c>
      <c r="B679" s="40">
        <f>'1.2 Budgeted Enrollment YR1'!B679</f>
        <v>16</v>
      </c>
      <c r="C679" s="40">
        <f>'1.2 Budgeted Enrollment YR1'!C679</f>
        <v>16</v>
      </c>
      <c r="D679" s="40" t="str">
        <f>'1.2 Budgeted Enrollment YR1'!D679</f>
        <v>Reno/Sparks</v>
      </c>
      <c r="E679" s="38" t="str">
        <f>'1.2 Budgeted Enrollment YR1'!E679</f>
        <v>LOU MENDIVE MIDDLE SCHOOL</v>
      </c>
      <c r="F679" s="590"/>
      <c r="G679" s="220">
        <f>'1.2 Budgeted Enrollment YR1'!G679+('1.2 Budgeted Enrollment YR1'!G679*$Q$2)</f>
        <v>852.17577402309644</v>
      </c>
      <c r="H679" s="219">
        <v>0</v>
      </c>
      <c r="I679" s="220">
        <v>0</v>
      </c>
      <c r="J679" s="219">
        <v>0</v>
      </c>
      <c r="K679" s="220">
        <v>0</v>
      </c>
      <c r="L679" s="73"/>
      <c r="M679" s="2"/>
      <c r="N679"/>
      <c r="O679"/>
      <c r="P679"/>
      <c r="Q679"/>
    </row>
    <row r="680" spans="1:17" ht="18" thickTop="1" thickBot="1" x14ac:dyDescent="0.35">
      <c r="A680" s="38" t="str">
        <f>'1.2 Budgeted Enrollment YR1'!A680</f>
        <v>Washoe</v>
      </c>
      <c r="B680" s="40">
        <f>'1.2 Budgeted Enrollment YR1'!B680</f>
        <v>16</v>
      </c>
      <c r="C680" s="40">
        <f>'1.2 Budgeted Enrollment YR1'!C680</f>
        <v>16</v>
      </c>
      <c r="D680" s="40" t="str">
        <f>'1.2 Budgeted Enrollment YR1'!D680</f>
        <v>Reno/Sparks</v>
      </c>
      <c r="E680" s="38" t="str">
        <f>'1.2 Budgeted Enrollment YR1'!E680</f>
        <v>MAMIE TOWLES ELEMENTARY</v>
      </c>
      <c r="F680" s="590"/>
      <c r="G680" s="220">
        <f>'1.2 Budgeted Enrollment YR1'!G680+('1.2 Budgeted Enrollment YR1'!G680*$Q$2)</f>
        <v>310.07587974669917</v>
      </c>
      <c r="H680" s="219">
        <v>0</v>
      </c>
      <c r="I680" s="220">
        <v>0</v>
      </c>
      <c r="J680" s="219">
        <v>0</v>
      </c>
      <c r="K680" s="220">
        <v>0</v>
      </c>
      <c r="L680" s="73"/>
      <c r="M680" s="2"/>
      <c r="N680"/>
      <c r="O680"/>
      <c r="P680"/>
      <c r="Q680"/>
    </row>
    <row r="681" spans="1:17" ht="18" thickTop="1" thickBot="1" x14ac:dyDescent="0.35">
      <c r="A681" s="38" t="str">
        <f>'1.2 Budgeted Enrollment YR1'!A681</f>
        <v>Washoe</v>
      </c>
      <c r="B681" s="40">
        <f>'1.2 Budgeted Enrollment YR1'!B681</f>
        <v>16</v>
      </c>
      <c r="C681" s="40">
        <f>'1.2 Budgeted Enrollment YR1'!C681</f>
        <v>16</v>
      </c>
      <c r="D681" s="40" t="str">
        <f>'1.2 Budgeted Enrollment YR1'!D681</f>
        <v>Reno/Sparks</v>
      </c>
      <c r="E681" s="38" t="str">
        <f>'1.2 Budgeted Enrollment YR1'!E681</f>
        <v>MARCE HERZ MIDDLE SCHOOL</v>
      </c>
      <c r="F681" s="590"/>
      <c r="G681" s="220">
        <f>'1.2 Budgeted Enrollment YR1'!G681+('1.2 Budgeted Enrollment YR1'!G681*$Q$2)</f>
        <v>826.34366550333311</v>
      </c>
      <c r="H681" s="219">
        <v>0</v>
      </c>
      <c r="I681" s="220">
        <v>0</v>
      </c>
      <c r="J681" s="219">
        <v>0</v>
      </c>
      <c r="K681" s="220"/>
      <c r="L681" s="73"/>
      <c r="M681" s="2"/>
      <c r="N681"/>
      <c r="O681"/>
      <c r="P681"/>
      <c r="Q681"/>
    </row>
    <row r="682" spans="1:17" ht="18" thickTop="1" thickBot="1" x14ac:dyDescent="0.35">
      <c r="A682" s="38" t="str">
        <f>'1.2 Budgeted Enrollment YR1'!A682</f>
        <v>Washoe</v>
      </c>
      <c r="B682" s="40">
        <f>'1.2 Budgeted Enrollment YR1'!B682</f>
        <v>16</v>
      </c>
      <c r="C682" s="40">
        <f>'1.2 Budgeted Enrollment YR1'!C682</f>
        <v>16</v>
      </c>
      <c r="D682" s="40" t="str">
        <f>'1.2 Budgeted Enrollment YR1'!D682</f>
        <v>Reno/Sparks</v>
      </c>
      <c r="E682" s="38" t="str">
        <f>'1.2 Budgeted Enrollment YR1'!E682</f>
        <v>MARVIN MOSS ELEMENTARY</v>
      </c>
      <c r="F682" s="590"/>
      <c r="G682" s="220">
        <f>'1.2 Budgeted Enrollment YR1'!G682+('1.2 Budgeted Enrollment YR1'!G682*$Q$2)</f>
        <v>318.3853126520774</v>
      </c>
      <c r="H682" s="219">
        <v>0</v>
      </c>
      <c r="I682" s="220">
        <v>0</v>
      </c>
      <c r="J682" s="219">
        <v>0</v>
      </c>
      <c r="K682" s="220">
        <v>0</v>
      </c>
      <c r="L682" s="73"/>
      <c r="M682" s="2"/>
      <c r="N682"/>
      <c r="O682"/>
      <c r="P682"/>
      <c r="Q682"/>
    </row>
    <row r="683" spans="1:17" ht="18" thickTop="1" thickBot="1" x14ac:dyDescent="0.35">
      <c r="A683" s="38" t="str">
        <f>'1.2 Budgeted Enrollment YR1'!A683</f>
        <v>Washoe</v>
      </c>
      <c r="B683" s="40">
        <f>'1.2 Budgeted Enrollment YR1'!B683</f>
        <v>16</v>
      </c>
      <c r="C683" s="40">
        <f>'1.2 Budgeted Enrollment YR1'!C683</f>
        <v>16</v>
      </c>
      <c r="D683" s="40" t="str">
        <f>'1.2 Budgeted Enrollment YR1'!D683</f>
        <v>Reno/Sparks</v>
      </c>
      <c r="E683" s="38" t="str">
        <f>'1.2 Budgeted Enrollment YR1'!E683</f>
        <v>MARVIN PICOLLO ELEMENTARY</v>
      </c>
      <c r="F683" s="590"/>
      <c r="G683" s="220">
        <f>'1.2 Budgeted Enrollment YR1'!G683+('1.2 Budgeted Enrollment YR1'!G683*$Q$2)</f>
        <v>79.593472402053294</v>
      </c>
      <c r="H683" s="219">
        <v>0</v>
      </c>
      <c r="I683" s="220">
        <v>0</v>
      </c>
      <c r="J683" s="219">
        <v>0</v>
      </c>
      <c r="K683" s="220">
        <v>0</v>
      </c>
      <c r="L683" s="73"/>
      <c r="M683" s="2"/>
      <c r="N683"/>
      <c r="O683"/>
      <c r="P683"/>
      <c r="Q683"/>
    </row>
    <row r="684" spans="1:17" ht="18" thickTop="1" thickBot="1" x14ac:dyDescent="0.35">
      <c r="A684" s="38" t="str">
        <f>'1.2 Budgeted Enrollment YR1'!A684</f>
        <v>Washoe</v>
      </c>
      <c r="B684" s="40">
        <f>'1.2 Budgeted Enrollment YR1'!B684</f>
        <v>16</v>
      </c>
      <c r="C684" s="40">
        <f>'1.2 Budgeted Enrollment YR1'!C684</f>
        <v>16</v>
      </c>
      <c r="D684" s="40" t="str">
        <f>'1.2 Budgeted Enrollment YR1'!D684</f>
        <v>Bordertown</v>
      </c>
      <c r="E684" s="38" t="str">
        <f>'1.2 Budgeted Enrollment YR1'!E684</f>
        <v>MICHAEL INSKEEP ELEMENTARY SCHOOL</v>
      </c>
      <c r="F684" s="590"/>
      <c r="G684" s="220">
        <f>'1.2 Budgeted Enrollment YR1'!G684+('1.2 Budgeted Enrollment YR1'!G684*$Q$2)</f>
        <v>485.73319268505406</v>
      </c>
      <c r="H684" s="219">
        <v>0</v>
      </c>
      <c r="I684" s="220">
        <v>0</v>
      </c>
      <c r="J684" s="219">
        <v>0</v>
      </c>
      <c r="K684" s="220"/>
      <c r="L684" s="73"/>
      <c r="M684" s="2"/>
      <c r="N684"/>
      <c r="O684"/>
      <c r="P684"/>
      <c r="Q684"/>
    </row>
    <row r="685" spans="1:17" ht="18" thickTop="1" thickBot="1" x14ac:dyDescent="0.35">
      <c r="A685" s="38" t="str">
        <f>'1.2 Budgeted Enrollment YR1'!A685</f>
        <v>Washoe</v>
      </c>
      <c r="B685" s="40">
        <f>'1.2 Budgeted Enrollment YR1'!B685</f>
        <v>16</v>
      </c>
      <c r="C685" s="40">
        <f>'1.2 Budgeted Enrollment YR1'!C685</f>
        <v>16</v>
      </c>
      <c r="D685" s="40" t="str">
        <f>'1.2 Budgeted Enrollment YR1'!D685</f>
        <v>Reno/Sparks</v>
      </c>
      <c r="E685" s="38" t="str">
        <f>'1.2 Budgeted Enrollment YR1'!E685</f>
        <v>MIGUEL SEPULVEDA ELEMENTARY SCHOOL</v>
      </c>
      <c r="F685" s="590"/>
      <c r="G685" s="220">
        <f>'1.2 Budgeted Enrollment YR1'!G685+('1.2 Budgeted Enrollment YR1'!G685*$Q$2)</f>
        <v>550.64386267181612</v>
      </c>
      <c r="H685" s="219">
        <v>0</v>
      </c>
      <c r="I685" s="220">
        <v>0</v>
      </c>
      <c r="J685" s="219">
        <v>0</v>
      </c>
      <c r="K685" s="220">
        <v>0</v>
      </c>
      <c r="L685" s="73"/>
      <c r="M685" s="2"/>
      <c r="N685"/>
      <c r="O685"/>
      <c r="P685"/>
      <c r="Q685"/>
    </row>
    <row r="686" spans="1:17" ht="18" thickTop="1" thickBot="1" x14ac:dyDescent="0.35">
      <c r="A686" s="38" t="str">
        <f>'1.2 Budgeted Enrollment YR1'!A686</f>
        <v>Washoe</v>
      </c>
      <c r="B686" s="40">
        <f>'1.2 Budgeted Enrollment YR1'!B686</f>
        <v>16</v>
      </c>
      <c r="C686" s="40">
        <f>'1.2 Budgeted Enrollment YR1'!C686</f>
        <v>16</v>
      </c>
      <c r="D686" s="40" t="str">
        <f>'1.2 Budgeted Enrollment YR1'!D686</f>
        <v>Reno/Sparks</v>
      </c>
      <c r="E686" s="38" t="str">
        <f>'1.2 Budgeted Enrollment YR1'!E686</f>
        <v>MOUNT ROSE K-8 ACADEMY OF LANGUAGES</v>
      </c>
      <c r="F686" s="590"/>
      <c r="G686" s="220">
        <f>'1.2 Budgeted Enrollment YR1'!G686+('1.2 Budgeted Enrollment YR1'!G686*$Q$2)</f>
        <v>405.97694320791646</v>
      </c>
      <c r="H686" s="219">
        <v>0</v>
      </c>
      <c r="I686" s="220">
        <v>0</v>
      </c>
      <c r="J686" s="219">
        <v>0</v>
      </c>
      <c r="K686" s="220">
        <v>0</v>
      </c>
      <c r="L686" s="73"/>
      <c r="M686" s="2"/>
      <c r="N686"/>
      <c r="O686"/>
      <c r="P686"/>
      <c r="Q686"/>
    </row>
    <row r="687" spans="1:17" ht="18" thickTop="1" thickBot="1" x14ac:dyDescent="0.35">
      <c r="A687" s="38" t="str">
        <f>'1.2 Budgeted Enrollment YR1'!A687</f>
        <v>Washoe</v>
      </c>
      <c r="B687" s="40">
        <f>'1.2 Budgeted Enrollment YR1'!B687</f>
        <v>16</v>
      </c>
      <c r="C687" s="40">
        <f>'1.2 Budgeted Enrollment YR1'!C687</f>
        <v>16</v>
      </c>
      <c r="D687" s="40" t="str">
        <f>'1.2 Budgeted Enrollment YR1'!D687</f>
        <v>Bordertown</v>
      </c>
      <c r="E687" s="38" t="str">
        <f>'1.2 Budgeted Enrollment YR1'!E687</f>
        <v>NANCY GOMES ELEMENTARY</v>
      </c>
      <c r="F687" s="590"/>
      <c r="G687" s="220">
        <f>'1.2 Budgeted Enrollment YR1'!G687+('1.2 Budgeted Enrollment YR1'!G687*$Q$2)</f>
        <v>266.09797783549044</v>
      </c>
      <c r="H687" s="219">
        <v>0</v>
      </c>
      <c r="I687" s="220">
        <v>0</v>
      </c>
      <c r="J687" s="219">
        <v>0</v>
      </c>
      <c r="K687" s="220">
        <v>0</v>
      </c>
      <c r="L687" s="73"/>
      <c r="M687" s="2"/>
      <c r="N687"/>
      <c r="O687"/>
      <c r="P687"/>
      <c r="Q687"/>
    </row>
    <row r="688" spans="1:17" ht="18" thickTop="1" thickBot="1" x14ac:dyDescent="0.35">
      <c r="A688" s="38" t="str">
        <f>'1.2 Budgeted Enrollment YR1'!A688</f>
        <v>Washoe</v>
      </c>
      <c r="B688" s="40">
        <f>'1.2 Budgeted Enrollment YR1'!B688</f>
        <v>16</v>
      </c>
      <c r="C688" s="40">
        <f>'1.2 Budgeted Enrollment YR1'!C688</f>
        <v>16</v>
      </c>
      <c r="D688" s="40" t="str">
        <f>'1.2 Budgeted Enrollment YR1'!D688</f>
        <v>Wadsworth</v>
      </c>
      <c r="E688" s="38" t="str">
        <f>'1.2 Budgeted Enrollment YR1'!E688</f>
        <v>NATCHEZ ELEMENTARY</v>
      </c>
      <c r="F688" s="590"/>
      <c r="G688" s="220">
        <f>'1.2 Budgeted Enrollment YR1'!G688+('1.2 Budgeted Enrollment YR1'!G688*$Q$2)</f>
        <v>121.75612087653187</v>
      </c>
      <c r="H688" s="219">
        <v>0</v>
      </c>
      <c r="I688" s="220">
        <v>0</v>
      </c>
      <c r="J688" s="219">
        <v>0</v>
      </c>
      <c r="K688" s="220">
        <v>0</v>
      </c>
      <c r="L688" s="73"/>
      <c r="M688" s="2"/>
      <c r="N688"/>
      <c r="O688"/>
      <c r="P688"/>
      <c r="Q688"/>
    </row>
    <row r="689" spans="1:21" ht="18" thickTop="1" thickBot="1" x14ac:dyDescent="0.35">
      <c r="A689" s="38" t="str">
        <f>'1.2 Budgeted Enrollment YR1'!A689</f>
        <v>Washoe</v>
      </c>
      <c r="B689" s="40">
        <f>'1.2 Budgeted Enrollment YR1'!B689</f>
        <v>16</v>
      </c>
      <c r="C689" s="40">
        <f>'1.2 Budgeted Enrollment YR1'!C689</f>
        <v>16</v>
      </c>
      <c r="D689" s="40" t="str">
        <f>'1.2 Budgeted Enrollment YR1'!D689</f>
        <v>Reno/Sparks</v>
      </c>
      <c r="E689" s="38" t="str">
        <f>'1.2 Budgeted Enrollment YR1'!E689</f>
        <v>NICK POULAKIDAS ELEMENTARY SCHOOL</v>
      </c>
      <c r="F689" s="590"/>
      <c r="G689" s="220">
        <f>'1.2 Budgeted Enrollment YR1'!G689+('1.2 Budgeted Enrollment YR1'!G689*$Q$2)</f>
        <v>873.73357793907007</v>
      </c>
      <c r="H689" s="219">
        <v>0</v>
      </c>
      <c r="I689" s="220">
        <v>0</v>
      </c>
      <c r="J689" s="219">
        <v>0</v>
      </c>
      <c r="K689" s="220">
        <v>0</v>
      </c>
      <c r="L689" s="73"/>
      <c r="M689" s="2"/>
      <c r="N689"/>
      <c r="O689"/>
      <c r="P689"/>
      <c r="Q689"/>
    </row>
    <row r="690" spans="1:21" ht="18" thickTop="1" thickBot="1" x14ac:dyDescent="0.35">
      <c r="A690" s="38" t="str">
        <f>'1.2 Budgeted Enrollment YR1'!A690</f>
        <v>Washoe</v>
      </c>
      <c r="B690" s="40">
        <f>'1.2 Budgeted Enrollment YR1'!B690</f>
        <v>16</v>
      </c>
      <c r="C690" s="40">
        <f>'1.2 Budgeted Enrollment YR1'!C690</f>
        <v>16</v>
      </c>
      <c r="D690" s="40" t="str">
        <f>'1.2 Budgeted Enrollment YR1'!D690</f>
        <v>Reno/Sparks</v>
      </c>
      <c r="E690" s="38" t="str">
        <f>'1.2 Budgeted Enrollment YR1'!E690</f>
        <v>NORTH STAR ONLINE SCHOOL</v>
      </c>
      <c r="F690" s="590"/>
      <c r="G690" s="220">
        <f>'1.2 Budgeted Enrollment YR1'!G690+('1.2 Budgeted Enrollment YR1'!G690*$Q$2)</f>
        <v>622.50380762325506</v>
      </c>
      <c r="H690" s="219">
        <v>0</v>
      </c>
      <c r="I690" s="220">
        <v>0</v>
      </c>
      <c r="J690" s="219">
        <v>0</v>
      </c>
      <c r="K690" s="220">
        <v>622.50380762325506</v>
      </c>
      <c r="L690" s="73"/>
      <c r="M690" s="2"/>
      <c r="N690"/>
      <c r="O690"/>
      <c r="P690"/>
      <c r="Q690"/>
    </row>
    <row r="691" spans="1:21" ht="18" thickTop="1" thickBot="1" x14ac:dyDescent="0.35">
      <c r="A691" s="38" t="str">
        <f>'1.2 Budgeted Enrollment YR1'!A691</f>
        <v>Washoe</v>
      </c>
      <c r="B691" s="40">
        <f>'1.2 Budgeted Enrollment YR1'!B691</f>
        <v>16</v>
      </c>
      <c r="C691" s="40">
        <f>'1.2 Budgeted Enrollment YR1'!C691</f>
        <v>16</v>
      </c>
      <c r="D691" s="40" t="str">
        <f>'1.2 Budgeted Enrollment YR1'!D691</f>
        <v>Stead</v>
      </c>
      <c r="E691" s="38" t="str">
        <f>'1.2 Budgeted Enrollment YR1'!E691</f>
        <v>NORTH VALLEYS HIGH SCHOOL</v>
      </c>
      <c r="F691" s="590"/>
      <c r="G691" s="220">
        <f>'1.2 Budgeted Enrollment YR1'!G691+('1.2 Budgeted Enrollment YR1'!G691*$Q$2)</f>
        <v>2373.2279824566258</v>
      </c>
      <c r="H691" s="219">
        <v>0</v>
      </c>
      <c r="I691" s="220">
        <v>0</v>
      </c>
      <c r="J691" s="219">
        <v>0</v>
      </c>
      <c r="K691" s="220">
        <v>0</v>
      </c>
      <c r="L691" s="73"/>
      <c r="M691" s="2"/>
      <c r="N691"/>
      <c r="O691"/>
      <c r="P691"/>
      <c r="Q691"/>
    </row>
    <row r="692" spans="1:21" ht="18" thickTop="1" thickBot="1" x14ac:dyDescent="0.35">
      <c r="A692" s="38" t="str">
        <f>'1.2 Budgeted Enrollment YR1'!A692</f>
        <v>Washoe</v>
      </c>
      <c r="B692" s="40">
        <f>'1.2 Budgeted Enrollment YR1'!B692</f>
        <v>16</v>
      </c>
      <c r="C692" s="40">
        <f>'1.2 Budgeted Enrollment YR1'!C692</f>
        <v>16</v>
      </c>
      <c r="D692" s="40" t="str">
        <f>'1.2 Budgeted Enrollment YR1'!D692</f>
        <v>Reno/Sparks</v>
      </c>
      <c r="E692" s="38" t="str">
        <f>'1.2 Budgeted Enrollment YR1'!E692</f>
        <v>Out of State</v>
      </c>
      <c r="F692" s="590"/>
      <c r="G692" s="220">
        <f>'1.2 Budgeted Enrollment YR1'!G692+('1.2 Budgeted Enrollment YR1'!G692*$Q$2)</f>
        <v>121.67308112907445</v>
      </c>
      <c r="H692" s="219">
        <v>0</v>
      </c>
      <c r="I692" s="220">
        <v>0</v>
      </c>
      <c r="J692" s="219">
        <v>0</v>
      </c>
      <c r="K692" s="220">
        <v>0</v>
      </c>
      <c r="L692" s="73"/>
      <c r="M692" s="2"/>
      <c r="N692"/>
      <c r="O692"/>
      <c r="P692"/>
      <c r="Q692"/>
      <c r="T692" s="4"/>
      <c r="U692" s="4"/>
    </row>
    <row r="693" spans="1:21" ht="18" thickTop="1" thickBot="1" x14ac:dyDescent="0.35">
      <c r="A693" s="38" t="str">
        <f>'1.2 Budgeted Enrollment YR1'!A693</f>
        <v>Washoe</v>
      </c>
      <c r="B693" s="40">
        <f>'1.2 Budgeted Enrollment YR1'!B693</f>
        <v>16</v>
      </c>
      <c r="C693" s="40">
        <f>'1.2 Budgeted Enrollment YR1'!C693</f>
        <v>16</v>
      </c>
      <c r="D693" s="40" t="str">
        <f>'1.2 Budgeted Enrollment YR1'!D693</f>
        <v>Reno/Sparks</v>
      </c>
      <c r="E693" s="38" t="str">
        <f>'1.2 Budgeted Enrollment YR1'!E693</f>
        <v>PEAVINE ELEMENTARY</v>
      </c>
      <c r="F693" s="590"/>
      <c r="G693" s="220">
        <f>'1.2 Budgeted Enrollment YR1'!G693+('1.2 Budgeted Enrollment YR1'!G693*$Q$2)</f>
        <v>327.24789537178481</v>
      </c>
      <c r="H693" s="219">
        <v>0</v>
      </c>
      <c r="I693" s="220">
        <v>0</v>
      </c>
      <c r="J693" s="219">
        <v>0</v>
      </c>
      <c r="K693" s="220">
        <v>0</v>
      </c>
      <c r="L693" s="73"/>
      <c r="M693" s="2"/>
      <c r="N693"/>
      <c r="O693"/>
      <c r="P693"/>
      <c r="Q693"/>
    </row>
    <row r="694" spans="1:21" ht="18" thickTop="1" thickBot="1" x14ac:dyDescent="0.35">
      <c r="A694" s="38" t="str">
        <f>'1.2 Budgeted Enrollment YR1'!A694</f>
        <v>Washoe</v>
      </c>
      <c r="B694" s="40">
        <f>'1.2 Budgeted Enrollment YR1'!B694</f>
        <v>16</v>
      </c>
      <c r="C694" s="40">
        <f>'1.2 Budgeted Enrollment YR1'!C694</f>
        <v>16</v>
      </c>
      <c r="D694" s="40" t="str">
        <f>'1.2 Budgeted Enrollment YR1'!D694</f>
        <v>Pleasant Valley</v>
      </c>
      <c r="E694" s="38" t="str">
        <f>'1.2 Budgeted Enrollment YR1'!E694</f>
        <v>PLEASANT VALLEY ELEMENTARY</v>
      </c>
      <c r="F694" s="590"/>
      <c r="G694" s="220">
        <f>'1.2 Budgeted Enrollment YR1'!G694+('1.2 Budgeted Enrollment YR1'!G694*$Q$2)</f>
        <v>347.40287691560206</v>
      </c>
      <c r="H694" s="219">
        <v>0</v>
      </c>
      <c r="I694" s="220">
        <v>0</v>
      </c>
      <c r="J694" s="219">
        <v>0</v>
      </c>
      <c r="K694" s="220">
        <v>0</v>
      </c>
      <c r="L694" s="73"/>
      <c r="M694" s="2"/>
      <c r="N694"/>
      <c r="O694"/>
      <c r="P694"/>
      <c r="Q694"/>
    </row>
    <row r="695" spans="1:21" ht="18" thickTop="1" thickBot="1" x14ac:dyDescent="0.35">
      <c r="A695" s="38" t="str">
        <f>'1.2 Budgeted Enrollment YR1'!A695</f>
        <v>Washoe</v>
      </c>
      <c r="B695" s="40">
        <f>'1.2 Budgeted Enrollment YR1'!B695</f>
        <v>16</v>
      </c>
      <c r="C695" s="40">
        <f>'1.2 Budgeted Enrollment YR1'!C695</f>
        <v>16</v>
      </c>
      <c r="D695" s="40" t="str">
        <f>'1.2 Budgeted Enrollment YR1'!D695</f>
        <v>Reno/Sparks</v>
      </c>
      <c r="E695" s="38" t="str">
        <f>'1.2 Budgeted Enrollment YR1'!E695</f>
        <v>PROCTER R. HUG HIGH SCHOOL</v>
      </c>
      <c r="F695" s="590"/>
      <c r="G695" s="220">
        <f>'1.2 Budgeted Enrollment YR1'!G695+('1.2 Budgeted Enrollment YR1'!G695*$Q$2)</f>
        <v>2271.8701844456227</v>
      </c>
      <c r="H695" s="219">
        <v>0</v>
      </c>
      <c r="I695" s="220">
        <v>0</v>
      </c>
      <c r="J695" s="219">
        <v>0</v>
      </c>
      <c r="K695" s="220">
        <v>0</v>
      </c>
      <c r="L695" s="73"/>
      <c r="M695" s="2"/>
      <c r="N695"/>
      <c r="O695"/>
      <c r="P695"/>
      <c r="Q695"/>
    </row>
    <row r="696" spans="1:21" ht="18" thickTop="1" thickBot="1" x14ac:dyDescent="0.35">
      <c r="A696" s="38" t="str">
        <f>'1.2 Budgeted Enrollment YR1'!A696</f>
        <v>Washoe</v>
      </c>
      <c r="B696" s="40">
        <f>'1.2 Budgeted Enrollment YR1'!B696</f>
        <v>16</v>
      </c>
      <c r="C696" s="40">
        <f>'1.2 Budgeted Enrollment YR1'!C696</f>
        <v>16</v>
      </c>
      <c r="D696" s="40" t="str">
        <f>'1.2 Budgeted Enrollment YR1'!D696</f>
        <v>Reno/Sparks</v>
      </c>
      <c r="E696" s="38" t="str">
        <f>'1.2 Budgeted Enrollment YR1'!E696</f>
        <v>RENO HIGH SCHOOL</v>
      </c>
      <c r="F696" s="590"/>
      <c r="G696" s="220">
        <f>'1.2 Budgeted Enrollment YR1'!G696+('1.2 Budgeted Enrollment YR1'!G696*$Q$2)</f>
        <v>1780.4630550282773</v>
      </c>
      <c r="H696" s="219">
        <v>0</v>
      </c>
      <c r="I696" s="220">
        <v>0</v>
      </c>
      <c r="J696" s="219">
        <v>0</v>
      </c>
      <c r="K696" s="220">
        <v>0</v>
      </c>
      <c r="L696" s="73"/>
      <c r="M696" s="2"/>
      <c r="N696"/>
      <c r="O696"/>
      <c r="P696"/>
      <c r="Q696"/>
    </row>
    <row r="697" spans="1:21" ht="18" thickTop="1" thickBot="1" x14ac:dyDescent="0.35">
      <c r="A697" s="38" t="str">
        <f>'1.2 Budgeted Enrollment YR1'!A697</f>
        <v>Washoe</v>
      </c>
      <c r="B697" s="40">
        <f>'1.2 Budgeted Enrollment YR1'!B697</f>
        <v>16</v>
      </c>
      <c r="C697" s="40">
        <f>'1.2 Budgeted Enrollment YR1'!C697</f>
        <v>16</v>
      </c>
      <c r="D697" s="40" t="str">
        <f>'1.2 Budgeted Enrollment YR1'!D697</f>
        <v>Reno/Sparks</v>
      </c>
      <c r="E697" s="38" t="str">
        <f>'1.2 Budgeted Enrollment YR1'!E697</f>
        <v>RITA CANNAN ELEMENTARY</v>
      </c>
      <c r="F697" s="590"/>
      <c r="G697" s="220">
        <f>'1.2 Budgeted Enrollment YR1'!G697+('1.2 Budgeted Enrollment YR1'!G697*$Q$2)</f>
        <v>381.49556792304446</v>
      </c>
      <c r="H697" s="219">
        <v>0</v>
      </c>
      <c r="I697" s="220">
        <v>0</v>
      </c>
      <c r="J697" s="219">
        <v>0</v>
      </c>
      <c r="K697" s="220">
        <v>0</v>
      </c>
      <c r="L697" s="73"/>
      <c r="M697" s="2"/>
      <c r="N697"/>
      <c r="O697"/>
      <c r="P697"/>
      <c r="Q697"/>
    </row>
    <row r="698" spans="1:21" ht="18" thickTop="1" thickBot="1" x14ac:dyDescent="0.35">
      <c r="A698" s="38" t="str">
        <f>'1.2 Budgeted Enrollment YR1'!A698</f>
        <v>Washoe</v>
      </c>
      <c r="B698" s="40">
        <f>'1.2 Budgeted Enrollment YR1'!B698</f>
        <v>16</v>
      </c>
      <c r="C698" s="40">
        <f>'1.2 Budgeted Enrollment YR1'!C698</f>
        <v>16</v>
      </c>
      <c r="D698" s="40" t="str">
        <f>'1.2 Budgeted Enrollment YR1'!D698</f>
        <v>Reno/Sparks</v>
      </c>
      <c r="E698" s="38" t="str">
        <f>'1.2 Budgeted Enrollment YR1'!E698</f>
        <v>ROBERT MCQUEEN HIGH SCHOOL</v>
      </c>
      <c r="F698" s="590"/>
      <c r="G698" s="220">
        <f>'1.2 Budgeted Enrollment YR1'!G698+('1.2 Budgeted Enrollment YR1'!G698*$Q$2)</f>
        <v>1617.7170564522244</v>
      </c>
      <c r="H698" s="219">
        <v>0</v>
      </c>
      <c r="I698" s="220">
        <v>0</v>
      </c>
      <c r="J698" s="219">
        <v>0</v>
      </c>
      <c r="K698" s="220">
        <v>0</v>
      </c>
      <c r="L698" s="73"/>
      <c r="M698" s="2"/>
      <c r="N698"/>
      <c r="O698"/>
      <c r="P698"/>
      <c r="Q698"/>
    </row>
    <row r="699" spans="1:21" ht="18" thickTop="1" thickBot="1" x14ac:dyDescent="0.35">
      <c r="A699" s="38" t="str">
        <f>'1.2 Budgeted Enrollment YR1'!A699</f>
        <v>Washoe</v>
      </c>
      <c r="B699" s="40">
        <f>'1.2 Budgeted Enrollment YR1'!B699</f>
        <v>16</v>
      </c>
      <c r="C699" s="40">
        <f>'1.2 Budgeted Enrollment YR1'!C699</f>
        <v>16</v>
      </c>
      <c r="D699" s="40" t="str">
        <f>'1.2 Budgeted Enrollment YR1'!D699</f>
        <v>Reno/Sparks</v>
      </c>
      <c r="E699" s="38" t="str">
        <f>'1.2 Budgeted Enrollment YR1'!E699</f>
        <v>ROBERT MITCHELL ELEMENTARY</v>
      </c>
      <c r="F699" s="590"/>
      <c r="G699" s="220">
        <f>'1.2 Budgeted Enrollment YR1'!G699+('1.2 Budgeted Enrollment YR1'!G699*$Q$2)</f>
        <v>295.7037635755737</v>
      </c>
      <c r="H699" s="219">
        <v>0</v>
      </c>
      <c r="I699" s="220">
        <v>0</v>
      </c>
      <c r="J699" s="219">
        <v>0</v>
      </c>
      <c r="K699" s="220">
        <v>0</v>
      </c>
      <c r="L699" s="73"/>
      <c r="M699" s="2"/>
      <c r="N699"/>
      <c r="O699"/>
      <c r="P699"/>
      <c r="Q699"/>
    </row>
    <row r="700" spans="1:21" ht="18" thickTop="1" thickBot="1" x14ac:dyDescent="0.35">
      <c r="A700" s="38" t="str">
        <f>'1.2 Budgeted Enrollment YR1'!A700</f>
        <v>Washoe</v>
      </c>
      <c r="B700" s="40">
        <f>'1.2 Budgeted Enrollment YR1'!B700</f>
        <v>16</v>
      </c>
      <c r="C700" s="40">
        <f>'1.2 Budgeted Enrollment YR1'!C700</f>
        <v>16</v>
      </c>
      <c r="D700" s="40" t="str">
        <f>'1.2 Budgeted Enrollment YR1'!D700</f>
        <v>Reno/Sparks</v>
      </c>
      <c r="E700" s="38" t="str">
        <f>'1.2 Budgeted Enrollment YR1'!E700</f>
        <v>ROGER CORBETT ELEMENTARY</v>
      </c>
      <c r="F700" s="590"/>
      <c r="G700" s="220">
        <f>'1.2 Budgeted Enrollment YR1'!G700+('1.2 Budgeted Enrollment YR1'!G700*$Q$2)</f>
        <v>343.41506647907892</v>
      </c>
      <c r="H700" s="219">
        <v>0</v>
      </c>
      <c r="I700" s="220">
        <v>0</v>
      </c>
      <c r="J700" s="219">
        <v>0</v>
      </c>
      <c r="K700" s="220">
        <v>0</v>
      </c>
      <c r="L700" s="73"/>
      <c r="M700" s="2"/>
      <c r="N700"/>
      <c r="O700"/>
      <c r="P700"/>
      <c r="Q700"/>
    </row>
    <row r="701" spans="1:21" ht="18" thickTop="1" thickBot="1" x14ac:dyDescent="0.35">
      <c r="A701" s="38" t="str">
        <f>'1.2 Budgeted Enrollment YR1'!A701</f>
        <v>Washoe</v>
      </c>
      <c r="B701" s="40">
        <f>'1.2 Budgeted Enrollment YR1'!B701</f>
        <v>16</v>
      </c>
      <c r="C701" s="40">
        <f>'1.2 Budgeted Enrollment YR1'!C701</f>
        <v>16</v>
      </c>
      <c r="D701" s="40" t="str">
        <f>'1.2 Budgeted Enrollment YR1'!D701</f>
        <v>Reno/Sparks</v>
      </c>
      <c r="E701" s="38" t="str">
        <f>'1.2 Budgeted Enrollment YR1'!E701</f>
        <v>ROLLAN MELTON ELEMENTARY</v>
      </c>
      <c r="F701" s="590"/>
      <c r="G701" s="220">
        <f>'1.2 Budgeted Enrollment YR1'!G701+('1.2 Budgeted Enrollment YR1'!G701*$Q$2)</f>
        <v>538.12993329617484</v>
      </c>
      <c r="H701" s="219">
        <v>0</v>
      </c>
      <c r="I701" s="220">
        <v>0</v>
      </c>
      <c r="J701" s="219">
        <v>0</v>
      </c>
      <c r="K701" s="220">
        <v>0</v>
      </c>
      <c r="L701" s="73"/>
      <c r="M701" s="2"/>
      <c r="N701"/>
      <c r="O701"/>
      <c r="P701"/>
      <c r="Q701"/>
    </row>
    <row r="702" spans="1:21" ht="18" thickTop="1" thickBot="1" x14ac:dyDescent="0.35">
      <c r="A702" s="38" t="str">
        <f>'1.2 Budgeted Enrollment YR1'!A702</f>
        <v>Washoe</v>
      </c>
      <c r="B702" s="40">
        <f>'1.2 Budgeted Enrollment YR1'!B702</f>
        <v>16</v>
      </c>
      <c r="C702" s="40">
        <f>'1.2 Budgeted Enrollment YR1'!C702</f>
        <v>16</v>
      </c>
      <c r="D702" s="40" t="str">
        <f>'1.2 Budgeted Enrollment YR1'!D702</f>
        <v>Reno/Sparks</v>
      </c>
      <c r="E702" s="38" t="str">
        <f>'1.2 Budgeted Enrollment YR1'!E702</f>
        <v>ROY GOMM ELEMENTARY</v>
      </c>
      <c r="F702" s="590"/>
      <c r="G702" s="220">
        <f>'1.2 Budgeted Enrollment YR1'!G702+('1.2 Budgeted Enrollment YR1'!G702*$Q$2)</f>
        <v>402.43509283161029</v>
      </c>
      <c r="H702" s="219">
        <v>0</v>
      </c>
      <c r="I702" s="220">
        <v>0</v>
      </c>
      <c r="J702" s="219">
        <v>0</v>
      </c>
      <c r="K702" s="220">
        <v>0</v>
      </c>
      <c r="L702" s="73"/>
      <c r="M702" s="2"/>
      <c r="N702"/>
      <c r="O702"/>
      <c r="P702"/>
      <c r="Q702"/>
    </row>
    <row r="703" spans="1:21" ht="18" thickTop="1" thickBot="1" x14ac:dyDescent="0.35">
      <c r="A703" s="38" t="str">
        <f>'1.2 Budgeted Enrollment YR1'!A703</f>
        <v>Washoe</v>
      </c>
      <c r="B703" s="40">
        <f>'1.2 Budgeted Enrollment YR1'!B703</f>
        <v>16</v>
      </c>
      <c r="C703" s="40">
        <f>'1.2 Budgeted Enrollment YR1'!C703</f>
        <v>16</v>
      </c>
      <c r="D703" s="40" t="str">
        <f>'1.2 Budgeted Enrollment YR1'!D703</f>
        <v>Reno/Sparks</v>
      </c>
      <c r="E703" s="38" t="str">
        <f>'1.2 Budgeted Enrollment YR1'!E703</f>
        <v>SARAH WINNEMUCCA ELEMENTARY</v>
      </c>
      <c r="F703" s="590"/>
      <c r="G703" s="220">
        <f>'1.2 Budgeted Enrollment YR1'!G703+('1.2 Budgeted Enrollment YR1'!G703*$Q$2)</f>
        <v>498.05001275227397</v>
      </c>
      <c r="H703" s="219">
        <v>0</v>
      </c>
      <c r="I703" s="220">
        <v>0</v>
      </c>
      <c r="J703" s="219">
        <v>0</v>
      </c>
      <c r="K703" s="220">
        <v>0</v>
      </c>
      <c r="L703" s="73"/>
      <c r="M703" s="2"/>
      <c r="N703"/>
      <c r="O703"/>
      <c r="P703"/>
      <c r="Q703"/>
    </row>
    <row r="704" spans="1:21" ht="18" thickTop="1" thickBot="1" x14ac:dyDescent="0.35">
      <c r="A704" s="38" t="str">
        <f>'1.2 Budgeted Enrollment YR1'!A704</f>
        <v>Washoe</v>
      </c>
      <c r="B704" s="40">
        <f>'1.2 Budgeted Enrollment YR1'!B704</f>
        <v>16</v>
      </c>
      <c r="C704" s="40">
        <f>'1.2 Budgeted Enrollment YR1'!C704</f>
        <v>16</v>
      </c>
      <c r="D704" s="40" t="str">
        <f>'1.2 Budgeted Enrollment YR1'!D704</f>
        <v>Stead</v>
      </c>
      <c r="E704" s="38" t="str">
        <f>'1.2 Budgeted Enrollment YR1'!E704</f>
        <v>SILVER LAKE ELEMENTARY</v>
      </c>
      <c r="F704" s="590"/>
      <c r="G704" s="220">
        <f>'1.2 Budgeted Enrollment YR1'!G704+('1.2 Budgeted Enrollment YR1'!G704*$Q$2)</f>
        <v>420.83033735401574</v>
      </c>
      <c r="H704" s="219">
        <v>0</v>
      </c>
      <c r="I704" s="220">
        <v>0</v>
      </c>
      <c r="J704" s="219">
        <v>0</v>
      </c>
      <c r="K704" s="220">
        <v>0</v>
      </c>
      <c r="L704" s="73"/>
      <c r="M704" s="2"/>
      <c r="N704"/>
      <c r="O704"/>
      <c r="P704"/>
      <c r="Q704"/>
    </row>
    <row r="705" spans="1:17" ht="18" thickTop="1" thickBot="1" x14ac:dyDescent="0.35">
      <c r="A705" s="38" t="str">
        <f>'1.2 Budgeted Enrollment YR1'!A705</f>
        <v>Washoe</v>
      </c>
      <c r="B705" s="40">
        <f>'1.2 Budgeted Enrollment YR1'!B705</f>
        <v>16</v>
      </c>
      <c r="C705" s="40">
        <f>'1.2 Budgeted Enrollment YR1'!C705</f>
        <v>16</v>
      </c>
      <c r="D705" s="40" t="str">
        <f>'1.2 Budgeted Enrollment YR1'!D705</f>
        <v>Reno/Sparks</v>
      </c>
      <c r="E705" s="38" t="str">
        <f>'1.2 Budgeted Enrollment YR1'!E705</f>
        <v>SKY RANCH MIDDLE SCHOOL</v>
      </c>
      <c r="F705" s="590"/>
      <c r="G705" s="220">
        <f>'1.2 Budgeted Enrollment YR1'!G705+('1.2 Budgeted Enrollment YR1'!G705*$Q$2)</f>
        <v>1286.2926109284456</v>
      </c>
      <c r="H705" s="219">
        <v>0</v>
      </c>
      <c r="I705" s="220">
        <v>0</v>
      </c>
      <c r="J705" s="219">
        <v>0</v>
      </c>
      <c r="K705" s="220">
        <v>0</v>
      </c>
      <c r="L705" s="73"/>
      <c r="M705" s="2"/>
      <c r="N705"/>
      <c r="O705"/>
      <c r="P705"/>
      <c r="Q705"/>
    </row>
    <row r="706" spans="1:17" ht="18" thickTop="1" thickBot="1" x14ac:dyDescent="0.35">
      <c r="A706" s="38" t="str">
        <f>'1.2 Budgeted Enrollment YR1'!A706</f>
        <v>Washoe</v>
      </c>
      <c r="B706" s="40">
        <f>'1.2 Budgeted Enrollment YR1'!B706</f>
        <v>16</v>
      </c>
      <c r="C706" s="40">
        <f>'1.2 Budgeted Enrollment YR1'!C706</f>
        <v>16</v>
      </c>
      <c r="D706" s="40" t="str">
        <f>'1.2 Budgeted Enrollment YR1'!D706</f>
        <v>Reno/Sparks</v>
      </c>
      <c r="E706" s="38" t="str">
        <f>'1.2 Budgeted Enrollment YR1'!E706</f>
        <v>SMITHRIDGE S.T.E.M. ACADEMY</v>
      </c>
      <c r="F706" s="590"/>
      <c r="G706" s="220">
        <f>'1.2 Budgeted Enrollment YR1'!G706+('1.2 Budgeted Enrollment YR1'!G706*$Q$2)</f>
        <v>498.00505509109001</v>
      </c>
      <c r="H706" s="219">
        <v>0</v>
      </c>
      <c r="I706" s="220">
        <v>0</v>
      </c>
      <c r="J706" s="219">
        <v>0</v>
      </c>
      <c r="K706" s="220">
        <v>0</v>
      </c>
      <c r="L706" s="73"/>
      <c r="M706" s="2"/>
      <c r="N706"/>
      <c r="O706"/>
      <c r="P706"/>
      <c r="Q706"/>
    </row>
    <row r="707" spans="1:17" ht="18" thickTop="1" thickBot="1" x14ac:dyDescent="0.35">
      <c r="A707" s="38" t="str">
        <f>'1.2 Budgeted Enrollment YR1'!A707</f>
        <v>Washoe</v>
      </c>
      <c r="B707" s="40">
        <f>'1.2 Budgeted Enrollment YR1'!B707</f>
        <v>16</v>
      </c>
      <c r="C707" s="40">
        <f>'1.2 Budgeted Enrollment YR1'!C707</f>
        <v>16</v>
      </c>
      <c r="D707" s="40" t="str">
        <f>'1.2 Budgeted Enrollment YR1'!D707</f>
        <v>Reno/Sparks</v>
      </c>
      <c r="E707" s="38" t="str">
        <f>'1.2 Budgeted Enrollment YR1'!E707</f>
        <v>SPANISH SPRINGS ELEMENTARY</v>
      </c>
      <c r="F707" s="590"/>
      <c r="G707" s="220">
        <f>'1.2 Budgeted Enrollment YR1'!G707+('1.2 Budgeted Enrollment YR1'!G707*$Q$2)</f>
        <v>473.62636891588016</v>
      </c>
      <c r="H707" s="219">
        <v>0</v>
      </c>
      <c r="I707" s="220">
        <v>0</v>
      </c>
      <c r="J707" s="219">
        <v>0</v>
      </c>
      <c r="K707" s="220">
        <v>0</v>
      </c>
      <c r="L707" s="73"/>
      <c r="M707" s="2"/>
      <c r="N707"/>
      <c r="O707"/>
      <c r="P707"/>
      <c r="Q707"/>
    </row>
    <row r="708" spans="1:17" ht="18" thickTop="1" thickBot="1" x14ac:dyDescent="0.35">
      <c r="A708" s="38" t="str">
        <f>'1.2 Budgeted Enrollment YR1'!A708</f>
        <v>Washoe</v>
      </c>
      <c r="B708" s="40">
        <f>'1.2 Budgeted Enrollment YR1'!B708</f>
        <v>16</v>
      </c>
      <c r="C708" s="40">
        <f>'1.2 Budgeted Enrollment YR1'!C708</f>
        <v>16</v>
      </c>
      <c r="D708" s="40" t="str">
        <f>'1.2 Budgeted Enrollment YR1'!D708</f>
        <v>Reno/Sparks</v>
      </c>
      <c r="E708" s="38" t="str">
        <f>'1.2 Budgeted Enrollment YR1'!E708</f>
        <v>SPANISH SPRINGS HIGH SCHOOL</v>
      </c>
      <c r="F708" s="590"/>
      <c r="G708" s="220">
        <f>'1.2 Budgeted Enrollment YR1'!G708+('1.2 Budgeted Enrollment YR1'!G708*$Q$2)</f>
        <v>2024.8562437858532</v>
      </c>
      <c r="H708" s="219">
        <v>0</v>
      </c>
      <c r="I708" s="220">
        <v>0</v>
      </c>
      <c r="J708" s="219">
        <v>0</v>
      </c>
      <c r="K708" s="220">
        <v>0</v>
      </c>
      <c r="L708" s="73"/>
      <c r="M708" s="2"/>
      <c r="N708"/>
      <c r="O708"/>
      <c r="P708"/>
      <c r="Q708"/>
    </row>
    <row r="709" spans="1:17" ht="18" thickTop="1" thickBot="1" x14ac:dyDescent="0.35">
      <c r="A709" s="38" t="str">
        <f>'1.2 Budgeted Enrollment YR1'!A709</f>
        <v>Washoe</v>
      </c>
      <c r="B709" s="40">
        <f>'1.2 Budgeted Enrollment YR1'!B709</f>
        <v>16</v>
      </c>
      <c r="C709" s="40">
        <f>'1.2 Budgeted Enrollment YR1'!C709</f>
        <v>16</v>
      </c>
      <c r="D709" s="40" t="str">
        <f>'1.2 Budgeted Enrollment YR1'!D709</f>
        <v>Reno/Sparks</v>
      </c>
      <c r="E709" s="38" t="str">
        <f>'1.2 Budgeted Enrollment YR1'!E709</f>
        <v>SPARKS HIGH SCHOOL</v>
      </c>
      <c r="F709" s="590"/>
      <c r="G709" s="220">
        <f>'1.2 Budgeted Enrollment YR1'!G709+('1.2 Budgeted Enrollment YR1'!G709*$Q$2)</f>
        <v>1276.6508763445381</v>
      </c>
      <c r="H709" s="219">
        <v>0</v>
      </c>
      <c r="I709" s="220">
        <v>0</v>
      </c>
      <c r="J709" s="219">
        <v>0</v>
      </c>
      <c r="K709" s="220">
        <v>0</v>
      </c>
      <c r="L709" s="73"/>
      <c r="M709" s="2"/>
      <c r="N709"/>
      <c r="O709"/>
      <c r="P709"/>
      <c r="Q709"/>
    </row>
    <row r="710" spans="1:17" ht="18" thickTop="1" thickBot="1" x14ac:dyDescent="0.35">
      <c r="A710" s="38" t="str">
        <f>'1.2 Budgeted Enrollment YR1'!A710</f>
        <v>Washoe</v>
      </c>
      <c r="B710" s="40">
        <f>'1.2 Budgeted Enrollment YR1'!B710</f>
        <v>16</v>
      </c>
      <c r="C710" s="40">
        <f>'1.2 Budgeted Enrollment YR1'!C710</f>
        <v>16</v>
      </c>
      <c r="D710" s="40" t="str">
        <f>'1.2 Budgeted Enrollment YR1'!D710</f>
        <v>Reno/Sparks</v>
      </c>
      <c r="E710" s="38" t="str">
        <f>'1.2 Budgeted Enrollment YR1'!E710</f>
        <v>SPARKS MIDDLE SCHOOL</v>
      </c>
      <c r="F710" s="590"/>
      <c r="G710" s="220">
        <f>'1.2 Budgeted Enrollment YR1'!G710+('1.2 Budgeted Enrollment YR1'!G710*$Q$2)</f>
        <v>647.09184017473967</v>
      </c>
      <c r="H710" s="219">
        <v>0</v>
      </c>
      <c r="I710" s="220">
        <v>0</v>
      </c>
      <c r="J710" s="219">
        <v>0</v>
      </c>
      <c r="K710" s="220">
        <v>0</v>
      </c>
      <c r="L710" s="73"/>
      <c r="M710" s="2"/>
      <c r="N710"/>
      <c r="O710"/>
      <c r="P710"/>
      <c r="Q710"/>
    </row>
    <row r="711" spans="1:17" ht="18" thickTop="1" thickBot="1" x14ac:dyDescent="0.35">
      <c r="A711" s="38" t="str">
        <f>'1.2 Budgeted Enrollment YR1'!A711</f>
        <v>Washoe</v>
      </c>
      <c r="B711" s="40">
        <f>'1.2 Budgeted Enrollment YR1'!B711</f>
        <v>16</v>
      </c>
      <c r="C711" s="40">
        <f>'1.2 Budgeted Enrollment YR1'!C711</f>
        <v>16</v>
      </c>
      <c r="D711" s="40" t="str">
        <f>'1.2 Budgeted Enrollment YR1'!D711</f>
        <v>Stead</v>
      </c>
      <c r="E711" s="38" t="str">
        <f>'1.2 Budgeted Enrollment YR1'!E711</f>
        <v>STEAD ELEMENTARY</v>
      </c>
      <c r="F711" s="590"/>
      <c r="G711" s="220">
        <f>'1.2 Budgeted Enrollment YR1'!G711+('1.2 Budgeted Enrollment YR1'!G711*$Q$2)</f>
        <v>697.63576982164295</v>
      </c>
      <c r="H711" s="219">
        <v>0</v>
      </c>
      <c r="I711" s="220">
        <v>0</v>
      </c>
      <c r="J711" s="219">
        <v>0</v>
      </c>
      <c r="K711" s="220">
        <v>0</v>
      </c>
      <c r="L711" s="73"/>
      <c r="M711" s="2"/>
      <c r="N711"/>
      <c r="O711"/>
      <c r="P711"/>
      <c r="Q711"/>
    </row>
    <row r="712" spans="1:17" ht="18" thickTop="1" thickBot="1" x14ac:dyDescent="0.35">
      <c r="A712" s="38" t="str">
        <f>'1.2 Budgeted Enrollment YR1'!A712</f>
        <v>Washoe</v>
      </c>
      <c r="B712" s="40">
        <f>'1.2 Budgeted Enrollment YR1'!B712</f>
        <v>16</v>
      </c>
      <c r="C712" s="40">
        <f>'1.2 Budgeted Enrollment YR1'!C712</f>
        <v>16</v>
      </c>
      <c r="D712" s="40" t="str">
        <f>'1.2 Budgeted Enrollment YR1'!D712</f>
        <v>Reno/Sparks</v>
      </c>
      <c r="E712" s="38" t="str">
        <f>'1.2 Budgeted Enrollment YR1'!E712</f>
        <v>SUN VALLEY ELEMENTARY</v>
      </c>
      <c r="F712" s="590"/>
      <c r="G712" s="220">
        <f>'1.2 Budgeted Enrollment YR1'!G712+('1.2 Budgeted Enrollment YR1'!G712*$Q$2)</f>
        <v>499.97996123017464</v>
      </c>
      <c r="H712" s="219">
        <v>0</v>
      </c>
      <c r="I712" s="220">
        <v>0</v>
      </c>
      <c r="J712" s="219">
        <v>0</v>
      </c>
      <c r="K712" s="220">
        <v>0</v>
      </c>
      <c r="L712" s="73"/>
      <c r="M712" s="2"/>
      <c r="N712"/>
      <c r="O712"/>
      <c r="P712"/>
      <c r="Q712"/>
    </row>
    <row r="713" spans="1:17" ht="18" thickTop="1" thickBot="1" x14ac:dyDescent="0.35">
      <c r="A713" s="38" t="str">
        <f>'1.2 Budgeted Enrollment YR1'!A713</f>
        <v>Washoe</v>
      </c>
      <c r="B713" s="40">
        <f>'1.2 Budgeted Enrollment YR1'!B713</f>
        <v>16</v>
      </c>
      <c r="C713" s="40">
        <f>'1.2 Budgeted Enrollment YR1'!C713</f>
        <v>16</v>
      </c>
      <c r="D713" s="40" t="str">
        <f>'1.2 Budgeted Enrollment YR1'!D713</f>
        <v>Reno/Sparks</v>
      </c>
      <c r="E713" s="38" t="str">
        <f>'1.2 Budgeted Enrollment YR1'!E713</f>
        <v>TED HUNSBERGER ELEMENTARY</v>
      </c>
      <c r="F713" s="590"/>
      <c r="G713" s="220">
        <f>'1.2 Budgeted Enrollment YR1'!G713+('1.2 Budgeted Enrollment YR1'!G713*$Q$2)</f>
        <v>539.84141210872588</v>
      </c>
      <c r="H713" s="219">
        <v>0</v>
      </c>
      <c r="I713" s="220">
        <v>0</v>
      </c>
      <c r="J713" s="219">
        <v>0</v>
      </c>
      <c r="K713" s="220">
        <v>0</v>
      </c>
      <c r="L713" s="73"/>
      <c r="M713" s="2"/>
      <c r="N713"/>
      <c r="O713"/>
      <c r="P713"/>
      <c r="Q713"/>
    </row>
    <row r="714" spans="1:17" ht="18" thickTop="1" thickBot="1" x14ac:dyDescent="0.35">
      <c r="A714" s="38" t="str">
        <f>'1.2 Budgeted Enrollment YR1'!A714</f>
        <v>Washoe</v>
      </c>
      <c r="B714" s="40">
        <f>'1.2 Budgeted Enrollment YR1'!B714</f>
        <v>16</v>
      </c>
      <c r="C714" s="40">
        <f>'1.2 Budgeted Enrollment YR1'!C714</f>
        <v>16</v>
      </c>
      <c r="D714" s="40" t="str">
        <f>'1.2 Budgeted Enrollment YR1'!D714</f>
        <v>Reno/Sparks</v>
      </c>
      <c r="E714" s="38" t="str">
        <f>'1.2 Budgeted Enrollment YR1'!E714</f>
        <v>TMCC MAGNET SCHOOL</v>
      </c>
      <c r="F714" s="590"/>
      <c r="G714" s="220">
        <f>'1.2 Budgeted Enrollment YR1'!G714+('1.2 Budgeted Enrollment YR1'!G714*$Q$2)</f>
        <v>231.95308949637825</v>
      </c>
      <c r="H714" s="219">
        <v>0</v>
      </c>
      <c r="I714" s="220">
        <v>0</v>
      </c>
      <c r="J714" s="219">
        <v>0</v>
      </c>
      <c r="K714" s="220">
        <v>0</v>
      </c>
      <c r="L714" s="73"/>
      <c r="M714" s="2"/>
      <c r="N714"/>
      <c r="O714"/>
      <c r="P714"/>
      <c r="Q714"/>
    </row>
    <row r="715" spans="1:17" ht="18" thickTop="1" thickBot="1" x14ac:dyDescent="0.35">
      <c r="A715" s="38" t="str">
        <f>'1.2 Budgeted Enrollment YR1'!A715</f>
        <v>Washoe</v>
      </c>
      <c r="B715" s="40">
        <f>'1.2 Budgeted Enrollment YR1'!B715</f>
        <v>16</v>
      </c>
      <c r="C715" s="40">
        <f>'1.2 Budgeted Enrollment YR1'!C715</f>
        <v>16</v>
      </c>
      <c r="D715" s="40" t="str">
        <f>'1.2 Budgeted Enrollment YR1'!D715</f>
        <v>Reno/Sparks</v>
      </c>
      <c r="E715" s="38" t="str">
        <f>'1.2 Budgeted Enrollment YR1'!E715</f>
        <v>TURNING POINT</v>
      </c>
      <c r="F715" s="590"/>
      <c r="G715" s="220">
        <f>'1.2 Budgeted Enrollment YR1'!G715+('1.2 Budgeted Enrollment YR1'!G715*$Q$2)</f>
        <v>25.62171835887159</v>
      </c>
      <c r="H715" s="219">
        <v>0</v>
      </c>
      <c r="I715" s="220">
        <v>0</v>
      </c>
      <c r="J715" s="219">
        <v>0</v>
      </c>
      <c r="K715" s="220">
        <v>0</v>
      </c>
      <c r="L715" s="73"/>
      <c r="M715" s="2"/>
      <c r="N715"/>
      <c r="O715"/>
      <c r="P715"/>
      <c r="Q715"/>
    </row>
    <row r="716" spans="1:17" ht="18" thickTop="1" thickBot="1" x14ac:dyDescent="0.35">
      <c r="A716" s="38" t="str">
        <f>'1.2 Budgeted Enrollment YR1'!A716</f>
        <v>Washoe</v>
      </c>
      <c r="B716" s="40">
        <f>'1.2 Budgeted Enrollment YR1'!B716</f>
        <v>16</v>
      </c>
      <c r="C716" s="40">
        <f>'1.2 Budgeted Enrollment YR1'!C716</f>
        <v>16</v>
      </c>
      <c r="D716" s="40" t="str">
        <f>'1.2 Budgeted Enrollment YR1'!D716</f>
        <v>Reno/Sparks</v>
      </c>
      <c r="E716" s="38" t="str">
        <f>'1.2 Budgeted Enrollment YR1'!E716</f>
        <v>VAN GORDER ELEMENTARY</v>
      </c>
      <c r="F716" s="590"/>
      <c r="G716" s="220">
        <f>'1.2 Budgeted Enrollment YR1'!G716+('1.2 Budgeted Enrollment YR1'!G716*$Q$2)</f>
        <v>592.16083222397231</v>
      </c>
      <c r="H716" s="219">
        <v>0</v>
      </c>
      <c r="I716" s="220">
        <v>0</v>
      </c>
      <c r="J716" s="219">
        <v>0</v>
      </c>
      <c r="K716" s="220">
        <v>0</v>
      </c>
      <c r="L716" s="73"/>
      <c r="M716" s="2"/>
      <c r="N716"/>
      <c r="O716"/>
      <c r="P716"/>
      <c r="Q716"/>
    </row>
    <row r="717" spans="1:17" ht="18" thickTop="1" thickBot="1" x14ac:dyDescent="0.35">
      <c r="A717" s="38" t="str">
        <f>'1.2 Budgeted Enrollment YR1'!A717</f>
        <v>Washoe</v>
      </c>
      <c r="B717" s="40">
        <f>'1.2 Budgeted Enrollment YR1'!B717</f>
        <v>16</v>
      </c>
      <c r="C717" s="40">
        <f>'1.2 Budgeted Enrollment YR1'!C717</f>
        <v>16</v>
      </c>
      <c r="D717" s="40" t="str">
        <f>'1.2 Budgeted Enrollment YR1'!D717</f>
        <v>Verdi</v>
      </c>
      <c r="E717" s="38" t="str">
        <f>'1.2 Budgeted Enrollment YR1'!E717</f>
        <v>VERDI ELEMENTARY</v>
      </c>
      <c r="F717" s="590"/>
      <c r="G717" s="220">
        <f>'1.2 Budgeted Enrollment YR1'!G717+('1.2 Budgeted Enrollment YR1'!G717*$Q$2)</f>
        <v>225.90163630720886</v>
      </c>
      <c r="H717" s="219">
        <v>0</v>
      </c>
      <c r="I717" s="220">
        <v>0</v>
      </c>
      <c r="J717" s="219">
        <v>0</v>
      </c>
      <c r="K717" s="220">
        <v>0</v>
      </c>
      <c r="L717" s="73"/>
      <c r="M717" s="2"/>
      <c r="N717"/>
      <c r="O717"/>
      <c r="P717"/>
      <c r="Q717"/>
    </row>
    <row r="718" spans="1:17" ht="18" thickTop="1" thickBot="1" x14ac:dyDescent="0.35">
      <c r="A718" s="38" t="str">
        <f>'1.2 Budgeted Enrollment YR1'!A718</f>
        <v>Washoe</v>
      </c>
      <c r="B718" s="40">
        <f>'1.2 Budgeted Enrollment YR1'!B718</f>
        <v>16</v>
      </c>
      <c r="C718" s="40">
        <f>'1.2 Budgeted Enrollment YR1'!C718</f>
        <v>16</v>
      </c>
      <c r="D718" s="40" t="str">
        <f>'1.2 Budgeted Enrollment YR1'!D718</f>
        <v>Reno/Sparks</v>
      </c>
      <c r="E718" s="38" t="str">
        <f>'1.2 Budgeted Enrollment YR1'!E718</f>
        <v>VETERANS MEMORIAL S.T.E.M. ACADEMY</v>
      </c>
      <c r="F718" s="590"/>
      <c r="G718" s="220">
        <f>'1.2 Budgeted Enrollment YR1'!G718+('1.2 Budgeted Enrollment YR1'!G718*$Q$2)</f>
        <v>277.30980314052596</v>
      </c>
      <c r="H718" s="219">
        <v>0</v>
      </c>
      <c r="I718" s="220">
        <v>0</v>
      </c>
      <c r="J718" s="219">
        <v>0</v>
      </c>
      <c r="K718" s="220">
        <v>0</v>
      </c>
      <c r="L718" s="73"/>
      <c r="M718" s="2"/>
      <c r="N718"/>
      <c r="O718"/>
      <c r="P718"/>
      <c r="Q718"/>
    </row>
    <row r="719" spans="1:17" ht="18" thickTop="1" thickBot="1" x14ac:dyDescent="0.35">
      <c r="A719" s="38" t="str">
        <f>'1.2 Budgeted Enrollment YR1'!A719</f>
        <v>Washoe</v>
      </c>
      <c r="B719" s="40">
        <f>'1.2 Budgeted Enrollment YR1'!B719</f>
        <v>16</v>
      </c>
      <c r="C719" s="40">
        <f>'1.2 Budgeted Enrollment YR1'!C719</f>
        <v>16</v>
      </c>
      <c r="D719" s="40" t="str">
        <f>'1.2 Budgeted Enrollment YR1'!D719</f>
        <v>Reno/Sparks</v>
      </c>
      <c r="E719" s="38" t="str">
        <f>'1.2 Budgeted Enrollment YR1'!E719</f>
        <v>VIRGINIA PALMER ELEMENTARY</v>
      </c>
      <c r="F719" s="590"/>
      <c r="G719" s="220">
        <f>'1.2 Budgeted Enrollment YR1'!G719+('1.2 Budgeted Enrollment YR1'!G719*$Q$2)</f>
        <v>434.18863826041724</v>
      </c>
      <c r="H719" s="219">
        <v>0</v>
      </c>
      <c r="I719" s="220">
        <v>0</v>
      </c>
      <c r="J719" s="219">
        <v>0</v>
      </c>
      <c r="K719" s="220">
        <v>0</v>
      </c>
      <c r="L719" s="73"/>
      <c r="M719" s="2"/>
      <c r="N719"/>
      <c r="O719"/>
      <c r="P719"/>
      <c r="Q719"/>
    </row>
    <row r="720" spans="1:17" ht="18" thickTop="1" thickBot="1" x14ac:dyDescent="0.35">
      <c r="A720" s="38" t="str">
        <f>'1.2 Budgeted Enrollment YR1'!A720</f>
        <v>Washoe</v>
      </c>
      <c r="B720" s="40">
        <f>'1.2 Budgeted Enrollment YR1'!B720</f>
        <v>16</v>
      </c>
      <c r="C720" s="40">
        <f>'1.2 Budgeted Enrollment YR1'!C720</f>
        <v>16</v>
      </c>
      <c r="D720" s="40" t="str">
        <f>'1.2 Budgeted Enrollment YR1'!D720</f>
        <v>Reno/Sparks</v>
      </c>
      <c r="E720" s="38" t="str">
        <f>'1.2 Budgeted Enrollment YR1'!E720</f>
        <v>WASHOE INSPIRE ACADEMY</v>
      </c>
      <c r="F720" s="590"/>
      <c r="G720" s="220">
        <f>'1.2 Budgeted Enrollment YR1'!G720+('1.2 Budgeted Enrollment YR1'!G720*$Q$2)</f>
        <v>140.76501894584194</v>
      </c>
      <c r="H720" s="219">
        <v>0</v>
      </c>
      <c r="I720" s="220">
        <v>0</v>
      </c>
      <c r="J720" s="219">
        <v>0</v>
      </c>
      <c r="K720" s="220">
        <v>0</v>
      </c>
      <c r="L720" s="73"/>
      <c r="M720" s="2"/>
      <c r="N720"/>
      <c r="O720"/>
      <c r="P720"/>
      <c r="Q720"/>
    </row>
    <row r="721" spans="1:28" ht="18" thickTop="1" thickBot="1" x14ac:dyDescent="0.35">
      <c r="A721" s="38" t="str">
        <f>'1.2 Budgeted Enrollment YR1'!A721</f>
        <v>Washoe</v>
      </c>
      <c r="B721" s="40">
        <f>'1.2 Budgeted Enrollment YR1'!B721</f>
        <v>16</v>
      </c>
      <c r="C721" s="40">
        <f>'1.2 Budgeted Enrollment YR1'!C721</f>
        <v>16</v>
      </c>
      <c r="D721" s="40" t="str">
        <f>'1.2 Budgeted Enrollment YR1'!D721</f>
        <v>Reno/Sparks</v>
      </c>
      <c r="E721" s="38" t="str">
        <f>'1.2 Budgeted Enrollment YR1'!E721</f>
        <v>WILLIAM OBRIEN S.T.E.M. ACADEMY</v>
      </c>
      <c r="F721" s="590"/>
      <c r="G721" s="220">
        <f>'1.2 Budgeted Enrollment YR1'!G721+('1.2 Budgeted Enrollment YR1'!G721*$Q$2)</f>
        <v>1064.3783392739278</v>
      </c>
      <c r="H721" s="219">
        <v>0</v>
      </c>
      <c r="I721" s="220">
        <v>0</v>
      </c>
      <c r="J721" s="219">
        <v>0</v>
      </c>
      <c r="K721" s="220">
        <v>0</v>
      </c>
      <c r="L721" s="73"/>
      <c r="M721" s="2"/>
      <c r="N721"/>
      <c r="O721"/>
      <c r="P721"/>
      <c r="Q721"/>
    </row>
    <row r="722" spans="1:28" ht="18" thickTop="1" thickBot="1" x14ac:dyDescent="0.35">
      <c r="A722" s="38" t="str">
        <f>'1.2 Budgeted Enrollment YR1'!A722</f>
        <v>Washoe</v>
      </c>
      <c r="B722" s="40">
        <f>'1.2 Budgeted Enrollment YR1'!B722</f>
        <v>16</v>
      </c>
      <c r="C722" s="40">
        <f>'1.2 Budgeted Enrollment YR1'!C722</f>
        <v>16</v>
      </c>
      <c r="D722" s="40" t="str">
        <f>'1.2 Budgeted Enrollment YR1'!D722</f>
        <v>Reno/Sparks</v>
      </c>
      <c r="E722" s="38" t="str">
        <f>'1.2 Budgeted Enrollment YR1'!E722</f>
        <v>YVONNE SHAW MIDDLE SCHOOL</v>
      </c>
      <c r="F722" s="590"/>
      <c r="G722" s="220">
        <f>'1.2 Budgeted Enrollment YR1'!G722+('1.2 Budgeted Enrollment YR1'!G722*$Q$2)</f>
        <v>717.59905356813795</v>
      </c>
      <c r="H722" s="219">
        <v>0</v>
      </c>
      <c r="I722" s="220">
        <v>0</v>
      </c>
      <c r="J722" s="219">
        <v>0</v>
      </c>
      <c r="K722" s="220">
        <v>0</v>
      </c>
      <c r="L722" s="73"/>
      <c r="M722" s="2"/>
      <c r="N722"/>
      <c r="O722"/>
      <c r="P722"/>
      <c r="Q722"/>
    </row>
    <row r="723" spans="1:28" ht="18" thickTop="1" thickBot="1" x14ac:dyDescent="0.35">
      <c r="A723" s="38" t="str">
        <f>'1.2 Budgeted Enrollment YR1'!A723</f>
        <v>White Pine</v>
      </c>
      <c r="B723" s="40">
        <f>'1.2 Budgeted Enrollment YR1'!B723</f>
        <v>17</v>
      </c>
      <c r="C723" s="40">
        <f>'1.2 Budgeted Enrollment YR1'!C723</f>
        <v>17</v>
      </c>
      <c r="D723" s="40" t="str">
        <f>'1.2 Budgeted Enrollment YR1'!D723</f>
        <v>Baker</v>
      </c>
      <c r="E723" s="38" t="str">
        <f>'1.2 Budgeted Enrollment YR1'!E723</f>
        <v>Baker Elementary</v>
      </c>
      <c r="F723" s="590"/>
      <c r="G723" s="220">
        <f>'1.2 Budgeted Enrollment YR1'!G723+('1.2 Budgeted Enrollment YR1'!G723*$Q$2)</f>
        <v>4.1012977920253837</v>
      </c>
      <c r="H723" s="219">
        <v>0</v>
      </c>
      <c r="I723" s="220">
        <v>0</v>
      </c>
      <c r="J723" s="219">
        <v>0</v>
      </c>
      <c r="K723" s="220">
        <v>0</v>
      </c>
      <c r="L723" s="73"/>
      <c r="M723" s="2"/>
      <c r="N723"/>
      <c r="O723"/>
      <c r="P723"/>
      <c r="Q723"/>
    </row>
    <row r="724" spans="1:28" ht="18" thickTop="1" thickBot="1" x14ac:dyDescent="0.35">
      <c r="A724" s="38" t="str">
        <f>'1.2 Budgeted Enrollment YR1'!A724</f>
        <v>White Pine</v>
      </c>
      <c r="B724" s="40">
        <f>'1.2 Budgeted Enrollment YR1'!B724</f>
        <v>17</v>
      </c>
      <c r="C724" s="40">
        <f>'1.2 Budgeted Enrollment YR1'!C724</f>
        <v>17</v>
      </c>
      <c r="D724" s="40" t="str">
        <f>'1.2 Budgeted Enrollment YR1'!D724</f>
        <v>Ely</v>
      </c>
      <c r="E724" s="38" t="str">
        <f>'1.2 Budgeted Enrollment YR1'!E724</f>
        <v>David E Norman Elementary</v>
      </c>
      <c r="F724" s="590"/>
      <c r="G724" s="220">
        <f>'1.2 Budgeted Enrollment YR1'!G724+('1.2 Budgeted Enrollment YR1'!G724*$Q$2)</f>
        <v>372.41344052880999</v>
      </c>
      <c r="H724" s="219">
        <v>0</v>
      </c>
      <c r="I724" s="220">
        <v>0</v>
      </c>
      <c r="J724" s="219">
        <v>0</v>
      </c>
      <c r="K724" s="220">
        <v>0</v>
      </c>
      <c r="L724" s="73"/>
      <c r="M724" s="2"/>
      <c r="N724"/>
      <c r="O724"/>
      <c r="P724"/>
      <c r="Q724"/>
    </row>
    <row r="725" spans="1:28" ht="18" thickTop="1" thickBot="1" x14ac:dyDescent="0.35">
      <c r="A725" s="38" t="str">
        <f>'1.2 Budgeted Enrollment YR1'!A725</f>
        <v>White Pine</v>
      </c>
      <c r="B725" s="40">
        <f>'1.2 Budgeted Enrollment YR1'!B725</f>
        <v>17</v>
      </c>
      <c r="C725" s="40">
        <f>'1.2 Budgeted Enrollment YR1'!C725</f>
        <v>17</v>
      </c>
      <c r="D725" s="40" t="str">
        <f>'1.2 Budgeted Enrollment YR1'!D725</f>
        <v>McGill</v>
      </c>
      <c r="E725" s="38" t="str">
        <f>'1.2 Budgeted Enrollment YR1'!E725</f>
        <v>Early Childhood</v>
      </c>
      <c r="F725" s="590"/>
      <c r="G725" s="220">
        <f>'1.2 Budgeted Enrollment YR1'!G725+('1.2 Budgeted Enrollment YR1'!G725*$Q$2)</f>
        <v>8.4725567964253763</v>
      </c>
      <c r="H725" s="219">
        <v>0</v>
      </c>
      <c r="I725" s="220">
        <v>0</v>
      </c>
      <c r="J725" s="219">
        <v>0</v>
      </c>
      <c r="K725" s="220">
        <v>0</v>
      </c>
      <c r="L725" s="73"/>
      <c r="M725" s="2"/>
      <c r="N725"/>
      <c r="O725"/>
      <c r="P725"/>
      <c r="Q725"/>
    </row>
    <row r="726" spans="1:28" ht="18" thickTop="1" thickBot="1" x14ac:dyDescent="0.35">
      <c r="A726" s="38" t="str">
        <f>'1.2 Budgeted Enrollment YR1'!A726</f>
        <v>White Pine</v>
      </c>
      <c r="B726" s="40">
        <f>'1.2 Budgeted Enrollment YR1'!B726</f>
        <v>17</v>
      </c>
      <c r="C726" s="40">
        <f>'1.2 Budgeted Enrollment YR1'!C726</f>
        <v>17</v>
      </c>
      <c r="D726" s="40" t="str">
        <f>'1.2 Budgeted Enrollment YR1'!D726</f>
        <v>Lund</v>
      </c>
      <c r="E726" s="38" t="str">
        <f>'1.2 Budgeted Enrollment YR1'!E726</f>
        <v>Lund Elementary</v>
      </c>
      <c r="F726" s="590"/>
      <c r="G726" s="220">
        <f>'1.2 Budgeted Enrollment YR1'!G726+('1.2 Budgeted Enrollment YR1'!G726*$Q$2)</f>
        <v>54.722974275947671</v>
      </c>
      <c r="H726" s="219">
        <v>0</v>
      </c>
      <c r="I726" s="220">
        <v>0</v>
      </c>
      <c r="J726" s="219">
        <v>0</v>
      </c>
      <c r="K726" s="220">
        <v>0</v>
      </c>
      <c r="L726" s="73"/>
      <c r="M726" s="2"/>
      <c r="P726"/>
      <c r="Q726"/>
    </row>
    <row r="727" spans="1:28" ht="18" thickTop="1" thickBot="1" x14ac:dyDescent="0.35">
      <c r="A727" s="38" t="str">
        <f>'1.2 Budgeted Enrollment YR1'!A727</f>
        <v>White Pine</v>
      </c>
      <c r="B727" s="40">
        <f>'1.2 Budgeted Enrollment YR1'!B727</f>
        <v>17</v>
      </c>
      <c r="C727" s="40">
        <f>'1.2 Budgeted Enrollment YR1'!C727</f>
        <v>17</v>
      </c>
      <c r="D727" s="40" t="str">
        <f>'1.2 Budgeted Enrollment YR1'!D727</f>
        <v>Lund</v>
      </c>
      <c r="E727" s="38" t="str">
        <f>'1.2 Budgeted Enrollment YR1'!E727</f>
        <v>Lund High School</v>
      </c>
      <c r="F727" s="590"/>
      <c r="G727" s="220">
        <f>'1.2 Budgeted Enrollment YR1'!G727+('1.2 Budgeted Enrollment YR1'!G727*$Q$2)</f>
        <v>53.158016103976237</v>
      </c>
      <c r="H727" s="219">
        <v>0</v>
      </c>
      <c r="I727" s="220">
        <v>0</v>
      </c>
      <c r="J727" s="219">
        <v>0</v>
      </c>
      <c r="K727" s="220">
        <v>0</v>
      </c>
      <c r="L727" s="73"/>
      <c r="M727" s="2"/>
      <c r="P727"/>
      <c r="Q727"/>
    </row>
    <row r="728" spans="1:28" ht="18" thickTop="1" thickBot="1" x14ac:dyDescent="0.35">
      <c r="A728" s="38" t="str">
        <f>'1.2 Budgeted Enrollment YR1'!A728</f>
        <v>White Pine</v>
      </c>
      <c r="B728" s="40">
        <f>'1.2 Budgeted Enrollment YR1'!B728</f>
        <v>17</v>
      </c>
      <c r="C728" s="40">
        <f>'1.2 Budgeted Enrollment YR1'!C728</f>
        <v>17</v>
      </c>
      <c r="D728" s="40" t="str">
        <f>'1.2 Budgeted Enrollment YR1'!D728</f>
        <v>McGill</v>
      </c>
      <c r="E728" s="38" t="str">
        <f>'1.2 Budgeted Enrollment YR1'!E728</f>
        <v>McGill Elementary</v>
      </c>
      <c r="F728" s="590"/>
      <c r="G728" s="220">
        <f>'1.2 Budgeted Enrollment YR1'!G728+('1.2 Budgeted Enrollment YR1'!G728*$Q$2)</f>
        <v>99.353887972350151</v>
      </c>
      <c r="H728" s="219">
        <v>0</v>
      </c>
      <c r="I728" s="220">
        <v>0</v>
      </c>
      <c r="J728" s="219">
        <v>0</v>
      </c>
      <c r="K728" s="220">
        <v>0</v>
      </c>
      <c r="L728" s="73"/>
      <c r="M728" s="2"/>
      <c r="P728"/>
      <c r="Q728"/>
    </row>
    <row r="729" spans="1:28" ht="18" thickTop="1" thickBot="1" x14ac:dyDescent="0.35">
      <c r="A729" s="38" t="str">
        <f>'1.2 Budgeted Enrollment YR1'!A729</f>
        <v>White Pine</v>
      </c>
      <c r="B729" s="40">
        <f>'1.2 Budgeted Enrollment YR1'!B729</f>
        <v>17</v>
      </c>
      <c r="C729" s="40">
        <f>'1.2 Budgeted Enrollment YR1'!C729</f>
        <v>17</v>
      </c>
      <c r="D729" s="40" t="str">
        <f>'1.2 Budgeted Enrollment YR1'!D729</f>
        <v>Ely</v>
      </c>
      <c r="E729" s="38" t="str">
        <f>'1.2 Budgeted Enrollment YR1'!E729</f>
        <v>Out of State</v>
      </c>
      <c r="F729" s="590"/>
      <c r="G729" s="220">
        <f>'1.2 Budgeted Enrollment YR1'!G729+('1.2 Budgeted Enrollment YR1'!G729*$Q$2)</f>
        <v>32.451905195470914</v>
      </c>
      <c r="H729" s="219">
        <v>0</v>
      </c>
      <c r="I729" s="220">
        <v>0</v>
      </c>
      <c r="J729" s="219">
        <v>0</v>
      </c>
      <c r="K729" s="220">
        <v>0</v>
      </c>
      <c r="L729" s="73"/>
      <c r="M729" s="2"/>
      <c r="P729"/>
      <c r="Q729"/>
    </row>
    <row r="730" spans="1:28" ht="18" thickTop="1" thickBot="1" x14ac:dyDescent="0.35">
      <c r="A730" s="38" t="str">
        <f>'1.2 Budgeted Enrollment YR1'!A730</f>
        <v>White Pine</v>
      </c>
      <c r="B730" s="40">
        <f>'1.2 Budgeted Enrollment YR1'!B730</f>
        <v>17</v>
      </c>
      <c r="C730" s="40">
        <f>'1.2 Budgeted Enrollment YR1'!C730</f>
        <v>17</v>
      </c>
      <c r="D730" s="40" t="str">
        <f>'1.2 Budgeted Enrollment YR1'!D730</f>
        <v>Ely</v>
      </c>
      <c r="E730" s="38" t="str">
        <f>'1.2 Budgeted Enrollment YR1'!E730</f>
        <v>Steptoe Valley High School</v>
      </c>
      <c r="F730" s="700"/>
      <c r="G730" s="220">
        <f>'1.2 Budgeted Enrollment YR1'!G730+('1.2 Budgeted Enrollment YR1'!G730*$Q$2)</f>
        <v>372.02823629085287</v>
      </c>
      <c r="H730" s="219">
        <v>0</v>
      </c>
      <c r="I730" s="220">
        <v>0</v>
      </c>
      <c r="J730" s="219">
        <v>0</v>
      </c>
      <c r="K730" s="220">
        <v>0</v>
      </c>
      <c r="L730" s="73"/>
      <c r="M730" s="2"/>
      <c r="P730"/>
      <c r="Q730"/>
    </row>
    <row r="731" spans="1:28" ht="18" thickTop="1" thickBot="1" x14ac:dyDescent="0.35">
      <c r="A731" s="38" t="str">
        <f>'1.2 Budgeted Enrollment YR1'!A731</f>
        <v>White Pine</v>
      </c>
      <c r="B731" s="40">
        <f>'1.2 Budgeted Enrollment YR1'!B731</f>
        <v>17</v>
      </c>
      <c r="C731" s="40">
        <f>'1.2 Budgeted Enrollment YR1'!C731</f>
        <v>17</v>
      </c>
      <c r="D731" s="40" t="str">
        <f>'1.2 Budgeted Enrollment YR1'!D731</f>
        <v>Ely</v>
      </c>
      <c r="E731" s="38" t="str">
        <f>'1.2 Budgeted Enrollment YR1'!E731</f>
        <v>White Pine High School</v>
      </c>
      <c r="F731" s="590"/>
      <c r="G731" s="220">
        <f>'1.2 Budgeted Enrollment YR1'!G731+('1.2 Budgeted Enrollment YR1'!G731*$Q$2)</f>
        <v>241.85041101469017</v>
      </c>
      <c r="H731" s="219">
        <v>0</v>
      </c>
      <c r="I731" s="220">
        <v>0</v>
      </c>
      <c r="J731" s="219">
        <v>0</v>
      </c>
      <c r="K731" s="220">
        <v>0</v>
      </c>
      <c r="L731" s="73"/>
      <c r="M731" s="2"/>
      <c r="P731"/>
      <c r="Q731"/>
    </row>
    <row r="732" spans="1:28" ht="18" thickTop="1" thickBot="1" x14ac:dyDescent="0.35">
      <c r="A732" s="1099" t="str">
        <f>'1.2 Budgeted Enrollment YR1'!A732</f>
        <v>White Pine</v>
      </c>
      <c r="B732" s="1100">
        <f>'1.2 Budgeted Enrollment YR1'!B732</f>
        <v>17</v>
      </c>
      <c r="C732" s="1100">
        <f>'1.2 Budgeted Enrollment YR1'!C732</f>
        <v>17</v>
      </c>
      <c r="D732" s="1100" t="str">
        <f>'1.2 Budgeted Enrollment YR1'!D732</f>
        <v>Ely</v>
      </c>
      <c r="E732" s="1099" t="str">
        <f>'1.2 Budgeted Enrollment YR1'!E732</f>
        <v>White Pine Middle School</v>
      </c>
      <c r="F732" s="700"/>
      <c r="G732" s="220">
        <f>'1.2 Budgeted Enrollment YR1'!G732+('1.2 Budgeted Enrollment YR1'!G732*$Q$2)</f>
        <v>22.096914933925358</v>
      </c>
      <c r="H732" s="219">
        <v>0</v>
      </c>
      <c r="I732" s="220">
        <v>0</v>
      </c>
      <c r="J732" s="219">
        <v>0</v>
      </c>
      <c r="K732" s="220">
        <v>0</v>
      </c>
      <c r="L732" s="73"/>
      <c r="M732" s="2"/>
      <c r="P732"/>
      <c r="Q732"/>
    </row>
    <row r="733" spans="1:28" ht="18" thickTop="1" thickBot="1" x14ac:dyDescent="0.35">
      <c r="A733" s="4"/>
      <c r="B733" s="5"/>
      <c r="C733" s="5"/>
      <c r="D733" s="5"/>
      <c r="E733" s="4" t="s">
        <v>731</v>
      </c>
      <c r="F733" s="4"/>
      <c r="G733" s="633">
        <f>SUM(G102:G732)</f>
        <v>402519.54334188229</v>
      </c>
      <c r="H733" s="632">
        <f>SUM(H102:H732)</f>
        <v>0</v>
      </c>
      <c r="I733" s="633">
        <f>SUM(I102:I732)</f>
        <v>0</v>
      </c>
      <c r="J733" s="632">
        <f>SUM(J102:J732)</f>
        <v>0</v>
      </c>
      <c r="K733" s="633">
        <f>SUM(K102:K732)</f>
        <v>809.06751055723726</v>
      </c>
      <c r="L733" s="73"/>
      <c r="P733"/>
      <c r="Q733"/>
      <c r="W733" s="4"/>
    </row>
    <row r="734" spans="1:28" ht="17.25" thickTop="1" x14ac:dyDescent="0.3">
      <c r="G734" s="1502">
        <f>G733-SUM(G9:G25)</f>
        <v>0</v>
      </c>
      <c r="L734" s="221"/>
      <c r="S734" s="4"/>
      <c r="V734" s="4"/>
      <c r="X734" s="4"/>
      <c r="Y734" s="4"/>
      <c r="Z734" s="4"/>
      <c r="AA734" s="4"/>
      <c r="AB734" s="4"/>
    </row>
    <row r="735" spans="1:28" s="4" customFormat="1" x14ac:dyDescent="0.3">
      <c r="A735" s="10"/>
      <c r="B735" s="40"/>
      <c r="C735" s="40"/>
      <c r="D735" s="40"/>
      <c r="E735" s="10"/>
      <c r="F735" s="10"/>
      <c r="G735" s="1094"/>
      <c r="H735" s="10"/>
      <c r="I735" s="41"/>
      <c r="J735" s="10"/>
      <c r="K735" s="41"/>
      <c r="L735" s="10"/>
      <c r="M735" s="10"/>
      <c r="N735" s="10"/>
      <c r="O735" s="10"/>
      <c r="P735" s="10"/>
      <c r="Q735" s="10"/>
      <c r="R735" s="10"/>
      <c r="S735" s="10"/>
      <c r="T735" s="10"/>
      <c r="U735" s="10"/>
      <c r="V735" s="10"/>
    </row>
    <row r="736" spans="1:28" x14ac:dyDescent="0.3">
      <c r="A736" s="4"/>
    </row>
    <row r="737" spans="1:1" x14ac:dyDescent="0.3">
      <c r="A737" s="4"/>
    </row>
  </sheetData>
  <sheetProtection algorithmName="SHA-512" hashValue="ckzFvTFujAXPNZnyVww1RnMQfDb2KUOuujCNd50wZHliPsUl2XPIngw9CGQPJf0ocAl4sLJzlJjSpPjjUOt7qA==" saltValue="ZVybOVGw8CzwxSgpV3qZrA==" spinCount="100000" sheet="1" objects="1" scenarios="1"/>
  <mergeCells count="1">
    <mergeCell ref="M7:O7"/>
  </mergeCells>
  <pageMargins left="0.7" right="0.7" top="0.75" bottom="0.75" header="0.3" footer="0.3"/>
  <pageSetup scale="59" orientation="portrait" r:id="rId1"/>
  <rowBreaks count="13" manualBreakCount="13">
    <brk id="28" max="16383" man="1"/>
    <brk id="94" max="16383" man="1"/>
    <brk id="143" max="16383" man="1"/>
    <brk id="199" max="16383" man="1"/>
    <brk id="254" max="16383" man="1"/>
    <brk id="308" max="16383" man="1"/>
    <brk id="365" max="16383" man="1"/>
    <brk id="421" max="16383" man="1"/>
    <brk id="473" max="16383" man="1"/>
    <brk id="526" max="16383" man="1"/>
    <brk id="575" max="16383" man="1"/>
    <brk id="632" max="16383" man="1"/>
    <brk id="686" max="16383" man="1"/>
  </rowBreaks>
  <colBreaks count="1" manualBreakCount="1">
    <brk id="17" max="705" man="1"/>
  </col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AFA62-3223-4ACF-818E-F9AB486A6A71}">
  <sheetPr>
    <tabColor theme="5" tint="-0.249977111117893"/>
    <pageSetUpPr autoPageBreaks="0" fitToPage="1"/>
  </sheetPr>
  <dimension ref="A1:U44"/>
  <sheetViews>
    <sheetView zoomScale="85" zoomScaleNormal="85" workbookViewId="0">
      <selection activeCell="N19" sqref="N19"/>
    </sheetView>
  </sheetViews>
  <sheetFormatPr defaultColWidth="8.85546875" defaultRowHeight="16.5" x14ac:dyDescent="0.3"/>
  <cols>
    <col min="1" max="1" width="12.28515625" style="40" customWidth="1"/>
    <col min="2" max="2" width="104.28515625" style="10" bestFit="1" customWidth="1"/>
    <col min="3" max="3" width="14.85546875" style="11" bestFit="1" customWidth="1"/>
    <col min="4" max="4" width="9.5703125" style="10" bestFit="1" customWidth="1"/>
    <col min="5" max="5" width="26" style="10" customWidth="1"/>
    <col min="6" max="6" width="22.42578125" style="10" customWidth="1"/>
    <col min="7" max="7" width="18.5703125" style="10" bestFit="1" customWidth="1"/>
    <col min="8" max="8" width="17" style="10" bestFit="1" customWidth="1"/>
    <col min="9" max="9" width="8.85546875" style="10"/>
    <col min="10" max="10" width="11.42578125" style="10" hidden="1" customWidth="1"/>
    <col min="11" max="11" width="12" style="10" hidden="1" customWidth="1"/>
    <col min="12" max="12" width="8" style="10" hidden="1" customWidth="1"/>
    <col min="13" max="14" width="8.85546875" style="10"/>
    <col min="15" max="16" width="17" style="10" hidden="1" customWidth="1"/>
    <col min="17" max="17" width="15.5703125" style="10" hidden="1" customWidth="1"/>
    <col min="18" max="18" width="0" style="10" hidden="1" customWidth="1"/>
    <col min="19" max="19" width="56.28515625" style="10" hidden="1" customWidth="1"/>
    <col min="20" max="20" width="17" style="10" hidden="1" customWidth="1"/>
    <col min="21" max="21" width="18.28515625" style="10" hidden="1" customWidth="1"/>
    <col min="22" max="16384" width="8.85546875" style="10"/>
  </cols>
  <sheetData>
    <row r="1" spans="1:21" s="4" customFormat="1" ht="16.5" customHeight="1" x14ac:dyDescent="0.3">
      <c r="A1" s="30" t="s">
        <v>602</v>
      </c>
      <c r="B1" s="7"/>
    </row>
    <row r="2" spans="1:21" ht="16.5" customHeight="1" x14ac:dyDescent="0.3">
      <c r="A2" s="38" t="str">
        <f>CONCATENATE("Pupil Center Funding Plan | FY",'5.1 Assumption Control YR2'!D5)</f>
        <v>Pupil Center Funding Plan | FY2025</v>
      </c>
      <c r="B2" s="11"/>
      <c r="C2" s="308"/>
    </row>
    <row r="3" spans="1:21" ht="16.5" customHeight="1" x14ac:dyDescent="0.3">
      <c r="A3" s="10" t="s">
        <v>1286</v>
      </c>
      <c r="B3" s="11"/>
      <c r="C3" s="40"/>
      <c r="D3" s="252" t="s">
        <v>738</v>
      </c>
    </row>
    <row r="4" spans="1:21" ht="16.5" customHeight="1" x14ac:dyDescent="0.3">
      <c r="D4" s="252" t="s">
        <v>746</v>
      </c>
    </row>
    <row r="5" spans="1:21" ht="16.5" customHeight="1" x14ac:dyDescent="0.3">
      <c r="A5" s="1439">
        <v>2501</v>
      </c>
      <c r="B5" s="814" t="s">
        <v>1014</v>
      </c>
      <c r="C5" s="1530">
        <f>ROUND(G10,0)</f>
        <v>1487995964</v>
      </c>
      <c r="D5" s="252"/>
      <c r="E5" s="443"/>
      <c r="F5" s="433" t="s">
        <v>1371</v>
      </c>
      <c r="G5" s="433" t="s">
        <v>1372</v>
      </c>
      <c r="H5" s="1178" t="s">
        <v>1373</v>
      </c>
    </row>
    <row r="6" spans="1:21" ht="16.5" customHeight="1" x14ac:dyDescent="0.3">
      <c r="D6" s="252"/>
      <c r="E6" s="1175" t="s">
        <v>1374</v>
      </c>
      <c r="F6" s="353">
        <f>'1.3 Budgeted Revenues YR1'!F6</f>
        <v>1396939483</v>
      </c>
      <c r="G6" s="353">
        <f>'1.3 Budgeted Revenues YR1'!G6</f>
        <v>1223780931</v>
      </c>
      <c r="H6" s="1176">
        <f>SUM(F6:G6)</f>
        <v>2620720414</v>
      </c>
    </row>
    <row r="7" spans="1:21" ht="16.5" customHeight="1" thickBot="1" x14ac:dyDescent="0.35">
      <c r="A7" s="186" t="s">
        <v>848</v>
      </c>
      <c r="B7" s="187" t="s">
        <v>925</v>
      </c>
      <c r="C7" s="188" t="s">
        <v>78</v>
      </c>
      <c r="D7" s="189" t="s">
        <v>709</v>
      </c>
      <c r="E7" s="304"/>
      <c r="F7" s="1177"/>
      <c r="G7" s="290"/>
      <c r="H7" s="1345"/>
      <c r="O7" s="12"/>
    </row>
    <row r="8" spans="1:21" ht="16.5" customHeight="1" thickTop="1" thickBot="1" x14ac:dyDescent="0.35">
      <c r="A8" s="463">
        <f>'1.3 Budgeted Revenues YR1'!A8</f>
        <v>2501</v>
      </c>
      <c r="B8" s="1043" t="str">
        <f>'1.3 Budgeted Revenues YR1'!B8</f>
        <v>GENERAL FUND APPROPRIATION</v>
      </c>
      <c r="C8" s="1055">
        <f>C5</f>
        <v>1487995964</v>
      </c>
      <c r="D8" s="1075">
        <f t="shared" ref="D8:D34" si="0">C8/$C$35</f>
        <v>0.26012865553462738</v>
      </c>
      <c r="E8" s="425"/>
      <c r="F8" s="485" t="s">
        <v>1705</v>
      </c>
      <c r="G8" s="485" t="s">
        <v>1706</v>
      </c>
      <c r="H8" s="1337"/>
    </row>
    <row r="9" spans="1:21" ht="16.5" customHeight="1" thickTop="1" thickBot="1" x14ac:dyDescent="0.35">
      <c r="A9" s="463">
        <f>'1.3 Budgeted Revenues YR1'!A9</f>
        <v>3064</v>
      </c>
      <c r="B9" s="1043" t="str">
        <f>'1.3 Budgeted Revenues YR1'!B9</f>
        <v>NET PROCEEDS OF MINERALS (NPM) - STATE</v>
      </c>
      <c r="C9" s="1522">
        <v>58305000</v>
      </c>
      <c r="D9" s="631">
        <f t="shared" si="0"/>
        <v>1.0192770429413913E-2</v>
      </c>
      <c r="E9" s="132"/>
      <c r="F9" s="1343">
        <f>'1.3 Budgeted Revenues YR1'!F9</f>
        <v>0.5</v>
      </c>
      <c r="G9" s="1343">
        <f>'1.3 Budgeted Revenues YR1'!G9</f>
        <v>0.5</v>
      </c>
      <c r="H9" s="1344">
        <f>SUM(F9:G9)</f>
        <v>1</v>
      </c>
    </row>
    <row r="10" spans="1:21" ht="16.5" customHeight="1" thickTop="1" thickBot="1" x14ac:dyDescent="0.35">
      <c r="A10" s="463">
        <f>'1.3 Budgeted Revenues YR1'!A10</f>
        <v>3074</v>
      </c>
      <c r="B10" s="1043" t="str">
        <f>'1.3 Budgeted Revenues YR1'!B10</f>
        <v>GOLD AND SILVER TAX</v>
      </c>
      <c r="C10" s="1522">
        <v>63063000</v>
      </c>
      <c r="D10" s="631">
        <f t="shared" si="0"/>
        <v>1.1024555039707222E-2</v>
      </c>
      <c r="E10" s="541"/>
      <c r="F10" s="783">
        <f>'1.3 Budgeted Revenues YR1'!F10</f>
        <v>1137995964</v>
      </c>
      <c r="G10" s="783">
        <f>'1.3 Budgeted Revenues YR1'!G10</f>
        <v>1487995964</v>
      </c>
      <c r="H10" s="1341">
        <f>SUM(F10:G10)</f>
        <v>2625991928</v>
      </c>
    </row>
    <row r="11" spans="1:21" ht="16.5" customHeight="1" thickTop="1" thickBot="1" x14ac:dyDescent="0.35">
      <c r="A11" s="463">
        <f>'1.3 Budgeted Revenues YR1'!A11</f>
        <v>3324</v>
      </c>
      <c r="B11" s="1043" t="str">
        <f>'1.3 Budgeted Revenues YR1'!B11</f>
        <v>GOVERNMENTAL SERVICES TAX</v>
      </c>
      <c r="C11" s="1522">
        <v>134499000</v>
      </c>
      <c r="D11" s="631">
        <f t="shared" si="0"/>
        <v>2.3512862189962128E-2</v>
      </c>
    </row>
    <row r="12" spans="1:21" s="88" customFormat="1" ht="16.5" customHeight="1" thickTop="1" thickBot="1" x14ac:dyDescent="0.35">
      <c r="A12" s="463">
        <f>'1.3 Budgeted Revenues YR1'!A12</f>
        <v>3325</v>
      </c>
      <c r="B12" s="1043" t="str">
        <f>'1.3 Budgeted Revenues YR1'!B12</f>
        <v>RECREATIONAL MARIJUANA RETAIL TAX</v>
      </c>
      <c r="C12" s="1522">
        <v>75404000</v>
      </c>
      <c r="D12" s="631">
        <f t="shared" si="0"/>
        <v>1.3181985446523055E-2</v>
      </c>
      <c r="F12" s="10"/>
      <c r="G12" s="10"/>
      <c r="O12" s="1077" t="s">
        <v>1328</v>
      </c>
      <c r="P12" s="1078"/>
      <c r="Q12" s="1079"/>
      <c r="T12" s="96" t="s">
        <v>1361</v>
      </c>
      <c r="U12" s="96" t="s">
        <v>1362</v>
      </c>
    </row>
    <row r="13" spans="1:21" ht="16.5" customHeight="1" thickTop="1" thickBot="1" x14ac:dyDescent="0.35">
      <c r="A13" s="463">
        <f>'1.3 Budgeted Revenues YR1'!A13</f>
        <v>3328</v>
      </c>
      <c r="B13" s="1043" t="str">
        <f>'1.3 Budgeted Revenues YR1'!B13</f>
        <v>LOCAL SCHOOL SUPPORT TAX</v>
      </c>
      <c r="C13" s="1522">
        <v>2454407000</v>
      </c>
      <c r="D13" s="631">
        <f t="shared" si="0"/>
        <v>0.42907481504753475</v>
      </c>
      <c r="O13" s="214">
        <f t="shared" ref="O13:O22" si="1">C8</f>
        <v>1487995964</v>
      </c>
      <c r="P13" s="88"/>
      <c r="Q13" s="1140"/>
      <c r="S13" s="10" t="str">
        <f t="shared" ref="S13:S29" si="2">B8</f>
        <v>GENERAL FUND APPROPRIATION</v>
      </c>
      <c r="T13" s="218">
        <f>'1.3 Budgeted Revenues YR1'!C8</f>
        <v>1137995964</v>
      </c>
      <c r="U13" s="15">
        <f t="shared" ref="U13:U29" si="3">C8-T13</f>
        <v>350000000</v>
      </c>
    </row>
    <row r="14" spans="1:21" ht="16.5" customHeight="1" thickTop="1" thickBot="1" x14ac:dyDescent="0.35">
      <c r="A14" s="463">
        <f>'1.3 Budgeted Revenues YR1'!A14</f>
        <v>3329</v>
      </c>
      <c r="B14" s="1043" t="str">
        <f>'1.3 Budgeted Revenues YR1'!B14</f>
        <v>ANNUAL SLOT TAX</v>
      </c>
      <c r="C14" s="1522">
        <v>25152000</v>
      </c>
      <c r="D14" s="631">
        <f t="shared" si="0"/>
        <v>4.3970253295706847E-3</v>
      </c>
      <c r="F14" s="289" t="s">
        <v>952</v>
      </c>
      <c r="G14" s="222"/>
      <c r="J14" s="30" t="s">
        <v>1012</v>
      </c>
      <c r="K14" s="300"/>
      <c r="O14" s="214">
        <f t="shared" si="1"/>
        <v>58305000</v>
      </c>
      <c r="P14" s="1141">
        <v>71067000</v>
      </c>
      <c r="Q14" s="192">
        <f>O14-P14</f>
        <v>-12762000</v>
      </c>
      <c r="S14" s="10" t="str">
        <f t="shared" si="2"/>
        <v>NET PROCEEDS OF MINERALS (NPM) - STATE</v>
      </c>
      <c r="T14" s="218">
        <f>'1.3 Budgeted Revenues YR1'!C9</f>
        <v>37525000</v>
      </c>
      <c r="U14" s="15">
        <f t="shared" si="3"/>
        <v>20780000</v>
      </c>
    </row>
    <row r="15" spans="1:21" ht="16.5" customHeight="1" thickTop="1" thickBot="1" x14ac:dyDescent="0.35">
      <c r="A15" s="463">
        <f>'1.3 Budgeted Revenues YR1'!A15</f>
        <v>3335</v>
      </c>
      <c r="B15" s="1043" t="str">
        <f>'1.3 Budgeted Revenues YR1'!B15</f>
        <v>ROOM TAX REVENUE</v>
      </c>
      <c r="C15" s="1522">
        <v>241840000</v>
      </c>
      <c r="D15" s="631">
        <f t="shared" si="0"/>
        <v>4.2278013903601079E-2</v>
      </c>
      <c r="E15" s="12"/>
      <c r="F15" s="132" t="str">
        <f>'6.9 PCFP Funding Comparison YR2'!A8</f>
        <v>Carson City</v>
      </c>
      <c r="G15" s="465">
        <f>H15*$G$32</f>
        <v>0</v>
      </c>
      <c r="H15" s="1511">
        <f>'1.3 Budgeted Revenues YR1'!H17</f>
        <v>0</v>
      </c>
      <c r="J15" s="457" t="s">
        <v>18</v>
      </c>
      <c r="K15" s="467"/>
      <c r="L15" s="558">
        <f t="shared" ref="L15:L33" si="4">K15/$K$34</f>
        <v>0</v>
      </c>
      <c r="O15" s="214">
        <f t="shared" si="1"/>
        <v>63063000</v>
      </c>
      <c r="P15" s="146">
        <v>80996000</v>
      </c>
      <c r="Q15" s="192">
        <f>O15-P15</f>
        <v>-17933000</v>
      </c>
      <c r="S15" s="10" t="str">
        <f t="shared" si="2"/>
        <v>GOLD AND SILVER TAX</v>
      </c>
      <c r="T15" s="218">
        <f>'1.3 Budgeted Revenues YR1'!C10</f>
        <v>65747000</v>
      </c>
      <c r="U15" s="15">
        <f t="shared" si="3"/>
        <v>-2684000</v>
      </c>
    </row>
    <row r="16" spans="1:21" ht="16.5" customHeight="1" thickTop="1" thickBot="1" x14ac:dyDescent="0.35">
      <c r="A16" s="463">
        <f>'1.3 Budgeted Revenues YR1'!A16</f>
        <v>3340</v>
      </c>
      <c r="B16" s="1043" t="str">
        <f>'1.3 Budgeted Revenues YR1'!B16</f>
        <v>PROPERTY TAX</v>
      </c>
      <c r="C16" s="1522">
        <v>1080279000</v>
      </c>
      <c r="D16" s="631">
        <f t="shared" si="0"/>
        <v>0.1888523427959323</v>
      </c>
      <c r="F16" s="132" t="str">
        <f>'6.9 PCFP Funding Comparison YR2'!A9</f>
        <v>Churchill</v>
      </c>
      <c r="G16" s="465">
        <f t="shared" ref="G16:G31" si="5">H16*$G$32</f>
        <v>260928.9392417061</v>
      </c>
      <c r="H16" s="1511">
        <f>'1.3 Budgeted Revenues YR1'!H18</f>
        <v>1.3311342681446082E-2</v>
      </c>
      <c r="J16" s="457" t="s">
        <v>1</v>
      </c>
      <c r="K16" s="467">
        <v>361927</v>
      </c>
      <c r="L16" s="558">
        <f t="shared" si="4"/>
        <v>1.3303024254981461E-2</v>
      </c>
      <c r="O16" s="214">
        <f t="shared" si="1"/>
        <v>134499000</v>
      </c>
      <c r="P16" s="146">
        <v>117875700</v>
      </c>
      <c r="Q16" s="192">
        <f>O16-P16</f>
        <v>16623300</v>
      </c>
      <c r="S16" s="10" t="str">
        <f t="shared" si="2"/>
        <v>GOVERNMENTAL SERVICES TAX</v>
      </c>
      <c r="T16" s="218">
        <f>'1.3 Budgeted Revenues YR1'!C11</f>
        <v>130140000</v>
      </c>
      <c r="U16" s="15">
        <f t="shared" si="3"/>
        <v>4359000</v>
      </c>
    </row>
    <row r="17" spans="1:21" ht="16.5" customHeight="1" thickTop="1" thickBot="1" x14ac:dyDescent="0.35">
      <c r="A17" s="463">
        <f>'1.3 Budgeted Revenues YR1'!A17</f>
        <v>3536</v>
      </c>
      <c r="B17" s="1043" t="str">
        <f>'1.3 Budgeted Revenues YR1'!B17</f>
        <v>FEDERAL MINERAL LEASING ACT REVENUE</v>
      </c>
      <c r="C17" s="1522">
        <v>7500000</v>
      </c>
      <c r="D17" s="631">
        <f t="shared" si="0"/>
        <v>1.3111358926439303E-3</v>
      </c>
      <c r="F17" s="132" t="str">
        <f>'6.9 PCFP Funding Comparison YR2'!A10</f>
        <v>Clark</v>
      </c>
      <c r="G17" s="465">
        <f t="shared" si="5"/>
        <v>42688.005781990505</v>
      </c>
      <c r="H17" s="1511">
        <f>'1.3 Budgeted Revenues YR1'!H19</f>
        <v>2.1777372605851701E-3</v>
      </c>
      <c r="J17" s="457" t="s">
        <v>2</v>
      </c>
      <c r="K17" s="467">
        <v>59211</v>
      </c>
      <c r="L17" s="558">
        <f t="shared" si="4"/>
        <v>2.1763653144465799E-3</v>
      </c>
      <c r="O17" s="214">
        <f t="shared" si="1"/>
        <v>75404000</v>
      </c>
      <c r="P17" s="146">
        <v>84974539</v>
      </c>
      <c r="Q17" s="192">
        <f t="shared" ref="Q17:Q35" si="6">O17-P17</f>
        <v>-9570539</v>
      </c>
      <c r="S17" s="10" t="str">
        <f t="shared" si="2"/>
        <v>RECREATIONAL MARIJUANA RETAIL TAX</v>
      </c>
      <c r="T17" s="218">
        <f>'1.3 Budgeted Revenues YR1'!C12</f>
        <v>76037000</v>
      </c>
      <c r="U17" s="15">
        <f t="shared" si="3"/>
        <v>-633000</v>
      </c>
    </row>
    <row r="18" spans="1:21" ht="16.5" customHeight="1" thickTop="1" thickBot="1" x14ac:dyDescent="0.35">
      <c r="A18" s="463">
        <f>'1.3 Budgeted Revenues YR1'!A18</f>
        <v>3736</v>
      </c>
      <c r="B18" s="1043" t="str">
        <f>'1.3 Budgeted Revenues YR1'!B18</f>
        <v>GEOTHERMAL TAX</v>
      </c>
      <c r="C18" s="1522">
        <v>0</v>
      </c>
      <c r="D18" s="631">
        <f t="shared" si="0"/>
        <v>0</v>
      </c>
      <c r="F18" s="132" t="str">
        <f>'6.9 PCFP Funding Comparison YR2'!A11</f>
        <v>Douglas</v>
      </c>
      <c r="G18" s="465">
        <f t="shared" si="5"/>
        <v>0</v>
      </c>
      <c r="H18" s="1511">
        <f>'1.3 Budgeted Revenues YR1'!H20</f>
        <v>0</v>
      </c>
      <c r="J18" s="457" t="s">
        <v>3</v>
      </c>
      <c r="K18" s="467">
        <v>0</v>
      </c>
      <c r="L18" s="558">
        <f t="shared" si="4"/>
        <v>0</v>
      </c>
      <c r="O18" s="214">
        <f t="shared" si="1"/>
        <v>2454407000</v>
      </c>
      <c r="P18" s="146">
        <v>1760551268</v>
      </c>
      <c r="Q18" s="192">
        <f t="shared" si="6"/>
        <v>693855732</v>
      </c>
      <c r="S18" s="10" t="str">
        <f t="shared" si="2"/>
        <v>LOCAL SCHOOL SUPPORT TAX</v>
      </c>
      <c r="T18" s="218">
        <f>'1.3 Budgeted Revenues YR1'!C13</f>
        <v>2347428000</v>
      </c>
      <c r="U18" s="15">
        <f t="shared" si="3"/>
        <v>106979000</v>
      </c>
    </row>
    <row r="19" spans="1:21" ht="16.5" customHeight="1" thickTop="1" thickBot="1" x14ac:dyDescent="0.35">
      <c r="A19" s="463">
        <f>'1.3 Budgeted Revenues YR1'!A19</f>
        <v>3867</v>
      </c>
      <c r="B19" s="1043" t="str">
        <f>'1.3 Budgeted Revenues YR1'!B19</f>
        <v>FRANCHISE FEES</v>
      </c>
      <c r="C19" s="1521">
        <v>3500000</v>
      </c>
      <c r="D19" s="631">
        <f t="shared" si="0"/>
        <v>6.118634165671674E-4</v>
      </c>
      <c r="F19" s="132" t="str">
        <f>'6.9 PCFP Funding Comparison YR2'!A12</f>
        <v>Elko</v>
      </c>
      <c r="G19" s="465">
        <f t="shared" si="5"/>
        <v>3028236.1029383875</v>
      </c>
      <c r="H19" s="1511">
        <f>'1.3 Budgeted Revenues YR1'!H21</f>
        <v>0.15448607810113191</v>
      </c>
      <c r="J19" s="457" t="s">
        <v>4</v>
      </c>
      <c r="K19" s="467">
        <v>4200376</v>
      </c>
      <c r="L19" s="558">
        <f t="shared" si="4"/>
        <v>0.15438943159267479</v>
      </c>
      <c r="O19" s="214">
        <f t="shared" si="1"/>
        <v>25152000</v>
      </c>
      <c r="P19" s="146">
        <v>26130390</v>
      </c>
      <c r="Q19" s="192">
        <f t="shared" si="6"/>
        <v>-978390</v>
      </c>
      <c r="S19" s="10" t="str">
        <f t="shared" si="2"/>
        <v>ANNUAL SLOT TAX</v>
      </c>
      <c r="T19" s="218">
        <f>'1.3 Budgeted Revenues YR1'!C14</f>
        <v>25788000</v>
      </c>
      <c r="U19" s="15">
        <f t="shared" si="3"/>
        <v>-636000</v>
      </c>
    </row>
    <row r="20" spans="1:21" ht="16.5" customHeight="1" thickTop="1" thickBot="1" x14ac:dyDescent="0.35">
      <c r="A20" s="1183">
        <f>'1.3 Budgeted Revenues YR1'!A20</f>
        <v>3868</v>
      </c>
      <c r="B20" s="1184" t="str">
        <f>'1.3 Budgeted Revenues YR1'!B20</f>
        <v>NET PROCEEDS OF MINERALS (NPM) - (Received in current year for expenditure in future year)</v>
      </c>
      <c r="C20" s="1524">
        <v>19223000</v>
      </c>
      <c r="D20" s="1186">
        <f t="shared" si="0"/>
        <v>3.3605287019059025E-3</v>
      </c>
      <c r="F20" s="132" t="str">
        <f>'6.9 PCFP Funding Comparison YR2'!A13</f>
        <v>Esmeralda</v>
      </c>
      <c r="G20" s="465">
        <f t="shared" si="5"/>
        <v>61177.672322274862</v>
      </c>
      <c r="H20" s="1511">
        <f>'1.3 Budgeted Revenues YR1'!H22</f>
        <v>3.1209913438564872E-3</v>
      </c>
      <c r="J20" s="457" t="s">
        <v>5</v>
      </c>
      <c r="K20" s="467">
        <v>84858</v>
      </c>
      <c r="L20" s="558">
        <f t="shared" si="4"/>
        <v>3.1190489580197578E-3</v>
      </c>
      <c r="O20" s="214">
        <f t="shared" si="1"/>
        <v>241840000</v>
      </c>
      <c r="P20" s="146">
        <v>157202011</v>
      </c>
      <c r="Q20" s="192">
        <f t="shared" si="6"/>
        <v>84637989</v>
      </c>
      <c r="S20" s="10" t="str">
        <f t="shared" si="2"/>
        <v>ROOM TAX REVENUE</v>
      </c>
      <c r="T20" s="218">
        <f>'1.3 Budgeted Revenues YR1'!C15</f>
        <v>249739000</v>
      </c>
      <c r="U20" s="15">
        <f t="shared" si="3"/>
        <v>-7899000</v>
      </c>
    </row>
    <row r="21" spans="1:21" ht="16.5" customHeight="1" thickTop="1" thickBot="1" x14ac:dyDescent="0.35">
      <c r="A21" s="1180">
        <f>'1.3 Budgeted Revenues YR1'!A21</f>
        <v>3869</v>
      </c>
      <c r="B21" s="1181" t="str">
        <f>'1.3 Budgeted Revenues YR1'!B21</f>
        <v>NET PROCEEDS OF MINERALS (NPM) - (Received in prior year for expenditure in current year)</v>
      </c>
      <c r="C21" s="1525">
        <v>0</v>
      </c>
      <c r="D21" s="1185">
        <f t="shared" si="0"/>
        <v>0</v>
      </c>
      <c r="F21" s="132" t="str">
        <f>'6.9 PCFP Funding Comparison YR2'!A14</f>
        <v>Eureka</v>
      </c>
      <c r="G21" s="465">
        <f t="shared" si="5"/>
        <v>6097251.2220853064</v>
      </c>
      <c r="H21" s="1511">
        <f>'1.3 Budgeted Revenues YR1'!H23</f>
        <v>0.31105250597313061</v>
      </c>
      <c r="J21" s="457" t="s">
        <v>6</v>
      </c>
      <c r="K21" s="467">
        <v>8457316</v>
      </c>
      <c r="L21" s="558">
        <f t="shared" si="4"/>
        <v>0.31085793510857934</v>
      </c>
      <c r="O21" s="214">
        <f t="shared" si="1"/>
        <v>1080279000</v>
      </c>
      <c r="P21" s="146">
        <v>799139980</v>
      </c>
      <c r="Q21" s="192">
        <f t="shared" si="6"/>
        <v>281139020</v>
      </c>
      <c r="S21" s="10" t="str">
        <f t="shared" si="2"/>
        <v>PROPERTY TAX</v>
      </c>
      <c r="T21" s="218">
        <f>'1.3 Budgeted Revenues YR1'!C16</f>
        <v>1012450000</v>
      </c>
      <c r="U21" s="15">
        <f t="shared" si="3"/>
        <v>67829000</v>
      </c>
    </row>
    <row r="22" spans="1:21" ht="16.5" customHeight="1" thickTop="1" thickBot="1" x14ac:dyDescent="0.35">
      <c r="A22" s="463">
        <f>'1.3 Budgeted Revenues YR1'!A22</f>
        <v>4152</v>
      </c>
      <c r="B22" s="1043" t="str">
        <f>'1.3 Budgeted Revenues YR1'!B22</f>
        <v>PROCEEDS FROM SALE OF FORFEITED PROPERTY</v>
      </c>
      <c r="C22" s="1523">
        <v>740000</v>
      </c>
      <c r="D22" s="631">
        <f t="shared" si="0"/>
        <v>1.293654080742011E-4</v>
      </c>
      <c r="F22" s="132" t="str">
        <f>'6.9 PCFP Funding Comparison YR2'!A15</f>
        <v>Humboldt</v>
      </c>
      <c r="G22" s="465">
        <f t="shared" si="5"/>
        <v>3665535.51156398</v>
      </c>
      <c r="H22" s="1511">
        <f>'1.3 Budgeted Revenues YR1'!H24</f>
        <v>0.18699803650464136</v>
      </c>
      <c r="J22" s="457" t="s">
        <v>7</v>
      </c>
      <c r="K22" s="467">
        <v>5084355</v>
      </c>
      <c r="L22" s="558">
        <f t="shared" si="4"/>
        <v>0.18688105028344465</v>
      </c>
      <c r="O22" s="214">
        <f t="shared" si="1"/>
        <v>7500000</v>
      </c>
      <c r="P22" s="146">
        <v>5863421</v>
      </c>
      <c r="Q22" s="192">
        <f t="shared" si="6"/>
        <v>1636579</v>
      </c>
      <c r="S22" s="10" t="str">
        <f t="shared" si="2"/>
        <v>FEDERAL MINERAL LEASING ACT REVENUE</v>
      </c>
      <c r="T22" s="218">
        <f>'1.3 Budgeted Revenues YR1'!C17</f>
        <v>7500000</v>
      </c>
      <c r="U22" s="15">
        <f t="shared" si="3"/>
        <v>0</v>
      </c>
    </row>
    <row r="23" spans="1:21" ht="16.5" customHeight="1" thickTop="1" thickBot="1" x14ac:dyDescent="0.35">
      <c r="A23" s="463">
        <f>'1.3 Budgeted Revenues YR1'!A23</f>
        <v>4157</v>
      </c>
      <c r="B23" s="1043" t="str">
        <f>'1.3 Budgeted Revenues YR1'!B23</f>
        <v>FINES</v>
      </c>
      <c r="C23" s="1522">
        <v>50000</v>
      </c>
      <c r="D23" s="631">
        <f t="shared" si="0"/>
        <v>8.7409059509595344E-6</v>
      </c>
      <c r="F23" s="132" t="str">
        <f>'6.9 PCFP Funding Comparison YR2'!A16</f>
        <v>Lander</v>
      </c>
      <c r="G23" s="465">
        <f t="shared" si="5"/>
        <v>4448501.8498578193</v>
      </c>
      <c r="H23" s="1511">
        <f>'1.3 Budgeted Revenues YR1'!H25</f>
        <v>0.22694122282715126</v>
      </c>
      <c r="J23" s="464" t="s">
        <v>8</v>
      </c>
      <c r="K23" s="468">
        <v>6170385</v>
      </c>
      <c r="L23" s="558">
        <f t="shared" si="4"/>
        <v>0.22679927531677324</v>
      </c>
      <c r="O23" s="214">
        <f>C19</f>
        <v>3500000</v>
      </c>
      <c r="P23" s="146">
        <v>3360742</v>
      </c>
      <c r="Q23" s="192">
        <f t="shared" si="6"/>
        <v>139258</v>
      </c>
      <c r="S23" s="10" t="str">
        <f t="shared" si="2"/>
        <v>GEOTHERMAL TAX</v>
      </c>
      <c r="T23" s="218">
        <f>'1.3 Budgeted Revenues YR1'!C18</f>
        <v>0</v>
      </c>
      <c r="U23" s="15">
        <f t="shared" si="3"/>
        <v>0</v>
      </c>
    </row>
    <row r="24" spans="1:21" s="41" customFormat="1" ht="16.5" customHeight="1" thickTop="1" thickBot="1" x14ac:dyDescent="0.35">
      <c r="A24" s="463">
        <f>'1.3 Budgeted Revenues YR1'!A24</f>
        <v>4326</v>
      </c>
      <c r="B24" s="1043" t="str">
        <f>'1.3 Budgeted Revenues YR1'!B24</f>
        <v>TREASURER'S INTEREST DISTRIBUTION</v>
      </c>
      <c r="C24" s="1522">
        <v>14540000</v>
      </c>
      <c r="D24" s="631">
        <f t="shared" si="0"/>
        <v>2.5418554505390327E-3</v>
      </c>
      <c r="E24" s="10"/>
      <c r="F24" s="132" t="str">
        <f>'6.9 PCFP Funding Comparison YR2'!A17</f>
        <v>Lincoln</v>
      </c>
      <c r="G24" s="465">
        <f t="shared" si="5"/>
        <v>0</v>
      </c>
      <c r="H24" s="1511">
        <f>'1.3 Budgeted Revenues YR1'!H26</f>
        <v>0</v>
      </c>
      <c r="I24" s="10"/>
      <c r="J24" s="457" t="s">
        <v>9</v>
      </c>
      <c r="K24" s="467">
        <v>0</v>
      </c>
      <c r="L24" s="558">
        <f t="shared" si="4"/>
        <v>0</v>
      </c>
      <c r="O24" s="214">
        <f>C21</f>
        <v>0</v>
      </c>
      <c r="P24" s="254">
        <v>24372709</v>
      </c>
      <c r="Q24" s="192">
        <f t="shared" si="6"/>
        <v>-24372709</v>
      </c>
      <c r="S24" s="10" t="str">
        <f t="shared" si="2"/>
        <v>FRANCHISE FEES</v>
      </c>
      <c r="T24" s="218">
        <f>'1.3 Budgeted Revenues YR1'!C19</f>
        <v>3500000</v>
      </c>
      <c r="U24" s="15">
        <f t="shared" si="3"/>
        <v>0</v>
      </c>
    </row>
    <row r="25" spans="1:21" ht="16.5" customHeight="1" thickTop="1" thickBot="1" x14ac:dyDescent="0.35">
      <c r="A25" s="463">
        <f>'1.3 Budgeted Revenues YR1'!A25</f>
        <v>4621</v>
      </c>
      <c r="B25" s="1043" t="str">
        <f>'1.3 Budgeted Revenues YR1'!B25</f>
        <v>TRANS FROM UNCLAIMED PROPERTY</v>
      </c>
      <c r="C25" s="1522">
        <v>34000</v>
      </c>
      <c r="D25" s="631">
        <f t="shared" si="0"/>
        <v>5.9438160466524836E-6</v>
      </c>
      <c r="F25" s="132" t="str">
        <f>'6.9 PCFP Funding Comparison YR2'!A18</f>
        <v>Lyon</v>
      </c>
      <c r="G25" s="465">
        <f t="shared" si="5"/>
        <v>8024.7890047393348</v>
      </c>
      <c r="H25" s="1511">
        <f>'1.3 Budgeted Revenues YR1'!H27</f>
        <v>4.0938623634013542E-4</v>
      </c>
      <c r="I25" s="41"/>
      <c r="J25" s="457" t="s">
        <v>10</v>
      </c>
      <c r="K25" s="467">
        <v>11131</v>
      </c>
      <c r="L25" s="558">
        <f t="shared" si="4"/>
        <v>4.0913212604254076E-4</v>
      </c>
      <c r="O25" s="214">
        <f>C10</f>
        <v>63063000</v>
      </c>
      <c r="P25" s="146">
        <v>80996000</v>
      </c>
      <c r="Q25" s="192">
        <f t="shared" si="6"/>
        <v>-17933000</v>
      </c>
      <c r="S25" s="10" t="str">
        <f t="shared" si="2"/>
        <v>NET PROCEEDS OF MINERALS (NPM) - (Received in current year for expenditure in future year)</v>
      </c>
      <c r="T25" s="218">
        <f>'1.3 Budgeted Revenues YR1'!C20</f>
        <v>19602000</v>
      </c>
      <c r="U25" s="15">
        <f t="shared" si="3"/>
        <v>-379000</v>
      </c>
    </row>
    <row r="26" spans="1:21" ht="16.5" customHeight="1" thickTop="1" thickBot="1" x14ac:dyDescent="0.35">
      <c r="A26" s="463">
        <f>'1.3 Budgeted Revenues YR1'!A26</f>
        <v>4770</v>
      </c>
      <c r="B26" s="1043" t="str">
        <f>'1.3 Budgeted Revenues YR1'!B26</f>
        <v>BOAT REGISTRATION FEES (NRS 488.075)</v>
      </c>
      <c r="C26" s="1522">
        <v>900000</v>
      </c>
      <c r="D26" s="631">
        <f t="shared" si="0"/>
        <v>1.5733630711727161E-4</v>
      </c>
      <c r="F26" s="132" t="str">
        <f>'6.9 PCFP Funding Comparison YR2'!A19</f>
        <v>Mineral</v>
      </c>
      <c r="G26" s="465">
        <f t="shared" si="5"/>
        <v>150286.2944075829</v>
      </c>
      <c r="H26" s="1511">
        <f>'1.3 Budgeted Revenues YR1'!H28</f>
        <v>7.6668857467392564E-3</v>
      </c>
      <c r="J26" s="457" t="s">
        <v>11</v>
      </c>
      <c r="K26" s="467">
        <v>208458</v>
      </c>
      <c r="L26" s="558">
        <f t="shared" si="4"/>
        <v>7.6621026619868799E-3</v>
      </c>
      <c r="O26" s="214">
        <f>C9</f>
        <v>58305000</v>
      </c>
      <c r="P26" s="1080">
        <v>71067000</v>
      </c>
      <c r="Q26" s="192">
        <f t="shared" si="6"/>
        <v>-12762000</v>
      </c>
      <c r="S26" s="10" t="str">
        <f t="shared" si="2"/>
        <v>NET PROCEEDS OF MINERALS (NPM) - (Received in prior year for expenditure in current year)</v>
      </c>
      <c r="T26" s="218">
        <f>'1.3 Budgeted Revenues YR1'!C21</f>
        <v>0</v>
      </c>
      <c r="U26" s="15">
        <f t="shared" si="3"/>
        <v>0</v>
      </c>
    </row>
    <row r="27" spans="1:21" ht="16.5" customHeight="1" thickTop="1" thickBot="1" x14ac:dyDescent="0.35">
      <c r="A27" s="463">
        <f>'1.3 Budgeted Revenues YR1'!A27</f>
        <v>4771</v>
      </c>
      <c r="B27" s="1043" t="str">
        <f>'1.3 Budgeted Revenues YR1'!B27</f>
        <v>TRANSFER FROM CANNABIS COMPLIANCE BOARD</v>
      </c>
      <c r="C27" s="1521">
        <v>40907000</v>
      </c>
      <c r="D27" s="631">
        <f t="shared" si="0"/>
        <v>7.1512847947180335E-3</v>
      </c>
      <c r="E27" s="41"/>
      <c r="F27" s="132" t="str">
        <f>'6.9 PCFP Funding Comparison YR2'!A20</f>
        <v>Nye</v>
      </c>
      <c r="G27" s="465">
        <f t="shared" si="5"/>
        <v>936222.46890995244</v>
      </c>
      <c r="H27" s="1511">
        <f>'1.3 Budgeted Revenues YR1'!H29</f>
        <v>4.7761578864909317E-2</v>
      </c>
      <c r="J27" s="457" t="s">
        <v>12</v>
      </c>
      <c r="K27" s="467">
        <v>1298606</v>
      </c>
      <c r="L27" s="558">
        <f t="shared" si="4"/>
        <v>4.7731689306585189E-2</v>
      </c>
      <c r="O27" s="214">
        <f t="shared" ref="O27:O29" si="7">C22</f>
        <v>740000</v>
      </c>
      <c r="P27" s="146">
        <v>112570</v>
      </c>
      <c r="Q27" s="192">
        <f t="shared" si="6"/>
        <v>627430</v>
      </c>
      <c r="S27" s="10" t="str">
        <f t="shared" si="2"/>
        <v>PROCEEDS FROM SALE OF FORFEITED PROPERTY</v>
      </c>
      <c r="T27" s="218">
        <f>'1.3 Budgeted Revenues YR1'!C22</f>
        <v>740000</v>
      </c>
      <c r="U27" s="15">
        <f t="shared" si="3"/>
        <v>0</v>
      </c>
    </row>
    <row r="28" spans="1:21" ht="16.5" customHeight="1" thickTop="1" thickBot="1" x14ac:dyDescent="0.35">
      <c r="A28" s="463">
        <v>4251</v>
      </c>
      <c r="B28" s="1043" t="s">
        <v>1407</v>
      </c>
      <c r="C28" s="1521">
        <v>900</v>
      </c>
      <c r="D28" s="631">
        <f t="shared" si="0"/>
        <v>1.5733630711727163E-7</v>
      </c>
      <c r="F28" s="132" t="str">
        <f>'6.9 PCFP Funding Comparison YR2'!A21</f>
        <v>Pershing</v>
      </c>
      <c r="G28" s="465">
        <f t="shared" si="5"/>
        <v>98495.040284360162</v>
      </c>
      <c r="H28" s="1511">
        <f>'1.3 Budgeted Revenues YR1'!H30</f>
        <v>5.024744428342014E-3</v>
      </c>
      <c r="J28" s="457" t="s">
        <v>14</v>
      </c>
      <c r="K28" s="467">
        <v>136620</v>
      </c>
      <c r="L28" s="558">
        <f t="shared" si="4"/>
        <v>5.0216180989966688E-3</v>
      </c>
      <c r="O28" s="214">
        <f t="shared" si="7"/>
        <v>50000</v>
      </c>
      <c r="P28" s="146">
        <v>41016</v>
      </c>
      <c r="Q28" s="192">
        <f t="shared" si="6"/>
        <v>8984</v>
      </c>
      <c r="S28" s="10" t="str">
        <f t="shared" si="2"/>
        <v>FINES</v>
      </c>
      <c r="T28" s="218">
        <f>'1.3 Budgeted Revenues YR1'!C23</f>
        <v>50000</v>
      </c>
      <c r="U28" s="15">
        <f t="shared" si="3"/>
        <v>0</v>
      </c>
    </row>
    <row r="29" spans="1:21" ht="16.5" customHeight="1" thickTop="1" thickBot="1" x14ac:dyDescent="0.35">
      <c r="A29" s="463">
        <v>4869</v>
      </c>
      <c r="B29" s="1043" t="s">
        <v>1341</v>
      </c>
      <c r="C29" s="1521">
        <v>11501000</v>
      </c>
      <c r="D29" s="631">
        <f t="shared" si="0"/>
        <v>2.0105831868397124E-3</v>
      </c>
      <c r="F29" s="132" t="str">
        <f>'6.9 PCFP Funding Comparison YR2'!A22</f>
        <v>Storey</v>
      </c>
      <c r="G29" s="465">
        <f t="shared" si="5"/>
        <v>4578.0432227488136</v>
      </c>
      <c r="H29" s="1511">
        <f>'1.3 Budgeted Revenues YR1'!H31</f>
        <v>2.3354980220124548E-4</v>
      </c>
      <c r="J29" s="464" t="s">
        <v>15</v>
      </c>
      <c r="K29" s="468">
        <v>6350</v>
      </c>
      <c r="L29" s="558">
        <f t="shared" si="4"/>
        <v>2.3340122184620734E-4</v>
      </c>
      <c r="O29" s="214">
        <f t="shared" si="7"/>
        <v>14540000</v>
      </c>
      <c r="P29" s="146">
        <v>9205972</v>
      </c>
      <c r="Q29" s="192">
        <f t="shared" si="6"/>
        <v>5334028</v>
      </c>
      <c r="S29" s="10" t="str">
        <f t="shared" si="2"/>
        <v>TREASURER'S INTEREST DISTRIBUTION</v>
      </c>
      <c r="T29" s="218">
        <f>'1.3 Budgeted Revenues YR1'!C24</f>
        <v>18569000</v>
      </c>
      <c r="U29" s="15">
        <f t="shared" si="3"/>
        <v>-4029000</v>
      </c>
    </row>
    <row r="30" spans="1:21" ht="16.5" customHeight="1" thickTop="1" thickBot="1" x14ac:dyDescent="0.35">
      <c r="A30" s="1180">
        <f>'1.3 Budgeted Revenues YR1'!A30</f>
        <v>2511</v>
      </c>
      <c r="B30" s="1181" t="str">
        <f>'1.3 Budgeted Revenues YR1'!B30</f>
        <v xml:space="preserve">	BAL FWD FROM PREVIOUS YEAR (PROCEEDS OF MINERALS (NPM) - (Received in prior year for expenditure in current year)</v>
      </c>
      <c r="C30" s="1525">
        <f>'1.3 Budgeted Revenues YR1'!C20</f>
        <v>19602000</v>
      </c>
      <c r="D30" s="1185">
        <f t="shared" si="0"/>
        <v>3.4267847690141761E-3</v>
      </c>
      <c r="F30" s="132" t="str">
        <f>'6.9 PCFP Funding Comparison YR2'!A23</f>
        <v>Washoe</v>
      </c>
      <c r="G30" s="465">
        <f t="shared" si="5"/>
        <v>6134.7710900473921</v>
      </c>
      <c r="H30" s="1511">
        <f>'1.3 Budgeted Revenues YR1'!H32</f>
        <v>3.1296658963612858E-4</v>
      </c>
      <c r="J30" s="457" t="s">
        <v>16</v>
      </c>
      <c r="K30" s="467">
        <v>8509</v>
      </c>
      <c r="L30" s="558">
        <f t="shared" si="4"/>
        <v>3.1275763727391781E-4</v>
      </c>
      <c r="O30" s="214">
        <f>C24</f>
        <v>14540000</v>
      </c>
      <c r="P30" s="146">
        <v>117522</v>
      </c>
      <c r="Q30" s="192">
        <f t="shared" ref="Q30:Q31" si="8">O30-P30</f>
        <v>14422478</v>
      </c>
      <c r="S30" s="10" t="str">
        <f>B24</f>
        <v>TREASURER'S INTEREST DISTRIBUTION</v>
      </c>
      <c r="T30" s="218">
        <f>'1.3 Budgeted Revenues YR1'!C24</f>
        <v>18569000</v>
      </c>
      <c r="U30" s="15">
        <f>C24-T30</f>
        <v>-4029000</v>
      </c>
    </row>
    <row r="31" spans="1:21" ht="16.5" customHeight="1" thickTop="1" thickBot="1" x14ac:dyDescent="0.35">
      <c r="A31" s="1470">
        <f>'1.3 Budgeted Revenues YR1'!A31</f>
        <v>2511</v>
      </c>
      <c r="B31" s="1471" t="str">
        <f>'1.3 Budgeted Revenues YR1'!B31</f>
        <v>BAL FWD FROM PREVIOUS YEAR (Excess Revenue From Education Stabilization Account Above 15%)</v>
      </c>
      <c r="C31" s="1527">
        <v>0</v>
      </c>
      <c r="D31" s="1469">
        <f t="shared" si="0"/>
        <v>0</v>
      </c>
      <c r="F31" s="132" t="str">
        <f>'6.9 PCFP Funding Comparison YR2'!A24</f>
        <v>White Pine</v>
      </c>
      <c r="G31" s="465">
        <f t="shared" si="5"/>
        <v>793939.28928909928</v>
      </c>
      <c r="H31" s="1511">
        <f>'1.3 Budgeted Revenues YR1'!H33</f>
        <v>4.0502973639888751E-2</v>
      </c>
      <c r="J31" s="457" t="s">
        <v>16</v>
      </c>
      <c r="K31" s="467">
        <v>8509</v>
      </c>
      <c r="L31" s="558">
        <f t="shared" si="4"/>
        <v>3.1275763727391781E-4</v>
      </c>
      <c r="O31" s="214">
        <f>C24</f>
        <v>14540000</v>
      </c>
      <c r="P31" s="146">
        <v>117522</v>
      </c>
      <c r="Q31" s="192">
        <f t="shared" si="8"/>
        <v>14422478</v>
      </c>
      <c r="S31" s="10" t="str">
        <f>B24</f>
        <v>TREASURER'S INTEREST DISTRIBUTION</v>
      </c>
      <c r="T31" s="218">
        <f>'1.3 Budgeted Revenues YR1'!C24</f>
        <v>18569000</v>
      </c>
      <c r="U31" s="15">
        <f>C24-T31</f>
        <v>-4029000</v>
      </c>
    </row>
    <row r="32" spans="1:21" ht="16.5" customHeight="1" thickTop="1" thickBot="1" x14ac:dyDescent="0.35">
      <c r="A32" s="1470">
        <f>'1.3 Budgeted Revenues YR1'!A32</f>
        <v>0</v>
      </c>
      <c r="B32" s="1471" t="str">
        <f>'1.3 Budgeted Revenues YR1'!B32</f>
        <v>DEPARTMENT OF AGRICULTURE - AGRICULTURE FINES</v>
      </c>
      <c r="C32" s="1527">
        <v>11000</v>
      </c>
      <c r="D32" s="1469">
        <f t="shared" si="0"/>
        <v>1.9229993092110975E-6</v>
      </c>
      <c r="F32" s="241" t="s">
        <v>953</v>
      </c>
      <c r="G32" s="630">
        <f>C30</f>
        <v>19602000</v>
      </c>
      <c r="H32" s="1511">
        <f>SUM(H15:H31)</f>
        <v>0.99999999999999967</v>
      </c>
      <c r="J32" s="457" t="s">
        <v>16</v>
      </c>
      <c r="K32" s="467">
        <v>8509</v>
      </c>
      <c r="L32" s="558">
        <f t="shared" si="4"/>
        <v>3.1275763727391781E-4</v>
      </c>
      <c r="O32" s="214">
        <f>C25</f>
        <v>34000</v>
      </c>
      <c r="P32" s="146">
        <v>117522</v>
      </c>
      <c r="Q32" s="192">
        <f t="shared" si="6"/>
        <v>-83522</v>
      </c>
      <c r="S32" s="10" t="str">
        <f>B25</f>
        <v>TRANS FROM UNCLAIMED PROPERTY</v>
      </c>
      <c r="T32" s="218">
        <f>'1.3 Budgeted Revenues YR1'!C25</f>
        <v>34000</v>
      </c>
      <c r="U32" s="15">
        <f>C25-T32</f>
        <v>0</v>
      </c>
    </row>
    <row r="33" spans="1:21" s="41" customFormat="1" ht="16.5" customHeight="1" thickTop="1" thickBot="1" x14ac:dyDescent="0.35">
      <c r="A33" s="1179">
        <v>85</v>
      </c>
      <c r="B33" s="1182" t="str">
        <f>'1.3 Budgeted Revenues YR1'!B33</f>
        <v>LESS RESERVE - (NPM RECEIVED IN CURRENT YEAR FOR EXPENDITURE IN FOLLOWING FISCAL YEAR)</v>
      </c>
      <c r="C33" s="1531">
        <f>-C20</f>
        <v>-19223000</v>
      </c>
      <c r="D33" s="1186">
        <f t="shared" si="0"/>
        <v>-3.3605287019059025E-3</v>
      </c>
      <c r="E33" s="10"/>
      <c r="F33" s="4"/>
      <c r="G33" s="9">
        <f>G32-C30</f>
        <v>0</v>
      </c>
      <c r="H33" s="10"/>
      <c r="J33" s="457" t="s">
        <v>17</v>
      </c>
      <c r="K33" s="469">
        <v>1101250</v>
      </c>
      <c r="L33" s="628">
        <f t="shared" si="4"/>
        <v>4.0477652843800921E-2</v>
      </c>
      <c r="O33" s="214">
        <f>C26</f>
        <v>900000</v>
      </c>
      <c r="P33" s="146">
        <v>259984</v>
      </c>
      <c r="Q33" s="192">
        <f t="shared" si="6"/>
        <v>640016</v>
      </c>
      <c r="S33" s="10" t="str">
        <f>B26</f>
        <v>BOAT REGISTRATION FEES (NRS 488.075)</v>
      </c>
      <c r="T33" s="218">
        <f>'1.3 Budgeted Revenues YR1'!C26</f>
        <v>900000</v>
      </c>
      <c r="U33" s="15">
        <f>C26-T33</f>
        <v>0</v>
      </c>
    </row>
    <row r="34" spans="1:21" ht="16.5" customHeight="1" thickTop="1" thickBot="1" x14ac:dyDescent="0.35">
      <c r="A34" s="1173"/>
      <c r="B34" s="466" t="str">
        <f>'1.3 Budgeted Revenues YR1'!B34</f>
        <v>FOR NDE USE: DEMONSTRATE IMPACT OF ADDING GENERAL FUND OR OTHER REVENUE</v>
      </c>
      <c r="C34" s="1549">
        <v>0</v>
      </c>
      <c r="D34" s="1092">
        <f t="shared" si="0"/>
        <v>0</v>
      </c>
      <c r="K34" s="554">
        <f>SUM(K15:K33)</f>
        <v>27206370</v>
      </c>
      <c r="L34" s="629">
        <f>SUM(L15:L33)</f>
        <v>1</v>
      </c>
      <c r="O34" s="214">
        <f>C27</f>
        <v>40907000</v>
      </c>
      <c r="P34" s="146">
        <v>53360642</v>
      </c>
      <c r="Q34" s="192">
        <f t="shared" si="6"/>
        <v>-12453642</v>
      </c>
      <c r="S34" s="10" t="str">
        <f>B27</f>
        <v>TRANSFER FROM CANNABIS COMPLIANCE BOARD</v>
      </c>
      <c r="T34" s="218">
        <f>'1.3 Budgeted Revenues YR1'!C27</f>
        <v>40504000</v>
      </c>
      <c r="U34" s="15">
        <f>C27-T34</f>
        <v>403000</v>
      </c>
    </row>
    <row r="35" spans="1:21" ht="16.5" customHeight="1" thickTop="1" x14ac:dyDescent="0.3">
      <c r="A35" s="190"/>
      <c r="B35" s="181" t="s">
        <v>973</v>
      </c>
      <c r="C35" s="593">
        <f>ROUND(SUM(C8:C34),0)</f>
        <v>5720230864</v>
      </c>
      <c r="D35" s="1076">
        <f>SUM(D8:D34)</f>
        <v>0.99999999999999989</v>
      </c>
      <c r="E35" s="175">
        <f>SUM(C9:C29)-'SEF-FY23FY24FY25 Forecast-May23'!I37</f>
        <v>0</v>
      </c>
      <c r="O35" s="1081">
        <f>C28</f>
        <v>900</v>
      </c>
      <c r="P35" s="1082">
        <v>11297403</v>
      </c>
      <c r="Q35" s="193">
        <f t="shared" si="6"/>
        <v>-11296503</v>
      </c>
      <c r="S35" s="10" t="str">
        <f>B28</f>
        <v>Gifts and Donations of Unclaimed Property Proceeds</v>
      </c>
      <c r="T35" s="218">
        <f>'1.3 Budgeted Revenues YR1'!C29</f>
        <v>13447000</v>
      </c>
      <c r="U35" s="15">
        <f>C28-T35</f>
        <v>-13446100</v>
      </c>
    </row>
    <row r="36" spans="1:21" ht="16.5" customHeight="1" x14ac:dyDescent="0.3">
      <c r="C36" s="240"/>
      <c r="E36" s="4"/>
      <c r="O36" s="15"/>
      <c r="P36" s="15">
        <f>SUM(P16:P35)</f>
        <v>3206163913</v>
      </c>
      <c r="Q36" s="15"/>
      <c r="S36" s="10" t="str">
        <f>B32</f>
        <v>DEPARTMENT OF AGRICULTURE - AGRICULTURE FINES</v>
      </c>
      <c r="T36" s="218">
        <f>'1.3 Budgeted Revenues YR1'!C32</f>
        <v>11000</v>
      </c>
      <c r="U36" s="15">
        <f>C32-T36</f>
        <v>0</v>
      </c>
    </row>
    <row r="37" spans="1:21" ht="16.5" customHeight="1" x14ac:dyDescent="0.3">
      <c r="B37" s="17"/>
      <c r="C37" s="7">
        <f>C33</f>
        <v>-19223000</v>
      </c>
      <c r="O37" s="15"/>
      <c r="P37" s="15"/>
      <c r="Q37" s="15"/>
      <c r="T37" s="218"/>
      <c r="U37" s="15"/>
    </row>
    <row r="38" spans="1:21" ht="16.5" customHeight="1" x14ac:dyDescent="0.3">
      <c r="B38" s="17" t="s">
        <v>1808</v>
      </c>
      <c r="C38" s="7">
        <f>C35-C37</f>
        <v>5739453864</v>
      </c>
      <c r="E38" s="12"/>
      <c r="J38" s="4"/>
      <c r="K38" s="4"/>
      <c r="L38" s="4"/>
    </row>
    <row r="39" spans="1:21" ht="16.5" customHeight="1" x14ac:dyDescent="0.3">
      <c r="A39" s="5" t="s">
        <v>79</v>
      </c>
      <c r="B39" s="1529" t="s">
        <v>1859</v>
      </c>
      <c r="H39" s="4"/>
    </row>
    <row r="40" spans="1:21" x14ac:dyDescent="0.3">
      <c r="A40" s="17"/>
      <c r="B40" s="4"/>
    </row>
    <row r="41" spans="1:21" x14ac:dyDescent="0.3">
      <c r="A41" s="17"/>
      <c r="B41" s="4"/>
    </row>
    <row r="42" spans="1:21" x14ac:dyDescent="0.3">
      <c r="A42" s="17"/>
      <c r="B42" s="4"/>
    </row>
    <row r="43" spans="1:21" x14ac:dyDescent="0.3">
      <c r="A43" s="17"/>
      <c r="B43" s="4"/>
    </row>
    <row r="44" spans="1:21" x14ac:dyDescent="0.3">
      <c r="A44" s="4"/>
    </row>
  </sheetData>
  <sheetProtection algorithmName="SHA-512" hashValue="y9n+wD+8evc6WMVf+pQI71JCLXkqXxhWotjLNf4/F5zQRoLZ3HFIgZeVfAiNO0Ik1xHpEBe4IZ7IfsbvGCklPw==" saltValue="WeaHRUYz0E03HZRs8fEp2g==" spinCount="100000" sheet="1" objects="1" scenarios="1"/>
  <dataValidations count="1">
    <dataValidation type="list" allowBlank="1" showInputMessage="1" showErrorMessage="1" sqref="C3" xr:uid="{203EBB45-A859-4DE6-96A8-A5747A3095BE}">
      <formula1>$D$3:$D$4</formula1>
    </dataValidation>
  </dataValidations>
  <pageMargins left="0" right="0" top="0.75" bottom="0.75" header="0.3" footer="0.3"/>
  <pageSetup scale="68" fitToHeight="0" orientation="landscape" r:id="rId1"/>
  <headerFooter>
    <oddHeader>&amp;R&amp;"Arial Narrow,Regular"&amp;10&amp;A
&amp;P</oddHead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E524-1748-408F-AA3E-3EB44259288A}">
  <sheetPr>
    <tabColor theme="6" tint="-0.499984740745262"/>
    <pageSetUpPr autoPageBreaks="0" fitToPage="1"/>
  </sheetPr>
  <dimension ref="A1:O78"/>
  <sheetViews>
    <sheetView zoomScale="85" zoomScaleNormal="85" workbookViewId="0">
      <selection activeCell="F13" sqref="F13"/>
    </sheetView>
  </sheetViews>
  <sheetFormatPr defaultColWidth="8.85546875" defaultRowHeight="16.5" x14ac:dyDescent="0.3"/>
  <cols>
    <col min="1" max="1" width="15.28515625" style="10" customWidth="1"/>
    <col min="2" max="2" width="24.5703125" style="10" customWidth="1"/>
    <col min="3" max="4" width="20" style="10" bestFit="1" customWidth="1"/>
    <col min="5" max="5" width="20.140625" style="10" bestFit="1" customWidth="1"/>
    <col min="6" max="6" width="21.7109375" style="10" customWidth="1"/>
    <col min="7" max="7" width="16.85546875" style="10" bestFit="1" customWidth="1"/>
    <col min="8" max="8" width="20.140625" style="10" bestFit="1" customWidth="1"/>
    <col min="9" max="9" width="16.5703125" style="10" bestFit="1" customWidth="1"/>
    <col min="10" max="10" width="10" style="10" bestFit="1" customWidth="1"/>
    <col min="11" max="11" width="2.7109375" style="10" customWidth="1"/>
    <col min="12" max="14" width="8.85546875" style="10"/>
    <col min="15" max="15" width="9.5703125" style="10" bestFit="1" customWidth="1"/>
    <col min="16" max="16384" width="8.85546875" style="10"/>
  </cols>
  <sheetData>
    <row r="1" spans="1:15" s="4" customFormat="1" x14ac:dyDescent="0.3">
      <c r="A1" s="4" t="s">
        <v>602</v>
      </c>
    </row>
    <row r="2" spans="1:15" x14ac:dyDescent="0.3">
      <c r="A2" s="10" t="str">
        <f>CONCATENATE("Pupil Center Funding Plan | FY",'5.1 Assumption Control YR2'!D5)</f>
        <v>Pupil Center Funding Plan | FY2025</v>
      </c>
    </row>
    <row r="3" spans="1:15" x14ac:dyDescent="0.3">
      <c r="A3" s="10" t="s">
        <v>1288</v>
      </c>
    </row>
    <row r="4" spans="1:15" x14ac:dyDescent="0.3">
      <c r="B4" s="87"/>
      <c r="F4" s="274" t="s">
        <v>993</v>
      </c>
      <c r="H4" s="274" t="s">
        <v>993</v>
      </c>
    </row>
    <row r="5" spans="1:15" x14ac:dyDescent="0.3">
      <c r="C5" s="17" t="s">
        <v>92</v>
      </c>
      <c r="D5" s="17" t="s">
        <v>93</v>
      </c>
      <c r="E5" s="18" t="s">
        <v>94</v>
      </c>
      <c r="F5" s="150" t="s">
        <v>994</v>
      </c>
      <c r="H5" s="150" t="s">
        <v>1181</v>
      </c>
      <c r="I5" s="17"/>
    </row>
    <row r="6" spans="1:15" x14ac:dyDescent="0.3">
      <c r="B6" s="17" t="s">
        <v>597</v>
      </c>
      <c r="C6" s="834">
        <f>'5.3 Budgeted Revenues YR2'!C35</f>
        <v>5720230864</v>
      </c>
      <c r="D6" s="835">
        <f>I31</f>
        <v>195255480.53</v>
      </c>
      <c r="E6" s="836">
        <f>C6-D6</f>
        <v>5524975383.4700003</v>
      </c>
      <c r="F6" s="837" t="s">
        <v>746</v>
      </c>
      <c r="H6" s="837" t="s">
        <v>746</v>
      </c>
      <c r="I6" s="231" t="s">
        <v>738</v>
      </c>
    </row>
    <row r="7" spans="1:15" x14ac:dyDescent="0.3">
      <c r="D7" s="18"/>
      <c r="E7" s="18"/>
      <c r="F7" s="295">
        <f>((1+'5.1 Assumption Control YR2'!D17)*(1+'5.1 Assumption Control YR2'!D17))-1</f>
        <v>9.2476659084707924E-2</v>
      </c>
      <c r="H7" s="295">
        <f>F7</f>
        <v>9.2476659084707924E-2</v>
      </c>
      <c r="I7" s="231" t="s">
        <v>746</v>
      </c>
    </row>
    <row r="8" spans="1:15" s="88" customFormat="1" x14ac:dyDescent="0.3">
      <c r="A8" s="106"/>
      <c r="B8" s="106"/>
      <c r="C8" s="919" t="s">
        <v>849</v>
      </c>
      <c r="D8" s="920" t="s">
        <v>62</v>
      </c>
      <c r="E8" s="920"/>
      <c r="F8" s="920"/>
      <c r="G8" s="921" t="s">
        <v>919</v>
      </c>
      <c r="H8" s="922"/>
      <c r="I8" s="922" t="s">
        <v>600</v>
      </c>
      <c r="J8" s="923"/>
    </row>
    <row r="9" spans="1:15" x14ac:dyDescent="0.3">
      <c r="A9" s="90"/>
      <c r="B9" s="41"/>
      <c r="D9" s="916" t="s">
        <v>997</v>
      </c>
      <c r="E9" s="916" t="s">
        <v>995</v>
      </c>
      <c r="F9" s="916" t="s">
        <v>962</v>
      </c>
      <c r="G9" s="917" t="s">
        <v>997</v>
      </c>
      <c r="H9" s="917" t="s">
        <v>995</v>
      </c>
      <c r="I9" s="917" t="s">
        <v>860</v>
      </c>
      <c r="J9" s="918" t="s">
        <v>19</v>
      </c>
      <c r="L9" s="262" t="s">
        <v>977</v>
      </c>
    </row>
    <row r="10" spans="1:15" x14ac:dyDescent="0.3">
      <c r="A10" s="813"/>
      <c r="B10" s="821" t="s">
        <v>879</v>
      </c>
      <c r="C10" s="487" t="s">
        <v>856</v>
      </c>
      <c r="D10" s="822" t="s">
        <v>1143</v>
      </c>
      <c r="E10" s="822" t="s">
        <v>996</v>
      </c>
      <c r="F10" s="822" t="s">
        <v>979</v>
      </c>
      <c r="G10" s="823" t="s">
        <v>1144</v>
      </c>
      <c r="H10" s="824" t="s">
        <v>1006</v>
      </c>
      <c r="I10" s="824" t="s">
        <v>916</v>
      </c>
      <c r="J10" s="825" t="s">
        <v>884</v>
      </c>
      <c r="L10" s="262" t="s">
        <v>978</v>
      </c>
    </row>
    <row r="11" spans="1:15" x14ac:dyDescent="0.3">
      <c r="A11" s="90" t="s">
        <v>87</v>
      </c>
      <c r="B11" s="41"/>
      <c r="C11" s="137"/>
      <c r="D11" s="152"/>
      <c r="E11" s="152"/>
      <c r="F11" s="152"/>
      <c r="G11" s="281"/>
      <c r="H11" s="281"/>
      <c r="I11" s="282"/>
      <c r="J11" s="153"/>
      <c r="O11" s="12"/>
    </row>
    <row r="12" spans="1:15" x14ac:dyDescent="0.3">
      <c r="A12" s="41"/>
      <c r="B12" s="41" t="str">
        <f>'5.2 Budgeted Enrollment YR2'!E9</f>
        <v>Carson City</v>
      </c>
      <c r="C12" s="717">
        <f>'5.2 Budgeted Enrollment YR2'!G9</f>
        <v>7207.4987624368023</v>
      </c>
      <c r="D12" s="533">
        <f t="shared" ref="D12:D27" si="0">G39</f>
        <v>2586477.3925000001</v>
      </c>
      <c r="E12" s="474">
        <f>IF($F$6="Yes",(D12*$F$7),0)</f>
        <v>0</v>
      </c>
      <c r="F12" s="210"/>
      <c r="G12" s="534">
        <f t="shared" ref="G12:G27" si="1">G60</f>
        <v>416802.7475</v>
      </c>
      <c r="H12" s="475">
        <f>IF($H$6="Yes",(G12*$H$7),0)</f>
        <v>0</v>
      </c>
      <c r="I12" s="475">
        <f>SUM(D12:E12)+F12+SUM(G12:H12)</f>
        <v>3003280.14</v>
      </c>
      <c r="J12" s="476">
        <f>IF(C12=0,0,I12/C12)</f>
        <v>416.68826301464577</v>
      </c>
    </row>
    <row r="13" spans="1:15" x14ac:dyDescent="0.3">
      <c r="A13" s="41"/>
      <c r="B13" s="41" t="str">
        <f>'5.2 Budgeted Enrollment YR2'!E10</f>
        <v>Churchill</v>
      </c>
      <c r="C13" s="717">
        <f>'5.2 Budgeted Enrollment YR2'!G10</f>
        <v>3194.3177502985195</v>
      </c>
      <c r="D13" s="533">
        <f t="shared" si="0"/>
        <v>1654639.5</v>
      </c>
      <c r="E13" s="474">
        <f t="shared" ref="E13:E27" si="2">IF($F$6="Yes",(D13*$F$7),0)</f>
        <v>0</v>
      </c>
      <c r="F13" s="210">
        <v>0</v>
      </c>
      <c r="G13" s="534">
        <f t="shared" si="1"/>
        <v>12500.122499999999</v>
      </c>
      <c r="H13" s="475">
        <f>IF($H$6="Yes",(G13*$H$7),0)</f>
        <v>0</v>
      </c>
      <c r="I13" s="475">
        <f>SUM(D13:E13)+F13+SUM(G13:H13)</f>
        <v>1667139.6225000001</v>
      </c>
      <c r="J13" s="476">
        <f t="shared" ref="J13:J30" si="3">IF(C13=0,0,I13/C13)</f>
        <v>521.90788544571069</v>
      </c>
    </row>
    <row r="14" spans="1:15" x14ac:dyDescent="0.3">
      <c r="A14" s="41"/>
      <c r="B14" s="41" t="str">
        <f>'5.2 Budgeted Enrollment YR2'!E11</f>
        <v>Clark</v>
      </c>
      <c r="C14" s="717">
        <f>'5.2 Budgeted Enrollment YR2'!G11</f>
        <v>293503.02038115874</v>
      </c>
      <c r="D14" s="533">
        <f t="shared" si="0"/>
        <v>140911845.43249997</v>
      </c>
      <c r="E14" s="474">
        <f t="shared" si="2"/>
        <v>0</v>
      </c>
      <c r="F14" s="210"/>
      <c r="G14" s="534">
        <f t="shared" si="1"/>
        <v>0</v>
      </c>
      <c r="H14" s="475">
        <f t="shared" ref="H14:H27" si="4">IF($H$6="Yes",(G14*$H$7),0)</f>
        <v>0</v>
      </c>
      <c r="I14" s="475">
        <f t="shared" ref="I14:I27" si="5">SUM(D14:E14)+F14+SUM(G14:H14)</f>
        <v>140911845.43249997</v>
      </c>
      <c r="J14" s="476">
        <f t="shared" si="3"/>
        <v>480.10356162435505</v>
      </c>
    </row>
    <row r="15" spans="1:15" x14ac:dyDescent="0.3">
      <c r="A15" s="41"/>
      <c r="B15" s="41" t="str">
        <f>'5.2 Budgeted Enrollment YR2'!E12</f>
        <v>Douglas</v>
      </c>
      <c r="C15" s="717">
        <f>'5.2 Budgeted Enrollment YR2'!G12</f>
        <v>5170.6418474641814</v>
      </c>
      <c r="D15" s="533">
        <f t="shared" si="0"/>
        <v>3889783.55</v>
      </c>
      <c r="E15" s="474">
        <f t="shared" si="2"/>
        <v>0</v>
      </c>
      <c r="F15" s="210"/>
      <c r="G15" s="534">
        <f t="shared" si="1"/>
        <v>0</v>
      </c>
      <c r="H15" s="475">
        <f t="shared" si="4"/>
        <v>0</v>
      </c>
      <c r="I15" s="475">
        <f t="shared" si="5"/>
        <v>3889783.55</v>
      </c>
      <c r="J15" s="476">
        <f t="shared" si="3"/>
        <v>752.28253372599227</v>
      </c>
    </row>
    <row r="16" spans="1:15" x14ac:dyDescent="0.3">
      <c r="A16" s="41"/>
      <c r="B16" s="41" t="str">
        <f>'5.2 Budgeted Enrollment YR2'!E13</f>
        <v>Elko</v>
      </c>
      <c r="C16" s="717">
        <f>'5.2 Budgeted Enrollment YR2'!G13</f>
        <v>9818.4043511504351</v>
      </c>
      <c r="D16" s="533">
        <f t="shared" si="0"/>
        <v>4707742.2574999994</v>
      </c>
      <c r="E16" s="474">
        <f t="shared" si="2"/>
        <v>0</v>
      </c>
      <c r="F16" s="210"/>
      <c r="G16" s="534">
        <f t="shared" si="1"/>
        <v>384179.53</v>
      </c>
      <c r="H16" s="475">
        <f t="shared" si="4"/>
        <v>0</v>
      </c>
      <c r="I16" s="475">
        <f t="shared" si="5"/>
        <v>5091921.7874999996</v>
      </c>
      <c r="J16" s="476">
        <f t="shared" si="3"/>
        <v>518.60990904325229</v>
      </c>
    </row>
    <row r="17" spans="1:10" x14ac:dyDescent="0.3">
      <c r="A17" s="41"/>
      <c r="B17" s="41" t="str">
        <f>'5.2 Budgeted Enrollment YR2'!E14</f>
        <v>Esmeralda</v>
      </c>
      <c r="C17" s="717">
        <f>'5.2 Budgeted Enrollment YR2'!G14</f>
        <v>77.392537325948581</v>
      </c>
      <c r="D17" s="533">
        <f t="shared" si="0"/>
        <v>362615.88249999995</v>
      </c>
      <c r="E17" s="474">
        <f t="shared" si="2"/>
        <v>0</v>
      </c>
      <c r="F17" s="210"/>
      <c r="G17" s="534">
        <f t="shared" si="1"/>
        <v>60581.75</v>
      </c>
      <c r="H17" s="475">
        <f t="shared" si="4"/>
        <v>0</v>
      </c>
      <c r="I17" s="475">
        <f t="shared" si="5"/>
        <v>423197.63249999995</v>
      </c>
      <c r="J17" s="476">
        <f t="shared" si="3"/>
        <v>5468.1968975593727</v>
      </c>
    </row>
    <row r="18" spans="1:10" x14ac:dyDescent="0.3">
      <c r="A18" s="41"/>
      <c r="B18" s="41" t="str">
        <f>'5.2 Budgeted Enrollment YR2'!E15</f>
        <v>Eureka</v>
      </c>
      <c r="C18" s="717">
        <f>'5.2 Budgeted Enrollment YR2'!G15</f>
        <v>324.02623606097552</v>
      </c>
      <c r="D18" s="533">
        <f t="shared" si="0"/>
        <v>748499.52</v>
      </c>
      <c r="E18" s="474">
        <f t="shared" si="2"/>
        <v>0</v>
      </c>
      <c r="F18" s="210"/>
      <c r="G18" s="534">
        <f t="shared" si="1"/>
        <v>253810.08500000002</v>
      </c>
      <c r="H18" s="475">
        <f t="shared" si="4"/>
        <v>0</v>
      </c>
      <c r="I18" s="475">
        <f t="shared" si="5"/>
        <v>1002309.605</v>
      </c>
      <c r="J18" s="476">
        <f t="shared" si="3"/>
        <v>3093.2976822635578</v>
      </c>
    </row>
    <row r="19" spans="1:10" x14ac:dyDescent="0.3">
      <c r="A19" s="41"/>
      <c r="B19" s="41" t="str">
        <f>'5.2 Budgeted Enrollment YR2'!E16</f>
        <v>Humboldt</v>
      </c>
      <c r="C19" s="717">
        <f>'5.2 Budgeted Enrollment YR2'!G16</f>
        <v>3185.805194816955</v>
      </c>
      <c r="D19" s="533">
        <f t="shared" si="0"/>
        <v>2017965.7149999999</v>
      </c>
      <c r="E19" s="474">
        <f t="shared" si="2"/>
        <v>0</v>
      </c>
      <c r="F19" s="210"/>
      <c r="G19" s="534">
        <f t="shared" si="1"/>
        <v>19090.5</v>
      </c>
      <c r="H19" s="475">
        <f t="shared" si="4"/>
        <v>0</v>
      </c>
      <c r="I19" s="475">
        <f t="shared" si="5"/>
        <v>2037056.2149999999</v>
      </c>
      <c r="J19" s="476">
        <f t="shared" si="3"/>
        <v>639.41643962227317</v>
      </c>
    </row>
    <row r="20" spans="1:10" x14ac:dyDescent="0.3">
      <c r="A20" s="41"/>
      <c r="B20" s="41" t="str">
        <f>'5.2 Budgeted Enrollment YR2'!E17</f>
        <v>Lander</v>
      </c>
      <c r="C20" s="717">
        <f>'5.2 Budgeted Enrollment YR2'!G17</f>
        <v>1003.8754811636373</v>
      </c>
      <c r="D20" s="533">
        <f t="shared" si="0"/>
        <v>413952.86249999993</v>
      </c>
      <c r="E20" s="474">
        <f t="shared" si="2"/>
        <v>0</v>
      </c>
      <c r="F20" s="210"/>
      <c r="G20" s="534">
        <f t="shared" si="1"/>
        <v>25000</v>
      </c>
      <c r="H20" s="475">
        <f t="shared" si="4"/>
        <v>0</v>
      </c>
      <c r="I20" s="475">
        <f t="shared" si="5"/>
        <v>438952.86249999993</v>
      </c>
      <c r="J20" s="476">
        <f t="shared" si="3"/>
        <v>437.25827628660664</v>
      </c>
    </row>
    <row r="21" spans="1:10" x14ac:dyDescent="0.3">
      <c r="A21" s="41"/>
      <c r="B21" s="41" t="str">
        <f>'5.2 Budgeted Enrollment YR2'!E18</f>
        <v>Lincoln</v>
      </c>
      <c r="C21" s="717">
        <f>'5.2 Budgeted Enrollment YR2'!G18</f>
        <v>883.90246946271293</v>
      </c>
      <c r="D21" s="533">
        <f t="shared" si="0"/>
        <v>623019.91</v>
      </c>
      <c r="E21" s="474">
        <f t="shared" si="2"/>
        <v>0</v>
      </c>
      <c r="F21" s="210"/>
      <c r="G21" s="534">
        <f t="shared" si="1"/>
        <v>60319.5</v>
      </c>
      <c r="H21" s="475">
        <f t="shared" si="4"/>
        <v>0</v>
      </c>
      <c r="I21" s="475">
        <f t="shared" si="5"/>
        <v>683339.41</v>
      </c>
      <c r="J21" s="476">
        <f t="shared" si="3"/>
        <v>773.09367674396617</v>
      </c>
    </row>
    <row r="22" spans="1:10" x14ac:dyDescent="0.3">
      <c r="A22" s="41"/>
      <c r="B22" s="41" t="str">
        <f>'5.2 Budgeted Enrollment YR2'!E19</f>
        <v>Lyon</v>
      </c>
      <c r="C22" s="717">
        <f>'5.2 Budgeted Enrollment YR2'!G19</f>
        <v>9045.069485259779</v>
      </c>
      <c r="D22" s="533">
        <f t="shared" si="0"/>
        <v>5015867.6725000003</v>
      </c>
      <c r="E22" s="474">
        <f t="shared" si="2"/>
        <v>0</v>
      </c>
      <c r="F22" s="210"/>
      <c r="G22" s="534">
        <f t="shared" si="1"/>
        <v>0</v>
      </c>
      <c r="H22" s="475">
        <f t="shared" si="4"/>
        <v>0</v>
      </c>
      <c r="I22" s="475">
        <f t="shared" si="5"/>
        <v>5015867.6725000003</v>
      </c>
      <c r="J22" s="476">
        <f t="shared" si="3"/>
        <v>554.54164068878265</v>
      </c>
    </row>
    <row r="23" spans="1:10" x14ac:dyDescent="0.3">
      <c r="A23" s="41"/>
      <c r="B23" s="41" t="str">
        <f>'5.2 Budgeted Enrollment YR2'!E20</f>
        <v>Mineral</v>
      </c>
      <c r="C23" s="717">
        <f>'5.2 Budgeted Enrollment YR2'!G20</f>
        <v>568.00070537479974</v>
      </c>
      <c r="D23" s="533">
        <f t="shared" si="0"/>
        <v>316048.27</v>
      </c>
      <c r="E23" s="474">
        <f t="shared" si="2"/>
        <v>0</v>
      </c>
      <c r="F23" s="210"/>
      <c r="G23" s="534">
        <f t="shared" si="1"/>
        <v>159025</v>
      </c>
      <c r="H23" s="475">
        <f t="shared" si="4"/>
        <v>0</v>
      </c>
      <c r="I23" s="475">
        <f t="shared" si="5"/>
        <v>475073.27</v>
      </c>
      <c r="J23" s="476">
        <f t="shared" si="3"/>
        <v>836.39556342895594</v>
      </c>
    </row>
    <row r="24" spans="1:10" x14ac:dyDescent="0.3">
      <c r="A24" s="41"/>
      <c r="B24" s="41" t="str">
        <f>'5.2 Budgeted Enrollment YR2'!E21</f>
        <v>Nye</v>
      </c>
      <c r="C24" s="717">
        <f>'5.2 Budgeted Enrollment YR2'!G21</f>
        <v>5594.5124332004871</v>
      </c>
      <c r="D24" s="533">
        <f t="shared" si="0"/>
        <v>4268308.3025000002</v>
      </c>
      <c r="E24" s="474">
        <f t="shared" si="2"/>
        <v>0</v>
      </c>
      <c r="F24" s="210"/>
      <c r="G24" s="534">
        <f t="shared" si="1"/>
        <v>0</v>
      </c>
      <c r="H24" s="475">
        <f t="shared" si="4"/>
        <v>0</v>
      </c>
      <c r="I24" s="475">
        <f t="shared" si="5"/>
        <v>4268308.3025000002</v>
      </c>
      <c r="J24" s="476">
        <f t="shared" si="3"/>
        <v>762.94553876935493</v>
      </c>
    </row>
    <row r="25" spans="1:10" x14ac:dyDescent="0.3">
      <c r="A25" s="41"/>
      <c r="B25" s="41" t="str">
        <f>'5.2 Budgeted Enrollment YR2'!E22</f>
        <v>Pershing</v>
      </c>
      <c r="C25" s="717">
        <f>'5.2 Budgeted Enrollment YR2'!G22</f>
        <v>660.8205610348989</v>
      </c>
      <c r="D25" s="533">
        <f t="shared" si="0"/>
        <v>800420.59250000003</v>
      </c>
      <c r="E25" s="474">
        <f t="shared" si="2"/>
        <v>0</v>
      </c>
      <c r="F25" s="210"/>
      <c r="G25" s="534">
        <f t="shared" si="1"/>
        <v>25224.75</v>
      </c>
      <c r="H25" s="475">
        <f t="shared" si="4"/>
        <v>0</v>
      </c>
      <c r="I25" s="475">
        <f t="shared" si="5"/>
        <v>825645.34250000003</v>
      </c>
      <c r="J25" s="476">
        <f t="shared" si="3"/>
        <v>1249.4244144083109</v>
      </c>
    </row>
    <row r="26" spans="1:10" x14ac:dyDescent="0.3">
      <c r="A26" s="41"/>
      <c r="B26" s="41" t="str">
        <f>'5.2 Budgeted Enrollment YR2'!E23</f>
        <v>Storey</v>
      </c>
      <c r="C26" s="717">
        <f>'5.2 Budgeted Enrollment YR2'!G23</f>
        <v>413.46750117998658</v>
      </c>
      <c r="D26" s="533">
        <f t="shared" si="0"/>
        <v>491092.25</v>
      </c>
      <c r="E26" s="474">
        <f t="shared" si="2"/>
        <v>0</v>
      </c>
      <c r="F26" s="210"/>
      <c r="G26" s="534">
        <f t="shared" si="1"/>
        <v>22323.5</v>
      </c>
      <c r="H26" s="475">
        <f t="shared" si="4"/>
        <v>0</v>
      </c>
      <c r="I26" s="475">
        <f t="shared" si="5"/>
        <v>513415.75</v>
      </c>
      <c r="J26" s="476">
        <f t="shared" si="3"/>
        <v>1241.7318133463286</v>
      </c>
    </row>
    <row r="27" spans="1:10" x14ac:dyDescent="0.3">
      <c r="A27" s="41"/>
      <c r="B27" s="41" t="str">
        <f>'5.2 Budgeted Enrollment YR2'!E24</f>
        <v>Washoe</v>
      </c>
      <c r="C27" s="717">
        <f>'5.2 Budgeted Enrollment YR2'!G24</f>
        <v>60608.138003589171</v>
      </c>
      <c r="D27" s="533">
        <f t="shared" si="0"/>
        <v>23740800.767499998</v>
      </c>
      <c r="E27" s="474">
        <f t="shared" si="2"/>
        <v>0</v>
      </c>
      <c r="F27" s="210"/>
      <c r="G27" s="534">
        <f t="shared" si="1"/>
        <v>0</v>
      </c>
      <c r="H27" s="475">
        <f t="shared" si="4"/>
        <v>0</v>
      </c>
      <c r="I27" s="475">
        <f t="shared" si="5"/>
        <v>23740800.767499998</v>
      </c>
      <c r="J27" s="476">
        <f t="shared" si="3"/>
        <v>391.70978600421756</v>
      </c>
    </row>
    <row r="28" spans="1:10" x14ac:dyDescent="0.3">
      <c r="A28" s="41"/>
      <c r="B28" s="41" t="str">
        <f>'5.2 Budgeted Enrollment YR2'!E25</f>
        <v>White Pine</v>
      </c>
      <c r="C28" s="717">
        <f>'5.2 Budgeted Enrollment YR2'!G25</f>
        <v>1260.6496409044739</v>
      </c>
      <c r="D28" s="533">
        <f>G55</f>
        <v>1218747.9900000002</v>
      </c>
      <c r="E28" s="474">
        <f>IF($F$6="Yes",(D28*$F$7),0)</f>
        <v>0</v>
      </c>
      <c r="F28" s="210"/>
      <c r="G28" s="534">
        <f>G76</f>
        <v>48795.177500000005</v>
      </c>
      <c r="H28" s="475">
        <f>IF($H$6="Yes",(G28*$H$7),0)</f>
        <v>0</v>
      </c>
      <c r="I28" s="475">
        <f>SUM(D28:E28)+F28+SUM(G28:H28)</f>
        <v>1267543.1675000002</v>
      </c>
      <c r="J28" s="476">
        <f t="shared" si="3"/>
        <v>1005.4682334979134</v>
      </c>
    </row>
    <row r="29" spans="1:10" x14ac:dyDescent="0.3">
      <c r="A29" s="41"/>
      <c r="B29" s="41" t="str">
        <f>'5.2 Budgeted Enrollment YR2'!E26</f>
        <v>Charter Schools (Combined)</v>
      </c>
      <c r="C29" s="717">
        <v>0</v>
      </c>
      <c r="D29" s="533">
        <v>0</v>
      </c>
      <c r="E29" s="474">
        <f>IF($F$6="Yes",(D29*$F$7),0)</f>
        <v>0</v>
      </c>
      <c r="F29" s="210"/>
      <c r="G29" s="534">
        <v>0</v>
      </c>
      <c r="H29" s="475">
        <f>IF($H$6="Yes",(G29*$H$7),0)</f>
        <v>0</v>
      </c>
      <c r="I29" s="475">
        <f>SUM(D29:E29)+F29+SUM(G29:H29)</f>
        <v>0</v>
      </c>
      <c r="J29" s="476">
        <f t="shared" si="3"/>
        <v>0</v>
      </c>
    </row>
    <row r="30" spans="1:10" x14ac:dyDescent="0.3">
      <c r="A30" s="709"/>
      <c r="B30" s="709" t="str">
        <f>'5.2 Budgeted Enrollment YR2'!E27</f>
        <v>University Schools</v>
      </c>
      <c r="C30" s="718">
        <v>0</v>
      </c>
      <c r="D30" s="711">
        <v>0</v>
      </c>
      <c r="E30" s="712">
        <f>IF($F$6="Yes",(D30*$F$7),0)</f>
        <v>0</v>
      </c>
      <c r="F30" s="713"/>
      <c r="G30" s="714">
        <v>0</v>
      </c>
      <c r="H30" s="715">
        <f>IF($H$6="Yes",(G30*$H$7),0)</f>
        <v>0</v>
      </c>
      <c r="I30" s="715">
        <f>SUM(D30:E30)+F30+SUM(G30:H30)</f>
        <v>0</v>
      </c>
      <c r="J30" s="716">
        <f t="shared" si="3"/>
        <v>0</v>
      </c>
    </row>
    <row r="31" spans="1:10" s="4" customFormat="1" x14ac:dyDescent="0.3">
      <c r="A31" s="813"/>
      <c r="B31" s="814" t="s">
        <v>89</v>
      </c>
      <c r="C31" s="816">
        <f t="shared" ref="C31:I31" si="6">SUM(C12:C30)</f>
        <v>402519.54334188253</v>
      </c>
      <c r="D31" s="816">
        <f t="shared" si="6"/>
        <v>193767827.86750007</v>
      </c>
      <c r="E31" s="816">
        <f t="shared" si="6"/>
        <v>0</v>
      </c>
      <c r="F31" s="816">
        <f t="shared" si="6"/>
        <v>0</v>
      </c>
      <c r="G31" s="816">
        <f t="shared" si="6"/>
        <v>1487652.6625000001</v>
      </c>
      <c r="H31" s="914">
        <f t="shared" si="6"/>
        <v>0</v>
      </c>
      <c r="I31" s="915">
        <f t="shared" si="6"/>
        <v>195255480.53</v>
      </c>
      <c r="J31" s="815">
        <f>I31/C31</f>
        <v>485.08323076417315</v>
      </c>
    </row>
    <row r="32" spans="1:10" x14ac:dyDescent="0.3">
      <c r="A32" s="41"/>
      <c r="B32" s="41"/>
      <c r="C32" s="41"/>
      <c r="D32" s="41"/>
      <c r="E32" s="41"/>
      <c r="F32" s="41"/>
      <c r="G32" s="43"/>
      <c r="H32" s="43"/>
      <c r="I32" s="41"/>
      <c r="J32" s="42"/>
    </row>
    <row r="33" spans="2:8" x14ac:dyDescent="0.3">
      <c r="B33" s="291" t="str">
        <f>'2.1 Auxiliary Services YR1'!B33</f>
        <v>Data Source: FY 2019; FY 2020, FY 2021 and FY 2022 - 387 reports</v>
      </c>
      <c r="C33" s="4"/>
      <c r="D33" s="4"/>
      <c r="E33" s="4"/>
      <c r="F33" s="4"/>
    </row>
    <row r="34" spans="2:8" x14ac:dyDescent="0.3">
      <c r="B34" s="291" t="str">
        <f>'2.1 Auxiliary Services YR1'!B34</f>
        <v>Amounts are not adjusted for inflation or enrollment growth</v>
      </c>
    </row>
    <row r="35" spans="2:8" x14ac:dyDescent="0.3">
      <c r="B35" s="262"/>
    </row>
    <row r="36" spans="2:8" x14ac:dyDescent="0.3">
      <c r="B36" s="1584" t="s">
        <v>1005</v>
      </c>
      <c r="C36" s="1585"/>
      <c r="D36" s="1585"/>
      <c r="E36" s="1585"/>
      <c r="F36" s="1585"/>
      <c r="G36" s="1586"/>
      <c r="H36" s="294"/>
    </row>
    <row r="37" spans="2:8" ht="15.75" customHeight="1" x14ac:dyDescent="0.3">
      <c r="B37" s="17" t="s">
        <v>1001</v>
      </c>
      <c r="C37" s="17">
        <f>'2.1 Auxiliary Services YR1'!C38</f>
        <v>2019</v>
      </c>
      <c r="D37" s="17">
        <f>'2.1 Auxiliary Services YR1'!D38</f>
        <v>2020</v>
      </c>
      <c r="E37" s="17">
        <f>'2.1 Auxiliary Services YR1'!E38</f>
        <v>2021</v>
      </c>
      <c r="F37" s="17">
        <f>'2.1 Auxiliary Services YR1'!F38</f>
        <v>2022</v>
      </c>
      <c r="G37" s="17"/>
      <c r="H37" s="17"/>
    </row>
    <row r="38" spans="2:8" s="4" customFormat="1" x14ac:dyDescent="0.3">
      <c r="B38" s="290" t="s">
        <v>1000</v>
      </c>
      <c r="C38" s="290" t="str">
        <f>'2.1 Auxiliary Services YR1'!C39</f>
        <v>2019 NRS 387 Report</v>
      </c>
      <c r="D38" s="290" t="str">
        <f>'2.1 Auxiliary Services YR1'!D39</f>
        <v>2020 NRS 387 Report</v>
      </c>
      <c r="E38" s="290" t="str">
        <f>'2.1 Auxiliary Services YR1'!E39</f>
        <v>2021 NRS 387 Report</v>
      </c>
      <c r="F38" s="290" t="str">
        <f>'2.1 Auxiliary Services YR1'!F39</f>
        <v>2022 NRS 387 Report</v>
      </c>
      <c r="G38" s="290" t="s">
        <v>999</v>
      </c>
      <c r="H38" s="17"/>
    </row>
    <row r="39" spans="2:8" x14ac:dyDescent="0.3">
      <c r="B39" s="10" t="s">
        <v>18</v>
      </c>
      <c r="C39" s="1304">
        <f>'2.1 Auxiliary Services YR1'!C40</f>
        <v>2591616.7700000005</v>
      </c>
      <c r="D39" s="1304">
        <f>'2.1 Auxiliary Services YR1'!D40</f>
        <v>2354421</v>
      </c>
      <c r="E39" s="1304">
        <f>'2.1 Auxiliary Services YR1'!E40</f>
        <v>2176089</v>
      </c>
      <c r="F39" s="1304">
        <f>'2.1 Auxiliary Services YR1'!F40</f>
        <v>3223782.7999999993</v>
      </c>
      <c r="G39" s="550">
        <f>SUM(C39:F39)/4</f>
        <v>2586477.3925000001</v>
      </c>
      <c r="H39" s="11"/>
    </row>
    <row r="40" spans="2:8" x14ac:dyDescent="0.3">
      <c r="B40" s="10" t="s">
        <v>1</v>
      </c>
      <c r="C40" s="1304">
        <f>'2.1 Auxiliary Services YR1'!C41</f>
        <v>1954425.49</v>
      </c>
      <c r="D40" s="1304">
        <f>'2.1 Auxiliary Services YR1'!D41</f>
        <v>1719375.49</v>
      </c>
      <c r="E40" s="1304">
        <f>'2.1 Auxiliary Services YR1'!E41</f>
        <v>1423239.53</v>
      </c>
      <c r="F40" s="1304">
        <f>'2.1 Auxiliary Services YR1'!F41</f>
        <v>1521517.49</v>
      </c>
      <c r="G40" s="550">
        <f>SUM(C40:F40)/4</f>
        <v>1654639.5</v>
      </c>
      <c r="H40" s="11"/>
    </row>
    <row r="41" spans="2:8" x14ac:dyDescent="0.3">
      <c r="B41" s="10" t="s">
        <v>2</v>
      </c>
      <c r="C41" s="1304">
        <f>'2.1 Auxiliary Services YR1'!C42</f>
        <v>160606166.15999997</v>
      </c>
      <c r="D41" s="1304">
        <f>'2.1 Auxiliary Services YR1'!D42</f>
        <v>144286074</v>
      </c>
      <c r="E41" s="1304">
        <f>'2.1 Auxiliary Services YR1'!E42</f>
        <v>133062632.91999999</v>
      </c>
      <c r="F41" s="1304">
        <f>'2.1 Auxiliary Services YR1'!F42</f>
        <v>125692508.64999999</v>
      </c>
      <c r="G41" s="550">
        <f t="shared" ref="G41:G55" si="7">SUM(C41:F41)/4</f>
        <v>140911845.43249997</v>
      </c>
      <c r="H41" s="11"/>
    </row>
    <row r="42" spans="2:8" x14ac:dyDescent="0.3">
      <c r="B42" s="10" t="s">
        <v>3</v>
      </c>
      <c r="C42" s="1304">
        <f>'2.1 Auxiliary Services YR1'!C43</f>
        <v>3931543</v>
      </c>
      <c r="D42" s="1304">
        <f>'2.1 Auxiliary Services YR1'!D43</f>
        <v>3465564.2</v>
      </c>
      <c r="E42" s="1304">
        <f>'2.1 Auxiliary Services YR1'!E43</f>
        <v>3955235</v>
      </c>
      <c r="F42" s="1304">
        <f>'2.1 Auxiliary Services YR1'!F43</f>
        <v>4206792</v>
      </c>
      <c r="G42" s="550">
        <f t="shared" si="7"/>
        <v>3889783.55</v>
      </c>
      <c r="H42" s="11"/>
    </row>
    <row r="43" spans="2:8" x14ac:dyDescent="0.3">
      <c r="B43" s="10" t="s">
        <v>4</v>
      </c>
      <c r="C43" s="1304">
        <f>'2.1 Auxiliary Services YR1'!C44</f>
        <v>4886649</v>
      </c>
      <c r="D43" s="1304">
        <f>'2.1 Auxiliary Services YR1'!D44</f>
        <v>4285094.2</v>
      </c>
      <c r="E43" s="1304">
        <f>'2.1 Auxiliary Services YR1'!E44</f>
        <v>4009665.7</v>
      </c>
      <c r="F43" s="1304">
        <f>'2.1 Auxiliary Services YR1'!F44</f>
        <v>5649560.1299999999</v>
      </c>
      <c r="G43" s="550">
        <f t="shared" si="7"/>
        <v>4707742.2574999994</v>
      </c>
      <c r="H43" s="11"/>
    </row>
    <row r="44" spans="2:8" x14ac:dyDescent="0.3">
      <c r="B44" s="10" t="s">
        <v>5</v>
      </c>
      <c r="C44" s="1304">
        <f>'2.1 Auxiliary Services YR1'!C45</f>
        <v>324260</v>
      </c>
      <c r="D44" s="1304">
        <f>'2.1 Auxiliary Services YR1'!D45</f>
        <v>328549.57999999996</v>
      </c>
      <c r="E44" s="1304">
        <f>'2.1 Auxiliary Services YR1'!E45</f>
        <v>462905.83999999997</v>
      </c>
      <c r="F44" s="1304">
        <f>'2.1 Auxiliary Services YR1'!F45</f>
        <v>334748.11</v>
      </c>
      <c r="G44" s="550">
        <f t="shared" si="7"/>
        <v>362615.88249999995</v>
      </c>
      <c r="H44" s="11"/>
    </row>
    <row r="45" spans="2:8" x14ac:dyDescent="0.3">
      <c r="B45" s="10" t="s">
        <v>6</v>
      </c>
      <c r="C45" s="1304">
        <f>'2.1 Auxiliary Services YR1'!C46</f>
        <v>537295</v>
      </c>
      <c r="D45" s="1304">
        <f>'2.1 Auxiliary Services YR1'!D46</f>
        <v>434259</v>
      </c>
      <c r="E45" s="1304">
        <f>'2.1 Auxiliary Services YR1'!E46</f>
        <v>1026559.44</v>
      </c>
      <c r="F45" s="1304">
        <f>'2.1 Auxiliary Services YR1'!F46</f>
        <v>995884.6399999999</v>
      </c>
      <c r="G45" s="550">
        <f t="shared" si="7"/>
        <v>748499.52</v>
      </c>
      <c r="H45" s="11"/>
    </row>
    <row r="46" spans="2:8" x14ac:dyDescent="0.3">
      <c r="B46" s="10" t="s">
        <v>7</v>
      </c>
      <c r="C46" s="1304">
        <f>'2.1 Auxiliary Services YR1'!C47</f>
        <v>2622861.29</v>
      </c>
      <c r="D46" s="1304">
        <f>'2.1 Auxiliary Services YR1'!D47</f>
        <v>1619978</v>
      </c>
      <c r="E46" s="1304">
        <f>'2.1 Auxiliary Services YR1'!E47</f>
        <v>1542016.67</v>
      </c>
      <c r="F46" s="1304">
        <f>'2.1 Auxiliary Services YR1'!F47</f>
        <v>2287006.9</v>
      </c>
      <c r="G46" s="550">
        <f t="shared" si="7"/>
        <v>2017965.7149999999</v>
      </c>
      <c r="H46" s="11"/>
    </row>
    <row r="47" spans="2:8" x14ac:dyDescent="0.3">
      <c r="B47" s="10" t="s">
        <v>8</v>
      </c>
      <c r="C47" s="1304">
        <f>'2.1 Auxiliary Services YR1'!C48</f>
        <v>392352.21</v>
      </c>
      <c r="D47" s="1304">
        <f>'2.1 Auxiliary Services YR1'!D48</f>
        <v>582580.19999999995</v>
      </c>
      <c r="E47" s="1304">
        <f>'2.1 Auxiliary Services YR1'!E48</f>
        <v>250328.34999999998</v>
      </c>
      <c r="F47" s="1304">
        <f>'2.1 Auxiliary Services YR1'!F48</f>
        <v>430550.69</v>
      </c>
      <c r="G47" s="550">
        <f t="shared" si="7"/>
        <v>413952.86249999993</v>
      </c>
      <c r="H47" s="11"/>
    </row>
    <row r="48" spans="2:8" x14ac:dyDescent="0.3">
      <c r="B48" s="10" t="s">
        <v>9</v>
      </c>
      <c r="C48" s="1304">
        <f>'2.1 Auxiliary Services YR1'!C49</f>
        <v>598189</v>
      </c>
      <c r="D48" s="1304">
        <f>'2.1 Auxiliary Services YR1'!D49</f>
        <v>773153</v>
      </c>
      <c r="E48" s="1304">
        <f>'2.1 Auxiliary Services YR1'!E49</f>
        <v>352938</v>
      </c>
      <c r="F48" s="1304">
        <f>'2.1 Auxiliary Services YR1'!F49</f>
        <v>767799.64</v>
      </c>
      <c r="G48" s="550">
        <f t="shared" si="7"/>
        <v>623019.91</v>
      </c>
      <c r="H48" s="11"/>
    </row>
    <row r="49" spans="1:9" x14ac:dyDescent="0.3">
      <c r="B49" s="10" t="s">
        <v>10</v>
      </c>
      <c r="C49" s="1304">
        <f>'2.1 Auxiliary Services YR1'!C50</f>
        <v>4676120</v>
      </c>
      <c r="D49" s="1304">
        <f>'2.1 Auxiliary Services YR1'!D50</f>
        <v>4568463</v>
      </c>
      <c r="E49" s="1304">
        <f>'2.1 Auxiliary Services YR1'!E50</f>
        <v>5048651.82</v>
      </c>
      <c r="F49" s="1304">
        <f>'2.1 Auxiliary Services YR1'!F50</f>
        <v>5770235.8700000001</v>
      </c>
      <c r="G49" s="550">
        <f t="shared" si="7"/>
        <v>5015867.6725000003</v>
      </c>
      <c r="H49" s="11"/>
    </row>
    <row r="50" spans="1:9" x14ac:dyDescent="0.3">
      <c r="B50" s="10" t="s">
        <v>11</v>
      </c>
      <c r="C50" s="1304">
        <f>'2.1 Auxiliary Services YR1'!C51</f>
        <v>257034</v>
      </c>
      <c r="D50" s="1304">
        <f>'2.1 Auxiliary Services YR1'!D51</f>
        <v>310614.5</v>
      </c>
      <c r="E50" s="1304">
        <f>'2.1 Auxiliary Services YR1'!E51</f>
        <v>343102.13</v>
      </c>
      <c r="F50" s="1304">
        <f>'2.1 Auxiliary Services YR1'!F51</f>
        <v>353442.45</v>
      </c>
      <c r="G50" s="550">
        <f t="shared" si="7"/>
        <v>316048.27</v>
      </c>
      <c r="H50" s="11"/>
    </row>
    <row r="51" spans="1:9" x14ac:dyDescent="0.3">
      <c r="B51" s="10" t="s">
        <v>12</v>
      </c>
      <c r="C51" s="1304">
        <f>'2.1 Auxiliary Services YR1'!C52</f>
        <v>4092226.0000000005</v>
      </c>
      <c r="D51" s="1304">
        <f>'2.1 Auxiliary Services YR1'!D52</f>
        <v>3846650</v>
      </c>
      <c r="E51" s="1304">
        <f>'2.1 Auxiliary Services YR1'!E52</f>
        <v>3910725.66</v>
      </c>
      <c r="F51" s="1304">
        <f>'2.1 Auxiliary Services YR1'!F52</f>
        <v>5223631.55</v>
      </c>
      <c r="G51" s="550">
        <f t="shared" si="7"/>
        <v>4268308.3025000002</v>
      </c>
      <c r="H51" s="11"/>
    </row>
    <row r="52" spans="1:9" x14ac:dyDescent="0.3">
      <c r="B52" s="10" t="s">
        <v>14</v>
      </c>
      <c r="C52" s="1304">
        <f>'2.1 Auxiliary Services YR1'!C53</f>
        <v>887515</v>
      </c>
      <c r="D52" s="1304">
        <f>'2.1 Auxiliary Services YR1'!D53</f>
        <v>723394.99999999988</v>
      </c>
      <c r="E52" s="1304">
        <f>'2.1 Auxiliary Services YR1'!E53</f>
        <v>722657</v>
      </c>
      <c r="F52" s="1304">
        <f>'2.1 Auxiliary Services YR1'!F53</f>
        <v>868115.37000000011</v>
      </c>
      <c r="G52" s="550">
        <f t="shared" si="7"/>
        <v>800420.59250000003</v>
      </c>
      <c r="H52" s="11"/>
    </row>
    <row r="53" spans="1:9" x14ac:dyDescent="0.3">
      <c r="B53" s="10" t="s">
        <v>15</v>
      </c>
      <c r="C53" s="1304">
        <f>'2.1 Auxiliary Services YR1'!C54</f>
        <v>366721</v>
      </c>
      <c r="D53" s="1304">
        <f>'2.1 Auxiliary Services YR1'!D54</f>
        <v>547375</v>
      </c>
      <c r="E53" s="1304">
        <f>'2.1 Auxiliary Services YR1'!E54</f>
        <v>316473</v>
      </c>
      <c r="F53" s="1304">
        <f>'2.1 Auxiliary Services YR1'!F54</f>
        <v>733800</v>
      </c>
      <c r="G53" s="550">
        <f t="shared" si="7"/>
        <v>491092.25</v>
      </c>
      <c r="H53" s="11"/>
    </row>
    <row r="54" spans="1:9" x14ac:dyDescent="0.3">
      <c r="B54" s="10" t="s">
        <v>16</v>
      </c>
      <c r="C54" s="1304">
        <f>'2.1 Auxiliary Services YR1'!C55</f>
        <v>24028205.629999999</v>
      </c>
      <c r="D54" s="1304">
        <f>'2.1 Auxiliary Services YR1'!D55</f>
        <v>24043223.830000002</v>
      </c>
      <c r="E54" s="1304">
        <f>'2.1 Auxiliary Services YR1'!E55</f>
        <v>22182599.509999998</v>
      </c>
      <c r="F54" s="1304">
        <f>'2.1 Auxiliary Services YR1'!F55</f>
        <v>24709174.099999994</v>
      </c>
      <c r="G54" s="550">
        <f t="shared" si="7"/>
        <v>23740800.767499998</v>
      </c>
      <c r="H54" s="11"/>
    </row>
    <row r="55" spans="1:9" x14ac:dyDescent="0.3">
      <c r="B55" s="183" t="s">
        <v>17</v>
      </c>
      <c r="C55" s="1305">
        <f>'2.1 Auxiliary Services YR1'!C56</f>
        <v>1054973.6399999999</v>
      </c>
      <c r="D55" s="1305">
        <f>'2.1 Auxiliary Services YR1'!D56</f>
        <v>1054977.0000000002</v>
      </c>
      <c r="E55" s="1305">
        <f>'2.1 Auxiliary Services YR1'!E56</f>
        <v>1590085.7000000002</v>
      </c>
      <c r="F55" s="1305">
        <f>'2.1 Auxiliary Services YR1'!F56</f>
        <v>1174955.6200000001</v>
      </c>
      <c r="G55" s="577">
        <f t="shared" si="7"/>
        <v>1218747.9900000002</v>
      </c>
      <c r="H55" s="115"/>
    </row>
    <row r="56" spans="1:9" x14ac:dyDescent="0.3">
      <c r="A56" s="10" t="s">
        <v>964</v>
      </c>
      <c r="C56" s="552">
        <f>SUM(C39:C55)</f>
        <v>213808153.18999994</v>
      </c>
      <c r="D56" s="552">
        <f>SUM(D39:D55)</f>
        <v>194943747</v>
      </c>
      <c r="E56" s="552">
        <f>SUM(E39:E55)</f>
        <v>182375905.26999992</v>
      </c>
      <c r="F56" s="552">
        <f>SUM(F39:F55)</f>
        <v>183943506.00999999</v>
      </c>
      <c r="G56" s="552">
        <f>SUM(G39:G55)</f>
        <v>193767827.86750007</v>
      </c>
      <c r="H56" s="12"/>
      <c r="I56" s="12"/>
    </row>
    <row r="57" spans="1:9" x14ac:dyDescent="0.3">
      <c r="C57" s="15"/>
      <c r="D57" s="15"/>
      <c r="E57" s="15"/>
      <c r="F57" s="15"/>
      <c r="G57" s="15">
        <f>D31-G56</f>
        <v>0</v>
      </c>
      <c r="H57" s="15"/>
      <c r="I57" s="15"/>
    </row>
    <row r="58" spans="1:9" x14ac:dyDescent="0.3">
      <c r="B58" s="17" t="s">
        <v>998</v>
      </c>
      <c r="C58" s="17">
        <f>'2.1 Auxiliary Services YR1'!C59</f>
        <v>2019</v>
      </c>
      <c r="D58" s="17">
        <f>'2.1 Auxiliary Services YR1'!D59</f>
        <v>2020</v>
      </c>
      <c r="E58" s="17">
        <f>'2.1 Auxiliary Services YR1'!E59</f>
        <v>2021</v>
      </c>
      <c r="F58" s="17">
        <f>'2.1 Auxiliary Services YR1'!F59</f>
        <v>2022</v>
      </c>
      <c r="G58" s="13"/>
      <c r="H58" s="17"/>
    </row>
    <row r="59" spans="1:9" x14ac:dyDescent="0.3">
      <c r="B59" s="290" t="s">
        <v>1004</v>
      </c>
      <c r="C59" s="290" t="str">
        <f>'2.1 Auxiliary Services YR1'!C60</f>
        <v>2019 NRS 387 Report</v>
      </c>
      <c r="D59" s="290" t="str">
        <f>'2.1 Auxiliary Services YR1'!D60</f>
        <v>2020 NRS 387 Report</v>
      </c>
      <c r="E59" s="290" t="str">
        <f>'2.1 Auxiliary Services YR1'!E60</f>
        <v>2021 NRS 387 Report</v>
      </c>
      <c r="F59" s="290" t="str">
        <f>'2.1 Auxiliary Services YR1'!F60</f>
        <v>2022 NRS 387 Report</v>
      </c>
      <c r="G59" s="290" t="s">
        <v>999</v>
      </c>
      <c r="H59" s="17"/>
    </row>
    <row r="60" spans="1:9" x14ac:dyDescent="0.3">
      <c r="B60" s="10" t="s">
        <v>18</v>
      </c>
      <c r="C60" s="745">
        <f>'2.1 Auxiliary Services YR1'!C61</f>
        <v>216197.99</v>
      </c>
      <c r="D60" s="745">
        <f>'2.1 Auxiliary Services YR1'!D61</f>
        <v>529286</v>
      </c>
      <c r="E60" s="745">
        <f>'2.1 Auxiliary Services YR1'!E61</f>
        <v>921727</v>
      </c>
      <c r="F60" s="745">
        <f>'2.1 Auxiliary Services YR1'!F61</f>
        <v>0</v>
      </c>
      <c r="G60" s="550">
        <f>SUM(C60:F60)/4</f>
        <v>416802.7475</v>
      </c>
      <c r="H60" s="11"/>
    </row>
    <row r="61" spans="1:9" x14ac:dyDescent="0.3">
      <c r="B61" s="10" t="s">
        <v>1</v>
      </c>
      <c r="C61" s="208">
        <f>'2.1 Auxiliary Services YR1'!C62</f>
        <v>50000.49</v>
      </c>
      <c r="D61" s="208">
        <f>'2.1 Auxiliary Services YR1'!D62</f>
        <v>0</v>
      </c>
      <c r="E61" s="208">
        <f>'2.1 Auxiliary Services YR1'!E62</f>
        <v>0</v>
      </c>
      <c r="F61" s="208">
        <f>'2.1 Auxiliary Services YR1'!F62</f>
        <v>0</v>
      </c>
      <c r="G61" s="550">
        <f>SUM(C61:F61)/4</f>
        <v>12500.122499999999</v>
      </c>
      <c r="H61" s="11"/>
    </row>
    <row r="62" spans="1:9" x14ac:dyDescent="0.3">
      <c r="B62" s="10" t="s">
        <v>2</v>
      </c>
      <c r="C62" s="208">
        <f>'2.1 Auxiliary Services YR1'!C63</f>
        <v>0</v>
      </c>
      <c r="D62" s="208">
        <f>'2.1 Auxiliary Services YR1'!D63</f>
        <v>0</v>
      </c>
      <c r="E62" s="208">
        <f>'2.1 Auxiliary Services YR1'!E63</f>
        <v>0</v>
      </c>
      <c r="F62" s="208">
        <f>'2.1 Auxiliary Services YR1'!F63</f>
        <v>0</v>
      </c>
      <c r="G62" s="550">
        <f>SUM(C62:F62)/4</f>
        <v>0</v>
      </c>
      <c r="H62" s="11"/>
    </row>
    <row r="63" spans="1:9" x14ac:dyDescent="0.3">
      <c r="B63" s="10" t="s">
        <v>3</v>
      </c>
      <c r="C63" s="208">
        <f>'2.1 Auxiliary Services YR1'!C64</f>
        <v>0</v>
      </c>
      <c r="D63" s="208">
        <f>'2.1 Auxiliary Services YR1'!D64</f>
        <v>0</v>
      </c>
      <c r="E63" s="208">
        <f>'2.1 Auxiliary Services YR1'!E64</f>
        <v>0</v>
      </c>
      <c r="F63" s="208">
        <f>'2.1 Auxiliary Services YR1'!F64</f>
        <v>0</v>
      </c>
      <c r="G63" s="550">
        <f t="shared" ref="G63:G76" si="8">SUM(C63:F63)/4</f>
        <v>0</v>
      </c>
      <c r="H63" s="11"/>
    </row>
    <row r="64" spans="1:9" x14ac:dyDescent="0.3">
      <c r="B64" s="10" t="s">
        <v>4</v>
      </c>
      <c r="C64" s="208">
        <f>'2.1 Auxiliary Services YR1'!C65</f>
        <v>301364</v>
      </c>
      <c r="D64" s="208">
        <f>'2.1 Auxiliary Services YR1'!D65</f>
        <v>347096</v>
      </c>
      <c r="E64" s="208">
        <f>'2.1 Auxiliary Services YR1'!E65</f>
        <v>543565.12</v>
      </c>
      <c r="F64" s="208">
        <f>'2.1 Auxiliary Services YR1'!F65</f>
        <v>344693</v>
      </c>
      <c r="G64" s="550">
        <f t="shared" si="8"/>
        <v>384179.53</v>
      </c>
      <c r="H64" s="11"/>
    </row>
    <row r="65" spans="2:9" x14ac:dyDescent="0.3">
      <c r="B65" s="10" t="s">
        <v>5</v>
      </c>
      <c r="C65" s="208">
        <f>'2.1 Auxiliary Services YR1'!C66</f>
        <v>49638</v>
      </c>
      <c r="D65" s="208">
        <f>'2.1 Auxiliary Services YR1'!D66</f>
        <v>49284</v>
      </c>
      <c r="E65" s="208">
        <f>'2.1 Auxiliary Services YR1'!E66</f>
        <v>83405</v>
      </c>
      <c r="F65" s="208">
        <f>'2.1 Auxiliary Services YR1'!F66</f>
        <v>60000</v>
      </c>
      <c r="G65" s="550">
        <f t="shared" si="8"/>
        <v>60581.75</v>
      </c>
      <c r="H65" s="11"/>
    </row>
    <row r="66" spans="2:9" x14ac:dyDescent="0.3">
      <c r="B66" s="10" t="s">
        <v>6</v>
      </c>
      <c r="C66" s="208">
        <f>'2.1 Auxiliary Services YR1'!C67</f>
        <v>281756</v>
      </c>
      <c r="D66" s="208">
        <f>'2.1 Auxiliary Services YR1'!D67</f>
        <v>399223</v>
      </c>
      <c r="E66" s="208">
        <f>'2.1 Auxiliary Services YR1'!E67</f>
        <v>0</v>
      </c>
      <c r="F66" s="208">
        <f>'2.1 Auxiliary Services YR1'!F67</f>
        <v>334261.34000000003</v>
      </c>
      <c r="G66" s="550">
        <f t="shared" si="8"/>
        <v>253810.08500000002</v>
      </c>
      <c r="H66" s="11"/>
    </row>
    <row r="67" spans="2:9" x14ac:dyDescent="0.3">
      <c r="B67" s="10" t="s">
        <v>7</v>
      </c>
      <c r="C67" s="208">
        <f>'2.1 Auxiliary Services YR1'!C68</f>
        <v>19890</v>
      </c>
      <c r="D67" s="208">
        <f>'2.1 Auxiliary Services YR1'!D68</f>
        <v>56472</v>
      </c>
      <c r="E67" s="208">
        <f>'2.1 Auxiliary Services YR1'!E68</f>
        <v>0</v>
      </c>
      <c r="F67" s="208">
        <f>'2.1 Auxiliary Services YR1'!F68</f>
        <v>0</v>
      </c>
      <c r="G67" s="550">
        <f t="shared" si="8"/>
        <v>19090.5</v>
      </c>
      <c r="H67" s="11"/>
    </row>
    <row r="68" spans="2:9" x14ac:dyDescent="0.3">
      <c r="B68" s="10" t="s">
        <v>8</v>
      </c>
      <c r="C68" s="208">
        <f>'2.1 Auxiliary Services YR1'!C69</f>
        <v>0</v>
      </c>
      <c r="D68" s="208">
        <f>'2.1 Auxiliary Services YR1'!D69</f>
        <v>100000</v>
      </c>
      <c r="E68" s="208">
        <f>'2.1 Auxiliary Services YR1'!E69</f>
        <v>0</v>
      </c>
      <c r="F68" s="208">
        <f>'2.1 Auxiliary Services YR1'!F69</f>
        <v>0</v>
      </c>
      <c r="G68" s="550">
        <f t="shared" si="8"/>
        <v>25000</v>
      </c>
      <c r="H68" s="11"/>
    </row>
    <row r="69" spans="2:9" x14ac:dyDescent="0.3">
      <c r="B69" s="10" t="s">
        <v>9</v>
      </c>
      <c r="C69" s="208">
        <f>'2.1 Auxiliary Services YR1'!C70</f>
        <v>70000</v>
      </c>
      <c r="D69" s="208">
        <f>'2.1 Auxiliary Services YR1'!D70</f>
        <v>70000</v>
      </c>
      <c r="E69" s="208">
        <f>'2.1 Auxiliary Services YR1'!E70</f>
        <v>30000</v>
      </c>
      <c r="F69" s="208">
        <f>'2.1 Auxiliary Services YR1'!F70</f>
        <v>71278</v>
      </c>
      <c r="G69" s="550">
        <f t="shared" si="8"/>
        <v>60319.5</v>
      </c>
      <c r="H69" s="11"/>
    </row>
    <row r="70" spans="2:9" x14ac:dyDescent="0.3">
      <c r="B70" s="10" t="s">
        <v>10</v>
      </c>
      <c r="C70" s="208">
        <f>'2.1 Auxiliary Services YR1'!C71</f>
        <v>0</v>
      </c>
      <c r="D70" s="208">
        <f>'2.1 Auxiliary Services YR1'!D71</f>
        <v>0</v>
      </c>
      <c r="E70" s="208">
        <f>'2.1 Auxiliary Services YR1'!E71</f>
        <v>0</v>
      </c>
      <c r="F70" s="208">
        <f>'2.1 Auxiliary Services YR1'!F71</f>
        <v>0</v>
      </c>
      <c r="G70" s="550">
        <f t="shared" si="8"/>
        <v>0</v>
      </c>
      <c r="H70" s="11"/>
    </row>
    <row r="71" spans="2:9" x14ac:dyDescent="0.3">
      <c r="B71" s="10" t="s">
        <v>11</v>
      </c>
      <c r="C71" s="208">
        <f>'2.1 Auxiliary Services YR1'!C72</f>
        <v>88000</v>
      </c>
      <c r="D71" s="208">
        <f>'2.1 Auxiliary Services YR1'!D72</f>
        <v>88000</v>
      </c>
      <c r="E71" s="208">
        <f>'2.1 Auxiliary Services YR1'!E72</f>
        <v>179605</v>
      </c>
      <c r="F71" s="208">
        <f>'2.1 Auxiliary Services YR1'!F72</f>
        <v>280495</v>
      </c>
      <c r="G71" s="550">
        <f t="shared" si="8"/>
        <v>159025</v>
      </c>
      <c r="H71" s="11"/>
    </row>
    <row r="72" spans="2:9" x14ac:dyDescent="0.3">
      <c r="B72" s="10" t="s">
        <v>12</v>
      </c>
      <c r="C72" s="208">
        <f>'2.1 Auxiliary Services YR1'!C73</f>
        <v>0</v>
      </c>
      <c r="D72" s="208">
        <f>'2.1 Auxiliary Services YR1'!D73</f>
        <v>0</v>
      </c>
      <c r="E72" s="208">
        <f>'2.1 Auxiliary Services YR1'!E73</f>
        <v>0</v>
      </c>
      <c r="F72" s="208">
        <f>'2.1 Auxiliary Services YR1'!F73</f>
        <v>0</v>
      </c>
      <c r="G72" s="550">
        <f t="shared" si="8"/>
        <v>0</v>
      </c>
      <c r="H72" s="11"/>
    </row>
    <row r="73" spans="2:9" x14ac:dyDescent="0.3">
      <c r="B73" s="10" t="s">
        <v>14</v>
      </c>
      <c r="C73" s="208">
        <f>'2.1 Auxiliary Services YR1'!C74</f>
        <v>20000</v>
      </c>
      <c r="D73" s="208">
        <f>'2.1 Auxiliary Services YR1'!D74</f>
        <v>60899</v>
      </c>
      <c r="E73" s="208">
        <f>'2.1 Auxiliary Services YR1'!E74</f>
        <v>20000</v>
      </c>
      <c r="F73" s="208">
        <f>'2.1 Auxiliary Services YR1'!F74</f>
        <v>0</v>
      </c>
      <c r="G73" s="550">
        <f t="shared" si="8"/>
        <v>25224.75</v>
      </c>
      <c r="H73" s="11"/>
    </row>
    <row r="74" spans="2:9" x14ac:dyDescent="0.3">
      <c r="B74" s="10" t="s">
        <v>15</v>
      </c>
      <c r="C74" s="208">
        <f>'2.1 Auxiliary Services YR1'!C75</f>
        <v>21848</v>
      </c>
      <c r="D74" s="208">
        <f>'2.1 Auxiliary Services YR1'!D75</f>
        <v>23002</v>
      </c>
      <c r="E74" s="208">
        <f>'2.1 Auxiliary Services YR1'!E75</f>
        <v>26812</v>
      </c>
      <c r="F74" s="208">
        <f>'2.1 Auxiliary Services YR1'!F75</f>
        <v>17632</v>
      </c>
      <c r="G74" s="550">
        <f t="shared" si="8"/>
        <v>22323.5</v>
      </c>
      <c r="H74" s="11"/>
    </row>
    <row r="75" spans="2:9" x14ac:dyDescent="0.3">
      <c r="B75" s="10" t="s">
        <v>16</v>
      </c>
      <c r="C75" s="208">
        <f>'2.1 Auxiliary Services YR1'!C76</f>
        <v>0</v>
      </c>
      <c r="D75" s="208">
        <f>'2.1 Auxiliary Services YR1'!D76</f>
        <v>0</v>
      </c>
      <c r="E75" s="208">
        <f>'2.1 Auxiliary Services YR1'!E76</f>
        <v>0</v>
      </c>
      <c r="F75" s="208">
        <f>'2.1 Auxiliary Services YR1'!F76</f>
        <v>0</v>
      </c>
      <c r="G75" s="550">
        <f t="shared" si="8"/>
        <v>0</v>
      </c>
      <c r="H75" s="11"/>
    </row>
    <row r="76" spans="2:9" x14ac:dyDescent="0.3">
      <c r="B76" s="183" t="s">
        <v>17</v>
      </c>
      <c r="C76" s="201">
        <f>'2.1 Auxiliary Services YR1'!C77</f>
        <v>76980.100000000006</v>
      </c>
      <c r="D76" s="201">
        <f>'2.1 Auxiliary Services YR1'!D77</f>
        <v>89088.22</v>
      </c>
      <c r="E76" s="201">
        <f>'2.1 Auxiliary Services YR1'!E77</f>
        <v>25318</v>
      </c>
      <c r="F76" s="201">
        <f>'2.1 Auxiliary Services YR1'!F77</f>
        <v>3794.39</v>
      </c>
      <c r="G76" s="577">
        <f t="shared" si="8"/>
        <v>48795.177500000005</v>
      </c>
      <c r="H76" s="115"/>
    </row>
    <row r="77" spans="2:9" x14ac:dyDescent="0.3">
      <c r="C77" s="552">
        <f>SUM(C60:C76)</f>
        <v>1195674.58</v>
      </c>
      <c r="D77" s="552">
        <f>SUM(D60:D76)</f>
        <v>1812350.22</v>
      </c>
      <c r="E77" s="552">
        <f>SUM(E60:E76)</f>
        <v>1830432.12</v>
      </c>
      <c r="F77" s="552">
        <f>SUM(F60:F76)</f>
        <v>1112153.73</v>
      </c>
      <c r="G77" s="552">
        <f>SUM(G60:G76)</f>
        <v>1487652.6625000001</v>
      </c>
      <c r="H77" s="12"/>
      <c r="I77" s="12"/>
    </row>
    <row r="78" spans="2:9" x14ac:dyDescent="0.3">
      <c r="G78" s="136">
        <f>G77-G31</f>
        <v>0</v>
      </c>
      <c r="H78" s="136"/>
      <c r="I78" s="15"/>
    </row>
  </sheetData>
  <sheetProtection algorithmName="SHA-512" hashValue="mh7E/eoykxB4dCCTnzqu0GNsaRLvTjh4vSg+Feh5xtZozX9GJWZV/xQbLlzE/fDka0kkJc5zR72zZ19IttMXdw==" saltValue="CX/1y1LXvwR9zsr7yDoMXw==" spinCount="100000" sheet="1" objects="1" scenarios="1"/>
  <mergeCells count="1">
    <mergeCell ref="B36:G36"/>
  </mergeCells>
  <dataValidations count="1">
    <dataValidation type="list" allowBlank="1" showInputMessage="1" showErrorMessage="1" sqref="F6 H6" xr:uid="{40EB088A-8646-41EE-A70E-2CF8BCC90C67}">
      <formula1>$I$6:$I$7</formula1>
    </dataValidation>
  </dataValidations>
  <pageMargins left="0.7" right="0.7" top="0.75" bottom="0.75" header="0.3" footer="0.3"/>
  <pageSetup paperSize="3" fitToHeight="0" orientation="landscape" r:id="rId1"/>
  <headerFooter>
    <oddHeader>&amp;R&amp;"Arial Narrow,Regular"&amp;10&amp;A
&amp;P</oddHeader>
  </headerFooter>
  <rowBreaks count="1" manualBreakCount="1">
    <brk id="31" max="16383" man="1"/>
  </rowBreaks>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8BBAB-FDC3-418A-9B33-1D7ECC0BA8CB}">
  <sheetPr>
    <tabColor theme="6" tint="-0.499984740745262"/>
    <pageSetUpPr autoPageBreaks="0" fitToPage="1"/>
  </sheetPr>
  <dimension ref="A1:N96"/>
  <sheetViews>
    <sheetView zoomScale="85" zoomScaleNormal="85" workbookViewId="0"/>
  </sheetViews>
  <sheetFormatPr defaultColWidth="8.85546875" defaultRowHeight="16.5" x14ac:dyDescent="0.3"/>
  <cols>
    <col min="1" max="1" width="6.85546875" style="10" customWidth="1"/>
    <col min="2" max="2" width="40.7109375" style="10" customWidth="1"/>
    <col min="3" max="3" width="14.5703125" style="10" bestFit="1" customWidth="1"/>
    <col min="4" max="4" width="16.7109375" style="10" bestFit="1" customWidth="1"/>
    <col min="5" max="5" width="15" style="10" bestFit="1" customWidth="1"/>
    <col min="6" max="6" width="13.42578125" style="10" customWidth="1"/>
    <col min="7" max="8" width="10.5703125" style="10" bestFit="1" customWidth="1"/>
    <col min="9" max="9" width="14.5703125" style="10" bestFit="1" customWidth="1"/>
    <col min="10" max="10" width="17.140625" style="10" bestFit="1" customWidth="1"/>
    <col min="11" max="12" width="5.5703125" style="10" customWidth="1"/>
    <col min="13" max="13" width="10.28515625" style="10" customWidth="1"/>
    <col min="14" max="14" width="9" style="10" customWidth="1"/>
    <col min="15" max="16384" width="8.85546875" style="10"/>
  </cols>
  <sheetData>
    <row r="1" spans="1:14" s="4" customFormat="1" x14ac:dyDescent="0.3">
      <c r="A1" s="4" t="s">
        <v>602</v>
      </c>
    </row>
    <row r="2" spans="1:14" x14ac:dyDescent="0.3">
      <c r="A2" s="10" t="str">
        <f>CONCATENATE("Pupil Center Funding Plan | FY",'5.1 Assumption Control YR2'!D5)</f>
        <v>Pupil Center Funding Plan | FY2025</v>
      </c>
    </row>
    <row r="3" spans="1:14" x14ac:dyDescent="0.3">
      <c r="A3" s="10" t="s">
        <v>1289</v>
      </c>
    </row>
    <row r="4" spans="1:14" x14ac:dyDescent="0.3">
      <c r="B4" s="87"/>
    </row>
    <row r="5" spans="1:14" ht="17.25" thickBot="1" x14ac:dyDescent="0.35">
      <c r="C5" s="17" t="s">
        <v>92</v>
      </c>
      <c r="D5" s="17" t="s">
        <v>93</v>
      </c>
      <c r="E5" s="18" t="s">
        <v>94</v>
      </c>
    </row>
    <row r="6" spans="1:14" ht="18" thickTop="1" thickBot="1" x14ac:dyDescent="0.35">
      <c r="B6" s="17" t="s">
        <v>597</v>
      </c>
      <c r="C6" s="50">
        <f>'6.1 Auxiliary Services YR2'!E6</f>
        <v>5524975383.4700003</v>
      </c>
      <c r="D6" s="174">
        <f>J28</f>
        <v>485346698.84000003</v>
      </c>
      <c r="E6" s="52">
        <f>C6-D6</f>
        <v>5039628684.6300001</v>
      </c>
    </row>
    <row r="7" spans="1:14" ht="17.25" thickTop="1" x14ac:dyDescent="0.3">
      <c r="D7" s="18"/>
      <c r="E7" s="18"/>
    </row>
    <row r="8" spans="1:14" ht="105" x14ac:dyDescent="0.3">
      <c r="A8" s="838" t="s">
        <v>87</v>
      </c>
      <c r="B8" s="839"/>
      <c r="C8" s="840" t="s">
        <v>1446</v>
      </c>
      <c r="D8" s="840" t="s">
        <v>1019</v>
      </c>
      <c r="E8" s="840" t="s">
        <v>1020</v>
      </c>
      <c r="F8" s="1479" t="str">
        <f>'2.2 Spec Ed Local YR1'!F8</f>
        <v>Charter School Sponsor Special Education Transfers (SD1951)</v>
      </c>
      <c r="G8" s="840" t="s">
        <v>1018</v>
      </c>
      <c r="H8" s="840" t="s">
        <v>1024</v>
      </c>
      <c r="I8" s="840" t="s">
        <v>1036</v>
      </c>
      <c r="J8" s="841" t="s">
        <v>1447</v>
      </c>
      <c r="L8" s="22"/>
      <c r="M8" s="306" t="s">
        <v>1023</v>
      </c>
    </row>
    <row r="9" spans="1:14" x14ac:dyDescent="0.3">
      <c r="A9" s="301"/>
      <c r="B9" s="723" t="str">
        <f>'5.2 Budgeted Enrollment YR2'!E9</f>
        <v>Carson City</v>
      </c>
      <c r="C9" s="1300">
        <f>'2.2 Spec Ed Local YR1'!C9</f>
        <v>13010124.960000001</v>
      </c>
      <c r="D9" s="1300">
        <f>'2.2 Spec Ed Local YR1'!D9</f>
        <v>0</v>
      </c>
      <c r="E9" s="1300">
        <f>'2.2 Spec Ed Local YR1'!E9</f>
        <v>5101021.96</v>
      </c>
      <c r="F9" s="1300">
        <f>'2.2 Spec Ed Local YR1'!F9</f>
        <v>0</v>
      </c>
      <c r="G9" s="1300">
        <f>'2.2 Spec Ed Local YR1'!G9</f>
        <v>1485504</v>
      </c>
      <c r="H9" s="1300">
        <f>'2.2 Spec Ed Local YR1'!H9</f>
        <v>1485422</v>
      </c>
      <c r="I9" s="1295">
        <f>G9-H9</f>
        <v>82</v>
      </c>
      <c r="J9" s="842">
        <f>C9-D9-E9-F9-G9</f>
        <v>6423599.0000000009</v>
      </c>
      <c r="L9" s="22"/>
      <c r="M9" s="477">
        <v>1165</v>
      </c>
      <c r="N9" s="550">
        <f>J9/M9</f>
        <v>5513.8188841201727</v>
      </c>
    </row>
    <row r="10" spans="1:14" x14ac:dyDescent="0.3">
      <c r="A10" s="301"/>
      <c r="B10" s="211" t="str">
        <f>'5.2 Budgeted Enrollment YR2'!E10</f>
        <v>Churchill</v>
      </c>
      <c r="C10" s="1300">
        <f>'2.2 Spec Ed Local YR1'!C10</f>
        <v>5111599.38</v>
      </c>
      <c r="D10" s="1300">
        <f>'2.2 Spec Ed Local YR1'!D10</f>
        <v>98048</v>
      </c>
      <c r="E10" s="1300">
        <f>'2.2 Spec Ed Local YR1'!E10</f>
        <v>3371237.22</v>
      </c>
      <c r="F10" s="1300">
        <f>'2.2 Spec Ed Local YR1'!F10</f>
        <v>0</v>
      </c>
      <c r="G10" s="1300">
        <f>'2.2 Spec Ed Local YR1'!G10</f>
        <v>3207</v>
      </c>
      <c r="H10" s="1300">
        <f>'2.2 Spec Ed Local YR1'!H10</f>
        <v>8033</v>
      </c>
      <c r="I10" s="1295">
        <f t="shared" ref="I10:I25" si="0">G10-H10</f>
        <v>-4826</v>
      </c>
      <c r="J10" s="842">
        <f t="shared" ref="J10:J27" si="1">C10-D10-E10-F10-G10</f>
        <v>1639107.1599999997</v>
      </c>
      <c r="L10" s="22"/>
      <c r="M10" s="477">
        <v>553</v>
      </c>
      <c r="N10" s="550">
        <f t="shared" ref="N10:N26" si="2">J10/M10</f>
        <v>2964.0274141048817</v>
      </c>
    </row>
    <row r="11" spans="1:14" x14ac:dyDescent="0.3">
      <c r="A11" s="301"/>
      <c r="B11" s="211" t="str">
        <f>'5.2 Budgeted Enrollment YR2'!E11</f>
        <v>Clark</v>
      </c>
      <c r="C11" s="1300">
        <f>'2.2 Spec Ed Local YR1'!C11</f>
        <v>527034587</v>
      </c>
      <c r="D11" s="1300">
        <f>'2.2 Spec Ed Local YR1'!D11</f>
        <v>0</v>
      </c>
      <c r="E11" s="1300">
        <f>'2.2 Spec Ed Local YR1'!E11</f>
        <v>142496449</v>
      </c>
      <c r="F11" s="1300">
        <f>'2.2 Spec Ed Local YR1'!F11</f>
        <v>0</v>
      </c>
      <c r="G11" s="1300">
        <f>'2.2 Spec Ed Local YR1'!G11</f>
        <v>0</v>
      </c>
      <c r="H11" s="1300">
        <f>'2.2 Spec Ed Local YR1'!H11</f>
        <v>0</v>
      </c>
      <c r="I11" s="1295">
        <f t="shared" si="0"/>
        <v>0</v>
      </c>
      <c r="J11" s="842">
        <f t="shared" si="1"/>
        <v>384538138</v>
      </c>
      <c r="K11" s="20"/>
      <c r="L11" s="22"/>
      <c r="M11" s="477">
        <v>41867</v>
      </c>
      <c r="N11" s="550">
        <f t="shared" si="2"/>
        <v>9184.7550099123418</v>
      </c>
    </row>
    <row r="12" spans="1:14" x14ac:dyDescent="0.3">
      <c r="A12" s="301"/>
      <c r="B12" s="211" t="str">
        <f>'5.2 Budgeted Enrollment YR2'!E12</f>
        <v>Douglas</v>
      </c>
      <c r="C12" s="1300">
        <f>'2.2 Spec Ed Local YR1'!C12</f>
        <v>8817844</v>
      </c>
      <c r="D12" s="1300">
        <f>'2.2 Spec Ed Local YR1'!D12</f>
        <v>0</v>
      </c>
      <c r="E12" s="1300">
        <f>'2.2 Spec Ed Local YR1'!E12</f>
        <v>4062193</v>
      </c>
      <c r="F12" s="1300">
        <f>'2.2 Spec Ed Local YR1'!F12</f>
        <v>0</v>
      </c>
      <c r="G12" s="1300">
        <f>'2.2 Spec Ed Local YR1'!G12</f>
        <v>741847</v>
      </c>
      <c r="H12" s="1300">
        <f>'2.2 Spec Ed Local YR1'!H12</f>
        <v>633711</v>
      </c>
      <c r="I12" s="1295">
        <f t="shared" si="0"/>
        <v>108136</v>
      </c>
      <c r="J12" s="842">
        <f t="shared" si="1"/>
        <v>4013804</v>
      </c>
      <c r="L12" s="22"/>
      <c r="M12" s="477">
        <v>803</v>
      </c>
      <c r="N12" s="550">
        <f t="shared" si="2"/>
        <v>4998.5105853051055</v>
      </c>
    </row>
    <row r="13" spans="1:14" x14ac:dyDescent="0.3">
      <c r="A13" s="301"/>
      <c r="B13" s="211" t="str">
        <f>'5.2 Budgeted Enrollment YR2'!E13</f>
        <v>Elko</v>
      </c>
      <c r="C13" s="1300">
        <f>'2.2 Spec Ed Local YR1'!C13</f>
        <v>10349424</v>
      </c>
      <c r="D13" s="1300">
        <f>'2.2 Spec Ed Local YR1'!D13</f>
        <v>83253</v>
      </c>
      <c r="E13" s="1300">
        <f>'2.2 Spec Ed Local YR1'!E13</f>
        <v>4952267</v>
      </c>
      <c r="F13" s="1300">
        <f>'2.2 Spec Ed Local YR1'!F13</f>
        <v>0</v>
      </c>
      <c r="G13" s="1300">
        <f>'2.2 Spec Ed Local YR1'!G13</f>
        <v>260357</v>
      </c>
      <c r="H13" s="1300">
        <f>'2.2 Spec Ed Local YR1'!H13</f>
        <v>545836</v>
      </c>
      <c r="I13" s="1295">
        <f t="shared" si="0"/>
        <v>-285479</v>
      </c>
      <c r="J13" s="842">
        <f t="shared" si="1"/>
        <v>5053547</v>
      </c>
      <c r="L13" s="22"/>
      <c r="M13" s="477">
        <v>1316</v>
      </c>
      <c r="N13" s="550">
        <f t="shared" si="2"/>
        <v>3840.0813069908813</v>
      </c>
    </row>
    <row r="14" spans="1:14" x14ac:dyDescent="0.3">
      <c r="A14" s="301"/>
      <c r="B14" s="211" t="str">
        <f>'5.2 Budgeted Enrollment YR2'!E14</f>
        <v>Esmeralda</v>
      </c>
      <c r="C14" s="1300">
        <f>'2.2 Spec Ed Local YR1'!C14</f>
        <v>129768</v>
      </c>
      <c r="D14" s="1300">
        <f>'2.2 Spec Ed Local YR1'!D14</f>
        <v>0</v>
      </c>
      <c r="E14" s="1300">
        <f>'2.2 Spec Ed Local YR1'!E14</f>
        <v>58786</v>
      </c>
      <c r="F14" s="1300">
        <f>'2.2 Spec Ed Local YR1'!F14</f>
        <v>0</v>
      </c>
      <c r="G14" s="1300">
        <f>'2.2 Spec Ed Local YR1'!G14</f>
        <v>24039</v>
      </c>
      <c r="H14" s="1300">
        <f>'2.2 Spec Ed Local YR1'!H14</f>
        <v>10819</v>
      </c>
      <c r="I14" s="1295">
        <f t="shared" si="0"/>
        <v>13220</v>
      </c>
      <c r="J14" s="842">
        <f t="shared" si="1"/>
        <v>46943</v>
      </c>
      <c r="L14" s="22"/>
      <c r="M14" s="477">
        <v>8</v>
      </c>
      <c r="N14" s="550">
        <f t="shared" si="2"/>
        <v>5867.875</v>
      </c>
    </row>
    <row r="15" spans="1:14" x14ac:dyDescent="0.3">
      <c r="A15" s="301"/>
      <c r="B15" s="211" t="str">
        <f>'5.2 Budgeted Enrollment YR2'!E15</f>
        <v>Eureka</v>
      </c>
      <c r="C15" s="1300">
        <f>'2.2 Spec Ed Local YR1'!C15</f>
        <v>2138116.5</v>
      </c>
      <c r="D15" s="1300">
        <f>'2.2 Spec Ed Local YR1'!D15</f>
        <v>0</v>
      </c>
      <c r="E15" s="1300">
        <f>'2.2 Spec Ed Local YR1'!E15</f>
        <v>278039</v>
      </c>
      <c r="F15" s="1300">
        <f>'2.2 Spec Ed Local YR1'!F15</f>
        <v>0</v>
      </c>
      <c r="G15" s="1300">
        <f>'2.2 Spec Ed Local YR1'!G15</f>
        <v>911116</v>
      </c>
      <c r="H15" s="1300">
        <f>'2.2 Spec Ed Local YR1'!H15</f>
        <v>1406717</v>
      </c>
      <c r="I15" s="1295">
        <f t="shared" si="0"/>
        <v>-495601</v>
      </c>
      <c r="J15" s="842">
        <f t="shared" si="1"/>
        <v>948961.5</v>
      </c>
      <c r="L15" s="22"/>
      <c r="M15" s="477">
        <v>45</v>
      </c>
      <c r="N15" s="550">
        <f t="shared" si="2"/>
        <v>21088.033333333333</v>
      </c>
    </row>
    <row r="16" spans="1:14" x14ac:dyDescent="0.3">
      <c r="A16" s="301"/>
      <c r="B16" s="211" t="str">
        <f>'5.2 Budgeted Enrollment YR2'!E16</f>
        <v>Humboldt</v>
      </c>
      <c r="C16" s="1300">
        <f>'2.2 Spec Ed Local YR1'!C16</f>
        <v>4581282</v>
      </c>
      <c r="D16" s="1300">
        <f>'2.2 Spec Ed Local YR1'!D16</f>
        <v>48124</v>
      </c>
      <c r="E16" s="1300">
        <f>'2.2 Spec Ed Local YR1'!E16</f>
        <v>2174688</v>
      </c>
      <c r="F16" s="1300">
        <f>'2.2 Spec Ed Local YR1'!F16</f>
        <v>0</v>
      </c>
      <c r="G16" s="1300">
        <f>'2.2 Spec Ed Local YR1'!G16</f>
        <v>0</v>
      </c>
      <c r="H16" s="1300">
        <f>'2.2 Spec Ed Local YR1'!H16</f>
        <v>0</v>
      </c>
      <c r="I16" s="1295">
        <f t="shared" si="0"/>
        <v>0</v>
      </c>
      <c r="J16" s="842">
        <f t="shared" si="1"/>
        <v>2358470</v>
      </c>
      <c r="L16" s="22"/>
      <c r="M16" s="477">
        <v>510</v>
      </c>
      <c r="N16" s="550">
        <f t="shared" si="2"/>
        <v>4624.4509803921565</v>
      </c>
    </row>
    <row r="17" spans="1:14" x14ac:dyDescent="0.3">
      <c r="A17" s="301"/>
      <c r="B17" s="211" t="str">
        <f>'5.2 Budgeted Enrollment YR2'!E17</f>
        <v>Lander</v>
      </c>
      <c r="C17" s="1300">
        <f>'2.2 Spec Ed Local YR1'!C17</f>
        <v>1940854</v>
      </c>
      <c r="D17" s="1300">
        <f>'2.2 Spec Ed Local YR1'!D17</f>
        <v>0</v>
      </c>
      <c r="E17" s="1300">
        <f>'2.2 Spec Ed Local YR1'!E17</f>
        <v>717877</v>
      </c>
      <c r="F17" s="1300">
        <f>'2.2 Spec Ed Local YR1'!F17</f>
        <v>0</v>
      </c>
      <c r="G17" s="1300">
        <f>'2.2 Spec Ed Local YR1'!G17</f>
        <v>169982</v>
      </c>
      <c r="H17" s="1300">
        <f>'2.2 Spec Ed Local YR1'!H17</f>
        <v>649034</v>
      </c>
      <c r="I17" s="1295">
        <f t="shared" si="0"/>
        <v>-479052</v>
      </c>
      <c r="J17" s="842">
        <f t="shared" si="1"/>
        <v>1052995</v>
      </c>
      <c r="L17" s="22"/>
      <c r="M17" s="477">
        <v>128</v>
      </c>
      <c r="N17" s="550">
        <f t="shared" si="2"/>
        <v>8226.5234375</v>
      </c>
    </row>
    <row r="18" spans="1:14" x14ac:dyDescent="0.3">
      <c r="A18" s="301"/>
      <c r="B18" s="211" t="str">
        <f>'5.2 Budgeted Enrollment YR2'!E18</f>
        <v>Lincoln</v>
      </c>
      <c r="C18" s="1300">
        <f>'2.2 Spec Ed Local YR1'!C18</f>
        <v>1945092</v>
      </c>
      <c r="D18" s="1300">
        <f>'2.2 Spec Ed Local YR1'!D18</f>
        <v>0</v>
      </c>
      <c r="E18" s="1300">
        <f>'2.2 Spec Ed Local YR1'!E18</f>
        <v>1233363</v>
      </c>
      <c r="F18" s="1300">
        <f>'2.2 Spec Ed Local YR1'!F18</f>
        <v>0</v>
      </c>
      <c r="G18" s="1300">
        <f>'2.2 Spec Ed Local YR1'!G18</f>
        <v>384014</v>
      </c>
      <c r="H18" s="1300">
        <f>'2.2 Spec Ed Local YR1'!H18</f>
        <v>595170</v>
      </c>
      <c r="I18" s="1295">
        <f t="shared" si="0"/>
        <v>-211156</v>
      </c>
      <c r="J18" s="842">
        <f t="shared" si="1"/>
        <v>327715</v>
      </c>
      <c r="L18" s="22"/>
      <c r="M18" s="477">
        <v>154</v>
      </c>
      <c r="N18" s="550">
        <f t="shared" si="2"/>
        <v>2128.0194805194806</v>
      </c>
    </row>
    <row r="19" spans="1:14" x14ac:dyDescent="0.3">
      <c r="A19" s="301"/>
      <c r="B19" s="211" t="str">
        <f>'5.2 Budgeted Enrollment YR2'!E19</f>
        <v>Lyon</v>
      </c>
      <c r="C19" s="1300">
        <f>'2.2 Spec Ed Local YR1'!C19</f>
        <v>14066770</v>
      </c>
      <c r="D19" s="1300">
        <f>'2.2 Spec Ed Local YR1'!D19</f>
        <v>0</v>
      </c>
      <c r="E19" s="1300">
        <f>'2.2 Spec Ed Local YR1'!E19</f>
        <v>4472708</v>
      </c>
      <c r="F19" s="1300">
        <f>'2.2 Spec Ed Local YR1'!F19</f>
        <v>0</v>
      </c>
      <c r="G19" s="1300">
        <f>'2.2 Spec Ed Local YR1'!G19</f>
        <v>11110</v>
      </c>
      <c r="H19" s="1300">
        <f>'2.2 Spec Ed Local YR1'!H19</f>
        <v>840728</v>
      </c>
      <c r="I19" s="1295">
        <f t="shared" si="0"/>
        <v>-829618</v>
      </c>
      <c r="J19" s="842">
        <f t="shared" si="1"/>
        <v>9582952</v>
      </c>
      <c r="L19" s="22"/>
      <c r="M19" s="477">
        <v>1232</v>
      </c>
      <c r="N19" s="550">
        <f t="shared" si="2"/>
        <v>7778.3701298701299</v>
      </c>
    </row>
    <row r="20" spans="1:14" x14ac:dyDescent="0.3">
      <c r="A20" s="301"/>
      <c r="B20" s="211" t="str">
        <f>'5.2 Budgeted Enrollment YR2'!E20</f>
        <v>Mineral</v>
      </c>
      <c r="C20" s="1300">
        <f>'2.2 Spec Ed Local YR1'!C20</f>
        <v>1024271</v>
      </c>
      <c r="D20" s="1300">
        <f>'2.2 Spec Ed Local YR1'!D20</f>
        <v>5393</v>
      </c>
      <c r="E20" s="1300">
        <f>'2.2 Spec Ed Local YR1'!E20</f>
        <v>553455</v>
      </c>
      <c r="F20" s="1300">
        <f>'2.2 Spec Ed Local YR1'!F20</f>
        <v>0</v>
      </c>
      <c r="G20" s="1300">
        <f>'2.2 Spec Ed Local YR1'!G20</f>
        <v>249758</v>
      </c>
      <c r="H20" s="1300">
        <f>'2.2 Spec Ed Local YR1'!H20</f>
        <v>162254</v>
      </c>
      <c r="I20" s="1295">
        <f>G20-H20</f>
        <v>87504</v>
      </c>
      <c r="J20" s="842">
        <f t="shared" si="1"/>
        <v>215665</v>
      </c>
      <c r="L20" s="22"/>
      <c r="M20" s="477">
        <v>86</v>
      </c>
      <c r="N20" s="550">
        <f t="shared" si="2"/>
        <v>2507.7325581395348</v>
      </c>
    </row>
    <row r="21" spans="1:14" x14ac:dyDescent="0.3">
      <c r="A21" s="301"/>
      <c r="B21" s="211" t="str">
        <f>'5.2 Budgeted Enrollment YR2'!E21</f>
        <v>Nye</v>
      </c>
      <c r="C21" s="1300">
        <f>'2.2 Spec Ed Local YR1'!C21</f>
        <v>12034460</v>
      </c>
      <c r="D21" s="1300">
        <f>'2.2 Spec Ed Local YR1'!D21</f>
        <v>33309</v>
      </c>
      <c r="E21" s="1300">
        <f>'2.2 Spec Ed Local YR1'!E21</f>
        <v>3686207</v>
      </c>
      <c r="F21" s="1300">
        <f>'2.2 Spec Ed Local YR1'!F21</f>
        <v>0</v>
      </c>
      <c r="G21" s="1300">
        <f>'2.2 Spec Ed Local YR1'!G21</f>
        <v>0</v>
      </c>
      <c r="H21" s="1300">
        <f>'2.2 Spec Ed Local YR1'!H21</f>
        <v>0</v>
      </c>
      <c r="I21" s="1295">
        <f t="shared" si="0"/>
        <v>0</v>
      </c>
      <c r="J21" s="842">
        <f t="shared" si="1"/>
        <v>8314944</v>
      </c>
      <c r="L21" s="22"/>
      <c r="M21" s="477">
        <v>793</v>
      </c>
      <c r="N21" s="550">
        <f t="shared" si="2"/>
        <v>10485.427490542244</v>
      </c>
    </row>
    <row r="22" spans="1:14" x14ac:dyDescent="0.3">
      <c r="A22" s="301"/>
      <c r="B22" s="211" t="str">
        <f>'5.2 Budgeted Enrollment YR2'!E22</f>
        <v>Pershing</v>
      </c>
      <c r="C22" s="1300">
        <f>'2.2 Spec Ed Local YR1'!C22</f>
        <v>1416111</v>
      </c>
      <c r="D22" s="1300">
        <f>'2.2 Spec Ed Local YR1'!D22</f>
        <v>0</v>
      </c>
      <c r="E22" s="1300">
        <f>'2.2 Spec Ed Local YR1'!E22</f>
        <v>952073</v>
      </c>
      <c r="F22" s="1300">
        <f>'2.2 Spec Ed Local YR1'!F22</f>
        <v>0</v>
      </c>
      <c r="G22" s="1300">
        <f>'2.2 Spec Ed Local YR1'!G22</f>
        <v>7223</v>
      </c>
      <c r="H22" s="1300">
        <f>'2.2 Spec Ed Local YR1'!H22</f>
        <v>385669</v>
      </c>
      <c r="I22" s="1295">
        <f t="shared" si="0"/>
        <v>-378446</v>
      </c>
      <c r="J22" s="842">
        <f t="shared" si="1"/>
        <v>456815</v>
      </c>
      <c r="L22" s="22"/>
      <c r="M22" s="477">
        <v>125</v>
      </c>
      <c r="N22" s="550">
        <f t="shared" si="2"/>
        <v>3654.52</v>
      </c>
    </row>
    <row r="23" spans="1:14" x14ac:dyDescent="0.3">
      <c r="A23" s="301"/>
      <c r="B23" s="211" t="str">
        <f>'5.2 Budgeted Enrollment YR2'!E23</f>
        <v>Storey</v>
      </c>
      <c r="C23" s="1300">
        <f>'2.2 Spec Ed Local YR1'!C23</f>
        <v>523001</v>
      </c>
      <c r="D23" s="1300">
        <f>'2.2 Spec Ed Local YR1'!D23</f>
        <v>0</v>
      </c>
      <c r="E23" s="1300">
        <f>'2.2 Spec Ed Local YR1'!E23</f>
        <v>468334</v>
      </c>
      <c r="F23" s="1300">
        <f>'2.2 Spec Ed Local YR1'!F23</f>
        <v>0</v>
      </c>
      <c r="G23" s="1300">
        <f>'2.2 Spec Ed Local YR1'!G23</f>
        <v>0</v>
      </c>
      <c r="H23" s="1300">
        <f>'2.2 Spec Ed Local YR1'!H23</f>
        <v>84868</v>
      </c>
      <c r="I23" s="1295">
        <f t="shared" si="0"/>
        <v>-84868</v>
      </c>
      <c r="J23" s="842">
        <f t="shared" si="1"/>
        <v>54667</v>
      </c>
      <c r="L23" s="22"/>
      <c r="M23" s="477">
        <v>53</v>
      </c>
      <c r="N23" s="550">
        <f t="shared" si="2"/>
        <v>1031.4528301886792</v>
      </c>
    </row>
    <row r="24" spans="1:14" x14ac:dyDescent="0.3">
      <c r="A24" s="301"/>
      <c r="B24" s="211" t="str">
        <f>'5.2 Budgeted Enrollment YR2'!E24</f>
        <v>Washoe</v>
      </c>
      <c r="C24" s="1300">
        <f>'2.2 Spec Ed Local YR1'!C24</f>
        <v>80031210</v>
      </c>
      <c r="D24" s="1300">
        <f>'2.2 Spec Ed Local YR1'!D24</f>
        <v>0</v>
      </c>
      <c r="E24" s="1300">
        <f>'2.2 Spec Ed Local YR1'!E24</f>
        <v>35095900</v>
      </c>
      <c r="F24" s="1300">
        <f>'2.2 Spec Ed Local YR1'!F24</f>
        <v>0</v>
      </c>
      <c r="G24" s="1300">
        <f>'2.2 Spec Ed Local YR1'!G24</f>
        <v>0</v>
      </c>
      <c r="H24" s="1300">
        <f>'2.2 Spec Ed Local YR1'!H24</f>
        <v>0</v>
      </c>
      <c r="I24" s="1295">
        <f t="shared" si="0"/>
        <v>0</v>
      </c>
      <c r="J24" s="842">
        <f t="shared" si="1"/>
        <v>44935310</v>
      </c>
      <c r="K24" s="20"/>
      <c r="L24" s="22"/>
      <c r="M24" s="477">
        <v>9345</v>
      </c>
      <c r="N24" s="550">
        <f t="shared" si="2"/>
        <v>4808.4868913857681</v>
      </c>
    </row>
    <row r="25" spans="1:14" x14ac:dyDescent="0.3">
      <c r="A25" s="301"/>
      <c r="B25" s="211" t="str">
        <f>'5.2 Budgeted Enrollment YR2'!E25</f>
        <v>White Pine</v>
      </c>
      <c r="C25" s="1300">
        <f>'2.2 Spec Ed Local YR1'!C25</f>
        <v>1929886</v>
      </c>
      <c r="D25" s="1300">
        <f>'2.2 Spec Ed Local YR1'!D25</f>
        <v>0</v>
      </c>
      <c r="E25" s="1300">
        <f>'2.2 Spec Ed Local YR1'!E25</f>
        <v>1330270</v>
      </c>
      <c r="F25" s="1300">
        <f>'2.2 Spec Ed Local YR1'!F25</f>
        <v>0</v>
      </c>
      <c r="G25" s="1300">
        <f>'2.2 Spec Ed Local YR1'!G25</f>
        <v>0</v>
      </c>
      <c r="H25" s="1300">
        <f>'2.2 Spec Ed Local YR1'!H25</f>
        <v>0</v>
      </c>
      <c r="I25" s="1295">
        <f t="shared" si="0"/>
        <v>0</v>
      </c>
      <c r="J25" s="842">
        <f t="shared" si="1"/>
        <v>599616</v>
      </c>
      <c r="L25" s="22"/>
      <c r="M25" s="477">
        <v>202</v>
      </c>
      <c r="N25" s="550">
        <f t="shared" si="2"/>
        <v>2968.3960396039606</v>
      </c>
    </row>
    <row r="26" spans="1:14" x14ac:dyDescent="0.3">
      <c r="A26" s="301"/>
      <c r="B26" s="211" t="str">
        <f>'5.2 Budgeted Enrollment YR2'!E26</f>
        <v>Charter Schools (Combined)</v>
      </c>
      <c r="C26" s="1300">
        <f t="shared" ref="C26:H26" si="3">C90</f>
        <v>32033643.18</v>
      </c>
      <c r="D26" s="1300">
        <f t="shared" si="3"/>
        <v>648079</v>
      </c>
      <c r="E26" s="1300">
        <f t="shared" si="3"/>
        <v>14064586</v>
      </c>
      <c r="F26" s="1300">
        <f t="shared" si="3"/>
        <v>2506754</v>
      </c>
      <c r="G26" s="1300">
        <f t="shared" si="3"/>
        <v>30774</v>
      </c>
      <c r="H26" s="1300">
        <f t="shared" si="3"/>
        <v>352903</v>
      </c>
      <c r="I26" s="1295">
        <f>G26-H26</f>
        <v>-322129</v>
      </c>
      <c r="J26" s="842">
        <f t="shared" si="1"/>
        <v>14783450.18</v>
      </c>
      <c r="L26" s="22"/>
      <c r="M26" s="478">
        <v>4653</v>
      </c>
      <c r="N26" s="577">
        <f t="shared" si="2"/>
        <v>3177.1867999140341</v>
      </c>
    </row>
    <row r="27" spans="1:14" x14ac:dyDescent="0.3">
      <c r="A27" s="843"/>
      <c r="B27" s="722" t="str">
        <f>'5.2 Budgeted Enrollment YR2'!E27</f>
        <v>University Schools</v>
      </c>
      <c r="C27" s="1301">
        <f t="shared" ref="C27:H27" si="4">C95</f>
        <v>7389</v>
      </c>
      <c r="D27" s="1301">
        <f t="shared" si="4"/>
        <v>0</v>
      </c>
      <c r="E27" s="1301">
        <f t="shared" si="4"/>
        <v>7389</v>
      </c>
      <c r="F27" s="1301">
        <f t="shared" si="4"/>
        <v>0</v>
      </c>
      <c r="G27" s="1301">
        <f t="shared" si="4"/>
        <v>0</v>
      </c>
      <c r="H27" s="1301">
        <f t="shared" si="4"/>
        <v>0</v>
      </c>
      <c r="I27" s="1299">
        <f>G27-H27</f>
        <v>0</v>
      </c>
      <c r="J27" s="842">
        <f t="shared" si="1"/>
        <v>0</v>
      </c>
      <c r="L27" s="22"/>
      <c r="M27" s="719"/>
      <c r="N27" s="570"/>
    </row>
    <row r="28" spans="1:14" x14ac:dyDescent="0.3">
      <c r="A28" s="910"/>
      <c r="B28" s="839"/>
      <c r="C28" s="911">
        <f>SUM(C9:C27)</f>
        <v>718125433.01999998</v>
      </c>
      <c r="D28" s="911">
        <f t="shared" ref="D28:I28" si="5">SUM(D9:D27)</f>
        <v>916206</v>
      </c>
      <c r="E28" s="911">
        <f t="shared" si="5"/>
        <v>225076843.18000001</v>
      </c>
      <c r="F28" s="911">
        <f t="shared" si="5"/>
        <v>2506754</v>
      </c>
      <c r="G28" s="911">
        <f t="shared" si="5"/>
        <v>4278931</v>
      </c>
      <c r="H28" s="911">
        <f t="shared" si="5"/>
        <v>7161164</v>
      </c>
      <c r="I28" s="911">
        <f t="shared" si="5"/>
        <v>-2882233</v>
      </c>
      <c r="J28" s="913">
        <f>SUM(J9:J27)</f>
        <v>485346698.84000003</v>
      </c>
      <c r="M28" s="588">
        <f>SUM(M9:M26)</f>
        <v>63038</v>
      </c>
      <c r="N28" s="550">
        <f>J28/M28</f>
        <v>7699.2718493607035</v>
      </c>
    </row>
    <row r="29" spans="1:14" x14ac:dyDescent="0.3">
      <c r="A29" s="908" t="s">
        <v>84</v>
      </c>
      <c r="B29"/>
      <c r="C29" s="311"/>
      <c r="D29" s="311"/>
      <c r="E29" s="311"/>
      <c r="F29" s="311"/>
      <c r="G29" s="311"/>
      <c r="H29" s="311"/>
      <c r="I29" s="311"/>
      <c r="J29" s="909">
        <f>J28-'2.2 Spec Ed Local YR1'!J28</f>
        <v>0</v>
      </c>
    </row>
    <row r="30" spans="1:14" x14ac:dyDescent="0.3">
      <c r="A30" s="301"/>
      <c r="B30" t="str">
        <f>'5.2 Budgeted Enrollment YR2'!E32</f>
        <v>100 Academy Of Excellence</v>
      </c>
      <c r="C30" s="1300">
        <f>'2.2 Spec Ed Local YR1'!C30</f>
        <v>358092</v>
      </c>
      <c r="D30" s="1300">
        <f>'2.2 Spec Ed Local YR1'!D30</f>
        <v>228128</v>
      </c>
      <c r="E30" s="1300">
        <f>'2.2 Spec Ed Local YR1'!E30</f>
        <v>0</v>
      </c>
      <c r="F30" s="1300">
        <f>'2.2 Spec Ed Local YR1'!F30</f>
        <v>0</v>
      </c>
      <c r="G30" s="1300">
        <f>'2.2 Spec Ed Local YR1'!G30</f>
        <v>0</v>
      </c>
      <c r="H30" s="1300">
        <f>'2.2 Spec Ed Local YR1'!H30</f>
        <v>129964</v>
      </c>
      <c r="I30" s="1295">
        <f>G30-H30</f>
        <v>-129964</v>
      </c>
      <c r="J30" s="842">
        <f>C30-D30-E30-F30-G30</f>
        <v>129964</v>
      </c>
    </row>
    <row r="31" spans="1:14" x14ac:dyDescent="0.3">
      <c r="A31" s="301"/>
      <c r="B31" t="str">
        <f>'5.2 Budgeted Enrollment YR2'!E33</f>
        <v>Academy For Career Education</v>
      </c>
      <c r="C31" s="1300">
        <f>'2.2 Spec Ed Local YR1'!C31</f>
        <v>199617</v>
      </c>
      <c r="D31" s="1300">
        <f>'2.2 Spec Ed Local YR1'!D31</f>
        <v>0</v>
      </c>
      <c r="E31" s="1300">
        <f>'2.2 Spec Ed Local YR1'!E31</f>
        <v>0</v>
      </c>
      <c r="F31" s="1300">
        <f>'2.2 Spec Ed Local YR1'!F31</f>
        <v>104422</v>
      </c>
      <c r="G31" s="1300">
        <f>'2.2 Spec Ed Local YR1'!G31</f>
        <v>0</v>
      </c>
      <c r="H31" s="1300">
        <f>'2.2 Spec Ed Local YR1'!H31</f>
        <v>0</v>
      </c>
      <c r="I31" s="1295">
        <f t="shared" ref="I31:I88" si="6">G31-H31</f>
        <v>0</v>
      </c>
      <c r="J31" s="842">
        <f>C31-D31-E31-F31-G31</f>
        <v>95195</v>
      </c>
    </row>
    <row r="32" spans="1:14" x14ac:dyDescent="0.3">
      <c r="A32" s="301"/>
      <c r="B32" t="str">
        <f>'5.2 Budgeted Enrollment YR2'!E34</f>
        <v xml:space="preserve">Alpine Academy </v>
      </c>
      <c r="C32" s="1300">
        <f>'2.2 Spec Ed Local YR1'!C32</f>
        <v>162601</v>
      </c>
      <c r="D32" s="1300">
        <f>'2.2 Spec Ed Local YR1'!D32</f>
        <v>0</v>
      </c>
      <c r="E32" s="1300">
        <f>'2.2 Spec Ed Local YR1'!E32</f>
        <v>52352</v>
      </c>
      <c r="F32" s="1300">
        <f>'2.2 Spec Ed Local YR1'!F32</f>
        <v>0</v>
      </c>
      <c r="G32" s="1300">
        <f>'2.2 Spec Ed Local YR1'!G32</f>
        <v>30774</v>
      </c>
      <c r="H32" s="1300">
        <f>'2.2 Spec Ed Local YR1'!H32</f>
        <v>61672</v>
      </c>
      <c r="I32" s="1295">
        <f t="shared" si="6"/>
        <v>-30898</v>
      </c>
      <c r="J32" s="842">
        <f t="shared" ref="J32:J89" si="7">C32-D32-E32-F32-G32</f>
        <v>79475</v>
      </c>
    </row>
    <row r="33" spans="1:10" x14ac:dyDescent="0.3">
      <c r="A33" s="301"/>
      <c r="B33" t="str">
        <f>'5.2 Budgeted Enrollment YR2'!E35</f>
        <v xml:space="preserve">Amplus (Formerly American Preparatory Academy) </v>
      </c>
      <c r="C33" s="1300">
        <f>'2.2 Spec Ed Local YR1'!C33</f>
        <v>321164</v>
      </c>
      <c r="D33" s="1300">
        <f>'2.2 Spec Ed Local YR1'!D33</f>
        <v>0</v>
      </c>
      <c r="E33" s="1300">
        <f>'2.2 Spec Ed Local YR1'!E33</f>
        <v>297580</v>
      </c>
      <c r="F33" s="1300">
        <f>'2.2 Spec Ed Local YR1'!F33</f>
        <v>0</v>
      </c>
      <c r="G33" s="1300">
        <f>'2.2 Spec Ed Local YR1'!G33</f>
        <v>0</v>
      </c>
      <c r="H33" s="1300">
        <f>'2.2 Spec Ed Local YR1'!H33</f>
        <v>0</v>
      </c>
      <c r="I33" s="1295">
        <f t="shared" si="6"/>
        <v>0</v>
      </c>
      <c r="J33" s="842">
        <f t="shared" si="7"/>
        <v>23584</v>
      </c>
    </row>
    <row r="34" spans="1:10" x14ac:dyDescent="0.3">
      <c r="A34" s="301"/>
      <c r="B34" t="str">
        <f>'5.2 Budgeted Enrollment YR2'!E36</f>
        <v>Bailey Charter School</v>
      </c>
      <c r="C34" s="1300">
        <f>'2.2 Spec Ed Local YR1'!C34</f>
        <v>137829</v>
      </c>
      <c r="D34" s="1300">
        <f>'2.2 Spec Ed Local YR1'!D34</f>
        <v>0</v>
      </c>
      <c r="E34" s="1300">
        <f>'2.2 Spec Ed Local YR1'!E34</f>
        <v>0</v>
      </c>
      <c r="F34" s="1300">
        <f>'2.2 Spec Ed Local YR1'!F34</f>
        <v>70060</v>
      </c>
      <c r="G34" s="1300">
        <f>'2.2 Spec Ed Local YR1'!G34</f>
        <v>0</v>
      </c>
      <c r="H34" s="1300">
        <f>'2.2 Spec Ed Local YR1'!H34</f>
        <v>0</v>
      </c>
      <c r="I34" s="1295">
        <f t="shared" si="6"/>
        <v>0</v>
      </c>
      <c r="J34" s="842">
        <f t="shared" si="7"/>
        <v>67769</v>
      </c>
    </row>
    <row r="35" spans="1:10" x14ac:dyDescent="0.3">
      <c r="A35" s="301"/>
      <c r="B35" t="str">
        <f>'5.2 Budgeted Enrollment YR2'!E37</f>
        <v>Battle Born Academy</v>
      </c>
      <c r="C35" s="1300">
        <f>'2.2 Spec Ed Local YR1'!C35</f>
        <v>0</v>
      </c>
      <c r="D35" s="1300">
        <f>'2.2 Spec Ed Local YR1'!D35</f>
        <v>0</v>
      </c>
      <c r="E35" s="1300">
        <f>'2.2 Spec Ed Local YR1'!E35</f>
        <v>0</v>
      </c>
      <c r="F35" s="1300">
        <f>'2.2 Spec Ed Local YR1'!F35</f>
        <v>0</v>
      </c>
      <c r="G35" s="1300">
        <f>'2.2 Spec Ed Local YR1'!G35</f>
        <v>0</v>
      </c>
      <c r="H35" s="1300">
        <f>'2.2 Spec Ed Local YR1'!H35</f>
        <v>0</v>
      </c>
      <c r="I35" s="1295">
        <f t="shared" si="6"/>
        <v>0</v>
      </c>
      <c r="J35" s="842">
        <f t="shared" si="7"/>
        <v>0</v>
      </c>
    </row>
    <row r="36" spans="1:10" x14ac:dyDescent="0.3">
      <c r="A36" s="301"/>
      <c r="B36" t="str">
        <f>'5.2 Budgeted Enrollment YR2'!E38</f>
        <v>Beacon Academy</v>
      </c>
      <c r="C36" s="1300">
        <f>'2.2 Spec Ed Local YR1'!C36</f>
        <v>537617</v>
      </c>
      <c r="D36" s="1300">
        <f>'2.2 Spec Ed Local YR1'!D36</f>
        <v>0</v>
      </c>
      <c r="E36" s="1300">
        <f>'2.2 Spec Ed Local YR1'!E36</f>
        <v>261760</v>
      </c>
      <c r="F36" s="1300">
        <f>'2.2 Spec Ed Local YR1'!F36</f>
        <v>0</v>
      </c>
      <c r="G36" s="1300">
        <f>'2.2 Spec Ed Local YR1'!G36</f>
        <v>0</v>
      </c>
      <c r="H36" s="1300">
        <f>'2.2 Spec Ed Local YR1'!H36</f>
        <v>0</v>
      </c>
      <c r="I36" s="1295">
        <f t="shared" si="6"/>
        <v>0</v>
      </c>
      <c r="J36" s="842">
        <f t="shared" si="7"/>
        <v>275857</v>
      </c>
    </row>
    <row r="37" spans="1:10" x14ac:dyDescent="0.3">
      <c r="A37" s="301"/>
      <c r="B37" t="str">
        <f>'5.2 Budgeted Enrollment YR2'!E39</f>
        <v>Cactus Park</v>
      </c>
      <c r="C37" s="1300">
        <f>'2.2 Spec Ed Local YR1'!C37</f>
        <v>0</v>
      </c>
      <c r="D37" s="1300">
        <f>'2.2 Spec Ed Local YR1'!D37</f>
        <v>0</v>
      </c>
      <c r="E37" s="1300">
        <f>'2.2 Spec Ed Local YR1'!E37</f>
        <v>0</v>
      </c>
      <c r="F37" s="1300">
        <f>'2.2 Spec Ed Local YR1'!F37</f>
        <v>0</v>
      </c>
      <c r="G37" s="1300">
        <f>'2.2 Spec Ed Local YR1'!G37</f>
        <v>0</v>
      </c>
      <c r="H37" s="1300">
        <f>'2.2 Spec Ed Local YR1'!H37</f>
        <v>0</v>
      </c>
      <c r="I37" s="1295">
        <f t="shared" si="6"/>
        <v>0</v>
      </c>
      <c r="J37" s="842">
        <f t="shared" si="7"/>
        <v>0</v>
      </c>
    </row>
    <row r="38" spans="1:10" x14ac:dyDescent="0.3">
      <c r="A38" s="301"/>
      <c r="B38" t="str">
        <f>'5.2 Budgeted Enrollment YR2'!E40</f>
        <v>Carson Montessori</v>
      </c>
      <c r="C38" s="1300">
        <f>'2.2 Spec Ed Local YR1'!C38</f>
        <v>144597</v>
      </c>
      <c r="D38" s="1300">
        <f>'2.2 Spec Ed Local YR1'!D38</f>
        <v>0</v>
      </c>
      <c r="E38" s="1300">
        <f>'2.2 Spec Ed Local YR1'!E38</f>
        <v>0</v>
      </c>
      <c r="F38" s="1300">
        <f>'2.2 Spec Ed Local YR1'!F38</f>
        <v>0</v>
      </c>
      <c r="G38" s="1300">
        <f>'2.2 Spec Ed Local YR1'!G38</f>
        <v>0</v>
      </c>
      <c r="H38" s="1300">
        <f>'2.2 Spec Ed Local YR1'!H38</f>
        <v>36703</v>
      </c>
      <c r="I38" s="1295">
        <f t="shared" si="6"/>
        <v>-36703</v>
      </c>
      <c r="J38" s="842">
        <f t="shared" si="7"/>
        <v>144597</v>
      </c>
    </row>
    <row r="39" spans="1:10" x14ac:dyDescent="0.3">
      <c r="A39" s="301"/>
      <c r="B39" t="str">
        <f>'5.2 Budgeted Enrollment YR2'!E41</f>
        <v>CIVICA Nevada Career &amp; Collegiate Academy</v>
      </c>
      <c r="C39" s="1300">
        <f>'2.2 Spec Ed Local YR1'!C39</f>
        <v>258073</v>
      </c>
      <c r="D39" s="1300">
        <f>'2.2 Spec Ed Local YR1'!D39</f>
        <v>0</v>
      </c>
      <c r="E39" s="1300">
        <f>'2.2 Spec Ed Local YR1'!E39</f>
        <v>0</v>
      </c>
      <c r="F39" s="1300">
        <f>'2.2 Spec Ed Local YR1'!F39</f>
        <v>0</v>
      </c>
      <c r="G39" s="1300">
        <f>'2.2 Spec Ed Local YR1'!G39</f>
        <v>0</v>
      </c>
      <c r="H39" s="1300">
        <f>'2.2 Spec Ed Local YR1'!H39</f>
        <v>0</v>
      </c>
      <c r="I39" s="1295">
        <f t="shared" si="6"/>
        <v>0</v>
      </c>
      <c r="J39" s="842">
        <f t="shared" si="7"/>
        <v>258073</v>
      </c>
    </row>
    <row r="40" spans="1:10" x14ac:dyDescent="0.3">
      <c r="A40" s="301"/>
      <c r="B40" t="str">
        <f>'5.2 Budgeted Enrollment YR2'!E42</f>
        <v>Coral Academy of Science Las Vegas</v>
      </c>
      <c r="C40" s="1300">
        <f>'2.2 Spec Ed Local YR1'!C40</f>
        <v>1327304</v>
      </c>
      <c r="D40" s="1300">
        <f>'2.2 Spec Ed Local YR1'!D40</f>
        <v>0</v>
      </c>
      <c r="E40" s="1300">
        <f>'2.2 Spec Ed Local YR1'!E40</f>
        <v>705379</v>
      </c>
      <c r="F40" s="1300">
        <f>'2.2 Spec Ed Local YR1'!F40</f>
        <v>0</v>
      </c>
      <c r="G40" s="1300">
        <f>'2.2 Spec Ed Local YR1'!G40</f>
        <v>0</v>
      </c>
      <c r="H40" s="1300">
        <f>'2.2 Spec Ed Local YR1'!H40</f>
        <v>0</v>
      </c>
      <c r="I40" s="1295">
        <f t="shared" si="6"/>
        <v>0</v>
      </c>
      <c r="J40" s="842">
        <f t="shared" si="7"/>
        <v>621925</v>
      </c>
    </row>
    <row r="41" spans="1:10" x14ac:dyDescent="0.3">
      <c r="A41" s="301"/>
      <c r="B41" t="str">
        <f>'5.2 Budgeted Enrollment YR2'!E43</f>
        <v>Coral Academy Washoe</v>
      </c>
      <c r="C41" s="1300">
        <f>'2.2 Spec Ed Local YR1'!C41</f>
        <v>461536</v>
      </c>
      <c r="D41" s="1300">
        <f>'2.2 Spec Ed Local YR1'!D41</f>
        <v>0</v>
      </c>
      <c r="E41" s="1300">
        <f>'2.2 Spec Ed Local YR1'!E41</f>
        <v>0</v>
      </c>
      <c r="F41" s="1300">
        <f>'2.2 Spec Ed Local YR1'!F41</f>
        <v>231472</v>
      </c>
      <c r="G41" s="1300">
        <f>'2.2 Spec Ed Local YR1'!G41</f>
        <v>0</v>
      </c>
      <c r="H41" s="1300">
        <f>'2.2 Spec Ed Local YR1'!H41</f>
        <v>92392</v>
      </c>
      <c r="I41" s="1295">
        <f t="shared" si="6"/>
        <v>-92392</v>
      </c>
      <c r="J41" s="842">
        <f t="shared" si="7"/>
        <v>230064</v>
      </c>
    </row>
    <row r="42" spans="1:10" x14ac:dyDescent="0.3">
      <c r="A42" s="301"/>
      <c r="B42" t="str">
        <f>'5.2 Budgeted Enrollment YR2'!E44</f>
        <v>Delta Academy</v>
      </c>
      <c r="C42" s="1300">
        <f>'2.2 Spec Ed Local YR1'!C42</f>
        <v>697270</v>
      </c>
      <c r="D42" s="1300">
        <f>'2.2 Spec Ed Local YR1'!D42</f>
        <v>0</v>
      </c>
      <c r="E42" s="1300">
        <f>'2.2 Spec Ed Local YR1'!E42</f>
        <v>0</v>
      </c>
      <c r="F42" s="1300">
        <f>'2.2 Spec Ed Local YR1'!F42</f>
        <v>381829</v>
      </c>
      <c r="G42" s="1300">
        <f>'2.2 Spec Ed Local YR1'!G42</f>
        <v>0</v>
      </c>
      <c r="H42" s="1300">
        <f>'2.2 Spec Ed Local YR1'!H42</f>
        <v>0</v>
      </c>
      <c r="I42" s="1295">
        <f t="shared" si="6"/>
        <v>0</v>
      </c>
      <c r="J42" s="842">
        <f t="shared" si="7"/>
        <v>315441</v>
      </c>
    </row>
    <row r="43" spans="1:10" x14ac:dyDescent="0.3">
      <c r="A43" s="301"/>
      <c r="B43" t="str">
        <f>'5.2 Budgeted Enrollment YR2'!E45</f>
        <v>Democracy Prep</v>
      </c>
      <c r="C43" s="1300">
        <f>'2.2 Spec Ed Local YR1'!C43</f>
        <v>281050</v>
      </c>
      <c r="D43" s="1300">
        <f>'2.2 Spec Ed Local YR1'!D43</f>
        <v>0</v>
      </c>
      <c r="E43" s="1300">
        <f>'2.2 Spec Ed Local YR1'!E43</f>
        <v>281050</v>
      </c>
      <c r="F43" s="1300">
        <f>'2.2 Spec Ed Local YR1'!F43</f>
        <v>0</v>
      </c>
      <c r="G43" s="1300">
        <f>'2.2 Spec Ed Local YR1'!G43</f>
        <v>0</v>
      </c>
      <c r="H43" s="1300">
        <f>'2.2 Spec Ed Local YR1'!H43</f>
        <v>0</v>
      </c>
      <c r="I43" s="1295">
        <f t="shared" si="6"/>
        <v>0</v>
      </c>
      <c r="J43" s="842">
        <f t="shared" si="7"/>
        <v>0</v>
      </c>
    </row>
    <row r="44" spans="1:10" x14ac:dyDescent="0.3">
      <c r="A44" s="301"/>
      <c r="B44" t="str">
        <f>'5.2 Budgeted Enrollment YR2'!E46</f>
        <v>Discovery Charter</v>
      </c>
      <c r="C44" s="1300">
        <f>'2.2 Spec Ed Local YR1'!C44</f>
        <v>128472</v>
      </c>
      <c r="D44" s="1300">
        <f>'2.2 Spec Ed Local YR1'!D44</f>
        <v>27316</v>
      </c>
      <c r="E44" s="1300">
        <f>'2.2 Spec Ed Local YR1'!E44</f>
        <v>82661</v>
      </c>
      <c r="F44" s="1300">
        <f>'2.2 Spec Ed Local YR1'!F44</f>
        <v>0</v>
      </c>
      <c r="G44" s="1300">
        <f>'2.2 Spec Ed Local YR1'!G44</f>
        <v>0</v>
      </c>
      <c r="H44" s="1300">
        <f>'2.2 Spec Ed Local YR1'!H44</f>
        <v>0</v>
      </c>
      <c r="I44" s="1295">
        <f t="shared" si="6"/>
        <v>0</v>
      </c>
      <c r="J44" s="842">
        <f t="shared" si="7"/>
        <v>18495</v>
      </c>
    </row>
    <row r="45" spans="1:10" x14ac:dyDescent="0.3">
      <c r="A45" s="301"/>
      <c r="B45" t="str">
        <f>'5.2 Budgeted Enrollment YR2'!E47</f>
        <v>Doral Academy</v>
      </c>
      <c r="C45" s="1300">
        <f>'2.2 Spec Ed Local YR1'!C45</f>
        <v>3526402</v>
      </c>
      <c r="D45" s="1300">
        <f>'2.2 Spec Ed Local YR1'!D45</f>
        <v>0</v>
      </c>
      <c r="E45" s="1300">
        <f>'2.2 Spec Ed Local YR1'!E45</f>
        <v>1578837</v>
      </c>
      <c r="F45" s="1300">
        <f>'2.2 Spec Ed Local YR1'!F45</f>
        <v>0</v>
      </c>
      <c r="G45" s="1300">
        <f>'2.2 Spec Ed Local YR1'!G45</f>
        <v>0</v>
      </c>
      <c r="H45" s="1300">
        <f>'2.2 Spec Ed Local YR1'!H45</f>
        <v>0</v>
      </c>
      <c r="I45" s="1295">
        <f t="shared" si="6"/>
        <v>0</v>
      </c>
      <c r="J45" s="842">
        <f t="shared" si="7"/>
        <v>1947565</v>
      </c>
    </row>
    <row r="46" spans="1:10" x14ac:dyDescent="0.3">
      <c r="A46" s="301"/>
      <c r="B46" t="str">
        <f>'5.2 Budgeted Enrollment YR2'!E48</f>
        <v>Doral Academy of Northern Nevada</v>
      </c>
      <c r="C46" s="1300">
        <f>'2.2 Spec Ed Local YR1'!C46</f>
        <v>360732</v>
      </c>
      <c r="D46" s="1300">
        <f>'2.2 Spec Ed Local YR1'!D46</f>
        <v>0</v>
      </c>
      <c r="E46" s="1300">
        <f>'2.2 Spec Ed Local YR1'!E46</f>
        <v>275539</v>
      </c>
      <c r="F46" s="1300">
        <f>'2.2 Spec Ed Local YR1'!F46</f>
        <v>0</v>
      </c>
      <c r="G46" s="1300">
        <f>'2.2 Spec Ed Local YR1'!G46</f>
        <v>0</v>
      </c>
      <c r="H46" s="1300">
        <f>'2.2 Spec Ed Local YR1'!H46</f>
        <v>0</v>
      </c>
      <c r="I46" s="1295">
        <f t="shared" si="6"/>
        <v>0</v>
      </c>
      <c r="J46" s="842">
        <f t="shared" si="7"/>
        <v>85193</v>
      </c>
    </row>
    <row r="47" spans="1:10" x14ac:dyDescent="0.3">
      <c r="A47" s="301"/>
      <c r="B47" t="str">
        <f>'5.2 Budgeted Enrollment YR2'!E49</f>
        <v>Eagle Charter School</v>
      </c>
      <c r="C47" s="1300">
        <f>'2.2 Spec Ed Local YR1'!C47</f>
        <v>0</v>
      </c>
      <c r="D47" s="1300">
        <f>'2.2 Spec Ed Local YR1'!D47</f>
        <v>0</v>
      </c>
      <c r="E47" s="1300">
        <f>'2.2 Spec Ed Local YR1'!E47</f>
        <v>0</v>
      </c>
      <c r="F47" s="1300">
        <f>'2.2 Spec Ed Local YR1'!F47</f>
        <v>0</v>
      </c>
      <c r="G47" s="1300">
        <f>'2.2 Spec Ed Local YR1'!G47</f>
        <v>0</v>
      </c>
      <c r="H47" s="1300">
        <f>'2.2 Spec Ed Local YR1'!H47</f>
        <v>0</v>
      </c>
      <c r="I47" s="1295">
        <f t="shared" si="6"/>
        <v>0</v>
      </c>
      <c r="J47" s="842">
        <f t="shared" si="7"/>
        <v>0</v>
      </c>
    </row>
    <row r="48" spans="1:10" x14ac:dyDescent="0.3">
      <c r="A48" s="301"/>
      <c r="B48" t="str">
        <f>'5.2 Budgeted Enrollment YR2'!E50</f>
        <v>Elko Institute for Academic Achievement</v>
      </c>
      <c r="C48" s="1300">
        <f>'2.2 Spec Ed Local YR1'!C48</f>
        <v>118894</v>
      </c>
      <c r="D48" s="1300">
        <f>'2.2 Spec Ed Local YR1'!D48</f>
        <v>0</v>
      </c>
      <c r="E48" s="1300">
        <f>'2.2 Spec Ed Local YR1'!E48</f>
        <v>79906</v>
      </c>
      <c r="F48" s="1300">
        <f>'2.2 Spec Ed Local YR1'!F48</f>
        <v>0</v>
      </c>
      <c r="G48" s="1300">
        <f>'2.2 Spec Ed Local YR1'!G48</f>
        <v>0</v>
      </c>
      <c r="H48" s="1300">
        <f>'2.2 Spec Ed Local YR1'!H48</f>
        <v>0</v>
      </c>
      <c r="I48" s="1295">
        <f t="shared" si="6"/>
        <v>0</v>
      </c>
      <c r="J48" s="842">
        <f t="shared" si="7"/>
        <v>38988</v>
      </c>
    </row>
    <row r="49" spans="1:10" x14ac:dyDescent="0.3">
      <c r="A49" s="301"/>
      <c r="B49" t="str">
        <f>'5.2 Budgeted Enrollment YR2'!E51</f>
        <v>enCompass Academy</v>
      </c>
      <c r="C49" s="1300">
        <f>'2.2 Spec Ed Local YR1'!C49</f>
        <v>148109</v>
      </c>
      <c r="D49" s="1300">
        <f>'2.2 Spec Ed Local YR1'!D49</f>
        <v>0</v>
      </c>
      <c r="E49" s="1300">
        <f>'2.2 Spec Ed Local YR1'!E49</f>
        <v>0</v>
      </c>
      <c r="F49" s="1300">
        <f>'2.2 Spec Ed Local YR1'!F49</f>
        <v>75414</v>
      </c>
      <c r="G49" s="1300">
        <f>'2.2 Spec Ed Local YR1'!G49</f>
        <v>0</v>
      </c>
      <c r="H49" s="1300">
        <f>'2.2 Spec Ed Local YR1'!H49</f>
        <v>0</v>
      </c>
      <c r="I49" s="1295">
        <f t="shared" si="6"/>
        <v>0</v>
      </c>
      <c r="J49" s="842">
        <f t="shared" si="7"/>
        <v>72695</v>
      </c>
    </row>
    <row r="50" spans="1:10" x14ac:dyDescent="0.3">
      <c r="A50" s="301"/>
      <c r="B50" t="str">
        <f>'5.2 Budgeted Enrollment YR2'!E52</f>
        <v>Equipo Academy</v>
      </c>
      <c r="C50" s="1300">
        <f>'2.2 Spec Ed Local YR1'!C50</f>
        <v>218653.03999999998</v>
      </c>
      <c r="D50" s="1300">
        <f>'2.2 Spec Ed Local YR1'!D50</f>
        <v>0</v>
      </c>
      <c r="E50" s="1300">
        <f>'2.2 Spec Ed Local YR1'!E50</f>
        <v>121237</v>
      </c>
      <c r="F50" s="1300">
        <f>'2.2 Spec Ed Local YR1'!F50</f>
        <v>0</v>
      </c>
      <c r="G50" s="1300">
        <f>'2.2 Spec Ed Local YR1'!G50</f>
        <v>0</v>
      </c>
      <c r="H50" s="1300">
        <f>'2.2 Spec Ed Local YR1'!H50</f>
        <v>0</v>
      </c>
      <c r="I50" s="1295">
        <f t="shared" si="6"/>
        <v>0</v>
      </c>
      <c r="J50" s="842">
        <f t="shared" si="7"/>
        <v>97416.039999999979</v>
      </c>
    </row>
    <row r="51" spans="1:10" x14ac:dyDescent="0.3">
      <c r="A51" s="301"/>
      <c r="B51" t="str">
        <f>'5.2 Budgeted Enrollment YR2'!E53</f>
        <v>Explore Academy</v>
      </c>
      <c r="C51" s="1300">
        <f>'2.2 Spec Ed Local YR1'!C51</f>
        <v>52352</v>
      </c>
      <c r="D51" s="1300">
        <f>'2.2 Spec Ed Local YR1'!D51</f>
        <v>0</v>
      </c>
      <c r="E51" s="1300">
        <f>'2.2 Spec Ed Local YR1'!E51</f>
        <v>52352</v>
      </c>
      <c r="F51" s="1300">
        <f>'2.2 Spec Ed Local YR1'!F51</f>
        <v>0</v>
      </c>
      <c r="G51" s="1300">
        <f>'2.2 Spec Ed Local YR1'!G51</f>
        <v>0</v>
      </c>
      <c r="H51" s="1300">
        <f>'2.2 Spec Ed Local YR1'!H51</f>
        <v>0</v>
      </c>
      <c r="I51" s="1295">
        <f t="shared" si="6"/>
        <v>0</v>
      </c>
      <c r="J51" s="842">
        <f t="shared" si="7"/>
        <v>0</v>
      </c>
    </row>
    <row r="52" spans="1:10" x14ac:dyDescent="0.3">
      <c r="A52" s="301"/>
      <c r="B52" t="str">
        <f>'5.2 Budgeted Enrollment YR2'!E54</f>
        <v>Explore Knowledge Academy</v>
      </c>
      <c r="C52" s="1300">
        <f>'2.2 Spec Ed Local YR1'!C52</f>
        <v>384675</v>
      </c>
      <c r="D52" s="1300">
        <f>'2.2 Spec Ed Local YR1'!D52</f>
        <v>0</v>
      </c>
      <c r="E52" s="1300">
        <f>'2.2 Spec Ed Local YR1'!E52</f>
        <v>0</v>
      </c>
      <c r="F52" s="1300">
        <f>'2.2 Spec Ed Local YR1'!F52</f>
        <v>205323</v>
      </c>
      <c r="G52" s="1300">
        <f>'2.2 Spec Ed Local YR1'!G52</f>
        <v>0</v>
      </c>
      <c r="H52" s="1300">
        <f>'2.2 Spec Ed Local YR1'!H52</f>
        <v>0</v>
      </c>
      <c r="I52" s="1295">
        <f t="shared" si="6"/>
        <v>0</v>
      </c>
      <c r="J52" s="842">
        <f t="shared" si="7"/>
        <v>179352</v>
      </c>
    </row>
    <row r="53" spans="1:10" x14ac:dyDescent="0.3">
      <c r="A53" s="301"/>
      <c r="B53" t="str">
        <f>'5.2 Budgeted Enrollment YR2'!E55</f>
        <v>Founders Academy of Las Vegas</v>
      </c>
      <c r="C53" s="1300">
        <f>'2.2 Spec Ed Local YR1'!C53</f>
        <v>219265</v>
      </c>
      <c r="D53" s="1300">
        <f>'2.2 Spec Ed Local YR1'!D53</f>
        <v>0</v>
      </c>
      <c r="E53" s="1300">
        <f>'2.2 Spec Ed Local YR1'!E53</f>
        <v>107460</v>
      </c>
      <c r="F53" s="1300">
        <f>'2.2 Spec Ed Local YR1'!F53</f>
        <v>0</v>
      </c>
      <c r="G53" s="1300">
        <f>'2.2 Spec Ed Local YR1'!G53</f>
        <v>0</v>
      </c>
      <c r="H53" s="1300">
        <f>'2.2 Spec Ed Local YR1'!H53</f>
        <v>0</v>
      </c>
      <c r="I53" s="1295">
        <f t="shared" si="6"/>
        <v>0</v>
      </c>
      <c r="J53" s="842">
        <f t="shared" si="7"/>
        <v>111805</v>
      </c>
    </row>
    <row r="54" spans="1:10" x14ac:dyDescent="0.3">
      <c r="A54" s="301"/>
      <c r="B54" t="str">
        <f>'5.2 Budgeted Enrollment YR2'!E56</f>
        <v>Freedom Classical Academy</v>
      </c>
      <c r="C54" s="1300">
        <f>'2.2 Spec Ed Local YR1'!C54</f>
        <v>582936</v>
      </c>
      <c r="D54" s="1300">
        <f>'2.2 Spec Ed Local YR1'!D54</f>
        <v>0</v>
      </c>
      <c r="E54" s="1300">
        <f>'2.2 Spec Ed Local YR1'!E54</f>
        <v>281050</v>
      </c>
      <c r="F54" s="1300">
        <f>'2.2 Spec Ed Local YR1'!F54</f>
        <v>0</v>
      </c>
      <c r="G54" s="1300">
        <f>'2.2 Spec Ed Local YR1'!G54</f>
        <v>0</v>
      </c>
      <c r="H54" s="1300">
        <f>'2.2 Spec Ed Local YR1'!H54</f>
        <v>0</v>
      </c>
      <c r="I54" s="1295">
        <f t="shared" si="6"/>
        <v>0</v>
      </c>
      <c r="J54" s="842">
        <f t="shared" si="7"/>
        <v>301886</v>
      </c>
    </row>
    <row r="55" spans="1:10" x14ac:dyDescent="0.3">
      <c r="A55" s="301"/>
      <c r="B55" t="str">
        <f>'5.2 Budgeted Enrollment YR2'!E57</f>
        <v>Futuro Academy Elementary</v>
      </c>
      <c r="C55" s="1300">
        <f>'2.2 Spec Ed Local YR1'!C55</f>
        <v>329794</v>
      </c>
      <c r="D55" s="1300">
        <f>'2.2 Spec Ed Local YR1'!D55</f>
        <v>0</v>
      </c>
      <c r="E55" s="1300">
        <f>'2.2 Spec Ed Local YR1'!E55</f>
        <v>77151</v>
      </c>
      <c r="F55" s="1300">
        <f>'2.2 Spec Ed Local YR1'!F55</f>
        <v>0</v>
      </c>
      <c r="G55" s="1300">
        <f>'2.2 Spec Ed Local YR1'!G55</f>
        <v>0</v>
      </c>
      <c r="H55" s="1300">
        <f>'2.2 Spec Ed Local YR1'!H55</f>
        <v>0</v>
      </c>
      <c r="I55" s="1295">
        <f t="shared" si="6"/>
        <v>0</v>
      </c>
      <c r="J55" s="842">
        <f t="shared" si="7"/>
        <v>252643</v>
      </c>
    </row>
    <row r="56" spans="1:10" x14ac:dyDescent="0.3">
      <c r="A56" s="301"/>
      <c r="B56" t="str">
        <f>'5.2 Budgeted Enrollment YR2'!E58</f>
        <v>Girls Athletic Leadership Schools</v>
      </c>
      <c r="C56" s="1300">
        <f>'2.2 Spec Ed Local YR1'!C56</f>
        <v>30309</v>
      </c>
      <c r="D56" s="1300">
        <f>'2.2 Spec Ed Local YR1'!D56</f>
        <v>0</v>
      </c>
      <c r="E56" s="1300">
        <f>'2.2 Spec Ed Local YR1'!E56</f>
        <v>30309</v>
      </c>
      <c r="F56" s="1300">
        <f>'2.2 Spec Ed Local YR1'!F56</f>
        <v>0</v>
      </c>
      <c r="G56" s="1300">
        <f>'2.2 Spec Ed Local YR1'!G56</f>
        <v>0</v>
      </c>
      <c r="H56" s="1300">
        <f>'2.2 Spec Ed Local YR1'!H56</f>
        <v>0</v>
      </c>
      <c r="I56" s="1295">
        <f t="shared" si="6"/>
        <v>0</v>
      </c>
      <c r="J56" s="842">
        <f t="shared" si="7"/>
        <v>0</v>
      </c>
    </row>
    <row r="57" spans="1:10" x14ac:dyDescent="0.3">
      <c r="A57" s="301"/>
      <c r="B57" t="str">
        <f>'5.2 Budgeted Enrollment YR2'!E59</f>
        <v>High Desert Montessori</v>
      </c>
      <c r="C57" s="1300">
        <f>'2.2 Spec Ed Local YR1'!C57</f>
        <v>322765</v>
      </c>
      <c r="D57" s="1300">
        <f>'2.2 Spec Ed Local YR1'!D57</f>
        <v>0</v>
      </c>
      <c r="E57" s="1300">
        <f>'2.2 Spec Ed Local YR1'!E57</f>
        <v>0</v>
      </c>
      <c r="F57" s="1300">
        <f>'2.2 Spec Ed Local YR1'!F57</f>
        <v>158566</v>
      </c>
      <c r="G57" s="1300">
        <f>'2.2 Spec Ed Local YR1'!G57</f>
        <v>0</v>
      </c>
      <c r="H57" s="1300">
        <f>'2.2 Spec Ed Local YR1'!H57</f>
        <v>0</v>
      </c>
      <c r="I57" s="1295">
        <f t="shared" si="6"/>
        <v>0</v>
      </c>
      <c r="J57" s="842">
        <f t="shared" si="7"/>
        <v>164199</v>
      </c>
    </row>
    <row r="58" spans="1:10" x14ac:dyDescent="0.3">
      <c r="A58" s="301"/>
      <c r="B58" t="str">
        <f>'5.2 Budgeted Enrollment YR2'!E60</f>
        <v>Honors Academy of Literature</v>
      </c>
      <c r="C58" s="1300">
        <f>'2.2 Spec Ed Local YR1'!C58</f>
        <v>115521</v>
      </c>
      <c r="D58" s="1300">
        <f>'2.2 Spec Ed Local YR1'!D58</f>
        <v>0</v>
      </c>
      <c r="E58" s="1300">
        <f>'2.2 Spec Ed Local YR1'!E58</f>
        <v>88172</v>
      </c>
      <c r="F58" s="1300">
        <f>'2.2 Spec Ed Local YR1'!F58</f>
        <v>0</v>
      </c>
      <c r="G58" s="1300">
        <f>'2.2 Spec Ed Local YR1'!G58</f>
        <v>0</v>
      </c>
      <c r="H58" s="1300">
        <f>'2.2 Spec Ed Local YR1'!H58</f>
        <v>0</v>
      </c>
      <c r="I58" s="1295">
        <f t="shared" si="6"/>
        <v>0</v>
      </c>
      <c r="J58" s="842">
        <f t="shared" si="7"/>
        <v>27349</v>
      </c>
    </row>
    <row r="59" spans="1:10" x14ac:dyDescent="0.3">
      <c r="A59" s="301"/>
      <c r="B59" t="str">
        <f>'5.2 Budgeted Enrollment YR2'!E61</f>
        <v>Imagine School Mountain View</v>
      </c>
      <c r="C59" s="1300">
        <f>'2.2 Spec Ed Local YR1'!C59</f>
        <v>451349.89999999997</v>
      </c>
      <c r="D59" s="1300">
        <f>'2.2 Spec Ed Local YR1'!D59</f>
        <v>0</v>
      </c>
      <c r="E59" s="1300">
        <f>'2.2 Spec Ed Local YR1'!E59</f>
        <v>281050</v>
      </c>
      <c r="F59" s="1300">
        <f>'2.2 Spec Ed Local YR1'!F59</f>
        <v>0</v>
      </c>
      <c r="G59" s="1300">
        <f>'2.2 Spec Ed Local YR1'!G59</f>
        <v>0</v>
      </c>
      <c r="H59" s="1300">
        <f>'2.2 Spec Ed Local YR1'!H59</f>
        <v>0</v>
      </c>
      <c r="I59" s="1295">
        <f t="shared" si="6"/>
        <v>0</v>
      </c>
      <c r="J59" s="842">
        <f t="shared" si="7"/>
        <v>170299.89999999997</v>
      </c>
    </row>
    <row r="60" spans="1:10" x14ac:dyDescent="0.3">
      <c r="A60" s="301"/>
      <c r="B60" t="str">
        <f>'5.2 Budgeted Enrollment YR2'!E62</f>
        <v>Innovations Int'l Charter</v>
      </c>
      <c r="C60" s="1300">
        <f>'2.2 Spec Ed Local YR1'!C60</f>
        <v>392635</v>
      </c>
      <c r="D60" s="1300">
        <f>'2.2 Spec Ed Local YR1'!D60</f>
        <v>392635</v>
      </c>
      <c r="E60" s="1300">
        <f>'2.2 Spec Ed Local YR1'!E60</f>
        <v>0</v>
      </c>
      <c r="F60" s="1300">
        <f>'2.2 Spec Ed Local YR1'!F60</f>
        <v>0</v>
      </c>
      <c r="G60" s="1300">
        <f>'2.2 Spec Ed Local YR1'!G60</f>
        <v>0</v>
      </c>
      <c r="H60" s="1300">
        <f>'2.2 Spec Ed Local YR1'!H60</f>
        <v>32172</v>
      </c>
      <c r="I60" s="1295">
        <f t="shared" si="6"/>
        <v>-32172</v>
      </c>
      <c r="J60" s="842">
        <f t="shared" si="7"/>
        <v>0</v>
      </c>
    </row>
    <row r="61" spans="1:10" x14ac:dyDescent="0.3">
      <c r="A61" s="301"/>
      <c r="B61" t="str">
        <f>'5.2 Budgeted Enrollment YR2'!E63</f>
        <v>Leadership Academy of Nevada</v>
      </c>
      <c r="C61" s="1300">
        <f>'2.2 Spec Ed Local YR1'!C61</f>
        <v>46842</v>
      </c>
      <c r="D61" s="1300">
        <f>'2.2 Spec Ed Local YR1'!D61</f>
        <v>0</v>
      </c>
      <c r="E61" s="1300">
        <f>'2.2 Spec Ed Local YR1'!E61</f>
        <v>46842</v>
      </c>
      <c r="F61" s="1300">
        <f>'2.2 Spec Ed Local YR1'!F61</f>
        <v>0</v>
      </c>
      <c r="G61" s="1300">
        <f>'2.2 Spec Ed Local YR1'!G61</f>
        <v>0</v>
      </c>
      <c r="H61" s="1300">
        <f>'2.2 Spec Ed Local YR1'!H61</f>
        <v>0</v>
      </c>
      <c r="I61" s="1295">
        <f t="shared" si="6"/>
        <v>0</v>
      </c>
      <c r="J61" s="842">
        <f t="shared" si="7"/>
        <v>0</v>
      </c>
    </row>
    <row r="62" spans="1:10" x14ac:dyDescent="0.3">
      <c r="A62" s="301"/>
      <c r="B62" t="str">
        <f>'5.2 Budgeted Enrollment YR2'!E64</f>
        <v>Learning Bridge</v>
      </c>
      <c r="C62" s="1300">
        <f>'2.2 Spec Ed Local YR1'!C62</f>
        <v>85417</v>
      </c>
      <c r="D62" s="1300">
        <f>'2.2 Spec Ed Local YR1'!D62</f>
        <v>0</v>
      </c>
      <c r="E62" s="1300">
        <f>'2.2 Spec Ed Local YR1'!E62</f>
        <v>85417</v>
      </c>
      <c r="F62" s="1300">
        <f>'2.2 Spec Ed Local YR1'!F62</f>
        <v>0</v>
      </c>
      <c r="G62" s="1300">
        <f>'2.2 Spec Ed Local YR1'!G62</f>
        <v>0</v>
      </c>
      <c r="H62" s="1300">
        <f>'2.2 Spec Ed Local YR1'!H62</f>
        <v>0</v>
      </c>
      <c r="I62" s="1295">
        <f t="shared" si="6"/>
        <v>0</v>
      </c>
      <c r="J62" s="842">
        <f t="shared" si="7"/>
        <v>0</v>
      </c>
    </row>
    <row r="63" spans="1:10" x14ac:dyDescent="0.3">
      <c r="A63" s="301"/>
      <c r="B63" t="str">
        <f>'5.2 Budgeted Enrollment YR2'!E65</f>
        <v>Legacy Traditional Schools</v>
      </c>
      <c r="C63" s="1300">
        <f>'2.2 Spec Ed Local YR1'!C63</f>
        <v>865192</v>
      </c>
      <c r="D63" s="1300">
        <f>'2.2 Spec Ed Local YR1'!D63</f>
        <v>0</v>
      </c>
      <c r="E63" s="1300">
        <f>'2.2 Spec Ed Local YR1'!E63</f>
        <v>865192</v>
      </c>
      <c r="F63" s="1300">
        <f>'2.2 Spec Ed Local YR1'!F63</f>
        <v>0</v>
      </c>
      <c r="G63" s="1300">
        <f>'2.2 Spec Ed Local YR1'!G63</f>
        <v>0</v>
      </c>
      <c r="H63" s="1300">
        <f>'2.2 Spec Ed Local YR1'!H63</f>
        <v>0</v>
      </c>
      <c r="I63" s="1295">
        <f t="shared" si="6"/>
        <v>0</v>
      </c>
      <c r="J63" s="842">
        <f t="shared" si="7"/>
        <v>0</v>
      </c>
    </row>
    <row r="64" spans="1:10" x14ac:dyDescent="0.3">
      <c r="A64" s="301"/>
      <c r="B64" t="str">
        <f>'5.2 Budgeted Enrollment YR2'!E66</f>
        <v>Mariposa Dual Language Academy</v>
      </c>
      <c r="C64" s="1300">
        <f>'2.2 Spec Ed Local YR1'!C64</f>
        <v>179125</v>
      </c>
      <c r="D64" s="1300">
        <f>'2.2 Spec Ed Local YR1'!D64</f>
        <v>0</v>
      </c>
      <c r="E64" s="1300">
        <f>'2.2 Spec Ed Local YR1'!E64</f>
        <v>0</v>
      </c>
      <c r="F64" s="1300">
        <f>'2.2 Spec Ed Local YR1'!F64</f>
        <v>50277</v>
      </c>
      <c r="G64" s="1300">
        <f>'2.2 Spec Ed Local YR1'!G64</f>
        <v>0</v>
      </c>
      <c r="H64" s="1300">
        <f>'2.2 Spec Ed Local YR1'!H64</f>
        <v>0</v>
      </c>
      <c r="I64" s="1295">
        <f t="shared" si="6"/>
        <v>0</v>
      </c>
      <c r="J64" s="842">
        <f t="shared" si="7"/>
        <v>128848</v>
      </c>
    </row>
    <row r="65" spans="1:10" x14ac:dyDescent="0.3">
      <c r="A65" s="301"/>
      <c r="B65" t="str">
        <f>'5.2 Budgeted Enrollment YR2'!E67</f>
        <v>Mater Academy</v>
      </c>
      <c r="C65" s="1300">
        <f>'2.2 Spec Ed Local YR1'!C65</f>
        <v>1504975.72</v>
      </c>
      <c r="D65" s="1300">
        <f>'2.2 Spec Ed Local YR1'!D65</f>
        <v>0</v>
      </c>
      <c r="E65" s="1300">
        <f>'2.2 Spec Ed Local YR1'!E65</f>
        <v>823506</v>
      </c>
      <c r="F65" s="1300">
        <f>'2.2 Spec Ed Local YR1'!F65</f>
        <v>0</v>
      </c>
      <c r="G65" s="1300">
        <f>'2.2 Spec Ed Local YR1'!G65</f>
        <v>0</v>
      </c>
      <c r="H65" s="1300">
        <f>'2.2 Spec Ed Local YR1'!H65</f>
        <v>0</v>
      </c>
      <c r="I65" s="1295">
        <f t="shared" si="6"/>
        <v>0</v>
      </c>
      <c r="J65" s="842">
        <f t="shared" si="7"/>
        <v>681469.72</v>
      </c>
    </row>
    <row r="66" spans="1:10" x14ac:dyDescent="0.3">
      <c r="A66" s="301"/>
      <c r="B66" t="str">
        <f>'5.2 Budgeted Enrollment YR2'!E68</f>
        <v>Mater Academy of Northern Nevada</v>
      </c>
      <c r="C66" s="1300">
        <f>'2.2 Spec Ed Local YR1'!C66</f>
        <v>233053</v>
      </c>
      <c r="D66" s="1300">
        <f>'2.2 Spec Ed Local YR1'!D66</f>
        <v>0</v>
      </c>
      <c r="E66" s="1300">
        <f>'2.2 Spec Ed Local YR1'!E66</f>
        <v>179100</v>
      </c>
      <c r="F66" s="1300">
        <f>'2.2 Spec Ed Local YR1'!F66</f>
        <v>0</v>
      </c>
      <c r="G66" s="1300">
        <f>'2.2 Spec Ed Local YR1'!G66</f>
        <v>0</v>
      </c>
      <c r="H66" s="1300">
        <f>'2.2 Spec Ed Local YR1'!H66</f>
        <v>0</v>
      </c>
      <c r="I66" s="1295">
        <f t="shared" si="6"/>
        <v>0</v>
      </c>
      <c r="J66" s="842">
        <f t="shared" si="7"/>
        <v>53953</v>
      </c>
    </row>
    <row r="67" spans="1:10" x14ac:dyDescent="0.3">
      <c r="A67" s="301"/>
      <c r="B67" t="str">
        <f>'5.2 Budgeted Enrollment YR2'!E69</f>
        <v>Nevada Connections Academy</v>
      </c>
      <c r="C67" s="1300">
        <f>'2.2 Spec Ed Local YR1'!C67</f>
        <v>369416</v>
      </c>
      <c r="D67" s="1300">
        <f>'2.2 Spec Ed Local YR1'!D67</f>
        <v>0</v>
      </c>
      <c r="E67" s="1300">
        <f>'2.2 Spec Ed Local YR1'!E67</f>
        <v>369416</v>
      </c>
      <c r="F67" s="1300">
        <f>'2.2 Spec Ed Local YR1'!F67</f>
        <v>0</v>
      </c>
      <c r="G67" s="1300">
        <f>'2.2 Spec Ed Local YR1'!G67</f>
        <v>0</v>
      </c>
      <c r="H67" s="1300">
        <f>'2.2 Spec Ed Local YR1'!H67</f>
        <v>0</v>
      </c>
      <c r="I67" s="1295">
        <f t="shared" si="6"/>
        <v>0</v>
      </c>
      <c r="J67" s="842">
        <f t="shared" si="7"/>
        <v>0</v>
      </c>
    </row>
    <row r="68" spans="1:10" x14ac:dyDescent="0.3">
      <c r="A68" s="301"/>
      <c r="B68" t="str">
        <f>'5.2 Budgeted Enrollment YR2'!E70</f>
        <v>Nevada Prep</v>
      </c>
      <c r="C68" s="1300">
        <f>'2.2 Spec Ed Local YR1'!C68</f>
        <v>180571</v>
      </c>
      <c r="D68" s="1300">
        <f>'2.2 Spec Ed Local YR1'!D68</f>
        <v>0</v>
      </c>
      <c r="E68" s="1300">
        <f>'2.2 Spec Ed Local YR1'!E68</f>
        <v>74395</v>
      </c>
      <c r="F68" s="1300">
        <f>'2.2 Spec Ed Local YR1'!F68</f>
        <v>0</v>
      </c>
      <c r="G68" s="1300">
        <f>'2.2 Spec Ed Local YR1'!G68</f>
        <v>0</v>
      </c>
      <c r="H68" s="1300">
        <f>'2.2 Spec Ed Local YR1'!H68</f>
        <v>0</v>
      </c>
      <c r="I68" s="1295">
        <f t="shared" si="6"/>
        <v>0</v>
      </c>
      <c r="J68" s="842">
        <f t="shared" si="7"/>
        <v>106176</v>
      </c>
    </row>
    <row r="69" spans="1:10" x14ac:dyDescent="0.3">
      <c r="A69" s="301"/>
      <c r="B69" t="str">
        <f>'5.2 Budgeted Enrollment YR2'!E71</f>
        <v xml:space="preserve">Nevada Rise </v>
      </c>
      <c r="C69" s="1300">
        <f>'2.2 Spec Ed Local YR1'!C69</f>
        <v>219836</v>
      </c>
      <c r="D69" s="1300">
        <f>'2.2 Spec Ed Local YR1'!D69</f>
        <v>0</v>
      </c>
      <c r="E69" s="1300">
        <f>'2.2 Spec Ed Local YR1'!E69</f>
        <v>55108</v>
      </c>
      <c r="F69" s="1300">
        <f>'2.2 Spec Ed Local YR1'!F69</f>
        <v>0</v>
      </c>
      <c r="G69" s="1300">
        <f>'2.2 Spec Ed Local YR1'!G69</f>
        <v>0</v>
      </c>
      <c r="H69" s="1300">
        <f>'2.2 Spec Ed Local YR1'!H69</f>
        <v>0</v>
      </c>
      <c r="I69" s="1295">
        <f t="shared" si="6"/>
        <v>0</v>
      </c>
      <c r="J69" s="842">
        <f t="shared" si="7"/>
        <v>164728</v>
      </c>
    </row>
    <row r="70" spans="1:10" x14ac:dyDescent="0.3">
      <c r="A70" s="301"/>
      <c r="B70" t="str">
        <f>'5.2 Budgeted Enrollment YR2'!E72</f>
        <v>Nevada State High School</v>
      </c>
      <c r="C70" s="1300">
        <f>'2.2 Spec Ed Local YR1'!C70</f>
        <v>35820</v>
      </c>
      <c r="D70" s="1300">
        <f>'2.2 Spec Ed Local YR1'!D70</f>
        <v>0</v>
      </c>
      <c r="E70" s="1300">
        <f>'2.2 Spec Ed Local YR1'!E70</f>
        <v>35820</v>
      </c>
      <c r="F70" s="1300">
        <f>'2.2 Spec Ed Local YR1'!F70</f>
        <v>0</v>
      </c>
      <c r="G70" s="1300">
        <f>'2.2 Spec Ed Local YR1'!G70</f>
        <v>0</v>
      </c>
      <c r="H70" s="1300">
        <f>'2.2 Spec Ed Local YR1'!H70</f>
        <v>0</v>
      </c>
      <c r="I70" s="1295">
        <f t="shared" si="6"/>
        <v>0</v>
      </c>
      <c r="J70" s="842">
        <f t="shared" si="7"/>
        <v>0</v>
      </c>
    </row>
    <row r="71" spans="1:10" x14ac:dyDescent="0.3">
      <c r="A71" s="301"/>
      <c r="B71" t="str">
        <f>'5.2 Budgeted Enrollment YR2'!E73</f>
        <v>Nevada State High School-Meadowwood</v>
      </c>
      <c r="C71" s="1300">
        <f>'2.2 Spec Ed Local YR1'!C71</f>
        <v>0</v>
      </c>
      <c r="D71" s="1300">
        <f>'2.2 Spec Ed Local YR1'!D71</f>
        <v>0</v>
      </c>
      <c r="E71" s="1300">
        <f>'2.2 Spec Ed Local YR1'!E71</f>
        <v>0</v>
      </c>
      <c r="F71" s="1300">
        <f>'2.2 Spec Ed Local YR1'!F71</f>
        <v>0</v>
      </c>
      <c r="G71" s="1300">
        <f>'2.2 Spec Ed Local YR1'!G71</f>
        <v>0</v>
      </c>
      <c r="H71" s="1300">
        <f>'2.2 Spec Ed Local YR1'!H71</f>
        <v>0</v>
      </c>
      <c r="I71" s="1295">
        <f t="shared" si="6"/>
        <v>0</v>
      </c>
      <c r="J71" s="842">
        <f t="shared" si="7"/>
        <v>0</v>
      </c>
    </row>
    <row r="72" spans="1:10" x14ac:dyDescent="0.3">
      <c r="A72" s="301"/>
      <c r="B72" t="str">
        <f>'5.2 Budgeted Enrollment YR2'!E74</f>
        <v>Nevada Virtual Academy</v>
      </c>
      <c r="C72" s="1300">
        <f>'2.2 Spec Ed Local YR1'!C72</f>
        <v>731675</v>
      </c>
      <c r="D72" s="1300">
        <f>'2.2 Spec Ed Local YR1'!D72</f>
        <v>0</v>
      </c>
      <c r="E72" s="1300">
        <f>'2.2 Spec Ed Local YR1'!E72</f>
        <v>731675</v>
      </c>
      <c r="F72" s="1300">
        <f>'2.2 Spec Ed Local YR1'!F72</f>
        <v>0</v>
      </c>
      <c r="G72" s="1300">
        <f>'2.2 Spec Ed Local YR1'!G72</f>
        <v>0</v>
      </c>
      <c r="H72" s="1300">
        <f>'2.2 Spec Ed Local YR1'!H72</f>
        <v>0</v>
      </c>
      <c r="I72" s="1295">
        <f t="shared" si="6"/>
        <v>0</v>
      </c>
      <c r="J72" s="842">
        <f t="shared" si="7"/>
        <v>0</v>
      </c>
    </row>
    <row r="73" spans="1:10" x14ac:dyDescent="0.3">
      <c r="A73" s="301"/>
      <c r="B73" t="str">
        <f>'5.2 Budgeted Enrollment YR2'!E75</f>
        <v>Oasis Academy</v>
      </c>
      <c r="C73" s="1300">
        <f>'2.2 Spec Ed Local YR1'!C73</f>
        <v>527065</v>
      </c>
      <c r="D73" s="1300">
        <f>'2.2 Spec Ed Local YR1'!D73</f>
        <v>0</v>
      </c>
      <c r="E73" s="1300">
        <f>'2.2 Spec Ed Local YR1'!E73</f>
        <v>223186</v>
      </c>
      <c r="F73" s="1300">
        <f>'2.2 Spec Ed Local YR1'!F73</f>
        <v>0</v>
      </c>
      <c r="G73" s="1300">
        <f>'2.2 Spec Ed Local YR1'!G73</f>
        <v>0</v>
      </c>
      <c r="H73" s="1300">
        <f>'2.2 Spec Ed Local YR1'!H73</f>
        <v>0</v>
      </c>
      <c r="I73" s="1295">
        <f t="shared" si="6"/>
        <v>0</v>
      </c>
      <c r="J73" s="842">
        <f t="shared" si="7"/>
        <v>303879</v>
      </c>
    </row>
    <row r="74" spans="1:10" x14ac:dyDescent="0.3">
      <c r="A74" s="301"/>
      <c r="B74" t="str">
        <f>'5.2 Budgeted Enrollment YR2'!E76</f>
        <v>Odyssey Charter Schools</v>
      </c>
      <c r="C74" s="1300">
        <f>'2.2 Spec Ed Local YR1'!C74</f>
        <v>3232629</v>
      </c>
      <c r="D74" s="1300">
        <f>'2.2 Spec Ed Local YR1'!D74</f>
        <v>0</v>
      </c>
      <c r="E74" s="1300">
        <f>'2.2 Spec Ed Local YR1'!E74</f>
        <v>0</v>
      </c>
      <c r="F74" s="1300">
        <f>'2.2 Spec Ed Local YR1'!F74</f>
        <v>1023013</v>
      </c>
      <c r="G74" s="1300">
        <f>'2.2 Spec Ed Local YR1'!G74</f>
        <v>0</v>
      </c>
      <c r="H74" s="1300">
        <f>'2.2 Spec Ed Local YR1'!H74</f>
        <v>0</v>
      </c>
      <c r="I74" s="1295">
        <f t="shared" si="6"/>
        <v>0</v>
      </c>
      <c r="J74" s="842">
        <f t="shared" si="7"/>
        <v>2209616</v>
      </c>
    </row>
    <row r="75" spans="1:10" x14ac:dyDescent="0.3">
      <c r="A75" s="301"/>
      <c r="B75" t="str">
        <f>'5.2 Budgeted Enrollment YR2'!E77</f>
        <v>Pinecrest Academy of Northern Nevada</v>
      </c>
      <c r="C75" s="1300">
        <f>'2.2 Spec Ed Local YR1'!C75</f>
        <v>378345</v>
      </c>
      <c r="D75" s="1300">
        <f>'2.2 Spec Ed Local YR1'!D75</f>
        <v>0</v>
      </c>
      <c r="E75" s="1300">
        <f>'2.2 Spec Ed Local YR1'!E75</f>
        <v>234208</v>
      </c>
      <c r="F75" s="1300">
        <f>'2.2 Spec Ed Local YR1'!F75</f>
        <v>0</v>
      </c>
      <c r="G75" s="1300">
        <f>'2.2 Spec Ed Local YR1'!G75</f>
        <v>0</v>
      </c>
      <c r="H75" s="1300">
        <f>'2.2 Spec Ed Local YR1'!H75</f>
        <v>0</v>
      </c>
      <c r="I75" s="1295">
        <f t="shared" si="6"/>
        <v>0</v>
      </c>
      <c r="J75" s="842">
        <f t="shared" si="7"/>
        <v>144137</v>
      </c>
    </row>
    <row r="76" spans="1:10" x14ac:dyDescent="0.3">
      <c r="A76" s="301"/>
      <c r="B76" t="str">
        <f>'5.2 Budgeted Enrollment YR2'!E78</f>
        <v>Pinecrest Academy of Nevada</v>
      </c>
      <c r="C76" s="1300">
        <f>'2.2 Spec Ed Local YR1'!C76</f>
        <v>2994939</v>
      </c>
      <c r="D76" s="1300">
        <f>'2.2 Spec Ed Local YR1'!D76</f>
        <v>0</v>
      </c>
      <c r="E76" s="1300">
        <f>'2.2 Spec Ed Local YR1'!E76</f>
        <v>1743902</v>
      </c>
      <c r="F76" s="1300">
        <f>'2.2 Spec Ed Local YR1'!F76</f>
        <v>0</v>
      </c>
      <c r="G76" s="1300">
        <f>'2.2 Spec Ed Local YR1'!G76</f>
        <v>0</v>
      </c>
      <c r="H76" s="1300">
        <f>'2.2 Spec Ed Local YR1'!H76</f>
        <v>0</v>
      </c>
      <c r="I76" s="1295">
        <f t="shared" si="6"/>
        <v>0</v>
      </c>
      <c r="J76" s="842">
        <f t="shared" si="7"/>
        <v>1251037</v>
      </c>
    </row>
    <row r="77" spans="1:10" x14ac:dyDescent="0.3">
      <c r="A77" s="301"/>
      <c r="B77" t="str">
        <f>'5.2 Budgeted Enrollment YR2'!E79</f>
        <v>Quest Academy</v>
      </c>
      <c r="C77" s="1300">
        <f>'2.2 Spec Ed Local YR1'!C77</f>
        <v>197827</v>
      </c>
      <c r="D77" s="1300">
        <f>'2.2 Spec Ed Local YR1'!D77</f>
        <v>0</v>
      </c>
      <c r="E77" s="1300">
        <f>'2.2 Spec Ed Local YR1'!E77</f>
        <v>151546</v>
      </c>
      <c r="F77" s="1300">
        <f>'2.2 Spec Ed Local YR1'!F77</f>
        <v>0</v>
      </c>
      <c r="G77" s="1300">
        <f>'2.2 Spec Ed Local YR1'!G77</f>
        <v>0</v>
      </c>
      <c r="H77" s="1300">
        <f>'2.2 Spec Ed Local YR1'!H77</f>
        <v>0</v>
      </c>
      <c r="I77" s="1295">
        <f t="shared" si="6"/>
        <v>0</v>
      </c>
      <c r="J77" s="842">
        <f t="shared" si="7"/>
        <v>46281</v>
      </c>
    </row>
    <row r="78" spans="1:10" x14ac:dyDescent="0.3">
      <c r="A78" s="301"/>
      <c r="B78" t="str">
        <f>'5.2 Budgeted Enrollment YR2'!E80</f>
        <v>Rainbow Dreams Academy</v>
      </c>
      <c r="C78" s="1300">
        <f>'2.2 Spec Ed Local YR1'!C78</f>
        <v>47906</v>
      </c>
      <c r="D78" s="1300">
        <f>'2.2 Spec Ed Local YR1'!D78</f>
        <v>0</v>
      </c>
      <c r="E78" s="1300">
        <f>'2.2 Spec Ed Local YR1'!E78</f>
        <v>0</v>
      </c>
      <c r="F78" s="1300">
        <f>'2.2 Spec Ed Local YR1'!F78</f>
        <v>7204</v>
      </c>
      <c r="G78" s="1300">
        <f>'2.2 Spec Ed Local YR1'!G78</f>
        <v>0</v>
      </c>
      <c r="H78" s="1300">
        <f>'2.2 Spec Ed Local YR1'!H78</f>
        <v>0</v>
      </c>
      <c r="I78" s="1295">
        <f t="shared" si="6"/>
        <v>0</v>
      </c>
      <c r="J78" s="842">
        <f t="shared" si="7"/>
        <v>40702</v>
      </c>
    </row>
    <row r="79" spans="1:10" x14ac:dyDescent="0.3">
      <c r="A79" s="301"/>
      <c r="B79" t="str">
        <f>'5.2 Budgeted Enrollment YR2'!E81</f>
        <v>Rooted Charter School</v>
      </c>
      <c r="C79" s="1300">
        <f>'2.2 Spec Ed Local YR1'!C79</f>
        <v>0</v>
      </c>
      <c r="D79" s="1300">
        <f>'2.2 Spec Ed Local YR1'!D79</f>
        <v>0</v>
      </c>
      <c r="E79" s="1300">
        <f>'2.2 Spec Ed Local YR1'!E79</f>
        <v>0</v>
      </c>
      <c r="F79" s="1300">
        <f>'2.2 Spec Ed Local YR1'!F79</f>
        <v>0</v>
      </c>
      <c r="G79" s="1300">
        <f>'2.2 Spec Ed Local YR1'!G79</f>
        <v>0</v>
      </c>
      <c r="H79" s="1300">
        <f>'2.2 Spec Ed Local YR1'!H79</f>
        <v>0</v>
      </c>
      <c r="I79" s="1295">
        <f t="shared" ref="I79" si="8">G79-H79</f>
        <v>0</v>
      </c>
      <c r="J79" s="842">
        <f t="shared" si="7"/>
        <v>0</v>
      </c>
    </row>
    <row r="80" spans="1:10" x14ac:dyDescent="0.3">
      <c r="A80" s="301"/>
      <c r="B80" t="str">
        <f>'5.2 Budgeted Enrollment YR2'!E82</f>
        <v>Sage Collegiate Academy</v>
      </c>
      <c r="C80" s="1300">
        <f>'2.2 Spec Ed Local YR1'!C80</f>
        <v>0</v>
      </c>
      <c r="D80" s="1300">
        <f>'2.2 Spec Ed Local YR1'!D80</f>
        <v>0</v>
      </c>
      <c r="E80" s="1300">
        <f>'2.2 Spec Ed Local YR1'!E80</f>
        <v>0</v>
      </c>
      <c r="F80" s="1300">
        <f>'2.2 Spec Ed Local YR1'!F80</f>
        <v>0</v>
      </c>
      <c r="G80" s="1300">
        <f>'2.2 Spec Ed Local YR1'!G80</f>
        <v>0</v>
      </c>
      <c r="H80" s="1300">
        <f>'2.2 Spec Ed Local YR1'!H80</f>
        <v>0</v>
      </c>
      <c r="I80" s="1295">
        <f t="shared" si="6"/>
        <v>0</v>
      </c>
      <c r="J80" s="842">
        <f t="shared" si="7"/>
        <v>0</v>
      </c>
    </row>
    <row r="81" spans="1:10" x14ac:dyDescent="0.3">
      <c r="A81" s="301"/>
      <c r="B81" t="str">
        <f>'5.2 Budgeted Enrollment YR2'!E83</f>
        <v>Sierra Nevada Academy Charter</v>
      </c>
      <c r="C81" s="1300">
        <f>'2.2 Spec Ed Local YR1'!C81</f>
        <v>318452</v>
      </c>
      <c r="D81" s="1300">
        <f>'2.2 Spec Ed Local YR1'!D81</f>
        <v>0</v>
      </c>
      <c r="E81" s="1300">
        <f>'2.2 Spec Ed Local YR1'!E81</f>
        <v>0</v>
      </c>
      <c r="F81" s="1300">
        <f>'2.2 Spec Ed Local YR1'!F81</f>
        <v>199174</v>
      </c>
      <c r="G81" s="1300">
        <f>'2.2 Spec Ed Local YR1'!G81</f>
        <v>0</v>
      </c>
      <c r="H81" s="1300">
        <f>'2.2 Spec Ed Local YR1'!H81</f>
        <v>0</v>
      </c>
      <c r="I81" s="1295">
        <f t="shared" si="6"/>
        <v>0</v>
      </c>
      <c r="J81" s="842">
        <f t="shared" si="7"/>
        <v>119278</v>
      </c>
    </row>
    <row r="82" spans="1:10" x14ac:dyDescent="0.3">
      <c r="A82" s="301"/>
      <c r="B82" t="str">
        <f>'5.2 Budgeted Enrollment YR2'!E84</f>
        <v>Signature Preparatory</v>
      </c>
      <c r="C82" s="1300">
        <f>'2.2 Spec Ed Local YR1'!C82</f>
        <v>572187.5199999999</v>
      </c>
      <c r="D82" s="1300">
        <f>'2.2 Spec Ed Local YR1'!D82</f>
        <v>0</v>
      </c>
      <c r="E82" s="1300">
        <f>'2.2 Spec Ed Local YR1'!E82</f>
        <v>281050</v>
      </c>
      <c r="F82" s="1300">
        <f>'2.2 Spec Ed Local YR1'!F82</f>
        <v>0</v>
      </c>
      <c r="G82" s="1300">
        <f>'2.2 Spec Ed Local YR1'!G82</f>
        <v>0</v>
      </c>
      <c r="H82" s="1300">
        <f>'2.2 Spec Ed Local YR1'!H82</f>
        <v>0</v>
      </c>
      <c r="I82" s="1295">
        <f t="shared" si="6"/>
        <v>0</v>
      </c>
      <c r="J82" s="842">
        <f t="shared" si="7"/>
        <v>291137.5199999999</v>
      </c>
    </row>
    <row r="83" spans="1:10" x14ac:dyDescent="0.3">
      <c r="A83" s="301"/>
      <c r="B83" t="str">
        <f>'5.2 Budgeted Enrollment YR2'!E85</f>
        <v>Silver Sands Montessori</v>
      </c>
      <c r="C83" s="1300">
        <f>'2.2 Spec Ed Local YR1'!C83</f>
        <v>74410</v>
      </c>
      <c r="D83" s="1300">
        <f>'2.2 Spec Ed Local YR1'!D83</f>
        <v>0</v>
      </c>
      <c r="E83" s="1300">
        <f>'2.2 Spec Ed Local YR1'!E83</f>
        <v>74410</v>
      </c>
      <c r="F83" s="1300">
        <f>'2.2 Spec Ed Local YR1'!F83</f>
        <v>0</v>
      </c>
      <c r="G83" s="1300">
        <f>'2.2 Spec Ed Local YR1'!G83</f>
        <v>0</v>
      </c>
      <c r="H83" s="1300">
        <f>'2.2 Spec Ed Local YR1'!H83</f>
        <v>0</v>
      </c>
      <c r="I83" s="1295">
        <f t="shared" si="6"/>
        <v>0</v>
      </c>
      <c r="J83" s="842">
        <f t="shared" si="7"/>
        <v>0</v>
      </c>
    </row>
    <row r="84" spans="1:10" x14ac:dyDescent="0.3">
      <c r="A84" s="301"/>
      <c r="B84" t="str">
        <f>'5.2 Budgeted Enrollment YR2'!E86</f>
        <v>Somerset Academy</v>
      </c>
      <c r="C84" s="1300">
        <f>'2.2 Spec Ed Local YR1'!C84</f>
        <v>5786390</v>
      </c>
      <c r="D84" s="1300">
        <f>'2.2 Spec Ed Local YR1'!D84</f>
        <v>0</v>
      </c>
      <c r="E84" s="1300">
        <f>'2.2 Spec Ed Local YR1'!E84</f>
        <v>3063991</v>
      </c>
      <c r="F84" s="1300">
        <f>'2.2 Spec Ed Local YR1'!F84</f>
        <v>0</v>
      </c>
      <c r="G84" s="1300">
        <f>'2.2 Spec Ed Local YR1'!G84</f>
        <v>0</v>
      </c>
      <c r="H84" s="1300">
        <f>'2.2 Spec Ed Local YR1'!H84</f>
        <v>0</v>
      </c>
      <c r="I84" s="1295">
        <f t="shared" si="6"/>
        <v>0</v>
      </c>
      <c r="J84" s="842">
        <f t="shared" si="7"/>
        <v>2722399</v>
      </c>
    </row>
    <row r="85" spans="1:10" x14ac:dyDescent="0.3">
      <c r="A85" s="301"/>
      <c r="B85" t="str">
        <f>'5.2 Budgeted Enrollment YR2'!E87</f>
        <v>Southern Nevada Trade High School</v>
      </c>
      <c r="C85" s="1300">
        <f>'2.2 Spec Ed Local YR1'!C85</f>
        <v>0</v>
      </c>
      <c r="D85" s="1300">
        <f>'2.2 Spec Ed Local YR1'!D85</f>
        <v>0</v>
      </c>
      <c r="E85" s="1300">
        <f>'2.2 Spec Ed Local YR1'!E85</f>
        <v>0</v>
      </c>
      <c r="F85" s="1300">
        <f>'2.2 Spec Ed Local YR1'!F85</f>
        <v>0</v>
      </c>
      <c r="G85" s="1300">
        <f>'2.2 Spec Ed Local YR1'!G85</f>
        <v>0</v>
      </c>
      <c r="H85" s="1300">
        <f>'2.2 Spec Ed Local YR1'!H85</f>
        <v>0</v>
      </c>
      <c r="I85" s="1295">
        <f t="shared" ref="I85" si="9">G85-H85</f>
        <v>0</v>
      </c>
      <c r="J85" s="842">
        <f t="shared" si="7"/>
        <v>0</v>
      </c>
    </row>
    <row r="86" spans="1:10" x14ac:dyDescent="0.3">
      <c r="A86" s="301"/>
      <c r="B86" t="str">
        <f>'5.2 Budgeted Enrollment YR2'!E88</f>
        <v>Sports Leadership and Management Academy</v>
      </c>
      <c r="C86" s="1300">
        <f>'2.2 Spec Ed Local YR1'!C86</f>
        <v>1133707</v>
      </c>
      <c r="D86" s="1300">
        <f>'2.2 Spec Ed Local YR1'!D86</f>
        <v>0</v>
      </c>
      <c r="E86" s="1300">
        <f>'2.2 Spec Ed Local YR1'!E86</f>
        <v>371977</v>
      </c>
      <c r="F86" s="1300">
        <f>'2.2 Spec Ed Local YR1'!F86</f>
        <v>0</v>
      </c>
      <c r="G86" s="1300">
        <f>'2.2 Spec Ed Local YR1'!G86</f>
        <v>0</v>
      </c>
      <c r="H86" s="1300">
        <f>'2.2 Spec Ed Local YR1'!H86</f>
        <v>0</v>
      </c>
      <c r="I86" s="1295">
        <f t="shared" si="6"/>
        <v>0</v>
      </c>
      <c r="J86" s="842">
        <f t="shared" si="7"/>
        <v>761730</v>
      </c>
    </row>
    <row r="87" spans="1:10" x14ac:dyDescent="0.3">
      <c r="A87" s="301"/>
      <c r="B87" t="str">
        <f>'5.2 Budgeted Enrollment YR2'!E89</f>
        <v>Strong Start Academy</v>
      </c>
      <c r="C87" s="1300">
        <f>'2.2 Spec Ed Local YR1'!C87</f>
        <v>0</v>
      </c>
      <c r="D87" s="1300">
        <f>'2.2 Spec Ed Local YR1'!D87</f>
        <v>0</v>
      </c>
      <c r="E87" s="1300">
        <f>'2.2 Spec Ed Local YR1'!E87</f>
        <v>0</v>
      </c>
      <c r="F87" s="1300">
        <f>'2.2 Spec Ed Local YR1'!F87</f>
        <v>0</v>
      </c>
      <c r="G87" s="1300">
        <f>'2.2 Spec Ed Local YR1'!G87</f>
        <v>0</v>
      </c>
      <c r="H87" s="1300">
        <f>'2.2 Spec Ed Local YR1'!H87</f>
        <v>0</v>
      </c>
      <c r="I87" s="1295">
        <f t="shared" si="6"/>
        <v>0</v>
      </c>
      <c r="J87" s="842">
        <f t="shared" si="7"/>
        <v>0</v>
      </c>
    </row>
    <row r="88" spans="1:10" x14ac:dyDescent="0.3">
      <c r="A88" s="301"/>
      <c r="B88" t="str">
        <f>'5.2 Budgeted Enrollment YR2'!E90</f>
        <v>TEACH Las Vegas</v>
      </c>
      <c r="C88" s="1300">
        <f>'2.2 Spec Ed Local YR1'!C88</f>
        <v>48249</v>
      </c>
      <c r="D88" s="1300">
        <f>'2.2 Spec Ed Local YR1'!D88</f>
        <v>0</v>
      </c>
      <c r="E88" s="1300">
        <f>'2.2 Spec Ed Local YR1'!E88</f>
        <v>0</v>
      </c>
      <c r="F88" s="1300">
        <f>'2.2 Spec Ed Local YR1'!F88</f>
        <v>0</v>
      </c>
      <c r="G88" s="1300">
        <f>'2.2 Spec Ed Local YR1'!G88</f>
        <v>0</v>
      </c>
      <c r="H88" s="1300">
        <f>'2.2 Spec Ed Local YR1'!H88</f>
        <v>0</v>
      </c>
      <c r="I88" s="1295">
        <f t="shared" si="6"/>
        <v>0</v>
      </c>
      <c r="J88" s="842">
        <f t="shared" si="7"/>
        <v>48249</v>
      </c>
    </row>
    <row r="89" spans="1:10" x14ac:dyDescent="0.3">
      <c r="A89" s="843"/>
      <c r="B89" s="720" t="str">
        <f>'5.2 Budgeted Enrollment YR2'!E91</f>
        <v>Young Women's Leadership Academy</v>
      </c>
      <c r="C89" s="1300">
        <f>'2.2 Spec Ed Local YR1'!C89</f>
        <v>0</v>
      </c>
      <c r="D89" s="1300">
        <f>'2.2 Spec Ed Local YR1'!D89</f>
        <v>0</v>
      </c>
      <c r="E89" s="1300">
        <f>'2.2 Spec Ed Local YR1'!E89</f>
        <v>0</v>
      </c>
      <c r="F89" s="1300">
        <f>'2.2 Spec Ed Local YR1'!F89</f>
        <v>0</v>
      </c>
      <c r="G89" s="1300">
        <f>'2.2 Spec Ed Local YR1'!G89</f>
        <v>0</v>
      </c>
      <c r="H89" s="1300">
        <f>'2.2 Spec Ed Local YR1'!H89</f>
        <v>0</v>
      </c>
      <c r="I89" s="1298">
        <f>G89-H89</f>
        <v>0</v>
      </c>
      <c r="J89" s="842">
        <f t="shared" si="7"/>
        <v>0</v>
      </c>
    </row>
    <row r="90" spans="1:10" x14ac:dyDescent="0.3">
      <c r="A90" s="838"/>
      <c r="B90" s="880" t="str">
        <f>'1.2 Budgeted Enrollment YR1'!E92</f>
        <v>Total Charter Schools</v>
      </c>
      <c r="C90" s="911">
        <f t="shared" ref="C90:J90" si="10">SUM(C30:C89)</f>
        <v>32033643.18</v>
      </c>
      <c r="D90" s="911">
        <f t="shared" si="10"/>
        <v>648079</v>
      </c>
      <c r="E90" s="911">
        <f t="shared" si="10"/>
        <v>14064586</v>
      </c>
      <c r="F90" s="911">
        <f t="shared" si="10"/>
        <v>2506754</v>
      </c>
      <c r="G90" s="911">
        <f t="shared" si="10"/>
        <v>30774</v>
      </c>
      <c r="H90" s="911">
        <f t="shared" si="10"/>
        <v>352903</v>
      </c>
      <c r="I90" s="911">
        <f t="shared" si="10"/>
        <v>-322129</v>
      </c>
      <c r="J90" s="912">
        <f t="shared" si="10"/>
        <v>14783450.18</v>
      </c>
    </row>
    <row r="91" spans="1:10" x14ac:dyDescent="0.3">
      <c r="B91"/>
      <c r="J91" s="65">
        <f>J90-'2.2 Spec Ed Local YR1'!J90</f>
        <v>0</v>
      </c>
    </row>
    <row r="92" spans="1:10" x14ac:dyDescent="0.3">
      <c r="A92" s="3" t="s">
        <v>1258</v>
      </c>
      <c r="B92"/>
      <c r="C92" s="183"/>
      <c r="D92" s="183"/>
      <c r="E92" s="183"/>
      <c r="F92" s="183"/>
      <c r="G92" s="183"/>
      <c r="H92" s="183"/>
    </row>
    <row r="93" spans="1:10" x14ac:dyDescent="0.3">
      <c r="A93" s="683"/>
      <c r="B93" s="847" t="str">
        <f>'5.2 Budgeted Enrollment YR2'!E96</f>
        <v>Davidson Academy</v>
      </c>
      <c r="C93" s="1493">
        <f>'2.2 Spec Ed Local YR1'!C93</f>
        <v>7389</v>
      </c>
      <c r="D93" s="1493">
        <f>'2.2 Spec Ed Local YR1'!D93</f>
        <v>0</v>
      </c>
      <c r="E93" s="1493">
        <f>'2.2 Spec Ed Local YR1'!E93</f>
        <v>7389</v>
      </c>
      <c r="F93" s="1493">
        <f>'2.2 Spec Ed Local YR1'!F93</f>
        <v>0</v>
      </c>
      <c r="G93" s="1493">
        <f>'2.2 Spec Ed Local YR1'!G93</f>
        <v>0</v>
      </c>
      <c r="H93" s="1493">
        <f>'2.2 Spec Ed Local YR1'!H93</f>
        <v>0</v>
      </c>
      <c r="I93" s="849">
        <f>G93-H93</f>
        <v>0</v>
      </c>
      <c r="J93" s="850">
        <f>C93-D93-E93-F93-G93</f>
        <v>0</v>
      </c>
    </row>
    <row r="94" spans="1:10" x14ac:dyDescent="0.3">
      <c r="A94" s="195"/>
      <c r="B94" s="720"/>
      <c r="C94" s="1494">
        <f>'2.2 Spec Ed Local YR1'!C94</f>
        <v>0</v>
      </c>
      <c r="D94" s="1494">
        <f>'2.2 Spec Ed Local YR1'!D94</f>
        <v>0</v>
      </c>
      <c r="E94" s="1494">
        <f>'2.2 Spec Ed Local YR1'!E94</f>
        <v>0</v>
      </c>
      <c r="F94" s="1494">
        <f>'2.2 Spec Ed Local YR1'!F94</f>
        <v>0</v>
      </c>
      <c r="G94" s="1494">
        <f>'2.2 Spec Ed Local YR1'!G94</f>
        <v>0</v>
      </c>
      <c r="H94" s="1494">
        <f>'2.2 Spec Ed Local YR1'!H94</f>
        <v>0</v>
      </c>
      <c r="I94" s="721">
        <f>G94-H94</f>
        <v>0</v>
      </c>
      <c r="J94" s="844">
        <f>C94-D94-E94-F94-G94</f>
        <v>0</v>
      </c>
    </row>
    <row r="95" spans="1:10" x14ac:dyDescent="0.3">
      <c r="B95" t="str">
        <f>'1.2 Budgeted Enrollment YR1'!E98</f>
        <v>Total University Schools</v>
      </c>
      <c r="C95" s="65">
        <f>SUM(C93:C94)</f>
        <v>7389</v>
      </c>
      <c r="D95" s="65">
        <f t="shared" ref="D95:J95" si="11">SUM(D93:D94)</f>
        <v>0</v>
      </c>
      <c r="E95" s="65">
        <f t="shared" si="11"/>
        <v>7389</v>
      </c>
      <c r="F95" s="65">
        <f t="shared" ref="F95" si="12">SUM(F93:F94)</f>
        <v>0</v>
      </c>
      <c r="G95" s="65">
        <f t="shared" si="11"/>
        <v>0</v>
      </c>
      <c r="H95" s="65">
        <f t="shared" si="11"/>
        <v>0</v>
      </c>
      <c r="I95" s="65">
        <f t="shared" si="11"/>
        <v>0</v>
      </c>
      <c r="J95" s="65">
        <f t="shared" si="11"/>
        <v>0</v>
      </c>
    </row>
    <row r="96" spans="1:10" x14ac:dyDescent="0.3">
      <c r="B96"/>
    </row>
  </sheetData>
  <sheetProtection algorithmName="SHA-512" hashValue="mzctJEqhfXapHtY6Y0/mpYCrJVG2MAT4xAt7fpryr/72yEL+vem0rvcCGTvPRis77mvh+JDhU748E8jv/SYvEw==" saltValue="JMWVYotu/A6pZdG+Tbg3yg==" spinCount="100000" sheet="1" objects="1" scenarios="1"/>
  <pageMargins left="0.7" right="0.7" top="0.75" bottom="0.75" header="0.3" footer="0.3"/>
  <pageSetup paperSize="3" fitToHeight="0" orientation="landscape" r:id="rId1"/>
  <headerFooter>
    <oddHeader>&amp;R&amp;"Arial Narrow,Regular"&amp;10&amp;A
&amp;P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D6BBF-2F51-412D-A069-F6A709D7CFC0}">
  <sheetPr>
    <tabColor theme="6" tint="-0.249977111117893"/>
    <pageSetUpPr autoPageBreaks="0" fitToPage="1"/>
  </sheetPr>
  <dimension ref="A1:AL101"/>
  <sheetViews>
    <sheetView zoomScale="85" zoomScaleNormal="85" workbookViewId="0"/>
  </sheetViews>
  <sheetFormatPr defaultColWidth="8.85546875" defaultRowHeight="16.5" x14ac:dyDescent="0.3"/>
  <cols>
    <col min="1" max="1" width="6.140625" style="10" customWidth="1"/>
    <col min="2" max="2" width="39.28515625" style="10" bestFit="1" customWidth="1"/>
    <col min="3" max="3" width="18.140625" style="10" bestFit="1" customWidth="1"/>
    <col min="4" max="4" width="14.5703125" style="22" bestFit="1" customWidth="1"/>
    <col min="5" max="5" width="15.42578125" style="10" bestFit="1" customWidth="1"/>
    <col min="6" max="11" width="8.85546875" style="10"/>
    <col min="12" max="12" width="13.85546875" style="10" customWidth="1"/>
    <col min="13" max="16384" width="8.85546875" style="10"/>
  </cols>
  <sheetData>
    <row r="1" spans="1:38" s="4" customFormat="1" x14ac:dyDescent="0.3">
      <c r="A1" s="4" t="s">
        <v>602</v>
      </c>
    </row>
    <row r="2" spans="1:38" x14ac:dyDescent="0.3">
      <c r="A2" s="10" t="str">
        <f>CONCATENATE("Pupil Center Funding Plan | FY",'5.1 Assumption Control YR2'!D5)</f>
        <v>Pupil Center Funding Plan | FY2025</v>
      </c>
      <c r="D2" s="10"/>
    </row>
    <row r="3" spans="1:38" x14ac:dyDescent="0.3">
      <c r="A3" s="10" t="s">
        <v>1291</v>
      </c>
      <c r="D3" s="10"/>
    </row>
    <row r="4" spans="1:38" s="4" customFormat="1" ht="14.85" customHeight="1" x14ac:dyDescent="0.3">
      <c r="B4" s="87"/>
      <c r="D4" s="23"/>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L4" s="16"/>
    </row>
    <row r="5" spans="1:38" ht="17.25" thickBot="1" x14ac:dyDescent="0.35">
      <c r="C5" s="17" t="s">
        <v>92</v>
      </c>
      <c r="D5" s="17" t="s">
        <v>93</v>
      </c>
      <c r="E5" s="18" t="s">
        <v>94</v>
      </c>
    </row>
    <row r="6" spans="1:38" ht="18" thickTop="1" thickBot="1" x14ac:dyDescent="0.35">
      <c r="B6" s="17" t="s">
        <v>597</v>
      </c>
      <c r="C6" s="50">
        <f>'6.2 Spec Ed Local YR2'!E6</f>
        <v>5039628684.6300001</v>
      </c>
      <c r="D6" s="174">
        <f>E33</f>
        <v>4447699058.513916</v>
      </c>
      <c r="E6" s="52">
        <f>C6-D6</f>
        <v>591929626.1160841</v>
      </c>
    </row>
    <row r="7" spans="1:38" ht="18" thickTop="1" thickBot="1" x14ac:dyDescent="0.35">
      <c r="B7" s="17"/>
      <c r="C7" s="208"/>
      <c r="D7" s="209"/>
      <c r="E7" s="208"/>
    </row>
    <row r="8" spans="1:38" ht="18" thickTop="1" thickBot="1" x14ac:dyDescent="0.35">
      <c r="B8" s="17" t="str">
        <f>CONCATENATE("Statewide Base Per Pupil Funding | FY",'5.1 Assumption Control YR2'!$D$5,":")</f>
        <v>Statewide Base Per Pupil Funding | FY2025:</v>
      </c>
      <c r="C8" s="535">
        <f>'5.1 Assumption Control YR2'!D30</f>
        <v>9428</v>
      </c>
      <c r="D8" t="s">
        <v>1413</v>
      </c>
    </row>
    <row r="9" spans="1:38" ht="17.25" thickTop="1" x14ac:dyDescent="0.3">
      <c r="D9" s="23"/>
    </row>
    <row r="10" spans="1:38" x14ac:dyDescent="0.3">
      <c r="C10" s="24" t="s">
        <v>598</v>
      </c>
      <c r="D10" s="23" t="s">
        <v>0</v>
      </c>
      <c r="E10" s="24" t="s">
        <v>858</v>
      </c>
    </row>
    <row r="11" spans="1:38" ht="14.45" customHeight="1" thickBot="1" x14ac:dyDescent="0.35">
      <c r="A11" s="99"/>
      <c r="B11" s="31"/>
      <c r="C11" s="32" t="s">
        <v>737</v>
      </c>
      <c r="D11" s="33" t="s">
        <v>21</v>
      </c>
      <c r="E11" s="32" t="s">
        <v>859</v>
      </c>
    </row>
    <row r="12" spans="1:38" s="101" customFormat="1" ht="14.45" customHeight="1" thickBot="1" x14ac:dyDescent="0.3">
      <c r="A12" s="135"/>
      <c r="B12" s="159" t="s">
        <v>879</v>
      </c>
      <c r="C12" s="138" t="s">
        <v>941</v>
      </c>
      <c r="D12" s="139" t="s">
        <v>1424</v>
      </c>
      <c r="E12" s="133" t="s">
        <v>898</v>
      </c>
    </row>
    <row r="13" spans="1:38" x14ac:dyDescent="0.3">
      <c r="A13" s="4" t="s">
        <v>87</v>
      </c>
      <c r="C13" s="18"/>
      <c r="E13" s="7"/>
    </row>
    <row r="14" spans="1:38" x14ac:dyDescent="0.3">
      <c r="B14" s="10" t="str">
        <f>'5.2 Budgeted Enrollment YR2'!E9</f>
        <v>Carson City</v>
      </c>
      <c r="C14" s="12">
        <f>$C$8</f>
        <v>9428</v>
      </c>
      <c r="D14" s="536">
        <f>'5.2 Budgeted Enrollment YR2'!$G9</f>
        <v>7207.4987624368023</v>
      </c>
      <c r="E14" s="552">
        <f>D14*C14</f>
        <v>67952298.332254171</v>
      </c>
    </row>
    <row r="15" spans="1:38" x14ac:dyDescent="0.3">
      <c r="B15" s="10" t="str">
        <f>'5.2 Budgeted Enrollment YR2'!E10</f>
        <v>Churchill</v>
      </c>
      <c r="C15" s="12">
        <f t="shared" ref="C15:C32" si="0">$C$8</f>
        <v>9428</v>
      </c>
      <c r="D15" s="536">
        <f>'5.2 Budgeted Enrollment YR2'!$G10</f>
        <v>3194.3177502985195</v>
      </c>
      <c r="E15" s="552">
        <f>D15*C15</f>
        <v>30116027.749814443</v>
      </c>
      <c r="N15" s="15"/>
    </row>
    <row r="16" spans="1:38" x14ac:dyDescent="0.3">
      <c r="B16" s="10" t="str">
        <f>'5.2 Budgeted Enrollment YR2'!E11</f>
        <v>Clark</v>
      </c>
      <c r="C16" s="12">
        <f t="shared" si="0"/>
        <v>9428</v>
      </c>
      <c r="D16" s="536">
        <f>'5.2 Budgeted Enrollment YR2'!$G11</f>
        <v>293503.02038115874</v>
      </c>
      <c r="E16" s="552">
        <f>D16*C16</f>
        <v>2767146476.1535645</v>
      </c>
    </row>
    <row r="17" spans="1:12" x14ac:dyDescent="0.3">
      <c r="B17" s="10" t="str">
        <f>'5.2 Budgeted Enrollment YR2'!E12</f>
        <v>Douglas</v>
      </c>
      <c r="C17" s="12">
        <f t="shared" si="0"/>
        <v>9428</v>
      </c>
      <c r="D17" s="536">
        <f>'5.2 Budgeted Enrollment YR2'!$G12</f>
        <v>5170.6418474641814</v>
      </c>
      <c r="E17" s="552">
        <f>D17*C17</f>
        <v>48748811.337892301</v>
      </c>
    </row>
    <row r="18" spans="1:12" x14ac:dyDescent="0.3">
      <c r="B18" s="10" t="str">
        <f>'5.2 Budgeted Enrollment YR2'!E13</f>
        <v>Elko</v>
      </c>
      <c r="C18" s="12">
        <f t="shared" si="0"/>
        <v>9428</v>
      </c>
      <c r="D18" s="536">
        <f>'5.2 Budgeted Enrollment YR2'!$G13</f>
        <v>9818.4043511504351</v>
      </c>
      <c r="E18" s="552">
        <f t="shared" ref="E18:E30" si="1">D18*C18</f>
        <v>92567916.222646296</v>
      </c>
    </row>
    <row r="19" spans="1:12" x14ac:dyDescent="0.3">
      <c r="B19" s="10" t="str">
        <f>'5.2 Budgeted Enrollment YR2'!E14</f>
        <v>Esmeralda</v>
      </c>
      <c r="C19" s="12">
        <f t="shared" si="0"/>
        <v>9428</v>
      </c>
      <c r="D19" s="536">
        <f>'5.2 Budgeted Enrollment YR2'!$G14</f>
        <v>77.392537325948581</v>
      </c>
      <c r="E19" s="552">
        <f t="shared" si="1"/>
        <v>729656.84190904326</v>
      </c>
    </row>
    <row r="20" spans="1:12" x14ac:dyDescent="0.3">
      <c r="B20" s="10" t="str">
        <f>'5.2 Budgeted Enrollment YR2'!E15</f>
        <v>Eureka</v>
      </c>
      <c r="C20" s="12">
        <f t="shared" si="0"/>
        <v>9428</v>
      </c>
      <c r="D20" s="536">
        <f>'5.2 Budgeted Enrollment YR2'!$G15</f>
        <v>324.02623606097552</v>
      </c>
      <c r="E20" s="552">
        <f t="shared" si="1"/>
        <v>3054919.3535828772</v>
      </c>
    </row>
    <row r="21" spans="1:12" x14ac:dyDescent="0.3">
      <c r="B21" s="10" t="str">
        <f>'5.2 Budgeted Enrollment YR2'!E16</f>
        <v>Humboldt</v>
      </c>
      <c r="C21" s="12">
        <f t="shared" si="0"/>
        <v>9428</v>
      </c>
      <c r="D21" s="536">
        <f>'5.2 Budgeted Enrollment YR2'!$G16</f>
        <v>3185.805194816955</v>
      </c>
      <c r="E21" s="552">
        <f t="shared" si="1"/>
        <v>30035771.376734253</v>
      </c>
      <c r="L21" s="15"/>
    </row>
    <row r="22" spans="1:12" x14ac:dyDescent="0.3">
      <c r="B22" s="10" t="str">
        <f>'5.2 Budgeted Enrollment YR2'!E17</f>
        <v>Lander</v>
      </c>
      <c r="C22" s="12">
        <f t="shared" si="0"/>
        <v>9428</v>
      </c>
      <c r="D22" s="536">
        <f>'5.2 Budgeted Enrollment YR2'!$G17</f>
        <v>1003.8754811636373</v>
      </c>
      <c r="E22" s="552">
        <f t="shared" si="1"/>
        <v>9464538.0364107732</v>
      </c>
    </row>
    <row r="23" spans="1:12" x14ac:dyDescent="0.3">
      <c r="B23" s="10" t="str">
        <f>'5.2 Budgeted Enrollment YR2'!E18</f>
        <v>Lincoln</v>
      </c>
      <c r="C23" s="12">
        <f t="shared" si="0"/>
        <v>9428</v>
      </c>
      <c r="D23" s="536">
        <f>'5.2 Budgeted Enrollment YR2'!$G18</f>
        <v>883.90246946271293</v>
      </c>
      <c r="E23" s="552">
        <f>D23*C23</f>
        <v>8333432.4820944574</v>
      </c>
    </row>
    <row r="24" spans="1:12" x14ac:dyDescent="0.3">
      <c r="B24" s="10" t="str">
        <f>'5.2 Budgeted Enrollment YR2'!E19</f>
        <v>Lyon</v>
      </c>
      <c r="C24" s="12">
        <f t="shared" si="0"/>
        <v>9428</v>
      </c>
      <c r="D24" s="536">
        <f>'5.2 Budgeted Enrollment YR2'!$G19</f>
        <v>9045.069485259779</v>
      </c>
      <c r="E24" s="552">
        <f t="shared" si="1"/>
        <v>85276915.1070292</v>
      </c>
    </row>
    <row r="25" spans="1:12" x14ac:dyDescent="0.3">
      <c r="B25" s="10" t="str">
        <f>'5.2 Budgeted Enrollment YR2'!E20</f>
        <v>Mineral</v>
      </c>
      <c r="C25" s="12">
        <f t="shared" si="0"/>
        <v>9428</v>
      </c>
      <c r="D25" s="536">
        <f>'5.2 Budgeted Enrollment YR2'!$G20</f>
        <v>568.00070537479974</v>
      </c>
      <c r="E25" s="552">
        <f t="shared" si="1"/>
        <v>5355110.6502736118</v>
      </c>
    </row>
    <row r="26" spans="1:12" x14ac:dyDescent="0.3">
      <c r="B26" s="10" t="str">
        <f>'5.2 Budgeted Enrollment YR2'!E21</f>
        <v>Nye</v>
      </c>
      <c r="C26" s="12">
        <f t="shared" si="0"/>
        <v>9428</v>
      </c>
      <c r="D26" s="536">
        <f>'5.2 Budgeted Enrollment YR2'!$G21</f>
        <v>5594.5124332004871</v>
      </c>
      <c r="E26" s="552">
        <f t="shared" si="1"/>
        <v>52745063.220214196</v>
      </c>
    </row>
    <row r="27" spans="1:12" x14ac:dyDescent="0.3">
      <c r="B27" s="10" t="str">
        <f>'5.2 Budgeted Enrollment YR2'!E22</f>
        <v>Pershing</v>
      </c>
      <c r="C27" s="12">
        <f t="shared" si="0"/>
        <v>9428</v>
      </c>
      <c r="D27" s="536">
        <f>'5.2 Budgeted Enrollment YR2'!$G22</f>
        <v>660.8205610348989</v>
      </c>
      <c r="E27" s="552">
        <f t="shared" si="1"/>
        <v>6230216.2494370267</v>
      </c>
      <c r="I27" s="11"/>
    </row>
    <row r="28" spans="1:12" x14ac:dyDescent="0.3">
      <c r="B28" s="10" t="str">
        <f>'5.2 Budgeted Enrollment YR2'!E23</f>
        <v>Storey</v>
      </c>
      <c r="C28" s="12">
        <f t="shared" si="0"/>
        <v>9428</v>
      </c>
      <c r="D28" s="536">
        <f>'5.2 Budgeted Enrollment YR2'!$G23</f>
        <v>413.46750117998658</v>
      </c>
      <c r="E28" s="552">
        <f t="shared" si="1"/>
        <v>3898171.6011249134</v>
      </c>
    </row>
    <row r="29" spans="1:12" x14ac:dyDescent="0.3">
      <c r="B29" s="10" t="str">
        <f>'5.2 Budgeted Enrollment YR2'!E24</f>
        <v>Washoe</v>
      </c>
      <c r="C29" s="12">
        <f t="shared" si="0"/>
        <v>9428</v>
      </c>
      <c r="D29" s="536">
        <f>'5.2 Budgeted Enrollment YR2'!$G24</f>
        <v>60608.138003589171</v>
      </c>
      <c r="E29" s="552">
        <f t="shared" si="1"/>
        <v>571413525.09783876</v>
      </c>
    </row>
    <row r="30" spans="1:12" x14ac:dyDescent="0.3">
      <c r="B30" s="10" t="str">
        <f>'5.2 Budgeted Enrollment YR2'!E25</f>
        <v>White Pine</v>
      </c>
      <c r="C30" s="12">
        <f t="shared" si="0"/>
        <v>9428</v>
      </c>
      <c r="D30" s="536">
        <f>'5.2 Budgeted Enrollment YR2'!$G25</f>
        <v>1260.6496409044739</v>
      </c>
      <c r="E30" s="552">
        <f t="shared" si="1"/>
        <v>11885404.814447381</v>
      </c>
    </row>
    <row r="31" spans="1:12" x14ac:dyDescent="0.3">
      <c r="B31" s="10" t="str">
        <f>'5.2 Budgeted Enrollment YR2'!E26</f>
        <v>Charter Schools (Combined)</v>
      </c>
      <c r="C31" s="12">
        <f t="shared" si="0"/>
        <v>9428</v>
      </c>
      <c r="D31" s="536">
        <f>'5.2 Budgeted Enrollment YR2'!$G26</f>
        <v>69072.499417353014</v>
      </c>
      <c r="E31" s="552">
        <f>D31*C31</f>
        <v>651215524.50680423</v>
      </c>
    </row>
    <row r="32" spans="1:12" x14ac:dyDescent="0.3">
      <c r="A32" s="183"/>
      <c r="B32" s="183" t="str">
        <f>'5.2 Budgeted Enrollment YR2'!E27</f>
        <v>University Schools</v>
      </c>
      <c r="C32" s="664">
        <f t="shared" si="0"/>
        <v>9428</v>
      </c>
      <c r="D32" s="538">
        <f>'5.2 Budgeted Enrollment YR2'!$G27</f>
        <v>162.20612853670227</v>
      </c>
      <c r="E32" s="604">
        <f>D32*C32</f>
        <v>1529279.379844029</v>
      </c>
    </row>
    <row r="33" spans="1:5" s="4" customFormat="1" x14ac:dyDescent="0.3">
      <c r="B33" s="4" t="s">
        <v>89</v>
      </c>
      <c r="C33" s="553">
        <f>E33/D33</f>
        <v>9427.9999999999982</v>
      </c>
      <c r="D33" s="617">
        <f>SUM(D14:D32)</f>
        <v>471754.24888777226</v>
      </c>
      <c r="E33" s="171">
        <f>SUM(E14:E32)</f>
        <v>4447699058.513916</v>
      </c>
    </row>
    <row r="35" spans="1:5" x14ac:dyDescent="0.3">
      <c r="A35" s="4" t="s">
        <v>84</v>
      </c>
    </row>
    <row r="36" spans="1:5" x14ac:dyDescent="0.3">
      <c r="B36" s="10" t="str">
        <f>'5.2 Budgeted Enrollment YR2'!E32</f>
        <v>100 Academy Of Excellence</v>
      </c>
      <c r="C36" s="12">
        <f>$C$8</f>
        <v>9428</v>
      </c>
      <c r="D36" s="536">
        <f>'5.2 Budgeted Enrollment YR2'!$G32</f>
        <v>317.62972370211571</v>
      </c>
      <c r="E36" s="552">
        <f>D36*C36</f>
        <v>2994613.0350635471</v>
      </c>
    </row>
    <row r="37" spans="1:5" x14ac:dyDescent="0.3">
      <c r="B37" s="10" t="str">
        <f>'5.2 Budgeted Enrollment YR2'!E33</f>
        <v>Academy For Career Education</v>
      </c>
      <c r="C37" s="12">
        <f t="shared" ref="C37:C94" si="2">$C$8</f>
        <v>9428</v>
      </c>
      <c r="D37" s="536">
        <f>'5.2 Budgeted Enrollment YR2'!$G33</f>
        <v>233.39983380980189</v>
      </c>
      <c r="E37" s="552">
        <f t="shared" ref="E37:E44" si="3">D37*C37</f>
        <v>2200493.6331588123</v>
      </c>
    </row>
    <row r="38" spans="1:5" x14ac:dyDescent="0.3">
      <c r="B38" s="10" t="str">
        <f>'5.2 Budgeted Enrollment YR2'!E34</f>
        <v xml:space="preserve">Alpine Academy </v>
      </c>
      <c r="C38" s="12">
        <f t="shared" si="2"/>
        <v>9428</v>
      </c>
      <c r="D38" s="536">
        <f>'5.2 Budgeted Enrollment YR2'!$G34</f>
        <v>147.96290007070388</v>
      </c>
      <c r="E38" s="552">
        <f t="shared" si="3"/>
        <v>1394994.2218665963</v>
      </c>
    </row>
    <row r="39" spans="1:5" x14ac:dyDescent="0.3">
      <c r="B39" s="10" t="str">
        <f>'5.2 Budgeted Enrollment YR2'!E35</f>
        <v xml:space="preserve">Amplus (Formerly American Preparatory Academy) </v>
      </c>
      <c r="C39" s="12">
        <f t="shared" si="2"/>
        <v>9428</v>
      </c>
      <c r="D39" s="536">
        <f>'5.2 Budgeted Enrollment YR2'!$G35</f>
        <v>2269.9763633103498</v>
      </c>
      <c r="E39" s="552">
        <f t="shared" si="3"/>
        <v>21401337.153289977</v>
      </c>
    </row>
    <row r="40" spans="1:5" x14ac:dyDescent="0.3">
      <c r="B40" s="10" t="str">
        <f>'5.2 Budgeted Enrollment YR2'!E36</f>
        <v>Bailey Charter School</v>
      </c>
      <c r="C40" s="12">
        <f t="shared" si="2"/>
        <v>9428</v>
      </c>
      <c r="D40" s="536">
        <f>'5.2 Budgeted Enrollment YR2'!$G36</f>
        <v>175.50477307407152</v>
      </c>
      <c r="E40" s="552">
        <f t="shared" si="3"/>
        <v>1654659.0005423464</v>
      </c>
    </row>
    <row r="41" spans="1:5" x14ac:dyDescent="0.3">
      <c r="B41" s="10" t="str">
        <f>'5.2 Budgeted Enrollment YR2'!E37</f>
        <v>Battle Born Academy</v>
      </c>
      <c r="C41" s="12">
        <f t="shared" si="2"/>
        <v>9428</v>
      </c>
      <c r="D41" s="536">
        <f>'5.2 Budgeted Enrollment YR2'!$G37</f>
        <v>132.30307201336225</v>
      </c>
      <c r="E41" s="552">
        <f t="shared" si="3"/>
        <v>1247353.3629419794</v>
      </c>
    </row>
    <row r="42" spans="1:5" x14ac:dyDescent="0.3">
      <c r="B42" s="10" t="str">
        <f>'5.2 Budgeted Enrollment YR2'!E38</f>
        <v>Beacon Academy</v>
      </c>
      <c r="C42" s="12">
        <f t="shared" si="2"/>
        <v>9428</v>
      </c>
      <c r="D42" s="536">
        <f>'5.2 Budgeted Enrollment YR2'!$G38</f>
        <v>601.80991881205171</v>
      </c>
      <c r="E42" s="552">
        <f t="shared" si="3"/>
        <v>5673863.9145600237</v>
      </c>
    </row>
    <row r="43" spans="1:5" x14ac:dyDescent="0.3">
      <c r="B43" s="10" t="str">
        <f>'5.2 Budgeted Enrollment YR2'!E39</f>
        <v>Cactus Park</v>
      </c>
      <c r="C43" s="12">
        <f t="shared" si="2"/>
        <v>9428</v>
      </c>
      <c r="D43" s="536">
        <f>'5.2 Budgeted Enrollment YR2'!$G39</f>
        <v>108.63814205394173</v>
      </c>
      <c r="E43" s="552">
        <f t="shared" si="3"/>
        <v>1024240.4032845626</v>
      </c>
    </row>
    <row r="44" spans="1:5" x14ac:dyDescent="0.3">
      <c r="B44" s="10" t="str">
        <f>'5.2 Budgeted Enrollment YR2'!E40</f>
        <v>Carson Montessori</v>
      </c>
      <c r="C44" s="12">
        <f t="shared" si="2"/>
        <v>9428</v>
      </c>
      <c r="D44" s="536">
        <f>'5.2 Budgeted Enrollment YR2'!$G40</f>
        <v>286.5624465080453</v>
      </c>
      <c r="E44" s="552">
        <f t="shared" si="3"/>
        <v>2701710.7456778511</v>
      </c>
    </row>
    <row r="45" spans="1:5" x14ac:dyDescent="0.3">
      <c r="B45" s="10" t="str">
        <f>'5.2 Budgeted Enrollment YR2'!E41</f>
        <v>CIVICA Nevada Career &amp; Collegiate Academy</v>
      </c>
      <c r="C45" s="12">
        <f t="shared" si="2"/>
        <v>9428</v>
      </c>
      <c r="D45" s="536">
        <f>'5.2 Budgeted Enrollment YR2'!$G41</f>
        <v>766.82382275741224</v>
      </c>
      <c r="E45" s="552">
        <f t="shared" ref="E45:E94" si="4">D45*C45</f>
        <v>7229615.0009568827</v>
      </c>
    </row>
    <row r="46" spans="1:5" x14ac:dyDescent="0.3">
      <c r="B46" s="10" t="str">
        <f>'5.2 Budgeted Enrollment YR2'!E42</f>
        <v>Coral Academy of Science Las Vegas</v>
      </c>
      <c r="C46" s="12">
        <f t="shared" si="2"/>
        <v>9428</v>
      </c>
      <c r="D46" s="536">
        <f>'5.2 Budgeted Enrollment YR2'!$G42</f>
        <v>5181.6526046932322</v>
      </c>
      <c r="E46" s="552">
        <f t="shared" si="4"/>
        <v>48852620.757047795</v>
      </c>
    </row>
    <row r="47" spans="1:5" x14ac:dyDescent="0.3">
      <c r="B47" s="10" t="str">
        <f>'5.2 Budgeted Enrollment YR2'!E43</f>
        <v>Coral Academy Washoe</v>
      </c>
      <c r="C47" s="12">
        <f t="shared" si="2"/>
        <v>9428</v>
      </c>
      <c r="D47" s="536">
        <f>'5.2 Budgeted Enrollment YR2'!$G43</f>
        <v>1764.8271374062203</v>
      </c>
      <c r="E47" s="552">
        <f t="shared" si="4"/>
        <v>16638790.251465846</v>
      </c>
    </row>
    <row r="48" spans="1:5" x14ac:dyDescent="0.3">
      <c r="B48" s="10" t="str">
        <f>'5.2 Budgeted Enrollment YR2'!E44</f>
        <v>Delta Academy</v>
      </c>
      <c r="C48" s="12">
        <f t="shared" si="2"/>
        <v>9428</v>
      </c>
      <c r="D48" s="536">
        <f>'5.2 Budgeted Enrollment YR2'!$G44</f>
        <v>1260.4243542206814</v>
      </c>
      <c r="E48" s="552">
        <f t="shared" si="4"/>
        <v>11883280.811592584</v>
      </c>
    </row>
    <row r="49" spans="2:5" x14ac:dyDescent="0.3">
      <c r="B49" s="10" t="str">
        <f>'5.2 Budgeted Enrollment YR2'!E45</f>
        <v>Democracy Prep</v>
      </c>
      <c r="C49" s="12">
        <f t="shared" si="2"/>
        <v>9428</v>
      </c>
      <c r="D49" s="536">
        <f>'5.2 Budgeted Enrollment YR2'!$G45</f>
        <v>1204.5222970981536</v>
      </c>
      <c r="E49" s="552">
        <f t="shared" si="4"/>
        <v>11356236.217041392</v>
      </c>
    </row>
    <row r="50" spans="2:5" x14ac:dyDescent="0.3">
      <c r="B50" s="10" t="str">
        <f>'5.2 Budgeted Enrollment YR2'!E46</f>
        <v>Discovery Charter</v>
      </c>
      <c r="C50" s="12">
        <f t="shared" si="2"/>
        <v>9428</v>
      </c>
      <c r="D50" s="536">
        <f>'5.2 Budgeted Enrollment YR2'!$G46</f>
        <v>492.70232395441064</v>
      </c>
      <c r="E50" s="552">
        <f t="shared" si="4"/>
        <v>4645197.5102421837</v>
      </c>
    </row>
    <row r="51" spans="2:5" x14ac:dyDescent="0.3">
      <c r="B51" s="10" t="str">
        <f>'5.2 Budgeted Enrollment YR2'!E47</f>
        <v>Doral Academy</v>
      </c>
      <c r="C51" s="12">
        <f t="shared" si="2"/>
        <v>9428</v>
      </c>
      <c r="D51" s="536">
        <f>'5.2 Budgeted Enrollment YR2'!$G47</f>
        <v>6286.4164943188516</v>
      </c>
      <c r="E51" s="552">
        <f t="shared" si="4"/>
        <v>59268334.708438136</v>
      </c>
    </row>
    <row r="52" spans="2:5" x14ac:dyDescent="0.3">
      <c r="B52" s="10" t="str">
        <f>'5.2 Budgeted Enrollment YR2'!E48</f>
        <v>Doral Academy of Northern Nevada</v>
      </c>
      <c r="C52" s="12">
        <f t="shared" si="2"/>
        <v>9428</v>
      </c>
      <c r="D52" s="536">
        <f>'5.2 Budgeted Enrollment YR2'!$G48</f>
        <v>958.37624221890496</v>
      </c>
      <c r="E52" s="552">
        <f t="shared" si="4"/>
        <v>9035571.2116398364</v>
      </c>
    </row>
    <row r="53" spans="2:5" x14ac:dyDescent="0.3">
      <c r="B53" s="10" t="str">
        <f>'5.2 Budgeted Enrollment YR2'!E49</f>
        <v>Eagle Charter School</v>
      </c>
      <c r="C53" s="12">
        <f t="shared" si="2"/>
        <v>9428</v>
      </c>
      <c r="D53" s="536">
        <f>'5.2 Budgeted Enrollment YR2'!$G49</f>
        <v>540.54</v>
      </c>
      <c r="E53" s="552">
        <f t="shared" si="4"/>
        <v>5096211.12</v>
      </c>
    </row>
    <row r="54" spans="2:5" x14ac:dyDescent="0.3">
      <c r="B54" s="10" t="str">
        <f>'5.2 Budgeted Enrollment YR2'!E50</f>
        <v>Elko Institute for Academic Achievement</v>
      </c>
      <c r="C54" s="12">
        <f t="shared" si="2"/>
        <v>9428</v>
      </c>
      <c r="D54" s="536">
        <f>'5.2 Budgeted Enrollment YR2'!$G50</f>
        <v>197.4407703597104</v>
      </c>
      <c r="E54" s="552">
        <f t="shared" si="4"/>
        <v>1861471.5829513497</v>
      </c>
    </row>
    <row r="55" spans="2:5" x14ac:dyDescent="0.3">
      <c r="B55" s="10" t="str">
        <f>'5.2 Budgeted Enrollment YR2'!E51</f>
        <v>enCompass Academy</v>
      </c>
      <c r="C55" s="12">
        <f t="shared" si="2"/>
        <v>9428</v>
      </c>
      <c r="D55" s="536">
        <f>'5.2 Budgeted Enrollment YR2'!$G51</f>
        <v>114.98868933024798</v>
      </c>
      <c r="E55" s="552">
        <f t="shared" si="4"/>
        <v>1084113.3630055781</v>
      </c>
    </row>
    <row r="56" spans="2:5" x14ac:dyDescent="0.3">
      <c r="B56" s="10" t="str">
        <f>'5.2 Budgeted Enrollment YR2'!E52</f>
        <v>Equipo Academy</v>
      </c>
      <c r="C56" s="12">
        <f t="shared" si="2"/>
        <v>9428</v>
      </c>
      <c r="D56" s="536">
        <f>'5.2 Budgeted Enrollment YR2'!$G52</f>
        <v>799.91961948830169</v>
      </c>
      <c r="E56" s="552">
        <f t="shared" si="4"/>
        <v>7541642.1725357082</v>
      </c>
    </row>
    <row r="57" spans="2:5" x14ac:dyDescent="0.3">
      <c r="B57" s="10" t="str">
        <f>'5.2 Budgeted Enrollment YR2'!E53</f>
        <v>Explore Academy</v>
      </c>
      <c r="C57" s="12">
        <f t="shared" si="2"/>
        <v>9428</v>
      </c>
      <c r="D57" s="536">
        <f>'5.2 Budgeted Enrollment YR2'!$G53</f>
        <v>275.00799010221766</v>
      </c>
      <c r="E57" s="552">
        <f t="shared" si="4"/>
        <v>2592775.3306837082</v>
      </c>
    </row>
    <row r="58" spans="2:5" x14ac:dyDescent="0.3">
      <c r="B58" s="10" t="str">
        <f>'5.2 Budgeted Enrollment YR2'!E54</f>
        <v>Explore Knowledge Academy</v>
      </c>
      <c r="C58" s="12">
        <f t="shared" si="2"/>
        <v>9428</v>
      </c>
      <c r="D58" s="536">
        <f>'5.2 Budgeted Enrollment YR2'!$G54</f>
        <v>672.490310086195</v>
      </c>
      <c r="E58" s="552">
        <f t="shared" si="4"/>
        <v>6340238.6434926465</v>
      </c>
    </row>
    <row r="59" spans="2:5" x14ac:dyDescent="0.3">
      <c r="B59" s="10" t="str">
        <f>'5.2 Budgeted Enrollment YR2'!E55</f>
        <v>Founders Academy of Las Vegas</v>
      </c>
      <c r="C59" s="12">
        <f t="shared" si="2"/>
        <v>9428</v>
      </c>
      <c r="D59" s="536">
        <f>'5.2 Budgeted Enrollment YR2'!$G55</f>
        <v>943.25732389413508</v>
      </c>
      <c r="E59" s="552">
        <f t="shared" si="4"/>
        <v>8893030.0496739056</v>
      </c>
    </row>
    <row r="60" spans="2:5" x14ac:dyDescent="0.3">
      <c r="B60" s="10" t="str">
        <f>'5.2 Budgeted Enrollment YR2'!E56</f>
        <v>Freedom Classical Academy</v>
      </c>
      <c r="C60" s="12">
        <f t="shared" si="2"/>
        <v>9428</v>
      </c>
      <c r="D60" s="536">
        <f>'5.2 Budgeted Enrollment YR2'!$G56</f>
        <v>1045.9981866482556</v>
      </c>
      <c r="E60" s="552">
        <f t="shared" si="4"/>
        <v>9861670.903719753</v>
      </c>
    </row>
    <row r="61" spans="2:5" s="19" customFormat="1" x14ac:dyDescent="0.3">
      <c r="B61" s="10" t="str">
        <f>'5.2 Budgeted Enrollment YR2'!E57</f>
        <v>Futuro Academy Elementary</v>
      </c>
      <c r="C61" s="12">
        <f t="shared" si="2"/>
        <v>9428</v>
      </c>
      <c r="D61" s="536">
        <f>'5.2 Budgeted Enrollment YR2'!$G57</f>
        <v>464.17096223843089</v>
      </c>
      <c r="E61" s="552">
        <f t="shared" si="4"/>
        <v>4376203.8319839267</v>
      </c>
    </row>
    <row r="62" spans="2:5" x14ac:dyDescent="0.3">
      <c r="B62" s="10" t="str">
        <f>'5.2 Budgeted Enrollment YR2'!E58</f>
        <v>Girls Athletic Leadership Schools</v>
      </c>
      <c r="C62" s="12">
        <f t="shared" si="2"/>
        <v>9428</v>
      </c>
      <c r="D62" s="536">
        <f>'5.2 Budgeted Enrollment YR2'!$G58</f>
        <v>0</v>
      </c>
      <c r="E62" s="552">
        <f t="shared" si="4"/>
        <v>0</v>
      </c>
    </row>
    <row r="63" spans="2:5" x14ac:dyDescent="0.3">
      <c r="B63" s="10" t="str">
        <f>'5.2 Budgeted Enrollment YR2'!E59</f>
        <v>High Desert Montessori</v>
      </c>
      <c r="C63" s="12">
        <f t="shared" si="2"/>
        <v>9428</v>
      </c>
      <c r="D63" s="536">
        <f>'5.2 Budgeted Enrollment YR2'!$G59</f>
        <v>392.72260172975848</v>
      </c>
      <c r="E63" s="552">
        <f t="shared" si="4"/>
        <v>3702588.6891081631</v>
      </c>
    </row>
    <row r="64" spans="2:5" x14ac:dyDescent="0.3">
      <c r="B64" s="10" t="str">
        <f>'5.2 Budgeted Enrollment YR2'!E60</f>
        <v>Honors Academy of Literature</v>
      </c>
      <c r="C64" s="12">
        <f t="shared" si="2"/>
        <v>9428</v>
      </c>
      <c r="D64" s="536">
        <f>'5.2 Budgeted Enrollment YR2'!$G60</f>
        <v>216.78092314626417</v>
      </c>
      <c r="E64" s="552">
        <f t="shared" si="4"/>
        <v>2043810.5434229786</v>
      </c>
    </row>
    <row r="65" spans="2:5" x14ac:dyDescent="0.3">
      <c r="B65" s="10" t="str">
        <f>'5.2 Budgeted Enrollment YR2'!E61</f>
        <v>Imagine School Mountain View</v>
      </c>
      <c r="C65" s="12">
        <f t="shared" si="2"/>
        <v>9428</v>
      </c>
      <c r="D65" s="536">
        <f>'5.2 Budgeted Enrollment YR2'!$G61</f>
        <v>672.04958495599931</v>
      </c>
      <c r="E65" s="552">
        <f t="shared" si="4"/>
        <v>6336083.4869651617</v>
      </c>
    </row>
    <row r="66" spans="2:5" x14ac:dyDescent="0.3">
      <c r="B66" s="10" t="str">
        <f>'5.2 Budgeted Enrollment YR2'!E62</f>
        <v>Innovations Int'l Charter</v>
      </c>
      <c r="C66" s="12">
        <f t="shared" si="2"/>
        <v>9428</v>
      </c>
      <c r="D66" s="536">
        <f>'5.2 Budgeted Enrollment YR2'!$G62</f>
        <v>737.8298019390819</v>
      </c>
      <c r="E66" s="552">
        <f t="shared" si="4"/>
        <v>6956259.3726816643</v>
      </c>
    </row>
    <row r="67" spans="2:5" x14ac:dyDescent="0.3">
      <c r="B67" s="10" t="str">
        <f>'5.2 Budgeted Enrollment YR2'!E63</f>
        <v>Leadership Academy of Nevada</v>
      </c>
      <c r="C67" s="12">
        <f t="shared" si="2"/>
        <v>9428</v>
      </c>
      <c r="D67" s="536">
        <f>'5.2 Budgeted Enrollment YR2'!$G63</f>
        <v>267.90731642854911</v>
      </c>
      <c r="E67" s="552">
        <f t="shared" si="4"/>
        <v>2525830.1792883612</v>
      </c>
    </row>
    <row r="68" spans="2:5" x14ac:dyDescent="0.3">
      <c r="B68" s="10" t="str">
        <f>'5.2 Budgeted Enrollment YR2'!E64</f>
        <v>Learning Bridge</v>
      </c>
      <c r="C68" s="12">
        <f t="shared" si="2"/>
        <v>9428</v>
      </c>
      <c r="D68" s="536">
        <f>'5.2 Budgeted Enrollment YR2'!$G64</f>
        <v>175.37345354755249</v>
      </c>
      <c r="E68" s="552">
        <f t="shared" si="4"/>
        <v>1653420.9200463248</v>
      </c>
    </row>
    <row r="69" spans="2:5" x14ac:dyDescent="0.3">
      <c r="B69" s="10" t="str">
        <f>'5.2 Budgeted Enrollment YR2'!E65</f>
        <v>Legacy Traditional Schools</v>
      </c>
      <c r="C69" s="12">
        <f t="shared" si="2"/>
        <v>9428</v>
      </c>
      <c r="D69" s="536">
        <f>'5.2 Budgeted Enrollment YR2'!$G65</f>
        <v>4018.3786872551959</v>
      </c>
      <c r="E69" s="552">
        <f t="shared" si="4"/>
        <v>37885274.263441987</v>
      </c>
    </row>
    <row r="70" spans="2:5" x14ac:dyDescent="0.3">
      <c r="B70" s="10" t="str">
        <f>'5.2 Budgeted Enrollment YR2'!E66</f>
        <v>Mariposa Dual Language Academy</v>
      </c>
      <c r="C70" s="12">
        <f t="shared" si="2"/>
        <v>9428</v>
      </c>
      <c r="D70" s="536">
        <f>'5.2 Budgeted Enrollment YR2'!$G66</f>
        <v>160.32246760830301</v>
      </c>
      <c r="E70" s="552">
        <f t="shared" si="4"/>
        <v>1511520.2246110807</v>
      </c>
    </row>
    <row r="71" spans="2:5" x14ac:dyDescent="0.3">
      <c r="B71" s="10" t="str">
        <f>'5.2 Budgeted Enrollment YR2'!E67</f>
        <v>Mater Academy</v>
      </c>
      <c r="C71" s="12">
        <f t="shared" si="2"/>
        <v>9428</v>
      </c>
      <c r="D71" s="536">
        <f>'5.2 Budgeted Enrollment YR2'!$G67</f>
        <v>3961.4054733841613</v>
      </c>
      <c r="E71" s="552">
        <f t="shared" si="4"/>
        <v>37348130.803065874</v>
      </c>
    </row>
    <row r="72" spans="2:5" x14ac:dyDescent="0.3">
      <c r="B72" s="10" t="str">
        <f>'5.2 Budgeted Enrollment YR2'!E68</f>
        <v>Mater Academy of Northern Nevada</v>
      </c>
      <c r="C72" s="12">
        <f t="shared" si="2"/>
        <v>9428</v>
      </c>
      <c r="D72" s="536">
        <f>'5.2 Budgeted Enrollment YR2'!$G68</f>
        <v>491.96676270841391</v>
      </c>
      <c r="E72" s="552">
        <f t="shared" si="4"/>
        <v>4638262.6388149261</v>
      </c>
    </row>
    <row r="73" spans="2:5" x14ac:dyDescent="0.3">
      <c r="B73" s="10" t="str">
        <f>'5.2 Budgeted Enrollment YR2'!E69</f>
        <v>Nevada Connections Academy</v>
      </c>
      <c r="C73" s="12">
        <f t="shared" si="2"/>
        <v>9428</v>
      </c>
      <c r="D73" s="536">
        <f>'5.2 Budgeted Enrollment YR2'!$G69</f>
        <v>1067.0069745922351</v>
      </c>
      <c r="E73" s="552">
        <f t="shared" si="4"/>
        <v>10059741.756455593</v>
      </c>
    </row>
    <row r="74" spans="2:5" x14ac:dyDescent="0.3">
      <c r="B74" s="10" t="str">
        <f>'5.2 Budgeted Enrollment YR2'!E70</f>
        <v>Nevada Prep</v>
      </c>
      <c r="C74" s="12">
        <f t="shared" si="2"/>
        <v>9428</v>
      </c>
      <c r="D74" s="536">
        <f>'5.2 Budgeted Enrollment YR2'!$G70</f>
        <v>281.61777384713741</v>
      </c>
      <c r="E74" s="552">
        <f t="shared" si="4"/>
        <v>2655092.3718308117</v>
      </c>
    </row>
    <row r="75" spans="2:5" x14ac:dyDescent="0.3">
      <c r="B75" s="10" t="str">
        <f>'5.2 Budgeted Enrollment YR2'!E71</f>
        <v xml:space="preserve">Nevada Rise </v>
      </c>
      <c r="C75" s="12">
        <f t="shared" si="2"/>
        <v>9428</v>
      </c>
      <c r="D75" s="536">
        <f>'5.2 Budgeted Enrollment YR2'!$G71</f>
        <v>458.36661953837051</v>
      </c>
      <c r="E75" s="552">
        <f t="shared" si="4"/>
        <v>4321480.489007757</v>
      </c>
    </row>
    <row r="76" spans="2:5" x14ac:dyDescent="0.3">
      <c r="B76" s="10" t="str">
        <f>'5.2 Budgeted Enrollment YR2'!E72</f>
        <v>Nevada State High School</v>
      </c>
      <c r="C76" s="12">
        <f t="shared" si="2"/>
        <v>9428</v>
      </c>
      <c r="D76" s="536">
        <f>'5.2 Budgeted Enrollment YR2'!$G72</f>
        <v>984.30035161182957</v>
      </c>
      <c r="E76" s="552">
        <f t="shared" si="4"/>
        <v>9279983.7149963286</v>
      </c>
    </row>
    <row r="77" spans="2:5" x14ac:dyDescent="0.3">
      <c r="B77" s="10" t="str">
        <f>'5.2 Budgeted Enrollment YR2'!E73</f>
        <v>Nevada State High School-Meadowwood</v>
      </c>
      <c r="C77" s="12">
        <f t="shared" si="2"/>
        <v>9428</v>
      </c>
      <c r="D77" s="536">
        <f>'5.2 Budgeted Enrollment YR2'!$G73</f>
        <v>31.853232783121751</v>
      </c>
      <c r="E77" s="552">
        <f t="shared" si="4"/>
        <v>300312.27867927187</v>
      </c>
    </row>
    <row r="78" spans="2:5" x14ac:dyDescent="0.3">
      <c r="B78" s="10" t="str">
        <f>'5.2 Budgeted Enrollment YR2'!E74</f>
        <v>Nevada Virtual Academy</v>
      </c>
      <c r="C78" s="12">
        <f t="shared" si="2"/>
        <v>9428</v>
      </c>
      <c r="D78" s="536">
        <f>'5.2 Budgeted Enrollment YR2'!$G74</f>
        <v>2160.5541598280038</v>
      </c>
      <c r="E78" s="552">
        <f t="shared" si="4"/>
        <v>20369704.618858419</v>
      </c>
    </row>
    <row r="79" spans="2:5" x14ac:dyDescent="0.3">
      <c r="B79" s="10" t="str">
        <f>'5.2 Budgeted Enrollment YR2'!E75</f>
        <v>Oasis Academy</v>
      </c>
      <c r="C79" s="12">
        <f t="shared" si="2"/>
        <v>9428</v>
      </c>
      <c r="D79" s="536">
        <f>'5.2 Budgeted Enrollment YR2'!$G75</f>
        <v>734.93884731429671</v>
      </c>
      <c r="E79" s="552">
        <f t="shared" si="4"/>
        <v>6929003.4524791893</v>
      </c>
    </row>
    <row r="80" spans="2:5" x14ac:dyDescent="0.3">
      <c r="B80" s="10" t="str">
        <f>'5.2 Budgeted Enrollment YR2'!E76</f>
        <v>Odyssey Charter Schools</v>
      </c>
      <c r="C80" s="12">
        <f t="shared" si="2"/>
        <v>9428</v>
      </c>
      <c r="D80" s="536">
        <f>'5.2 Budgeted Enrollment YR2'!$G76</f>
        <v>2327.5551768725609</v>
      </c>
      <c r="E80" s="552">
        <f t="shared" si="4"/>
        <v>21944190.207554504</v>
      </c>
    </row>
    <row r="81" spans="1:5" x14ac:dyDescent="0.3">
      <c r="B81" s="10" t="str">
        <f>'5.2 Budgeted Enrollment YR2'!E77</f>
        <v>Pinecrest Academy of Northern Nevada</v>
      </c>
      <c r="C81" s="12">
        <f t="shared" si="2"/>
        <v>9428</v>
      </c>
      <c r="D81" s="536">
        <f>'5.2 Budgeted Enrollment YR2'!$G77</f>
        <v>927.90151170988167</v>
      </c>
      <c r="E81" s="552">
        <f t="shared" si="4"/>
        <v>8748255.4524007645</v>
      </c>
    </row>
    <row r="82" spans="1:5" x14ac:dyDescent="0.3">
      <c r="B82" s="10" t="str">
        <f>'5.2 Budgeted Enrollment YR2'!E78</f>
        <v>Pinecrest Academy of Nevada</v>
      </c>
      <c r="C82" s="12">
        <f t="shared" si="2"/>
        <v>9428</v>
      </c>
      <c r="D82" s="536">
        <f>'5.2 Budgeted Enrollment YR2'!$G78</f>
        <v>7413.8513684858726</v>
      </c>
      <c r="E82" s="552">
        <f t="shared" si="4"/>
        <v>69897790.70208481</v>
      </c>
    </row>
    <row r="83" spans="1:5" x14ac:dyDescent="0.3">
      <c r="B83" s="10" t="str">
        <f>'5.2 Budgeted Enrollment YR2'!E79</f>
        <v>Quest Academy</v>
      </c>
      <c r="C83" s="12">
        <f t="shared" si="2"/>
        <v>9428</v>
      </c>
      <c r="D83" s="536">
        <f>'5.2 Budgeted Enrollment YR2'!$G79</f>
        <v>435.30441038798858</v>
      </c>
      <c r="E83" s="552">
        <f t="shared" si="4"/>
        <v>4104049.9811379565</v>
      </c>
    </row>
    <row r="84" spans="1:5" x14ac:dyDescent="0.3">
      <c r="B84" s="10" t="str">
        <f>'5.2 Budgeted Enrollment YR2'!E80</f>
        <v>Rainbow Dreams Academy</v>
      </c>
      <c r="C84" s="12">
        <f t="shared" si="2"/>
        <v>9428</v>
      </c>
      <c r="D84" s="536">
        <f>'5.2 Budgeted Enrollment YR2'!$G80</f>
        <v>70.305537539337109</v>
      </c>
      <c r="E84" s="552">
        <f t="shared" si="4"/>
        <v>662840.6079208703</v>
      </c>
    </row>
    <row r="85" spans="1:5" x14ac:dyDescent="0.3">
      <c r="B85" s="10" t="str">
        <f>'5.2 Budgeted Enrollment YR2'!E81</f>
        <v>Rooted Charter School</v>
      </c>
      <c r="C85" s="12">
        <f t="shared" si="2"/>
        <v>9428</v>
      </c>
      <c r="D85" s="536">
        <f>'5.2 Budgeted Enrollment YR2'!$G81</f>
        <v>180.18</v>
      </c>
      <c r="E85" s="552">
        <f t="shared" ref="E85" si="5">D85*C85</f>
        <v>1698737.04</v>
      </c>
    </row>
    <row r="86" spans="1:5" x14ac:dyDescent="0.3">
      <c r="B86" s="10" t="str">
        <f>'5.2 Budgeted Enrollment YR2'!E82</f>
        <v>Sage Collegiate Academy</v>
      </c>
      <c r="C86" s="12">
        <f t="shared" si="2"/>
        <v>9428</v>
      </c>
      <c r="D86" s="536">
        <f>'5.2 Budgeted Enrollment YR2'!$G82</f>
        <v>199.07693671069981</v>
      </c>
      <c r="E86" s="552">
        <f t="shared" si="4"/>
        <v>1876897.3593084777</v>
      </c>
    </row>
    <row r="87" spans="1:5" x14ac:dyDescent="0.3">
      <c r="B87" s="10" t="str">
        <f>'5.2 Budgeted Enrollment YR2'!E83</f>
        <v>Sierra Nevada Academy Charter</v>
      </c>
      <c r="C87" s="12">
        <f t="shared" si="2"/>
        <v>9428</v>
      </c>
      <c r="D87" s="536">
        <f>'5.2 Budgeted Enrollment YR2'!$G83</f>
        <v>324.28890145521717</v>
      </c>
      <c r="E87" s="552">
        <f t="shared" si="4"/>
        <v>3057395.7629197873</v>
      </c>
    </row>
    <row r="88" spans="1:5" x14ac:dyDescent="0.3">
      <c r="B88" s="10" t="str">
        <f>'5.2 Budgeted Enrollment YR2'!E84</f>
        <v>Signature Preparatory</v>
      </c>
      <c r="C88" s="12">
        <f t="shared" si="2"/>
        <v>9428</v>
      </c>
      <c r="D88" s="536">
        <f>'5.2 Budgeted Enrollment YR2'!$G84</f>
        <v>974.64912726903549</v>
      </c>
      <c r="E88" s="552">
        <f t="shared" si="4"/>
        <v>9188991.9718924668</v>
      </c>
    </row>
    <row r="89" spans="1:5" x14ac:dyDescent="0.3">
      <c r="B89" s="10" t="str">
        <f>'5.2 Budgeted Enrollment YR2'!E85</f>
        <v>Silver Sands Montessori</v>
      </c>
      <c r="C89" s="12">
        <f t="shared" si="2"/>
        <v>9428</v>
      </c>
      <c r="D89" s="536">
        <f>'5.2 Budgeted Enrollment YR2'!$G85</f>
        <v>240.38764208158702</v>
      </c>
      <c r="E89" s="552">
        <f t="shared" si="4"/>
        <v>2266374.6895452025</v>
      </c>
    </row>
    <row r="90" spans="1:5" x14ac:dyDescent="0.3">
      <c r="B90" s="10" t="str">
        <f>'5.2 Budgeted Enrollment YR2'!E86</f>
        <v>Somerset Academy</v>
      </c>
      <c r="C90" s="12">
        <f t="shared" si="2"/>
        <v>9428</v>
      </c>
      <c r="D90" s="536">
        <f>'5.2 Budgeted Enrollment YR2'!$G86</f>
        <v>9475.6362211165433</v>
      </c>
      <c r="E90" s="552">
        <f t="shared" si="4"/>
        <v>89336298.292686775</v>
      </c>
    </row>
    <row r="91" spans="1:5" x14ac:dyDescent="0.3">
      <c r="B91" s="10" t="str">
        <f>'5.2 Budgeted Enrollment YR2'!E87</f>
        <v>Southern Nevada Trade High School</v>
      </c>
      <c r="C91" s="12">
        <f t="shared" si="2"/>
        <v>9428</v>
      </c>
      <c r="D91" s="536">
        <f>'5.2 Budgeted Enrollment YR2'!$G87</f>
        <v>200.2</v>
      </c>
      <c r="E91" s="552">
        <f t="shared" ref="E91" si="6">D91*C91</f>
        <v>1887485.5999999999</v>
      </c>
    </row>
    <row r="92" spans="1:5" x14ac:dyDescent="0.3">
      <c r="B92" s="10" t="str">
        <f>'5.2 Budgeted Enrollment YR2'!E88</f>
        <v>Sports Leadership and Management Academy</v>
      </c>
      <c r="C92" s="12">
        <f t="shared" si="2"/>
        <v>9428</v>
      </c>
      <c r="D92" s="536">
        <f>'5.2 Budgeted Enrollment YR2'!$G88</f>
        <v>1788.0122702171184</v>
      </c>
      <c r="E92" s="552">
        <f t="shared" si="4"/>
        <v>16857379.683606993</v>
      </c>
    </row>
    <row r="93" spans="1:5" x14ac:dyDescent="0.3">
      <c r="B93" s="10" t="str">
        <f>'5.2 Budgeted Enrollment YR2'!E89</f>
        <v>Strong Start Academy</v>
      </c>
      <c r="C93" s="12">
        <f t="shared" si="2"/>
        <v>9428</v>
      </c>
      <c r="D93" s="536">
        <f>'5.2 Budgeted Enrollment YR2'!$G89</f>
        <v>80.710975515445185</v>
      </c>
      <c r="E93" s="552">
        <f t="shared" si="4"/>
        <v>760943.07715961721</v>
      </c>
    </row>
    <row r="94" spans="1:5" x14ac:dyDescent="0.3">
      <c r="B94" s="10" t="str">
        <f>'5.2 Budgeted Enrollment YR2'!E90</f>
        <v>TEACH Las Vegas</v>
      </c>
      <c r="C94" s="12">
        <f t="shared" si="2"/>
        <v>9428</v>
      </c>
      <c r="D94" s="536">
        <f>'5.2 Budgeted Enrollment YR2'!$G90</f>
        <v>321.30487536118619</v>
      </c>
      <c r="E94" s="552">
        <f t="shared" si="4"/>
        <v>3029262.3649052633</v>
      </c>
    </row>
    <row r="95" spans="1:5" x14ac:dyDescent="0.3">
      <c r="A95" s="183"/>
      <c r="B95" s="183" t="str">
        <f>'5.2 Budgeted Enrollment YR2'!E91</f>
        <v>Young Women's Leadership Academy</v>
      </c>
      <c r="C95" s="664">
        <f>$C$8</f>
        <v>9428</v>
      </c>
      <c r="D95" s="538">
        <f>'5.2 Budgeted Enrollment YR2'!$G91</f>
        <v>56.413128242471004</v>
      </c>
      <c r="E95" s="604">
        <f>D95*C95</f>
        <v>531862.9730700166</v>
      </c>
    </row>
    <row r="96" spans="1:5" s="4" customFormat="1" x14ac:dyDescent="0.3">
      <c r="B96" s="4" t="s">
        <v>63</v>
      </c>
      <c r="C96" s="12">
        <f t="shared" ref="C96:C101" si="7">$C$8</f>
        <v>9428</v>
      </c>
      <c r="D96" s="617">
        <f>SUM(D36:D95)</f>
        <v>69072.499417353014</v>
      </c>
      <c r="E96" s="554">
        <f>SUM(E36:E95)</f>
        <v>651215524.50680447</v>
      </c>
    </row>
    <row r="97" spans="1:5" x14ac:dyDescent="0.3">
      <c r="C97" s="12"/>
    </row>
    <row r="98" spans="1:5" x14ac:dyDescent="0.3">
      <c r="A98" s="10" t="s">
        <v>1256</v>
      </c>
      <c r="C98" s="12"/>
    </row>
    <row r="99" spans="1:5" x14ac:dyDescent="0.3">
      <c r="B99" s="10" t="str">
        <f>'5.2 Budgeted Enrollment YR2'!E96</f>
        <v>Davidson Academy</v>
      </c>
      <c r="C99" s="12">
        <f t="shared" si="7"/>
        <v>9428</v>
      </c>
      <c r="D99" s="725">
        <f>'5.2 Budgeted Enrollment YR2'!G96</f>
        <v>162.20612853670227</v>
      </c>
      <c r="E99" s="11">
        <f>D99*C99</f>
        <v>1529279.379844029</v>
      </c>
    </row>
    <row r="100" spans="1:5" x14ac:dyDescent="0.3">
      <c r="A100" s="183"/>
      <c r="B100" s="183">
        <f>'5.2 Budgeted Enrollment YR2'!E97</f>
        <v>0</v>
      </c>
      <c r="C100" s="664">
        <f t="shared" si="7"/>
        <v>9428</v>
      </c>
      <c r="D100" s="724">
        <f>'5.2 Budgeted Enrollment YR2'!G97</f>
        <v>0</v>
      </c>
      <c r="E100" s="167">
        <f>D100*C100</f>
        <v>0</v>
      </c>
    </row>
    <row r="101" spans="1:5" x14ac:dyDescent="0.3">
      <c r="C101" s="12">
        <f t="shared" si="7"/>
        <v>9428</v>
      </c>
      <c r="D101" s="22">
        <f>SUM(D99:D100)</f>
        <v>162.20612853670227</v>
      </c>
      <c r="E101" s="11">
        <f>SUM(E99:E100)</f>
        <v>1529279.379844029</v>
      </c>
    </row>
  </sheetData>
  <sheetProtection algorithmName="SHA-512" hashValue="q785Q1SQ/llZ7nref490LdIWaHKSdmik1pXqbhlrq7oZ5svHWEZ4BqnJSy3GbCQoR2bRERJvzWvryNAoroO9Tw==" saltValue="iGeT5WXjis2CsnKX0oTP3w==" spinCount="100000" sheet="1" objects="1" scenarios="1"/>
  <pageMargins left="0.7" right="0.7" top="0.75" bottom="0.75" header="0.3" footer="0.3"/>
  <pageSetup paperSize="3" fitToHeight="0" orientation="landscape" r:id="rId1"/>
  <headerFooter>
    <oddHeader>&amp;R&amp;"Arial Narrow,Regular"&amp;10&amp;A
&amp;P</oddHeader>
  </headerFooter>
  <rowBreaks count="2" manualBreakCount="2">
    <brk id="29" max="4" man="1"/>
    <brk id="63" max="4"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77C3B-94EF-47EE-BF3C-AEEA3BE73484}">
  <sheetPr>
    <tabColor theme="6" tint="-0.249977111117893"/>
    <pageSetUpPr fitToPage="1"/>
  </sheetPr>
  <dimension ref="A1:I197"/>
  <sheetViews>
    <sheetView zoomScale="85" zoomScaleNormal="85" workbookViewId="0"/>
  </sheetViews>
  <sheetFormatPr defaultColWidth="8.85546875" defaultRowHeight="16.5" x14ac:dyDescent="0.3"/>
  <cols>
    <col min="1" max="1" width="19.7109375" style="10" customWidth="1"/>
    <col min="2" max="2" width="24.5703125" style="10" bestFit="1" customWidth="1"/>
    <col min="3" max="3" width="28.85546875" style="10" bestFit="1" customWidth="1"/>
    <col min="4" max="4" width="35.7109375" style="10" bestFit="1" customWidth="1"/>
    <col min="5" max="5" width="20" style="10" customWidth="1"/>
    <col min="6" max="6" width="19" style="10" customWidth="1"/>
    <col min="7" max="7" width="17.85546875" style="10" customWidth="1"/>
    <col min="8" max="8" width="8.85546875" style="10"/>
    <col min="9" max="9" width="12.42578125" style="10" bestFit="1" customWidth="1"/>
    <col min="10" max="16384" width="8.85546875" style="10"/>
  </cols>
  <sheetData>
    <row r="1" spans="1:9" s="4" customFormat="1" x14ac:dyDescent="0.3">
      <c r="A1" s="4" t="s">
        <v>602</v>
      </c>
    </row>
    <row r="2" spans="1:9" x14ac:dyDescent="0.3">
      <c r="A2" s="10" t="str">
        <f>CONCATENATE("Pupil Center Funding Plan | FY",'5.1 Assumption Control YR2'!D5)</f>
        <v>Pupil Center Funding Plan | FY2025</v>
      </c>
    </row>
    <row r="3" spans="1:9" x14ac:dyDescent="0.3">
      <c r="A3" s="10" t="s">
        <v>1292</v>
      </c>
    </row>
    <row r="4" spans="1:9" x14ac:dyDescent="0.3">
      <c r="A4" s="87"/>
    </row>
    <row r="5" spans="1:9" x14ac:dyDescent="0.3">
      <c r="A5" s="4" t="s">
        <v>755</v>
      </c>
    </row>
    <row r="6" spans="1:9" s="88" customFormat="1" ht="33.75" thickBot="1" x14ac:dyDescent="0.35">
      <c r="A6" s="95" t="s">
        <v>747</v>
      </c>
      <c r="B6" s="95" t="s">
        <v>748</v>
      </c>
      <c r="C6" s="95" t="s">
        <v>749</v>
      </c>
      <c r="D6" s="95" t="s">
        <v>750</v>
      </c>
      <c r="E6" s="96" t="s">
        <v>751</v>
      </c>
    </row>
    <row r="7" spans="1:9" ht="18" thickTop="1" thickBot="1" x14ac:dyDescent="0.35">
      <c r="A7" s="79">
        <v>0</v>
      </c>
      <c r="B7" s="79">
        <v>17</v>
      </c>
      <c r="C7" s="80">
        <f>25.003</f>
        <v>25.003</v>
      </c>
      <c r="D7" s="82">
        <v>-0.79100000000000004</v>
      </c>
      <c r="E7" s="38" t="s">
        <v>754</v>
      </c>
    </row>
    <row r="8" spans="1:9" ht="18" thickTop="1" thickBot="1" x14ac:dyDescent="0.35">
      <c r="A8" s="79">
        <v>18</v>
      </c>
      <c r="B8" s="79">
        <v>3899</v>
      </c>
      <c r="C8" s="81">
        <v>3.4</v>
      </c>
      <c r="D8" s="82">
        <f>-0.281</f>
        <v>-0.28100000000000003</v>
      </c>
      <c r="E8" s="38" t="s">
        <v>753</v>
      </c>
      <c r="G8" s="83"/>
    </row>
    <row r="9" spans="1:9" ht="18" thickTop="1" thickBot="1" x14ac:dyDescent="0.35">
      <c r="A9" s="79">
        <v>3900</v>
      </c>
      <c r="B9" s="79">
        <v>1000000</v>
      </c>
      <c r="C9" s="81">
        <f>1.0868</f>
        <v>1.0868</v>
      </c>
      <c r="D9" s="82">
        <f>(-0.000001735)</f>
        <v>-1.7349999999999999E-6</v>
      </c>
      <c r="E9" s="38" t="s">
        <v>752</v>
      </c>
      <c r="G9" s="83"/>
    </row>
    <row r="10" spans="1:9" ht="18" thickTop="1" thickBot="1" x14ac:dyDescent="0.35">
      <c r="E10" s="40"/>
    </row>
    <row r="11" spans="1:9" ht="18" thickTop="1" thickBot="1" x14ac:dyDescent="0.35">
      <c r="D11" s="92" t="str">
        <f>'5.1 Assumption Control YR2'!A23</f>
        <v>Statewide Base Funding including Inflation for | FY2025</v>
      </c>
      <c r="E11" s="537">
        <f>'5.1 Assumption Control YR2'!D30</f>
        <v>9428</v>
      </c>
      <c r="F11" t="s">
        <v>1413</v>
      </c>
    </row>
    <row r="12" spans="1:9" ht="17.25" thickTop="1" x14ac:dyDescent="0.3">
      <c r="E12" s="40"/>
      <c r="F12" s="17"/>
    </row>
    <row r="13" spans="1:9" s="88" customFormat="1" ht="34.5" customHeight="1" thickBot="1" x14ac:dyDescent="0.35">
      <c r="A13" s="104" t="s">
        <v>811</v>
      </c>
      <c r="B13" s="104" t="s">
        <v>756</v>
      </c>
      <c r="C13" s="100" t="str">
        <f>'2.4 District Size Adj. YR1'!C13</f>
        <v>Enrollment by  Attendance Area less Distant Education Students</v>
      </c>
      <c r="D13" s="100" t="s">
        <v>926</v>
      </c>
      <c r="E13" s="100" t="s">
        <v>855</v>
      </c>
      <c r="F13" s="100" t="s">
        <v>927</v>
      </c>
      <c r="G13" s="100" t="s">
        <v>854</v>
      </c>
    </row>
    <row r="14" spans="1:9" s="156" customFormat="1" ht="17.25" thickBot="1" x14ac:dyDescent="0.3">
      <c r="A14" s="154"/>
      <c r="B14" s="160" t="s">
        <v>879</v>
      </c>
      <c r="C14" s="139" t="s">
        <v>1424</v>
      </c>
      <c r="D14" s="105" t="s">
        <v>980</v>
      </c>
      <c r="E14" s="105" t="s">
        <v>882</v>
      </c>
      <c r="F14" s="155" t="s">
        <v>885</v>
      </c>
      <c r="G14" s="155" t="s">
        <v>899</v>
      </c>
    </row>
    <row r="15" spans="1:9" s="156" customFormat="1" ht="10.5" customHeight="1" x14ac:dyDescent="0.25">
      <c r="A15" s="161"/>
      <c r="B15" s="162"/>
      <c r="C15" s="163"/>
      <c r="D15" s="164"/>
      <c r="E15" s="164"/>
      <c r="F15" s="165"/>
      <c r="G15" s="165"/>
    </row>
    <row r="16" spans="1:9" s="4" customFormat="1" x14ac:dyDescent="0.3">
      <c r="A16" s="4" t="s">
        <v>13</v>
      </c>
      <c r="B16" s="479" t="s">
        <v>13</v>
      </c>
      <c r="C16" s="618">
        <f>SUMIF('5.2 Budgeted Enrollment YR2'!$D$102:$D$732,'6.4 District Size Adj. YR2'!$B16,'5.2 Budgeted Enrollment YR2'!$G$102:$G$732)</f>
        <v>7207.4987624368023</v>
      </c>
      <c r="D16" s="618">
        <f>IF(C16=0,0,(IF($C$9+($D$9*$C16)&lt;1,1,IF($C16&lt;=$B$7,$C$7*($C16^$D$7),IF($C16&lt;=$B$8,$C$8+($D$8*LN($C16)),$C$9+($C16*$D$9))))*C16-C16))</f>
        <v>535.48104593724747</v>
      </c>
      <c r="E16" s="44">
        <f>E11</f>
        <v>9428</v>
      </c>
      <c r="F16" s="554">
        <f>D16*E16</f>
        <v>5048515.3010963695</v>
      </c>
      <c r="G16" s="554">
        <f>F16/C16</f>
        <v>700.45316239353804</v>
      </c>
      <c r="H16" s="85"/>
      <c r="I16" s="86"/>
    </row>
    <row r="17" spans="1:9" x14ac:dyDescent="0.3">
      <c r="C17" s="83"/>
      <c r="D17" s="83"/>
      <c r="F17" s="11"/>
      <c r="G17" s="11"/>
      <c r="H17" s="40"/>
      <c r="I17" s="86"/>
    </row>
    <row r="18" spans="1:9" s="4" customFormat="1" x14ac:dyDescent="0.3">
      <c r="A18" s="4" t="s">
        <v>1</v>
      </c>
      <c r="B18" s="479" t="s">
        <v>757</v>
      </c>
      <c r="C18" s="618">
        <f>SUMIF('5.2 Budgeted Enrollment YR2'!$D$102:$D$732,'6.4 District Size Adj. YR2'!$B18,'5.2 Budgeted Enrollment YR2'!$G$102:$G$732)</f>
        <v>3194.31775029852</v>
      </c>
      <c r="D18" s="618">
        <f>IF(C18=0,0,(IF($C$9+($D$9*$C18)&lt;1,1,IF($C18&lt;=$B$7,$C$7*($C18^$D$7),IF($C18&lt;=$B$8,$C$8+($D$8*LN($C18)),$C$9+($C18*$D$9))))*C18-C18))</f>
        <v>423.48605330493501</v>
      </c>
      <c r="E18" s="44">
        <f>E11</f>
        <v>9428</v>
      </c>
      <c r="F18" s="554">
        <f>D18*E18</f>
        <v>3992626.5105589274</v>
      </c>
      <c r="G18" s="554">
        <f>F18/C18</f>
        <v>1249.9152628713291</v>
      </c>
      <c r="H18" s="85"/>
      <c r="I18" s="86"/>
    </row>
    <row r="19" spans="1:9" x14ac:dyDescent="0.3">
      <c r="C19" s="83"/>
      <c r="D19" s="83"/>
      <c r="F19" s="11"/>
      <c r="G19" s="11"/>
      <c r="H19" s="40"/>
      <c r="I19" s="86"/>
    </row>
    <row r="20" spans="1:9" x14ac:dyDescent="0.3">
      <c r="A20" s="4" t="s">
        <v>2</v>
      </c>
      <c r="B20" s="457" t="s">
        <v>759</v>
      </c>
      <c r="C20" s="907">
        <f>SUMIF('5.2 Budgeted Enrollment YR2'!$D$102:$D$732,'6.4 District Size Adj. YR2'!$B20,'5.2 Budgeted Enrollment YR2'!$G$102:$G$732)</f>
        <v>37.009488860181918</v>
      </c>
      <c r="D20" s="587">
        <f>IF(C20=0,0,(IF($C$9+($D$9*$C20)&lt;1,1,IF($C20&lt;=$B$7,$C$7*($C20^$D$7),IF($C20&lt;=$B$8,$C$8+($D$8*LN($C20)),$C$9+($C20*$D$9))))*C20-C20))</f>
        <v>51.267764972938252</v>
      </c>
      <c r="E20" s="29">
        <f>$E$11</f>
        <v>9428</v>
      </c>
      <c r="F20" s="550">
        <f>D20*E20</f>
        <v>483352.48816486186</v>
      </c>
      <c r="G20" s="550">
        <f t="shared" ref="G20:G31" si="0">F20/C20</f>
        <v>13060.231390682491</v>
      </c>
      <c r="H20" s="40"/>
      <c r="I20" s="86"/>
    </row>
    <row r="21" spans="1:9" x14ac:dyDescent="0.3">
      <c r="B21" s="457" t="s">
        <v>760</v>
      </c>
      <c r="C21" s="907">
        <f>SUMIF('5.2 Budgeted Enrollment YR2'!$D$102:$D$732,'6.4 District Size Adj. YR2'!$B21,'5.2 Budgeted Enrollment YR2'!$G$102:$G$732)</f>
        <v>1743.8824835153061</v>
      </c>
      <c r="D21" s="587">
        <f t="shared" ref="D21:D30" si="1">IF(C21=0,0,(IF($C$9+($D$9*$C21)&lt;1,1,IF($C21&lt;=$B$7,$C$7*($C21^$D$7),IF($C21&lt;=$B$8,$C$8+($D$8*LN($C21)),$C$9+($C21*$D$9))))*C21-C21))</f>
        <v>527.79082842515686</v>
      </c>
      <c r="E21" s="29">
        <f t="shared" ref="E21:E30" si="2">$E$11</f>
        <v>9428</v>
      </c>
      <c r="F21" s="550">
        <f t="shared" ref="F21:F30" si="3">D21*E21</f>
        <v>4976011.9303923789</v>
      </c>
      <c r="G21" s="550">
        <f t="shared" si="0"/>
        <v>2853.4101222014506</v>
      </c>
      <c r="H21" s="40"/>
      <c r="I21" s="86"/>
    </row>
    <row r="22" spans="1:9" x14ac:dyDescent="0.3">
      <c r="B22" s="457" t="s">
        <v>761</v>
      </c>
      <c r="C22" s="907">
        <f>SUMIF('5.2 Budgeted Enrollment YR2'!$D$102:$D$732,'6.4 District Size Adj. YR2'!$B22,'5.2 Budgeted Enrollment YR2'!$G$102:$G$732)</f>
        <v>2.4265700924688223</v>
      </c>
      <c r="D22" s="587">
        <f t="shared" si="1"/>
        <v>27.665746660292662</v>
      </c>
      <c r="E22" s="29">
        <f t="shared" si="2"/>
        <v>9428</v>
      </c>
      <c r="F22" s="550">
        <f t="shared" si="3"/>
        <v>260832.65951323922</v>
      </c>
      <c r="G22" s="550">
        <f t="shared" si="0"/>
        <v>107490.26385958004</v>
      </c>
      <c r="H22" s="40"/>
      <c r="I22" s="86"/>
    </row>
    <row r="23" spans="1:9" x14ac:dyDescent="0.3">
      <c r="B23" s="457" t="s">
        <v>762</v>
      </c>
      <c r="C23" s="907">
        <f>SUMIF('5.2 Budgeted Enrollment YR2'!$D$102:$D$732,'6.4 District Size Adj. YR2'!$B23,'5.2 Budgeted Enrollment YR2'!$G$102:$G$732)</f>
        <v>328.14319360631578</v>
      </c>
      <c r="D23" s="587">
        <f t="shared" si="1"/>
        <v>253.3398443870567</v>
      </c>
      <c r="E23" s="29">
        <f t="shared" si="2"/>
        <v>9428</v>
      </c>
      <c r="F23" s="550">
        <f t="shared" si="3"/>
        <v>2388488.0528811705</v>
      </c>
      <c r="G23" s="550">
        <f t="shared" si="0"/>
        <v>7278.7980961345747</v>
      </c>
      <c r="H23" s="40"/>
      <c r="I23" s="86"/>
    </row>
    <row r="24" spans="1:9" x14ac:dyDescent="0.3">
      <c r="B24" s="457" t="s">
        <v>758</v>
      </c>
      <c r="C24" s="907">
        <f>SUMIF('5.2 Budgeted Enrollment YR2'!$D$102:$D$732,'6.4 District Size Adj. YR2'!$B24,'5.2 Budgeted Enrollment YR2'!$G$102:$G$732)</f>
        <v>286310.23314090859</v>
      </c>
      <c r="D24" s="587">
        <f t="shared" si="1"/>
        <v>0</v>
      </c>
      <c r="E24" s="29">
        <f t="shared" si="2"/>
        <v>9428</v>
      </c>
      <c r="F24" s="550">
        <f t="shared" si="3"/>
        <v>0</v>
      </c>
      <c r="G24" s="550">
        <f t="shared" si="0"/>
        <v>0</v>
      </c>
      <c r="H24" s="84"/>
      <c r="I24" s="86"/>
    </row>
    <row r="25" spans="1:9" x14ac:dyDescent="0.3">
      <c r="B25" s="457" t="s">
        <v>763</v>
      </c>
      <c r="C25" s="907">
        <f>SUMIF('5.2 Budgeted Enrollment YR2'!$D$102:$D$732,'6.4 District Size Adj. YR2'!$B25,'5.2 Budgeted Enrollment YR2'!$G$102:$G$732)</f>
        <v>706.22775188222295</v>
      </c>
      <c r="D25" s="587">
        <f t="shared" si="1"/>
        <v>393.12696332597557</v>
      </c>
      <c r="E25" s="29">
        <f t="shared" si="2"/>
        <v>9428</v>
      </c>
      <c r="F25" s="550">
        <f t="shared" si="3"/>
        <v>3706401.0102372975</v>
      </c>
      <c r="G25" s="550">
        <f t="shared" si="0"/>
        <v>5248.166756912452</v>
      </c>
      <c r="H25" s="40"/>
      <c r="I25" s="86"/>
    </row>
    <row r="26" spans="1:9" x14ac:dyDescent="0.3">
      <c r="B26" s="457" t="s">
        <v>764</v>
      </c>
      <c r="C26" s="907">
        <f>SUMIF('5.2 Budgeted Enrollment YR2'!$D$102:$D$732,'6.4 District Size Adj. YR2'!$B26,'5.2 Budgeted Enrollment YR2'!$G$102:$G$732)</f>
        <v>11.643121359870001</v>
      </c>
      <c r="D26" s="587">
        <f t="shared" si="1"/>
        <v>30.120738572455728</v>
      </c>
      <c r="E26" s="29">
        <f t="shared" si="2"/>
        <v>9428</v>
      </c>
      <c r="F26" s="550">
        <f t="shared" si="3"/>
        <v>283978.32326111262</v>
      </c>
      <c r="G26" s="550">
        <f t="shared" si="0"/>
        <v>24390.222731843391</v>
      </c>
      <c r="H26" s="40"/>
      <c r="I26" s="86"/>
    </row>
    <row r="27" spans="1:9" x14ac:dyDescent="0.3">
      <c r="B27" s="457" t="s">
        <v>765</v>
      </c>
      <c r="C27" s="907">
        <f>SUMIF('5.2 Budgeted Enrollment YR2'!$D$102:$D$732,'6.4 District Size Adj. YR2'!$B27,'5.2 Budgeted Enrollment YR2'!$G$102:$G$732)</f>
        <v>2303.0298110153153</v>
      </c>
      <c r="D27" s="587">
        <f t="shared" si="1"/>
        <v>517.0379832390372</v>
      </c>
      <c r="E27" s="29">
        <f t="shared" si="2"/>
        <v>9428</v>
      </c>
      <c r="F27" s="550">
        <f t="shared" si="3"/>
        <v>4874634.1059776423</v>
      </c>
      <c r="G27" s="550">
        <f t="shared" si="0"/>
        <v>2116.6178929436469</v>
      </c>
      <c r="H27" s="40"/>
      <c r="I27" s="86"/>
    </row>
    <row r="28" spans="1:9" x14ac:dyDescent="0.3">
      <c r="B28" s="457" t="s">
        <v>766</v>
      </c>
      <c r="C28" s="907">
        <f>SUMIF('5.2 Budgeted Enrollment YR2'!$D$102:$D$732,'6.4 District Size Adj. YR2'!$B28,'5.2 Budgeted Enrollment YR2'!$G$102:$G$732)</f>
        <v>1759.8252883039304</v>
      </c>
      <c r="D28" s="587">
        <f t="shared" si="1"/>
        <v>528.11561805564816</v>
      </c>
      <c r="E28" s="29">
        <f t="shared" si="2"/>
        <v>9428</v>
      </c>
      <c r="F28" s="550">
        <f t="shared" si="3"/>
        <v>4979074.0470286505</v>
      </c>
      <c r="G28" s="550">
        <f t="shared" si="0"/>
        <v>2829.3002039011162</v>
      </c>
      <c r="H28" s="40"/>
      <c r="I28" s="86"/>
    </row>
    <row r="29" spans="1:9" x14ac:dyDescent="0.3">
      <c r="B29" s="457" t="s">
        <v>767</v>
      </c>
      <c r="C29" s="907">
        <f>SUMIF('5.2 Budgeted Enrollment YR2'!$D$102:$D$732,'6.4 District Size Adj. YR2'!$B29,'5.2 Budgeted Enrollment YR2'!$G$102:$G$732)</f>
        <v>291.28875029787014</v>
      </c>
      <c r="D29" s="587">
        <f t="shared" si="1"/>
        <v>234.63817792572763</v>
      </c>
      <c r="E29" s="29">
        <f t="shared" si="2"/>
        <v>9428</v>
      </c>
      <c r="F29" s="550">
        <f t="shared" si="3"/>
        <v>2212168.7414837601</v>
      </c>
      <c r="G29" s="550">
        <f t="shared" si="0"/>
        <v>7594.4187313159518</v>
      </c>
      <c r="H29" s="40"/>
      <c r="I29" s="86"/>
    </row>
    <row r="30" spans="1:9" x14ac:dyDescent="0.3">
      <c r="B30" s="858" t="s">
        <v>768</v>
      </c>
      <c r="C30" s="906">
        <f>SUMIF('5.2 Budgeted Enrollment YR2'!$D$102:$D$732,'6.4 District Size Adj. YR2'!$B30,'5.2 Budgeted Enrollment YR2'!$G$102:$G$732)</f>
        <v>9.3107813166609983</v>
      </c>
      <c r="D30" s="906">
        <f t="shared" si="1"/>
        <v>30.546733967681575</v>
      </c>
      <c r="E30" s="201">
        <f t="shared" si="2"/>
        <v>9428</v>
      </c>
      <c r="F30" s="577">
        <f t="shared" si="3"/>
        <v>287994.60784730187</v>
      </c>
      <c r="G30" s="577">
        <f t="shared" si="0"/>
        <v>30931.304049849765</v>
      </c>
      <c r="H30" s="40"/>
      <c r="I30" s="86"/>
    </row>
    <row r="31" spans="1:9" s="4" customFormat="1" x14ac:dyDescent="0.3">
      <c r="B31" s="4" t="s">
        <v>828</v>
      </c>
      <c r="C31" s="618">
        <f>SUM(C20:C30)</f>
        <v>293503.02038115874</v>
      </c>
      <c r="D31" s="618">
        <f>SUMPRODUCT(C20:C30,D20:D30)/C31</f>
        <v>11.830427855680679</v>
      </c>
      <c r="F31" s="553">
        <f>SUM(F20:F30)</f>
        <v>24452935.966787413</v>
      </c>
      <c r="G31" s="619">
        <f t="shared" si="0"/>
        <v>83.314086291280816</v>
      </c>
      <c r="H31" s="85"/>
      <c r="I31" s="86"/>
    </row>
    <row r="32" spans="1:9" x14ac:dyDescent="0.3">
      <c r="C32" s="83"/>
      <c r="D32" s="83"/>
      <c r="H32" s="40"/>
      <c r="I32" s="86"/>
    </row>
    <row r="33" spans="1:9" x14ac:dyDescent="0.3">
      <c r="A33" s="4" t="s">
        <v>3</v>
      </c>
      <c r="B33" s="457" t="s">
        <v>769</v>
      </c>
      <c r="C33" s="587">
        <f>SUMIF('5.2 Budgeted Enrollment YR2'!$D$102:$D$732,'6.4 District Size Adj. YR2'!$B33,'5.2 Budgeted Enrollment YR2'!$G$102:$G$732)</f>
        <v>4854.8129826624836</v>
      </c>
      <c r="D33" s="587">
        <f>IF(C33=0,0,(IF($C$9+($D$9*$C33)&lt;1,1,IF($C33&lt;=$B$7,$C$7*($C33^$D$7),IF($C33&lt;=$B$8,$C$8+($D$8*LN($C33)),$C$9+($C33*$D$9))))*C33-C33))</f>
        <v>380.50518911245399</v>
      </c>
      <c r="E33" s="29">
        <f>$E$11</f>
        <v>9428</v>
      </c>
      <c r="F33" s="550">
        <f>D33*E33</f>
        <v>3587402.9229522161</v>
      </c>
      <c r="G33" s="550">
        <f>F33/C33</f>
        <v>738.93740825106045</v>
      </c>
      <c r="H33" s="40"/>
      <c r="I33" s="86"/>
    </row>
    <row r="34" spans="1:9" x14ac:dyDescent="0.3">
      <c r="B34" s="457" t="s">
        <v>812</v>
      </c>
      <c r="C34" s="587">
        <f>SUMIF('5.2 Budgeted Enrollment YR2'!$D$102:$D$732,'6.4 District Size Adj. YR2'!$B34,'5.2 Budgeted Enrollment YR2'!$G$102:$G$732)</f>
        <v>22.39490312277896</v>
      </c>
      <c r="D34" s="587">
        <f>IF(C34=0,0,(IF($C$9+($D$9*$C34)&lt;1,1,IF($C34&lt;=$B$7,$C$7*($C34^$D$7),IF($C34&lt;=$B$8,$C$8+($D$8*LN($C34)),$C$9+($C34*$D$9))))*C34-C34))</f>
        <v>34.183979121814659</v>
      </c>
      <c r="E34" s="29">
        <f>$E$11</f>
        <v>9428</v>
      </c>
      <c r="F34" s="550">
        <f>D34*E34</f>
        <v>322286.55516046862</v>
      </c>
      <c r="G34" s="550">
        <f>F34/C34</f>
        <v>14391.067172452069</v>
      </c>
      <c r="H34" s="40"/>
      <c r="I34" s="86"/>
    </row>
    <row r="35" spans="1:9" x14ac:dyDescent="0.3">
      <c r="B35" s="858" t="s">
        <v>770</v>
      </c>
      <c r="C35" s="906">
        <f>SUMIF('5.2 Budgeted Enrollment YR2'!$D$102:$D$732,'6.4 District Size Adj. YR2'!$B35,'5.2 Budgeted Enrollment YR2'!$G$102:$G$732)</f>
        <v>293.43396167891825</v>
      </c>
      <c r="D35" s="906">
        <f>IF(C35=0,0,(IF($C$9+($D$9*$C35)&lt;1,1,IF($C35&lt;=$B$7,$C$7*($C35^$D$7),IF($C35&lt;=$B$8,$C$8+($D$8*LN($C35)),$C$9+($C35*$D$9))))*C35-C35))</f>
        <v>235.76116451405579</v>
      </c>
      <c r="E35" s="201">
        <f>$E$11</f>
        <v>9428</v>
      </c>
      <c r="F35" s="577">
        <f>D35*E35</f>
        <v>2222756.2590385182</v>
      </c>
      <c r="G35" s="577">
        <f>F35/C35</f>
        <v>7574.9795501541357</v>
      </c>
      <c r="H35" s="40"/>
      <c r="I35" s="86"/>
    </row>
    <row r="36" spans="1:9" s="4" customFormat="1" x14ac:dyDescent="0.3">
      <c r="B36" s="4" t="s">
        <v>829</v>
      </c>
      <c r="C36" s="618">
        <f>SUM(C33:C35)</f>
        <v>5170.6418474641814</v>
      </c>
      <c r="D36" s="618">
        <f>SUMPRODUCT(C33:C35,D33:D35)/C36</f>
        <v>370.7909903734722</v>
      </c>
      <c r="F36" s="553">
        <f>SUM(F33:F35)</f>
        <v>6132445.7371512027</v>
      </c>
      <c r="G36" s="554">
        <f>F36/C36</f>
        <v>1186.0124754451356</v>
      </c>
      <c r="H36" s="85"/>
      <c r="I36" s="86"/>
    </row>
    <row r="37" spans="1:9" x14ac:dyDescent="0.3">
      <c r="C37" s="83"/>
      <c r="D37" s="83"/>
      <c r="H37" s="40"/>
      <c r="I37" s="86"/>
    </row>
    <row r="38" spans="1:9" x14ac:dyDescent="0.3">
      <c r="A38" s="4" t="s">
        <v>4</v>
      </c>
      <c r="B38" s="457" t="s">
        <v>771</v>
      </c>
      <c r="C38" s="587">
        <f>SUMIF('5.2 Budgeted Enrollment YR2'!$D$102:$D$732,'6.4 District Size Adj. YR2'!$B38,'5.2 Budgeted Enrollment YR2'!$G$102:$G$732)</f>
        <v>317.31782451406616</v>
      </c>
      <c r="D38" s="587">
        <f t="shared" ref="D38:D48" si="4">IF(C38=0,0,(IF($C$9+($D$9*$C38)&lt;1,1,IF($C38&lt;=$B$7,$C$7*($C38^$D$7),IF($C38&lt;=$B$8,$C$8+($D$8*LN($C38)),$C$9+($C38*$D$9))))*C38-C38))</f>
        <v>247.97341211375237</v>
      </c>
      <c r="E38" s="29">
        <f t="shared" ref="E38:E48" si="5">$E$11</f>
        <v>9428</v>
      </c>
      <c r="F38" s="550">
        <f t="shared" ref="F38:F48" si="6">D38*E38</f>
        <v>2337893.3294084575</v>
      </c>
      <c r="G38" s="550">
        <f t="shared" ref="G38:G48" si="7">F38/C38</f>
        <v>7367.6709872464871</v>
      </c>
      <c r="H38" s="40"/>
      <c r="I38" s="86"/>
    </row>
    <row r="39" spans="1:9" x14ac:dyDescent="0.3">
      <c r="B39" s="457" t="s">
        <v>4</v>
      </c>
      <c r="C39" s="587">
        <f>SUMIF('5.2 Budgeted Enrollment YR2'!$D$102:$D$732,'6.4 District Size Adj. YR2'!$B39,'5.2 Budgeted Enrollment YR2'!$G$102:$G$732)</f>
        <v>4790.9877415772498</v>
      </c>
      <c r="D39" s="587">
        <f t="shared" si="4"/>
        <v>376.03330322710372</v>
      </c>
      <c r="E39" s="29">
        <f t="shared" si="5"/>
        <v>9428</v>
      </c>
      <c r="F39" s="550">
        <f t="shared" si="6"/>
        <v>3545241.9828251339</v>
      </c>
      <c r="G39" s="550">
        <f t="shared" si="7"/>
        <v>739.9814347381315</v>
      </c>
      <c r="H39" s="40"/>
      <c r="I39" s="86"/>
    </row>
    <row r="40" spans="1:9" x14ac:dyDescent="0.3">
      <c r="B40" s="479" t="s">
        <v>772</v>
      </c>
      <c r="C40" s="587">
        <f>SUMIF('5.2 Budgeted Enrollment YR2'!$D$102:$D$732,'6.4 District Size Adj. YR2'!$B40,'5.2 Budgeted Enrollment YR2'!$G$102:$G$732)</f>
        <v>4.4325703607184996</v>
      </c>
      <c r="D40" s="587">
        <f t="shared" si="4"/>
        <v>29.697968828484825</v>
      </c>
      <c r="E40" s="29">
        <f t="shared" si="5"/>
        <v>9428</v>
      </c>
      <c r="F40" s="550">
        <f t="shared" si="6"/>
        <v>279992.4501149549</v>
      </c>
      <c r="G40" s="550">
        <f t="shared" si="7"/>
        <v>63167.062749020726</v>
      </c>
      <c r="H40" s="40"/>
      <c r="I40" s="86"/>
    </row>
    <row r="41" spans="1:9" x14ac:dyDescent="0.3">
      <c r="B41" s="457" t="s">
        <v>773</v>
      </c>
      <c r="C41" s="587">
        <f>SUMIF('5.2 Budgeted Enrollment YR2'!$D$102:$D$732,'6.4 District Size Adj. YR2'!$B41,'5.2 Budgeted Enrollment YR2'!$G$102:$G$732)</f>
        <v>123.9595151861207</v>
      </c>
      <c r="D41" s="587">
        <f t="shared" si="4"/>
        <v>129.61115659490036</v>
      </c>
      <c r="E41" s="29">
        <f t="shared" si="5"/>
        <v>9428</v>
      </c>
      <c r="F41" s="550">
        <f t="shared" si="6"/>
        <v>1221973.9843767206</v>
      </c>
      <c r="G41" s="550">
        <f t="shared" si="7"/>
        <v>9857.8473991445608</v>
      </c>
      <c r="H41" s="40"/>
      <c r="I41" s="86"/>
    </row>
    <row r="42" spans="1:9" x14ac:dyDescent="0.3">
      <c r="B42" s="457" t="s">
        <v>813</v>
      </c>
      <c r="C42" s="587">
        <f>SUMIF('5.2 Budgeted Enrollment YR2'!$D$102:$D$732,'6.4 District Size Adj. YR2'!$B42,'5.2 Budgeted Enrollment YR2'!$G$102:$G$732)</f>
        <v>10.647763626500002</v>
      </c>
      <c r="D42" s="587">
        <f t="shared" si="4"/>
        <v>30.343294277030672</v>
      </c>
      <c r="E42" s="29">
        <f t="shared" si="5"/>
        <v>9428</v>
      </c>
      <c r="F42" s="550">
        <f t="shared" si="6"/>
        <v>286076.57844384515</v>
      </c>
      <c r="G42" s="550">
        <f t="shared" si="7"/>
        <v>26867.292370377367</v>
      </c>
      <c r="H42" s="40"/>
      <c r="I42" s="86"/>
    </row>
    <row r="43" spans="1:9" x14ac:dyDescent="0.3">
      <c r="B43" s="479" t="s">
        <v>774</v>
      </c>
      <c r="C43" s="587">
        <f>SUMIF('5.2 Budgeted Enrollment YR2'!$D$102:$D$732,'6.4 District Size Adj. YR2'!$B43,'5.2 Budgeted Enrollment YR2'!$G$102:$G$732)</f>
        <v>9.4999544469829988</v>
      </c>
      <c r="D43" s="587">
        <f t="shared" si="4"/>
        <v>30.525467519843602</v>
      </c>
      <c r="E43" s="29">
        <f t="shared" si="5"/>
        <v>9428</v>
      </c>
      <c r="F43" s="550">
        <f t="shared" si="6"/>
        <v>287794.1077770855</v>
      </c>
      <c r="G43" s="550">
        <f t="shared" si="7"/>
        <v>30294.261870748582</v>
      </c>
      <c r="H43" s="40"/>
      <c r="I43" s="86"/>
    </row>
    <row r="44" spans="1:9" x14ac:dyDescent="0.3">
      <c r="B44" s="457" t="s">
        <v>775</v>
      </c>
      <c r="C44" s="587">
        <f>SUMIF('5.2 Budgeted Enrollment YR2'!$D$102:$D$732,'6.4 District Size Adj. YR2'!$B44,'5.2 Budgeted Enrollment YR2'!$G$102:$G$732)</f>
        <v>219.76230589785473</v>
      </c>
      <c r="D44" s="587">
        <f t="shared" si="4"/>
        <v>194.4224865884608</v>
      </c>
      <c r="E44" s="29">
        <f t="shared" si="5"/>
        <v>9428</v>
      </c>
      <c r="F44" s="550">
        <f t="shared" si="6"/>
        <v>1833015.2035560084</v>
      </c>
      <c r="G44" s="550">
        <f t="shared" si="7"/>
        <v>8340.89902755203</v>
      </c>
      <c r="H44" s="40"/>
      <c r="I44" s="86"/>
    </row>
    <row r="45" spans="1:9" x14ac:dyDescent="0.3">
      <c r="B45" s="479" t="s">
        <v>776</v>
      </c>
      <c r="C45" s="587">
        <f>SUMIF('5.2 Budgeted Enrollment YR2'!$D$102:$D$732,'6.4 District Size Adj. YR2'!$B45,'5.2 Budgeted Enrollment YR2'!$G$102:$G$732)</f>
        <v>10.238794914347999</v>
      </c>
      <c r="D45" s="587">
        <f t="shared" si="4"/>
        <v>30.418092703471487</v>
      </c>
      <c r="E45" s="29">
        <f t="shared" si="5"/>
        <v>9428</v>
      </c>
      <c r="F45" s="550">
        <f t="shared" si="6"/>
        <v>286781.77800832916</v>
      </c>
      <c r="G45" s="550">
        <f t="shared" si="7"/>
        <v>28009.329262611885</v>
      </c>
      <c r="H45" s="40"/>
      <c r="I45" s="86"/>
    </row>
    <row r="46" spans="1:9" x14ac:dyDescent="0.3">
      <c r="B46" s="457" t="s">
        <v>777</v>
      </c>
      <c r="C46" s="587">
        <f>SUMIF('5.2 Budgeted Enrollment YR2'!$D$102:$D$732,'6.4 District Size Adj. YR2'!$B46,'5.2 Budgeted Enrollment YR2'!$G$102:$G$732)</f>
        <v>3076.3034256397382</v>
      </c>
      <c r="D46" s="587">
        <f t="shared" si="4"/>
        <v>440.38207905412901</v>
      </c>
      <c r="E46" s="29">
        <f t="shared" si="5"/>
        <v>9428</v>
      </c>
      <c r="F46" s="550">
        <f t="shared" si="6"/>
        <v>4151922.2413223283</v>
      </c>
      <c r="G46" s="550">
        <f t="shared" si="7"/>
        <v>1349.6465292460246</v>
      </c>
      <c r="H46" s="40"/>
      <c r="I46" s="86"/>
    </row>
    <row r="47" spans="1:9" x14ac:dyDescent="0.3">
      <c r="B47" s="457" t="s">
        <v>778</v>
      </c>
      <c r="C47" s="587">
        <f>SUMIF('5.2 Budgeted Enrollment YR2'!$D$102:$D$732,'6.4 District Size Adj. YR2'!$B47,'5.2 Budgeted Enrollment YR2'!$G$102:$G$732)</f>
        <v>729.78835693297401</v>
      </c>
      <c r="D47" s="587">
        <f t="shared" si="4"/>
        <v>399.51239400913778</v>
      </c>
      <c r="E47" s="29">
        <f t="shared" si="5"/>
        <v>9428</v>
      </c>
      <c r="F47" s="550">
        <f t="shared" si="6"/>
        <v>3766602.8507181508</v>
      </c>
      <c r="G47" s="550">
        <f t="shared" si="7"/>
        <v>5161.2262855874624</v>
      </c>
      <c r="H47" s="40"/>
      <c r="I47" s="86"/>
    </row>
    <row r="48" spans="1:9" x14ac:dyDescent="0.3">
      <c r="B48" s="858" t="s">
        <v>779</v>
      </c>
      <c r="C48" s="906">
        <f>SUMIF('5.2 Budgeted Enrollment YR2'!$D$102:$D$732,'6.4 District Size Adj. YR2'!$B48,'5.2 Budgeted Enrollment YR2'!$G$102:$G$732)</f>
        <v>525.4660980538788</v>
      </c>
      <c r="D48" s="906">
        <f t="shared" si="4"/>
        <v>336.15943543981427</v>
      </c>
      <c r="E48" s="201">
        <f t="shared" si="5"/>
        <v>9428</v>
      </c>
      <c r="F48" s="577">
        <f t="shared" si="6"/>
        <v>3169311.1573265688</v>
      </c>
      <c r="G48" s="577">
        <f t="shared" si="7"/>
        <v>6031.4284195773234</v>
      </c>
      <c r="H48" s="40"/>
      <c r="I48" s="86"/>
    </row>
    <row r="49" spans="1:9" s="4" customFormat="1" x14ac:dyDescent="0.3">
      <c r="B49" s="4" t="s">
        <v>830</v>
      </c>
      <c r="C49" s="618">
        <f>SUM(C38:C48)</f>
        <v>9818.4043511504296</v>
      </c>
      <c r="D49" s="618">
        <f>SUMPRODUCT(C38:C48,D38:D48)/C49</f>
        <v>383.26548856100044</v>
      </c>
      <c r="F49" s="553">
        <f>SUM(F38:F48)</f>
        <v>21166605.66387758</v>
      </c>
      <c r="G49" s="554">
        <f>F49/C49</f>
        <v>2155.8091220186379</v>
      </c>
      <c r="H49" s="85"/>
      <c r="I49" s="86"/>
    </row>
    <row r="50" spans="1:9" x14ac:dyDescent="0.3">
      <c r="C50" s="620"/>
      <c r="D50" s="620"/>
      <c r="H50" s="40"/>
      <c r="I50" s="86"/>
    </row>
    <row r="51" spans="1:9" x14ac:dyDescent="0.3">
      <c r="A51" s="4" t="s">
        <v>889</v>
      </c>
      <c r="B51" s="457" t="s">
        <v>781</v>
      </c>
      <c r="C51" s="587">
        <f>SUMIF('5.2 Budgeted Enrollment YR2'!$D$102:$D$732,'6.4 District Size Adj. YR2'!$B51,'5.2 Budgeted Enrollment YR2'!$G$102:$G$732)</f>
        <v>50.095155508380685</v>
      </c>
      <c r="D51" s="587">
        <f>IF(C51=0,0,(IF($C$9+($D$9*$C51)&lt;1,1,IF($C51&lt;=$B$7,$C$7*($C51^$D$7),IF($C51&lt;=$B$8,$C$8+($D$8*LN($C51)),$C$9+($C51*$D$9))))*C51-C51))</f>
        <v>65.133083467630655</v>
      </c>
      <c r="E51" s="29">
        <f>$E$11</f>
        <v>9428</v>
      </c>
      <c r="F51" s="550">
        <f>D51*E51</f>
        <v>614074.71093282185</v>
      </c>
      <c r="G51" s="550">
        <f>F51/C51</f>
        <v>12258.165579106548</v>
      </c>
      <c r="H51" s="40"/>
      <c r="I51" s="86"/>
    </row>
    <row r="52" spans="1:9" x14ac:dyDescent="0.3">
      <c r="B52" s="457" t="s">
        <v>782</v>
      </c>
      <c r="C52" s="587">
        <f>SUMIF('5.2 Budgeted Enrollment YR2'!$D$102:$D$732,'6.4 District Size Adj. YR2'!$B52,'5.2 Budgeted Enrollment YR2'!$G$102:$G$732)</f>
        <v>21.434872362765883</v>
      </c>
      <c r="D52" s="587">
        <f>IF(C52=0,0,(IF($C$9+($D$9*$C52)&lt;1,1,IF($C52&lt;=$B$7,$C$7*($C52^$D$7),IF($C52&lt;=$B$8,$C$8+($D$8*LN($C52)),$C$9+($C52*$D$9))))*C52-C52))</f>
        <v>32.982473008477498</v>
      </c>
      <c r="E52" s="29">
        <f>$E$11</f>
        <v>9428</v>
      </c>
      <c r="F52" s="550">
        <f>D52*E52</f>
        <v>310958.75552392588</v>
      </c>
      <c r="G52" s="550">
        <f>F52/C52</f>
        <v>14507.142858666448</v>
      </c>
      <c r="H52" s="40"/>
      <c r="I52" s="86"/>
    </row>
    <row r="53" spans="1:9" x14ac:dyDescent="0.3">
      <c r="B53" s="858" t="s">
        <v>780</v>
      </c>
      <c r="C53" s="906">
        <f>SUMIF('5.2 Budgeted Enrollment YR2'!$D$102:$D$732,'6.4 District Size Adj. YR2'!$B53,'5.2 Budgeted Enrollment YR2'!$G$102:$G$732)</f>
        <v>5.8625094548019998</v>
      </c>
      <c r="D53" s="906">
        <f>IF(C53=0,0,(IF($C$9+($D$9*$C53)&lt;1,1,IF($C53&lt;=$B$7,$C$7*($C53^$D$7),IF($C53&lt;=$B$8,$C$8+($D$8*LN($C53)),$C$9+($C53*$D$9))))*C53-C53))</f>
        <v>30.321907912608324</v>
      </c>
      <c r="E53" s="201">
        <f>$E$11</f>
        <v>9428</v>
      </c>
      <c r="F53" s="577">
        <f>D53*E53</f>
        <v>285874.94780007127</v>
      </c>
      <c r="G53" s="577">
        <f>F53/C53</f>
        <v>48763.23867860208</v>
      </c>
      <c r="H53" s="40"/>
      <c r="I53" s="86"/>
    </row>
    <row r="54" spans="1:9" s="4" customFormat="1" x14ac:dyDescent="0.3">
      <c r="B54" s="4" t="s">
        <v>831</v>
      </c>
      <c r="C54" s="618">
        <f>SUM(C51:C53)</f>
        <v>77.392537325948567</v>
      </c>
      <c r="D54" s="618">
        <f>SUMPRODUCT(C51:C53,D51:D53)/C54</f>
        <v>53.591594995181261</v>
      </c>
      <c r="F54" s="553">
        <f>SUM(F51:F53)</f>
        <v>1210908.4142568191</v>
      </c>
      <c r="G54" s="554">
        <f>F54/C54</f>
        <v>15646.320124599655</v>
      </c>
      <c r="H54" s="85"/>
      <c r="I54" s="86"/>
    </row>
    <row r="55" spans="1:9" x14ac:dyDescent="0.3">
      <c r="C55" s="83"/>
      <c r="D55" s="83"/>
      <c r="H55" s="40"/>
      <c r="I55" s="86"/>
    </row>
    <row r="56" spans="1:9" x14ac:dyDescent="0.3">
      <c r="A56" s="4" t="s">
        <v>6</v>
      </c>
      <c r="B56" s="457" t="s">
        <v>783</v>
      </c>
      <c r="C56" s="587">
        <f>SUMIF('5.2 Budgeted Enrollment YR2'!$D$102:$D$732,'6.4 District Size Adj. YR2'!$B56,'5.2 Budgeted Enrollment YR2'!$G$102:$G$732)</f>
        <v>35.280247161551422</v>
      </c>
      <c r="D56" s="587">
        <f t="shared" ref="D56:D65" si="8">IF(C56=0,0,(IF($C$9+($D$9*$C56)&lt;1,1,IF($C56&lt;=$B$7,$C$7*($C56^$D$7),IF($C56&lt;=$B$8,$C$8+($D$8*LN($C56)),$C$9+($C56*$D$9))))*C56-C56))</f>
        <v>49.346699399920375</v>
      </c>
      <c r="E56" s="29">
        <f>$E$11</f>
        <v>9428</v>
      </c>
      <c r="F56" s="550">
        <f>D56*E56</f>
        <v>465240.6819424493</v>
      </c>
      <c r="G56" s="550">
        <f>F56/C56</f>
        <v>13187.001775017914</v>
      </c>
      <c r="H56" s="40"/>
      <c r="I56" s="86"/>
    </row>
    <row r="57" spans="1:9" x14ac:dyDescent="0.3">
      <c r="B57" s="858" t="s">
        <v>6</v>
      </c>
      <c r="C57" s="906">
        <f>SUMIF('5.2 Budgeted Enrollment YR2'!$D$102:$D$732,'6.4 District Size Adj. YR2'!$B57,'5.2 Budgeted Enrollment YR2'!$G$102:$G$732)</f>
        <v>288.74598889942411</v>
      </c>
      <c r="D57" s="906">
        <f t="shared" si="8"/>
        <v>233.30132739948226</v>
      </c>
      <c r="E57" s="201">
        <f>$E$11</f>
        <v>9428</v>
      </c>
      <c r="F57" s="577">
        <f>D57*E57</f>
        <v>2199564.9147223188</v>
      </c>
      <c r="G57" s="577">
        <f>F57/C57</f>
        <v>7617.6466488975902</v>
      </c>
      <c r="H57" s="40"/>
      <c r="I57" s="86"/>
    </row>
    <row r="58" spans="1:9" s="4" customFormat="1" x14ac:dyDescent="0.3">
      <c r="B58" s="4" t="s">
        <v>832</v>
      </c>
      <c r="C58" s="618">
        <f>SUM(C56:C57)</f>
        <v>324.02623606097552</v>
      </c>
      <c r="D58" s="618">
        <f>SUMPRODUCT(C56:C57,D56:D57)/C58</f>
        <v>213.27219389093977</v>
      </c>
      <c r="F58" s="553">
        <f>SUM(F56:F57)</f>
        <v>2664805.5966647682</v>
      </c>
      <c r="G58" s="554">
        <f>F58/C58</f>
        <v>8224.0426857388884</v>
      </c>
      <c r="H58" s="85"/>
      <c r="I58" s="86"/>
    </row>
    <row r="59" spans="1:9" x14ac:dyDescent="0.3">
      <c r="C59" s="83"/>
      <c r="D59" s="83"/>
      <c r="H59" s="40"/>
      <c r="I59" s="86"/>
    </row>
    <row r="60" spans="1:9" x14ac:dyDescent="0.3">
      <c r="A60" s="4" t="s">
        <v>7</v>
      </c>
      <c r="B60" s="457" t="s">
        <v>509</v>
      </c>
      <c r="C60" s="587">
        <f>SUMIF('5.2 Budgeted Enrollment YR2'!$D$102:$D$732,'6.4 District Size Adj. YR2'!$B60,'5.2 Budgeted Enrollment YR2'!$G$102:$G$732)</f>
        <v>7.9494554203575767</v>
      </c>
      <c r="D60" s="587">
        <f t="shared" si="8"/>
        <v>30.612818294862112</v>
      </c>
      <c r="E60" s="29">
        <f t="shared" ref="E60:E65" si="9">$E$11</f>
        <v>9428</v>
      </c>
      <c r="F60" s="550">
        <f t="shared" ref="F60:F65" si="10">D60*E60</f>
        <v>288617.65088396001</v>
      </c>
      <c r="G60" s="550">
        <f t="shared" ref="G60:G65" si="11">F60/C60</f>
        <v>36306.594052322849</v>
      </c>
      <c r="H60" s="40"/>
      <c r="I60" s="86"/>
    </row>
    <row r="61" spans="1:9" x14ac:dyDescent="0.3">
      <c r="B61" s="457" t="s">
        <v>512</v>
      </c>
      <c r="C61" s="587">
        <f>SUMIF('5.2 Budgeted Enrollment YR2'!$D$102:$D$732,'6.4 District Size Adj. YR2'!$B61,'5.2 Budgeted Enrollment YR2'!$G$102:$G$732)</f>
        <v>5.9909138789500007</v>
      </c>
      <c r="D61" s="587">
        <f t="shared" si="8"/>
        <v>30.35772676501286</v>
      </c>
      <c r="E61" s="29">
        <f t="shared" si="9"/>
        <v>9428</v>
      </c>
      <c r="F61" s="550">
        <f t="shared" si="10"/>
        <v>286212.64794054127</v>
      </c>
      <c r="G61" s="550">
        <f t="shared" si="11"/>
        <v>47774.455404240332</v>
      </c>
      <c r="H61" s="40"/>
      <c r="I61" s="86"/>
    </row>
    <row r="62" spans="1:9" x14ac:dyDescent="0.3">
      <c r="B62" s="457" t="s">
        <v>814</v>
      </c>
      <c r="C62" s="587">
        <f>SUMIF('5.2 Budgeted Enrollment YR2'!$D$102:$D$732,'6.4 District Size Adj. YR2'!$B62,'5.2 Budgeted Enrollment YR2'!$G$102:$G$732)</f>
        <v>97.57823988492585</v>
      </c>
      <c r="D62" s="587">
        <f t="shared" si="8"/>
        <v>108.58858604937616</v>
      </c>
      <c r="E62" s="29">
        <f t="shared" si="9"/>
        <v>9428</v>
      </c>
      <c r="F62" s="550">
        <f t="shared" si="10"/>
        <v>1023773.1892735184</v>
      </c>
      <c r="G62" s="550">
        <f t="shared" si="11"/>
        <v>10491.818570214584</v>
      </c>
      <c r="H62" s="40"/>
      <c r="I62" s="86"/>
    </row>
    <row r="63" spans="1:9" x14ac:dyDescent="0.3">
      <c r="B63" s="457" t="s">
        <v>815</v>
      </c>
      <c r="C63" s="587">
        <f>SUMIF('5.2 Budgeted Enrollment YR2'!$D$102:$D$732,'6.4 District Size Adj. YR2'!$B63,'5.2 Budgeted Enrollment YR2'!$G$102:$G$732)</f>
        <v>37.761259385850003</v>
      </c>
      <c r="D63" s="587">
        <f t="shared" si="8"/>
        <v>52.095783957742817</v>
      </c>
      <c r="E63" s="29">
        <f t="shared" si="9"/>
        <v>9428</v>
      </c>
      <c r="F63" s="550">
        <f t="shared" si="10"/>
        <v>491159.05115359928</v>
      </c>
      <c r="G63" s="550">
        <f t="shared" si="11"/>
        <v>13006.956312946693</v>
      </c>
      <c r="H63" s="40"/>
      <c r="I63" s="86"/>
    </row>
    <row r="64" spans="1:9" x14ac:dyDescent="0.3">
      <c r="B64" s="457" t="s">
        <v>784</v>
      </c>
      <c r="C64" s="587">
        <f>SUMIF('5.2 Budgeted Enrollment YR2'!$D$102:$D$732,'6.4 District Size Adj. YR2'!$B64,'5.2 Budgeted Enrollment YR2'!$G$102:$G$732)</f>
        <v>29.67630944762394</v>
      </c>
      <c r="D64" s="587">
        <f t="shared" si="8"/>
        <v>42.950876182792356</v>
      </c>
      <c r="E64" s="29">
        <f t="shared" si="9"/>
        <v>9428</v>
      </c>
      <c r="F64" s="550">
        <f t="shared" si="10"/>
        <v>404940.86065136635</v>
      </c>
      <c r="G64" s="550">
        <f t="shared" si="11"/>
        <v>13645.256711116695</v>
      </c>
      <c r="H64" s="40"/>
      <c r="I64" s="86"/>
    </row>
    <row r="65" spans="1:9" x14ac:dyDescent="0.3">
      <c r="B65" s="858" t="s">
        <v>816</v>
      </c>
      <c r="C65" s="906">
        <f>SUMIF('5.2 Budgeted Enrollment YR2'!$D$102:$D$732,'6.4 District Size Adj. YR2'!$B65,'5.2 Budgeted Enrollment YR2'!$G$102:$G$732)</f>
        <v>3006.8490167992477</v>
      </c>
      <c r="D65" s="906">
        <f t="shared" si="8"/>
        <v>449.73416721402737</v>
      </c>
      <c r="E65" s="201">
        <f t="shared" si="9"/>
        <v>9428</v>
      </c>
      <c r="F65" s="577">
        <f t="shared" si="10"/>
        <v>4240093.7284938497</v>
      </c>
      <c r="G65" s="577">
        <f t="shared" si="11"/>
        <v>1410.1452067611215</v>
      </c>
      <c r="H65" s="40"/>
      <c r="I65" s="86"/>
    </row>
    <row r="66" spans="1:9" s="4" customFormat="1" x14ac:dyDescent="0.3">
      <c r="B66" s="4" t="s">
        <v>834</v>
      </c>
      <c r="C66" s="618">
        <f>SUM(C60:C65)</f>
        <v>3185.805194816955</v>
      </c>
      <c r="D66" s="618">
        <f>SUMPRODUCT(C60:C65,D60:D65)/C66</f>
        <v>428.94828456385125</v>
      </c>
      <c r="F66" s="553">
        <f>SUM(F60:F65)</f>
        <v>6734797.1283968352</v>
      </c>
      <c r="G66" s="554">
        <f>F66/C66</f>
        <v>2114.0015526855818</v>
      </c>
      <c r="H66" s="85"/>
      <c r="I66" s="86"/>
    </row>
    <row r="67" spans="1:9" x14ac:dyDescent="0.3">
      <c r="C67" s="620"/>
      <c r="E67" s="40"/>
      <c r="I67" s="86"/>
    </row>
    <row r="68" spans="1:9" x14ac:dyDescent="0.3">
      <c r="A68" s="4" t="s">
        <v>817</v>
      </c>
      <c r="B68" s="457" t="s">
        <v>785</v>
      </c>
      <c r="C68" s="587">
        <f>SUMIF('5.2 Budgeted Enrollment YR2'!$D$102:$D$732,'6.4 District Size Adj. YR2'!$B68,'5.2 Budgeted Enrollment YR2'!$G$102:$G$732)</f>
        <v>9.3686730600538315</v>
      </c>
      <c r="D68" s="587">
        <f>IF(C68=0,0,(IF($C$9+($D$9*$C68)&lt;1,1,IF($C68&lt;=$B$7,$C$7*($C68^$D$7),IF($C68&lt;=$B$8,$C$8+($D$8*LN($C68)),$C$9+($C68*$D$9))))*C68-C68))</f>
        <v>30.540510227210511</v>
      </c>
      <c r="E68" s="29">
        <f>$E$11</f>
        <v>9428</v>
      </c>
      <c r="F68" s="550">
        <f>D68*E68</f>
        <v>287935.93042214069</v>
      </c>
      <c r="G68" s="550">
        <f>F68/C68</f>
        <v>30733.907414257257</v>
      </c>
      <c r="I68" s="86"/>
    </row>
    <row r="69" spans="1:9" x14ac:dyDescent="0.3">
      <c r="B69" s="858" t="s">
        <v>786</v>
      </c>
      <c r="C69" s="906">
        <f>SUMIF('5.2 Budgeted Enrollment YR2'!$D$102:$D$732,'6.4 District Size Adj. YR2'!$B69,'5.2 Budgeted Enrollment YR2'!$G$102:$G$732)</f>
        <v>994.50680810358358</v>
      </c>
      <c r="D69" s="906">
        <f>IF(C69=0,0,(IF($C$9+($D$9*$C69)&lt;1,1,IF($C69&lt;=$B$7,$C$7*($C69^$D$7),IF($C69&lt;=$B$8,$C$8+($D$8*LN($C69)),$C$9+($C69*$D$9))))*C69-C69))</f>
        <v>457.93916629871796</v>
      </c>
      <c r="E69" s="201">
        <f>$E$11</f>
        <v>9428</v>
      </c>
      <c r="F69" s="577">
        <f>D69*E69</f>
        <v>4317450.4598643128</v>
      </c>
      <c r="G69" s="577">
        <f>F69/C69</f>
        <v>4341.2980430945681</v>
      </c>
      <c r="I69" s="86"/>
    </row>
    <row r="70" spans="1:9" s="4" customFormat="1" x14ac:dyDescent="0.3">
      <c r="B70" s="4" t="s">
        <v>833</v>
      </c>
      <c r="C70" s="618">
        <f>C69+C68</f>
        <v>1003.8754811636375</v>
      </c>
      <c r="D70" s="618">
        <f>SUMPRODUCT(C68:C69,D68:D69)/C70</f>
        <v>453.95046615594828</v>
      </c>
      <c r="E70" s="5"/>
      <c r="F70" s="553">
        <f>SUM(F68:F69)</f>
        <v>4605386.3902864531</v>
      </c>
      <c r="G70" s="554">
        <f>F70/C70</f>
        <v>4587.6072049773957</v>
      </c>
      <c r="I70" s="86"/>
    </row>
    <row r="71" spans="1:9" x14ac:dyDescent="0.3">
      <c r="C71" s="83"/>
      <c r="E71" s="40"/>
      <c r="I71" s="86"/>
    </row>
    <row r="72" spans="1:9" x14ac:dyDescent="0.3">
      <c r="A72" s="4" t="s">
        <v>9</v>
      </c>
      <c r="B72" s="457" t="s">
        <v>788</v>
      </c>
      <c r="C72" s="587">
        <f>SUMIF('5.2 Budgeted Enrollment YR2'!$D$102:$D$732,'6.4 District Size Adj. YR2'!$B72,'5.2 Budgeted Enrollment YR2'!$G$102:$G$732)</f>
        <v>308.33613509358656</v>
      </c>
      <c r="D72" s="587">
        <f>IF(C72=0,0,(IF($C$9+($D$9*$C72)&lt;1,1,IF($C72&lt;=$B$7,$C$7*($C72^$D$7),IF($C72&lt;=$B$8,$C$8+($D$8*LN($C72)),$C$9+($C72*$D$9))))*C72-C72))</f>
        <v>243.4423121010617</v>
      </c>
      <c r="E72" s="29">
        <f>$E$11</f>
        <v>9428</v>
      </c>
      <c r="F72" s="550">
        <f>D72*E72</f>
        <v>2295174.1184888096</v>
      </c>
      <c r="G72" s="550">
        <f>F72/C72</f>
        <v>7443.7403121504894</v>
      </c>
      <c r="I72" s="86"/>
    </row>
    <row r="73" spans="1:9" x14ac:dyDescent="0.3">
      <c r="A73" s="4"/>
      <c r="B73" s="457" t="s">
        <v>787</v>
      </c>
      <c r="C73" s="587">
        <f>SUMIF('5.2 Budgeted Enrollment YR2'!$D$102:$D$732,'6.4 District Size Adj. YR2'!$B73,'5.2 Budgeted Enrollment YR2'!$G$102:$G$732)</f>
        <v>112.01150978252238</v>
      </c>
      <c r="D73" s="587">
        <f>IF(C73=0,0,(IF($C$9+($D$9*$C73)&lt;1,1,IF($C73&lt;=$B$7,$C$7*($C73^$D$7),IF($C73&lt;=$B$8,$C$8+($D$8*LN($C73)),$C$9+($C73*$D$9))))*C73-C73))</f>
        <v>120.30853178585483</v>
      </c>
      <c r="E73" s="29">
        <f>$E$11</f>
        <v>9428</v>
      </c>
      <c r="F73" s="550">
        <f>D73*E73</f>
        <v>1134268.8376770392</v>
      </c>
      <c r="G73" s="550">
        <f>F73/C73</f>
        <v>10126.359691778958</v>
      </c>
      <c r="I73" s="86"/>
    </row>
    <row r="74" spans="1:9" x14ac:dyDescent="0.3">
      <c r="A74" s="4"/>
      <c r="B74" s="457" t="s">
        <v>789</v>
      </c>
      <c r="C74" s="907">
        <f>SUMIF('5.2 Budgeted Enrollment YR2'!$D$102:$D$732,'6.4 District Size Adj. YR2'!$B74,'5.2 Budgeted Enrollment YR2'!$G$102:$G$732)</f>
        <v>407.57510200697288</v>
      </c>
      <c r="D74" s="907">
        <f>IF(C74=0,0,(IF($C$9+($D$9*$C74)&lt;1,1,IF($C74&lt;=$B$7,$C$7*($C74^$D$7),IF($C74&lt;=$B$8,$C$8+($D$8*LN($C74)),$C$9+($C74*$D$9))))*C74-C74))</f>
        <v>289.83754322501295</v>
      </c>
      <c r="E74" s="208">
        <f>$E$11</f>
        <v>9428</v>
      </c>
      <c r="F74" s="570">
        <f>D74*E74</f>
        <v>2732588.3575254222</v>
      </c>
      <c r="G74" s="570">
        <f>F74/C74</f>
        <v>6704.5026648332223</v>
      </c>
      <c r="I74" s="86"/>
    </row>
    <row r="75" spans="1:9" x14ac:dyDescent="0.3">
      <c r="A75" s="4"/>
      <c r="B75" s="858" t="s">
        <v>790</v>
      </c>
      <c r="C75" s="906">
        <f>SUMIF('5.2 Budgeted Enrollment YR2'!$D$102:$D$732,'6.4 District Size Adj. YR2'!$B75,'5.2 Budgeted Enrollment YR2'!$G$102:$G$732)</f>
        <v>55.97972257963086</v>
      </c>
      <c r="D75" s="906">
        <f>IF(C75=0,0,(IF($C$9+($D$9*$C75)&lt;1,1,IF($C75&lt;=$B$7,$C$7*($C75^$D$7),IF($C75&lt;=$B$8,$C$8+($D$8*LN($C75)),$C$9+($C75*$D$9))))*C75-C75))</f>
        <v>71.037033182390331</v>
      </c>
      <c r="E75" s="201">
        <f>$E$11</f>
        <v>9428</v>
      </c>
      <c r="F75" s="577">
        <f>D75*E75</f>
        <v>669737.14884357608</v>
      </c>
      <c r="G75" s="577">
        <f>F75/C75</f>
        <v>11963.924042154345</v>
      </c>
      <c r="I75" s="86"/>
    </row>
    <row r="76" spans="1:9" s="4" customFormat="1" x14ac:dyDescent="0.3">
      <c r="B76" s="4" t="s">
        <v>833</v>
      </c>
      <c r="C76" s="618">
        <f>SUM(C72:C75)</f>
        <v>883.9024694627127</v>
      </c>
      <c r="D76" s="618">
        <f>SUMPRODUCT(C72:C75,D72:D75)/C76</f>
        <v>238.31271984158832</v>
      </c>
      <c r="E76" s="5"/>
      <c r="F76" s="553">
        <f>SUM(F72:F75)</f>
        <v>6831768.4625348477</v>
      </c>
      <c r="G76" s="554">
        <f>F76/C76</f>
        <v>7729.0976081191329</v>
      </c>
      <c r="I76" s="86"/>
    </row>
    <row r="77" spans="1:9" x14ac:dyDescent="0.3">
      <c r="A77" s="4"/>
      <c r="C77" s="83"/>
      <c r="E77" s="40"/>
      <c r="I77" s="86"/>
    </row>
    <row r="78" spans="1:9" x14ac:dyDescent="0.3">
      <c r="A78" s="4" t="s">
        <v>10</v>
      </c>
      <c r="B78" s="457" t="s">
        <v>792</v>
      </c>
      <c r="C78" s="587">
        <f>SUMIF('5.2 Budgeted Enrollment YR2'!$D$102:$D$732,'6.4 District Size Adj. YR2'!$B78,'5.2 Budgeted Enrollment YR2'!$G$102:$G$732)</f>
        <v>2370.4732368947789</v>
      </c>
      <c r="D78" s="587">
        <f>IF(C78=0,0,(IF($C$9+($D$9*$C78)&lt;1,1,IF($C78&lt;=$B$7,$C$7*($C78^$D$7),IF($C78&lt;=$B$8,$C$8+($D$8*LN($C78)),$C$9+($C78*$D$9))))*C78-C78))</f>
        <v>512.9528320894542</v>
      </c>
      <c r="E78" s="29">
        <f>$E$11</f>
        <v>9428</v>
      </c>
      <c r="F78" s="550">
        <f>D78*E78</f>
        <v>4836119.3009393746</v>
      </c>
      <c r="G78" s="550">
        <f t="shared" ref="G78:G83" si="12">F78/C78</f>
        <v>2040.1492941023409</v>
      </c>
      <c r="I78" s="86"/>
    </row>
    <row r="79" spans="1:9" x14ac:dyDescent="0.3">
      <c r="A79" s="4"/>
      <c r="B79" s="457" t="s">
        <v>791</v>
      </c>
      <c r="C79" s="587">
        <f>SUMIF('5.2 Budgeted Enrollment YR2'!$D$102:$D$732,'6.4 District Size Adj. YR2'!$B79,'5.2 Budgeted Enrollment YR2'!$G$102:$G$732)</f>
        <v>4150.1123980595385</v>
      </c>
      <c r="D79" s="587">
        <f>IF(C79=0,0,(IF($C$9+($D$9*$C79)&lt;1,1,IF($C79&lt;=$B$7,$C$7*($C79^$D$7),IF($C79&lt;=$B$8,$C$8+($D$8*LN($C79)),$C$9+($C79*$D$9))))*C79-C79))</f>
        <v>330.34710004139288</v>
      </c>
      <c r="E79" s="29">
        <f>$E$11</f>
        <v>9428</v>
      </c>
      <c r="F79" s="550">
        <f>D79*E79</f>
        <v>3114512.4591902522</v>
      </c>
      <c r="G79" s="550">
        <f t="shared" si="12"/>
        <v>750.46460443974956</v>
      </c>
      <c r="I79" s="86"/>
    </row>
    <row r="80" spans="1:9" x14ac:dyDescent="0.3">
      <c r="A80" s="4"/>
      <c r="B80" s="457" t="s">
        <v>793</v>
      </c>
      <c r="C80" s="587">
        <f>SUMIF('5.2 Budgeted Enrollment YR2'!$D$102:$D$732,'6.4 District Size Adj. YR2'!$B80,'5.2 Budgeted Enrollment YR2'!$G$102:$G$732)</f>
        <v>1034.6345081553322</v>
      </c>
      <c r="D80" s="587">
        <f>IF(C80=0,0,(IF($C$9+($D$9*$C80)&lt;1,1,IF($C80&lt;=$B$7,$C$7*($C80^$D$7),IF($C80&lt;=$B$8,$C$8+($D$8*LN($C80)),$C$9+($C80*$D$9))))*C80-C80))</f>
        <v>464.91634090955813</v>
      </c>
      <c r="E80" s="29">
        <f>$E$11</f>
        <v>9428</v>
      </c>
      <c r="F80" s="550">
        <f>D80*E80</f>
        <v>4383231.2620953145</v>
      </c>
      <c r="G80" s="550">
        <f t="shared" si="12"/>
        <v>4236.5020957113184</v>
      </c>
      <c r="I80" s="86"/>
    </row>
    <row r="81" spans="1:9" x14ac:dyDescent="0.3">
      <c r="A81" s="4"/>
      <c r="B81" s="457" t="s">
        <v>818</v>
      </c>
      <c r="C81" s="907">
        <f>SUMIF('5.2 Budgeted Enrollment YR2'!$D$102:$D$732,'6.4 District Size Adj. YR2'!$B81,'5.2 Budgeted Enrollment YR2'!$G$102:$G$732)</f>
        <v>205.2033127404311</v>
      </c>
      <c r="D81" s="907">
        <f>IF(C81=0,0,(IF($C$9+($D$9*$C81)&lt;1,1,IF($C81&lt;=$B$7,$C$7*($C81^$D$7),IF($C81&lt;=$B$8,$C$8+($D$8*LN($C81)),$C$9+($C81*$D$9))))*C81-C81))</f>
        <v>185.49469328305292</v>
      </c>
      <c r="E81" s="208">
        <f>$E$11</f>
        <v>9428</v>
      </c>
      <c r="F81" s="570">
        <f>D81*E81</f>
        <v>1748843.9682726229</v>
      </c>
      <c r="G81" s="570">
        <f t="shared" si="12"/>
        <v>8522.4938375375896</v>
      </c>
      <c r="I81" s="86"/>
    </row>
    <row r="82" spans="1:9" x14ac:dyDescent="0.3">
      <c r="A82" s="4"/>
      <c r="B82" s="858" t="s">
        <v>794</v>
      </c>
      <c r="C82" s="906">
        <f>SUMIF('5.2 Budgeted Enrollment YR2'!$D$102:$D$732,'6.4 District Size Adj. YR2'!$B82,'5.2 Budgeted Enrollment YR2'!$G$102:$G$732)</f>
        <v>1284.6460294096996</v>
      </c>
      <c r="D82" s="906">
        <f>IF(C82=0,0,(IF($C$9+($D$9*$C82)&lt;1,1,IF($C82&lt;=$B$7,$C$7*($C82^$D$7),IF($C82&lt;=$B$8,$C$8+($D$8*LN($C82)),$C$9+($C82*$D$9))))*C82-C82))</f>
        <v>499.12992275515921</v>
      </c>
      <c r="E82" s="201">
        <f>$E$11</f>
        <v>9428</v>
      </c>
      <c r="F82" s="577">
        <f>D82*E82</f>
        <v>4705796.9117356408</v>
      </c>
      <c r="G82" s="577">
        <f t="shared" si="12"/>
        <v>3663.1078164760879</v>
      </c>
      <c r="I82" s="86"/>
    </row>
    <row r="83" spans="1:9" s="4" customFormat="1" x14ac:dyDescent="0.3">
      <c r="B83" s="4" t="s">
        <v>835</v>
      </c>
      <c r="C83" s="618">
        <f>SUM(C78:C82)</f>
        <v>9045.0694852597808</v>
      </c>
      <c r="D83" s="618">
        <f>SUMPRODUCT(C78:C82,D78:D82)/C83</f>
        <v>414.28166479026055</v>
      </c>
      <c r="E83" s="5"/>
      <c r="F83" s="553">
        <f>SUM(F78:F82)</f>
        <v>18788503.902233206</v>
      </c>
      <c r="G83" s="554">
        <f t="shared" si="12"/>
        <v>2077.2094601209783</v>
      </c>
      <c r="I83" s="86"/>
    </row>
    <row r="84" spans="1:9" x14ac:dyDescent="0.3">
      <c r="A84" s="4"/>
      <c r="C84" s="83"/>
      <c r="E84" s="40"/>
      <c r="I84" s="86"/>
    </row>
    <row r="85" spans="1:9" x14ac:dyDescent="0.3">
      <c r="A85" s="4" t="s">
        <v>11</v>
      </c>
      <c r="B85" s="457" t="s">
        <v>795</v>
      </c>
      <c r="C85" s="587">
        <f>SUMIF('5.2 Budgeted Enrollment YR2'!$D$102:$D$732,'6.4 District Size Adj. YR2'!$B85,'5.2 Budgeted Enrollment YR2'!$G$102:$G$732)</f>
        <v>498.68672291982739</v>
      </c>
      <c r="D85" s="587">
        <f>IF(C85=0,0,(IF($C$9+($D$9*$C85)&lt;1,1,IF($C85&lt;=$B$7,$C$7*($C85^$D$7),IF($C85&lt;=$B$8,$C$8+($D$8*LN($C85)),$C$9+($C85*$D$9))))*C85-C85))</f>
        <v>326.35762514235103</v>
      </c>
      <c r="E85" s="29">
        <f>$E$11</f>
        <v>9428</v>
      </c>
      <c r="F85" s="550">
        <f>D85*E85</f>
        <v>3076899.6898420854</v>
      </c>
      <c r="G85" s="550">
        <f>F85/C85</f>
        <v>6170.005232597201</v>
      </c>
      <c r="I85" s="86"/>
    </row>
    <row r="86" spans="1:9" x14ac:dyDescent="0.3">
      <c r="A86" s="4"/>
      <c r="B86" s="858" t="s">
        <v>819</v>
      </c>
      <c r="C86" s="906">
        <f>SUMIF('5.2 Budgeted Enrollment YR2'!$D$102:$D$732,'6.4 District Size Adj. YR2'!$B86,'5.2 Budgeted Enrollment YR2'!$G$102:$G$732)</f>
        <v>69.313982454972361</v>
      </c>
      <c r="D86" s="906">
        <f>IF(C86=0,0,(IF($C$9+($D$9*$C86)&lt;1,1,IF($C86&lt;=$B$7,$C$7*($C86^$D$7),IF($C86&lt;=$B$8,$C$8+($D$8*LN($C86)),$C$9+($C86*$D$9))))*C86-C86))</f>
        <v>83.796466087830836</v>
      </c>
      <c r="E86" s="201">
        <f>$E$11</f>
        <v>9428</v>
      </c>
      <c r="F86" s="577">
        <f>D86*E86</f>
        <v>790033.08227606909</v>
      </c>
      <c r="G86" s="577">
        <f>F86/C86</f>
        <v>11397.889059242687</v>
      </c>
      <c r="I86" s="86"/>
    </row>
    <row r="87" spans="1:9" s="4" customFormat="1" x14ac:dyDescent="0.3">
      <c r="B87" s="4" t="s">
        <v>836</v>
      </c>
      <c r="C87" s="618">
        <f>SUM(C85:C86)</f>
        <v>568.00070537479974</v>
      </c>
      <c r="D87" s="618">
        <f>SUMPRODUCT(C85:C86,D85:D86)/C87</f>
        <v>296.75752119200706</v>
      </c>
      <c r="E87" s="5"/>
      <c r="F87" s="553">
        <f>SUM(F85:F86)</f>
        <v>3866932.7721181544</v>
      </c>
      <c r="G87" s="554">
        <f>F87/C87</f>
        <v>6807.9717780746914</v>
      </c>
      <c r="I87" s="86"/>
    </row>
    <row r="88" spans="1:9" x14ac:dyDescent="0.3">
      <c r="A88" s="4"/>
      <c r="C88" s="83"/>
      <c r="E88" s="40"/>
      <c r="I88" s="86"/>
    </row>
    <row r="89" spans="1:9" x14ac:dyDescent="0.3">
      <c r="A89" s="4" t="s">
        <v>12</v>
      </c>
      <c r="B89" s="457" t="s">
        <v>796</v>
      </c>
      <c r="C89" s="587">
        <f>SUMIF('5.2 Budgeted Enrollment YR2'!$D$102:$D$732,'6.4 District Size Adj. YR2'!$B89,'5.2 Budgeted Enrollment YR2'!$G$102:$G$732)</f>
        <v>150.25777964330339</v>
      </c>
      <c r="D89" s="587">
        <f t="shared" ref="D89:D95" si="13">IF(C89=0,0,(IF($C$9+($D$9*$C89)&lt;1,1,IF($C89&lt;=$B$7,$C$7*($C89^$D$7),IF($C89&lt;=$B$8,$C$8+($D$8*LN($C89)),$C$9+($C89*$D$9))))*C89-C89))</f>
        <v>148.98494443395143</v>
      </c>
      <c r="E89" s="29">
        <f t="shared" ref="E89:E95" si="14">$E$11</f>
        <v>9428</v>
      </c>
      <c r="F89" s="550">
        <f t="shared" ref="F89:F95" si="15">D89*E89</f>
        <v>1404630.0561232939</v>
      </c>
      <c r="G89" s="550">
        <f t="shared" ref="G89:G96" si="16">F89/C89</f>
        <v>9348.1353142429107</v>
      </c>
      <c r="I89" s="86"/>
    </row>
    <row r="90" spans="1:9" x14ac:dyDescent="0.3">
      <c r="B90" s="457" t="s">
        <v>797</v>
      </c>
      <c r="C90" s="587">
        <f>SUMIF('5.2 Budgeted Enrollment YR2'!$D$102:$D$732,'6.4 District Size Adj. YR2'!$B90,'5.2 Budgeted Enrollment YR2'!$G$102:$G$732)</f>
        <v>198.41784875805033</v>
      </c>
      <c r="D90" s="587">
        <f t="shared" si="13"/>
        <v>181.23577213495153</v>
      </c>
      <c r="E90" s="29">
        <f t="shared" si="14"/>
        <v>9428</v>
      </c>
      <c r="F90" s="550">
        <f t="shared" si="15"/>
        <v>1708690.859688323</v>
      </c>
      <c r="G90" s="550">
        <f t="shared" si="16"/>
        <v>8611.5783957112217</v>
      </c>
      <c r="I90" s="86"/>
    </row>
    <row r="91" spans="1:9" x14ac:dyDescent="0.3">
      <c r="B91" s="457" t="s">
        <v>798</v>
      </c>
      <c r="C91" s="587">
        <f>SUMIF('5.2 Budgeted Enrollment YR2'!$D$102:$D$732,'6.4 District Size Adj. YR2'!$B91,'5.2 Budgeted Enrollment YR2'!$G$102:$G$732)</f>
        <v>5.0091282491250002</v>
      </c>
      <c r="D91" s="587">
        <f t="shared" si="13"/>
        <v>30.004926820773157</v>
      </c>
      <c r="E91" s="29">
        <f t="shared" si="14"/>
        <v>9428</v>
      </c>
      <c r="F91" s="550">
        <f t="shared" si="15"/>
        <v>282886.45006624935</v>
      </c>
      <c r="G91" s="550">
        <f t="shared" si="16"/>
        <v>56474.18792195314</v>
      </c>
      <c r="I91" s="86"/>
    </row>
    <row r="92" spans="1:9" x14ac:dyDescent="0.3">
      <c r="B92" s="457" t="s">
        <v>800</v>
      </c>
      <c r="C92" s="587">
        <f>SUMIF('5.2 Budgeted Enrollment YR2'!$D$102:$D$732,'6.4 District Size Adj. YR2'!$B92,'5.2 Budgeted Enrollment YR2'!$G$102:$G$732)</f>
        <v>30.756692308763775</v>
      </c>
      <c r="D92" s="587">
        <f t="shared" si="13"/>
        <v>44.205479310880563</v>
      </c>
      <c r="E92" s="29">
        <f t="shared" si="14"/>
        <v>9428</v>
      </c>
      <c r="F92" s="550">
        <f t="shared" si="15"/>
        <v>416769.25894298195</v>
      </c>
      <c r="G92" s="550">
        <f t="shared" si="16"/>
        <v>13550.522753196976</v>
      </c>
      <c r="I92" s="86"/>
    </row>
    <row r="93" spans="1:9" x14ac:dyDescent="0.3">
      <c r="B93" s="457" t="s">
        <v>799</v>
      </c>
      <c r="C93" s="587">
        <f>SUMIF('5.2 Budgeted Enrollment YR2'!$D$102:$D$732,'6.4 District Size Adj. YR2'!$B93,'5.2 Budgeted Enrollment YR2'!$G$102:$G$732)</f>
        <v>4617.3012681854889</v>
      </c>
      <c r="D93" s="587">
        <f t="shared" si="13"/>
        <v>363.79246789144054</v>
      </c>
      <c r="E93" s="29">
        <f t="shared" si="14"/>
        <v>9428</v>
      </c>
      <c r="F93" s="550">
        <f t="shared" si="15"/>
        <v>3429835.3872805014</v>
      </c>
      <c r="G93" s="550">
        <f t="shared" si="16"/>
        <v>742.82252512155469</v>
      </c>
      <c r="I93" s="86"/>
    </row>
    <row r="94" spans="1:9" x14ac:dyDescent="0.3">
      <c r="B94" s="457" t="s">
        <v>801</v>
      </c>
      <c r="C94" s="907">
        <f>SUMIF('5.2 Budgeted Enrollment YR2'!$D$102:$D$732,'6.4 District Size Adj. YR2'!$B94,'5.2 Budgeted Enrollment YR2'!$G$102:$G$732)</f>
        <v>274.30087605271092</v>
      </c>
      <c r="D94" s="907">
        <f t="shared" si="13"/>
        <v>225.58575604220323</v>
      </c>
      <c r="E94" s="208">
        <f t="shared" si="14"/>
        <v>9428</v>
      </c>
      <c r="F94" s="570">
        <f t="shared" si="15"/>
        <v>2126822.5079658921</v>
      </c>
      <c r="G94" s="570">
        <f t="shared" si="16"/>
        <v>7753.6117950902644</v>
      </c>
      <c r="I94" s="86"/>
    </row>
    <row r="95" spans="1:9" x14ac:dyDescent="0.3">
      <c r="B95" s="858" t="s">
        <v>802</v>
      </c>
      <c r="C95" s="906">
        <f>SUMIF('5.2 Budgeted Enrollment YR2'!$D$102:$D$732,'6.4 District Size Adj. YR2'!$B95,'5.2 Budgeted Enrollment YR2'!$G$102:$G$732)</f>
        <v>318.46884000304601</v>
      </c>
      <c r="D95" s="906">
        <f t="shared" si="13"/>
        <v>248.54887150115906</v>
      </c>
      <c r="E95" s="201">
        <f t="shared" si="14"/>
        <v>9428</v>
      </c>
      <c r="F95" s="577">
        <f t="shared" si="15"/>
        <v>2343318.7605129275</v>
      </c>
      <c r="G95" s="577">
        <f t="shared" si="16"/>
        <v>7358.0786129359303</v>
      </c>
      <c r="I95" s="86"/>
    </row>
    <row r="96" spans="1:9" s="4" customFormat="1" x14ac:dyDescent="0.3">
      <c r="B96" s="4" t="s">
        <v>837</v>
      </c>
      <c r="C96" s="618">
        <f>SUM(C89:C95)</f>
        <v>5594.5124332004889</v>
      </c>
      <c r="D96" s="618">
        <f>SUMPRODUCT(C89:C95,D89:D95)/C96</f>
        <v>336.15607417679257</v>
      </c>
      <c r="E96" s="5"/>
      <c r="F96" s="553">
        <f>SUM(F89:F95)</f>
        <v>11712953.280580169</v>
      </c>
      <c r="G96" s="554">
        <f t="shared" si="16"/>
        <v>2093.6504155518451</v>
      </c>
      <c r="I96" s="86"/>
    </row>
    <row r="97" spans="1:9" x14ac:dyDescent="0.3">
      <c r="C97" s="83"/>
      <c r="E97" s="40"/>
      <c r="I97" s="86"/>
    </row>
    <row r="98" spans="1:9" x14ac:dyDescent="0.3">
      <c r="A98" s="4" t="s">
        <v>820</v>
      </c>
      <c r="B98" s="457" t="s">
        <v>803</v>
      </c>
      <c r="C98" s="907">
        <f>SUMIF('5.2 Budgeted Enrollment YR2'!$D$102:$D$732,'6.4 District Size Adj. YR2'!$B98,'5.2 Budgeted Enrollment YR2'!$G$102:$G$732)</f>
        <v>16.750623474973359</v>
      </c>
      <c r="D98" s="907">
        <f>IF(C98=0,0,(IF($C$9+($D$9*$C98)&lt;1,1,IF($C98&lt;=$B$7,$C$7*($C98^$D$7),IF($C98&lt;=$B$8,$C$8+($D$8*LN($C98)),$C$9+($C98*$D$9))))*C98-C98))</f>
        <v>28.311805233335463</v>
      </c>
      <c r="E98" s="208">
        <f>$E$11</f>
        <v>9428</v>
      </c>
      <c r="F98" s="570">
        <f>D98*E98</f>
        <v>266923.69973988674</v>
      </c>
      <c r="G98" s="570">
        <f>F98/C98</f>
        <v>15935.150123736588</v>
      </c>
      <c r="I98" s="86"/>
    </row>
    <row r="99" spans="1:9" x14ac:dyDescent="0.3">
      <c r="A99" s="4"/>
      <c r="B99" s="858" t="s">
        <v>804</v>
      </c>
      <c r="C99" s="906">
        <f>SUMIF('5.2 Budgeted Enrollment YR2'!$D$102:$D$732,'6.4 District Size Adj. YR2'!$B99,'5.2 Budgeted Enrollment YR2'!$G$102:$G$732)</f>
        <v>644.06993755992539</v>
      </c>
      <c r="D99" s="906">
        <f>IF(C99=0,0,(IF($C$9+($D$9*$C99)&lt;1,1,IF($C99&lt;=$B$7,$C$7*($C99^$D$7),IF($C99&lt;=$B$8,$C$8+($D$8*LN($C99)),$C$9+($C99*$D$9))))*C99-C99))</f>
        <v>375.20045819776328</v>
      </c>
      <c r="E99" s="201">
        <f>$E$11</f>
        <v>9428</v>
      </c>
      <c r="F99" s="577">
        <f>D99*E99</f>
        <v>3537389.9198885122</v>
      </c>
      <c r="G99" s="577">
        <f>F99/C99</f>
        <v>5492.2450398632172</v>
      </c>
      <c r="I99" s="86"/>
    </row>
    <row r="100" spans="1:9" s="4" customFormat="1" x14ac:dyDescent="0.3">
      <c r="B100" s="4" t="s">
        <v>838</v>
      </c>
      <c r="C100" s="618">
        <f>SUM(C98:C99)</f>
        <v>660.82056103489879</v>
      </c>
      <c r="D100" s="618">
        <f>SUMPRODUCT(C98:C99,D98:D99)/C100</f>
        <v>366.40744908732034</v>
      </c>
      <c r="E100" s="5"/>
      <c r="F100" s="553">
        <f>SUM(F98:F99)</f>
        <v>3804313.6196283991</v>
      </c>
      <c r="G100" s="554">
        <f>F100/C100</f>
        <v>5756.9540718747221</v>
      </c>
      <c r="I100" s="86"/>
    </row>
    <row r="101" spans="1:9" x14ac:dyDescent="0.3">
      <c r="A101" s="4"/>
      <c r="C101" s="83"/>
      <c r="E101" s="40"/>
      <c r="I101" s="86"/>
    </row>
    <row r="102" spans="1:9" x14ac:dyDescent="0.3">
      <c r="A102" s="4" t="s">
        <v>15</v>
      </c>
      <c r="B102" s="457" t="s">
        <v>805</v>
      </c>
      <c r="C102" s="587">
        <f>SUMIF('5.2 Budgeted Enrollment YR2'!$D$102:$D$732,'6.4 District Size Adj. YR2'!$B102,'5.2 Budgeted Enrollment YR2'!$G$102:$G$732)</f>
        <v>48.932046909712525</v>
      </c>
      <c r="D102" s="587">
        <f>IF(C102=0,0,(IF($C$9+($D$9*$C102)&lt;1,1,IF($C102&lt;=$B$7,$C$7*($C102^$D$7),IF($C102&lt;=$B$8,$C$8+($D$8*LN($C102)),$C$9+($C102*$D$9))))*C102-C102))</f>
        <v>63.943834072269269</v>
      </c>
      <c r="E102" s="29">
        <f>$E$11</f>
        <v>9428</v>
      </c>
      <c r="F102" s="550">
        <f>D102*E102</f>
        <v>602862.46763335471</v>
      </c>
      <c r="G102" s="550">
        <f>F102/C102</f>
        <v>12320.401571300146</v>
      </c>
      <c r="I102" s="86"/>
    </row>
    <row r="103" spans="1:9" x14ac:dyDescent="0.3">
      <c r="A103" s="4"/>
      <c r="B103" s="858" t="s">
        <v>806</v>
      </c>
      <c r="C103" s="906">
        <f>SUMIF('5.2 Budgeted Enrollment YR2'!$D$102:$D$732,'6.4 District Size Adj. YR2'!$B103,'5.2 Budgeted Enrollment YR2'!$G$102:$G$732)</f>
        <v>364.53545427027404</v>
      </c>
      <c r="D103" s="906">
        <f>IF(C103=0,0,(IF($C$9+($D$9*$C103)&lt;1,1,IF($C103&lt;=$B$7,$C$7*($C103^$D$7),IF($C103&lt;=$B$8,$C$8+($D$8*LN($C103)),$C$9+($C103*$D$9))))*C103-C103))</f>
        <v>270.66272939010776</v>
      </c>
      <c r="E103" s="201">
        <f>$E$11</f>
        <v>9428</v>
      </c>
      <c r="F103" s="577">
        <f>D103*E103</f>
        <v>2551808.2126899357</v>
      </c>
      <c r="G103" s="577">
        <f>F103/C103</f>
        <v>7000.1646830159152</v>
      </c>
      <c r="I103" s="86"/>
    </row>
    <row r="104" spans="1:9" s="4" customFormat="1" x14ac:dyDescent="0.3">
      <c r="B104" s="4" t="s">
        <v>839</v>
      </c>
      <c r="C104" s="618">
        <f>SUM(C102:C103)</f>
        <v>413.46750117998658</v>
      </c>
      <c r="D104" s="618">
        <f>SUMPRODUCT(C102:C103,D102:D103)/C104</f>
        <v>246.19846399089516</v>
      </c>
      <c r="E104" s="5"/>
      <c r="F104" s="553">
        <f>SUM(F102:F103)</f>
        <v>3154670.6803232906</v>
      </c>
      <c r="G104" s="554">
        <f>F104/C104</f>
        <v>7629.7911475998462</v>
      </c>
      <c r="I104" s="86"/>
    </row>
    <row r="105" spans="1:9" x14ac:dyDescent="0.3">
      <c r="A105" s="4"/>
      <c r="C105" s="83"/>
      <c r="E105" s="40"/>
      <c r="I105" s="86"/>
    </row>
    <row r="106" spans="1:9" x14ac:dyDescent="0.3">
      <c r="A106" s="4" t="s">
        <v>16</v>
      </c>
      <c r="B106" s="457" t="s">
        <v>821</v>
      </c>
      <c r="C106" s="587">
        <f>SUMIF('5.2 Budgeted Enrollment YR2'!$D$102:$D$732,'6.4 District Size Adj. YR2'!$B106,'5.2 Budgeted Enrollment YR2'!$G$102:$G$732)</f>
        <v>1401.5392118136945</v>
      </c>
      <c r="D106" s="587">
        <f t="shared" ref="D106:D113" si="17">IF(C106=0,0,(IF($C$9+($D$9*$C106)&lt;1,1,IF($C106&lt;=$B$7,$C$7*($C106^$D$7),IF($C106&lt;=$B$8,$C$8+($D$8*LN($C106)),$C$9+($C106*$D$9))))*C106-C106))</f>
        <v>510.24898495747061</v>
      </c>
      <c r="E106" s="29">
        <f t="shared" ref="E106:E113" si="18">$E$11</f>
        <v>9428</v>
      </c>
      <c r="F106" s="550">
        <f t="shared" ref="F106:F113" si="19">D106*E106</f>
        <v>4810627.4301790325</v>
      </c>
      <c r="G106" s="550">
        <f t="shared" ref="G106:G114" si="20">F106/C106</f>
        <v>3432.3887548987859</v>
      </c>
      <c r="I106" s="86"/>
    </row>
    <row r="107" spans="1:9" x14ac:dyDescent="0.3">
      <c r="A107" s="4"/>
      <c r="B107" s="457" t="s">
        <v>822</v>
      </c>
      <c r="C107" s="587">
        <f>SUMIF('5.2 Budgeted Enrollment YR2'!$D$102:$D$732,'6.4 District Size Adj. YR2'!$B107,'5.2 Budgeted Enrollment YR2'!$G$102:$G$732)</f>
        <v>19.215021764593018</v>
      </c>
      <c r="D107" s="587">
        <f t="shared" si="17"/>
        <v>30.157024512278369</v>
      </c>
      <c r="E107" s="29">
        <f t="shared" si="18"/>
        <v>9428</v>
      </c>
      <c r="F107" s="550">
        <f t="shared" si="19"/>
        <v>284320.42710176046</v>
      </c>
      <c r="G107" s="550">
        <f t="shared" si="20"/>
        <v>14796.778821540018</v>
      </c>
      <c r="I107" s="86"/>
    </row>
    <row r="108" spans="1:9" x14ac:dyDescent="0.3">
      <c r="A108" s="4"/>
      <c r="B108" s="457" t="s">
        <v>823</v>
      </c>
      <c r="C108" s="587">
        <f>SUMIF('5.2 Budgeted Enrollment YR2'!$D$102:$D$732,'6.4 District Size Adj. YR2'!$B108,'5.2 Budgeted Enrollment YR2'!$G$102:$G$732)</f>
        <v>694.63826491571069</v>
      </c>
      <c r="D108" s="587">
        <f t="shared" si="17"/>
        <v>389.90536568270829</v>
      </c>
      <c r="E108" s="29">
        <f t="shared" si="18"/>
        <v>9428</v>
      </c>
      <c r="F108" s="550">
        <f t="shared" si="19"/>
        <v>3676027.7876565736</v>
      </c>
      <c r="G108" s="550">
        <f t="shared" si="20"/>
        <v>5292.0030083609527</v>
      </c>
      <c r="I108" s="86"/>
    </row>
    <row r="109" spans="1:9" x14ac:dyDescent="0.3">
      <c r="A109" s="4"/>
      <c r="B109" s="457" t="s">
        <v>841</v>
      </c>
      <c r="C109" s="587">
        <f>SUMIF('5.2 Budgeted Enrollment YR2'!$D$102:$D$732,'6.4 District Size Adj. YR2'!$B109,'5.2 Budgeted Enrollment YR2'!$G$102:$G$732)</f>
        <v>347.40287691560206</v>
      </c>
      <c r="D109" s="587">
        <f t="shared" si="17"/>
        <v>262.64132639507841</v>
      </c>
      <c r="E109" s="29">
        <f t="shared" si="18"/>
        <v>9428</v>
      </c>
      <c r="F109" s="550">
        <f t="shared" si="19"/>
        <v>2476182.4252527994</v>
      </c>
      <c r="G109" s="550">
        <f t="shared" si="20"/>
        <v>7127.6969472373203</v>
      </c>
      <c r="I109" s="86"/>
    </row>
    <row r="110" spans="1:9" x14ac:dyDescent="0.3">
      <c r="A110" s="4"/>
      <c r="B110" s="457" t="s">
        <v>807</v>
      </c>
      <c r="C110" s="587">
        <f>SUMIF('5.2 Budgeted Enrollment YR2'!$D$102:$D$732,'6.4 District Size Adj. YR2'!$B110,'5.2 Budgeted Enrollment YR2'!$G$102:$G$732)</f>
        <v>53282.001636914043</v>
      </c>
      <c r="D110" s="587">
        <f t="shared" si="17"/>
        <v>0</v>
      </c>
      <c r="E110" s="29">
        <f t="shared" si="18"/>
        <v>9428</v>
      </c>
      <c r="F110" s="550">
        <f t="shared" si="19"/>
        <v>0</v>
      </c>
      <c r="G110" s="550">
        <f t="shared" si="20"/>
        <v>0</v>
      </c>
      <c r="I110" s="86"/>
    </row>
    <row r="111" spans="1:9" x14ac:dyDescent="0.3">
      <c r="A111" s="4"/>
      <c r="B111" s="457" t="s">
        <v>808</v>
      </c>
      <c r="C111" s="587">
        <f>SUMIF('5.2 Budgeted Enrollment YR2'!$D$102:$D$732,'6.4 District Size Adj. YR2'!$B111,'5.2 Budgeted Enrollment YR2'!$G$102:$G$732)</f>
        <v>4515.6832340818273</v>
      </c>
      <c r="D111" s="587">
        <f t="shared" si="17"/>
        <v>356.58223427086705</v>
      </c>
      <c r="E111" s="29">
        <f t="shared" si="18"/>
        <v>9428</v>
      </c>
      <c r="F111" s="550">
        <f t="shared" si="19"/>
        <v>3361857.3047057344</v>
      </c>
      <c r="G111" s="550">
        <f t="shared" si="20"/>
        <v>744.48475024384652</v>
      </c>
      <c r="I111" s="86"/>
    </row>
    <row r="112" spans="1:9" x14ac:dyDescent="0.3">
      <c r="A112" s="4"/>
      <c r="B112" s="457" t="s">
        <v>824</v>
      </c>
      <c r="C112" s="587">
        <f>SUMIF('5.2 Budgeted Enrollment YR2'!$D$102:$D$732,'6.4 District Size Adj. YR2'!$B112,'5.2 Budgeted Enrollment YR2'!$G$102:$G$732)</f>
        <v>225.90163630720886</v>
      </c>
      <c r="D112" s="587">
        <f t="shared" si="17"/>
        <v>198.10489031417094</v>
      </c>
      <c r="E112" s="29">
        <f t="shared" si="18"/>
        <v>9428</v>
      </c>
      <c r="F112" s="550">
        <f t="shared" si="19"/>
        <v>1867732.9058820037</v>
      </c>
      <c r="G112" s="550">
        <f t="shared" si="20"/>
        <v>8267.9033955381819</v>
      </c>
      <c r="I112" s="86"/>
    </row>
    <row r="113" spans="1:9" x14ac:dyDescent="0.3">
      <c r="A113" s="4"/>
      <c r="B113" s="858" t="s">
        <v>825</v>
      </c>
      <c r="C113" s="906">
        <f>SUMIF('5.2 Budgeted Enrollment YR2'!$D$102:$D$732,'6.4 District Size Adj. YR2'!$B113,'5.2 Budgeted Enrollment YR2'!$G$102:$G$732)</f>
        <v>121.75612087653187</v>
      </c>
      <c r="D113" s="906">
        <f t="shared" si="17"/>
        <v>127.92092186411907</v>
      </c>
      <c r="E113" s="201">
        <f t="shared" si="18"/>
        <v>9428</v>
      </c>
      <c r="F113" s="577">
        <f t="shared" si="19"/>
        <v>1206038.4513349147</v>
      </c>
      <c r="G113" s="577">
        <f t="shared" si="20"/>
        <v>9905.3619863424465</v>
      </c>
      <c r="I113" s="86"/>
    </row>
    <row r="114" spans="1:9" s="4" customFormat="1" x14ac:dyDescent="0.3">
      <c r="B114" s="4" t="s">
        <v>840</v>
      </c>
      <c r="C114" s="618">
        <f>SUM(C106:C113)</f>
        <v>60608.138003589214</v>
      </c>
      <c r="D114" s="618">
        <f>SUMPRODUCT(C106:C113,D106:D113)/C114</f>
        <v>45.346035180742966</v>
      </c>
      <c r="E114" s="5"/>
      <c r="F114" s="553">
        <f>SUM(F106:F113)</f>
        <v>17682786.732112821</v>
      </c>
      <c r="G114" s="554">
        <f t="shared" si="20"/>
        <v>291.75598054283807</v>
      </c>
      <c r="I114" s="86"/>
    </row>
    <row r="115" spans="1:9" x14ac:dyDescent="0.3">
      <c r="A115" s="4"/>
      <c r="C115" s="83"/>
      <c r="E115" s="40"/>
      <c r="I115" s="86"/>
    </row>
    <row r="116" spans="1:9" x14ac:dyDescent="0.3">
      <c r="A116" s="4" t="s">
        <v>844</v>
      </c>
      <c r="B116" s="457" t="s">
        <v>826</v>
      </c>
      <c r="C116" s="587">
        <f>SUMIF('5.2 Budgeted Enrollment YR2'!$D$102:$D$732,'6.4 District Size Adj. YR2'!$B116,'5.2 Budgeted Enrollment YR2'!$G$102:$G$732)</f>
        <v>4.1012977920253837</v>
      </c>
      <c r="D116" s="587">
        <f>IF(C116=0,0,(IF($C$9+($D$9*$C116)&lt;1,1,IF($C116&lt;=$B$7,$C$7*($C116^$D$7),IF($C116&lt;=$B$8,$C$8+($D$8*LN($C116)),$C$9+($C116*$D$9))))*C116-C116))</f>
        <v>29.479628652543269</v>
      </c>
      <c r="E116" s="29">
        <f>$E$11</f>
        <v>9428</v>
      </c>
      <c r="F116" s="550">
        <f>D116*E116</f>
        <v>277933.93893617793</v>
      </c>
      <c r="G116" s="550">
        <f>F116/C116</f>
        <v>67767.314891543909</v>
      </c>
      <c r="I116" s="86"/>
    </row>
    <row r="117" spans="1:9" x14ac:dyDescent="0.3">
      <c r="B117" s="457" t="s">
        <v>809</v>
      </c>
      <c r="C117" s="587">
        <f>SUMIF('5.2 Budgeted Enrollment YR2'!$D$102:$D$732,'6.4 District Size Adj. YR2'!$B117,'5.2 Budgeted Enrollment YR2'!$G$102:$G$732)</f>
        <v>1040.8409079637493</v>
      </c>
      <c r="D117" s="587">
        <f>IF(C117=0,0,(IF($C$9+($D$9*$C117)&lt;1,1,IF($C117&lt;=$B$7,$C$7*($C117^$D$7),IF($C117&lt;=$B$8,$C$8+($D$8*LN($C117)),$C$9+($C117*$D$9))))*C117-C117))</f>
        <v>465.95598787978724</v>
      </c>
      <c r="E117" s="29">
        <f>$E$11</f>
        <v>9428</v>
      </c>
      <c r="F117" s="550">
        <f>D117*E117</f>
        <v>4393033.053730634</v>
      </c>
      <c r="G117" s="550">
        <f>F117/C117</f>
        <v>4220.6575665102855</v>
      </c>
      <c r="I117" s="86"/>
    </row>
    <row r="118" spans="1:9" x14ac:dyDescent="0.3">
      <c r="B118" s="457" t="s">
        <v>827</v>
      </c>
      <c r="C118" s="587">
        <f>SUMIF('5.2 Budgeted Enrollment YR2'!$D$102:$D$732,'6.4 District Size Adj. YR2'!$B118,'5.2 Budgeted Enrollment YR2'!$G$102:$G$732)</f>
        <v>107.8809903799239</v>
      </c>
      <c r="D118" s="587">
        <f>IF(C118=0,0,(IF($C$9+($D$9*$C118)&lt;1,1,IF($C118&lt;=$B$7,$C$7*($C118^$D$7),IF($C118&lt;=$B$8,$C$8+($D$8*LN($C118)),$C$9+($C118*$D$9))))*C118-C118))</f>
        <v>117.01106014516526</v>
      </c>
      <c r="E118" s="29">
        <f>$E$11</f>
        <v>9428</v>
      </c>
      <c r="F118" s="550">
        <f>D118*E118</f>
        <v>1103180.275048618</v>
      </c>
      <c r="G118" s="550">
        <f>F118/C118</f>
        <v>10225.900514664854</v>
      </c>
      <c r="I118" s="86"/>
    </row>
    <row r="119" spans="1:9" x14ac:dyDescent="0.3">
      <c r="B119" s="858" t="s">
        <v>810</v>
      </c>
      <c r="C119" s="906">
        <f>SUMIF('5.2 Budgeted Enrollment YR2'!$D$102:$D$732,'6.4 District Size Adj. YR2'!$B119,'5.2 Budgeted Enrollment YR2'!$G$102:$G$732)</f>
        <v>107.82644476877553</v>
      </c>
      <c r="D119" s="906">
        <f>IF(C119=0,0,(IF($C$9+($D$9*$C119)&lt;1,1,IF($C119&lt;=$B$7,$C$7*($C119^$D$7),IF($C119&lt;=$B$8,$C$8+($D$8*LN($C119)),$C$9+($C119*$D$9))))*C119-C119))</f>
        <v>116.9672217288651</v>
      </c>
      <c r="E119" s="201">
        <f>$E$11</f>
        <v>9428</v>
      </c>
      <c r="F119" s="577">
        <f>D119*E119</f>
        <v>1102766.9664597402</v>
      </c>
      <c r="G119" s="577">
        <f>F119/C119</f>
        <v>10227.24034743544</v>
      </c>
      <c r="I119" s="86"/>
    </row>
    <row r="120" spans="1:9" s="4" customFormat="1" x14ac:dyDescent="0.3">
      <c r="B120" s="4" t="s">
        <v>842</v>
      </c>
      <c r="C120" s="618">
        <f>SUM(C116:C119)</f>
        <v>1260.6496409044742</v>
      </c>
      <c r="D120" s="618">
        <f>SUMPRODUCT(C116:C119,D116:D119)/C120</f>
        <v>404.82491756636051</v>
      </c>
      <c r="E120" s="5"/>
      <c r="F120" s="553">
        <f>SUM(F116:F119)</f>
        <v>6876914.2341751698</v>
      </c>
      <c r="G120" s="554">
        <f>F120/C120</f>
        <v>5455.0558783653905</v>
      </c>
      <c r="I120" s="86"/>
    </row>
    <row r="121" spans="1:9" x14ac:dyDescent="0.3">
      <c r="C121" s="22"/>
      <c r="E121" s="40"/>
      <c r="I121" s="136"/>
    </row>
    <row r="122" spans="1:9" x14ac:dyDescent="0.3">
      <c r="C122" s="22"/>
      <c r="D122" s="4"/>
      <c r="E122" s="17" t="s">
        <v>911</v>
      </c>
      <c r="F122" s="553">
        <f>SUM(F120,F114,F104,F100,F96,F87,F83,F76,F70,F66,F58,F54,F49,F36,F31,F18,F16)</f>
        <v>148727870.39278248</v>
      </c>
      <c r="I122" s="136"/>
    </row>
    <row r="123" spans="1:9" x14ac:dyDescent="0.3">
      <c r="C123" s="22"/>
      <c r="E123" s="40"/>
    </row>
    <row r="124" spans="1:9" x14ac:dyDescent="0.3">
      <c r="B124" s="13" t="s">
        <v>843</v>
      </c>
      <c r="C124" s="136">
        <f>SUM(C120,C114,C104,C100,C96,C87,C83,C76,C66,C58,C54,C49,C36,C31,C18,C16,C70)</f>
        <v>402519.54334188253</v>
      </c>
      <c r="D124" s="136">
        <f>C124-C125</f>
        <v>0</v>
      </c>
      <c r="E124" s="40"/>
    </row>
    <row r="125" spans="1:9" x14ac:dyDescent="0.3">
      <c r="B125" s="185" t="s">
        <v>82</v>
      </c>
      <c r="C125" s="532">
        <f>SUM('5.2 Budgeted Enrollment YR2'!G9:G25)</f>
        <v>402519.54334188253</v>
      </c>
      <c r="D125" s="65"/>
      <c r="E125" s="40"/>
    </row>
    <row r="127" spans="1:9" ht="99" x14ac:dyDescent="0.3">
      <c r="A127" s="407" t="s">
        <v>1110</v>
      </c>
      <c r="B127" s="408"/>
      <c r="C127" s="408" t="str">
        <f>'2.4 District Size Adj. YR1'!B13</f>
        <v>Attendance Area</v>
      </c>
      <c r="D127" s="408" t="str">
        <f>'2.4 District Size Adj. YR1'!C13</f>
        <v>Enrollment by  Attendance Area less Distant Education Students</v>
      </c>
      <c r="E127" s="342" t="s">
        <v>1046</v>
      </c>
      <c r="F127" s="409"/>
      <c r="G127" s="343" t="s">
        <v>1051</v>
      </c>
    </row>
    <row r="128" spans="1:9" x14ac:dyDescent="0.3">
      <c r="A128" s="683"/>
      <c r="B128" s="307"/>
      <c r="C128" s="307"/>
      <c r="D128" s="307"/>
      <c r="E128" s="1565"/>
      <c r="F128" s="307"/>
      <c r="G128" s="671"/>
    </row>
    <row r="129" spans="1:7" x14ac:dyDescent="0.3">
      <c r="A129" s="132" t="str">
        <f>'5.2 Budgeted Enrollment YR2'!E32</f>
        <v>100 Academy Of Excellence</v>
      </c>
      <c r="C129" s="10" t="str">
        <f>'5.2 Budgeted Enrollment YR2'!D32</f>
        <v>Las Vegas</v>
      </c>
      <c r="D129" s="73">
        <f>'5.2 Budgeted Enrollment YR2'!G32</f>
        <v>317.62972370211571</v>
      </c>
      <c r="E129" s="1566">
        <f t="shared" ref="E129:E170" si="21">IF(C129="Carson City",$G$16,IF(C129="Fallon",$G$18,IF(C129="Elko",$G$39,IF(C129="Ely",$G$117,IF(C129="Stead",$G$111,0)))))</f>
        <v>0</v>
      </c>
      <c r="F129" s="1567"/>
      <c r="G129" s="603">
        <f t="shared" ref="G129:G135" si="22">D129*E129</f>
        <v>0</v>
      </c>
    </row>
    <row r="130" spans="1:7" x14ac:dyDescent="0.3">
      <c r="A130" s="132" t="str">
        <f>'5.2 Budgeted Enrollment YR2'!E33</f>
        <v>Academy For Career Education</v>
      </c>
      <c r="C130" s="10" t="str">
        <f>'5.2 Budgeted Enrollment YR2'!D33</f>
        <v>Reno</v>
      </c>
      <c r="D130" s="73">
        <f>'5.2 Budgeted Enrollment YR2'!G33</f>
        <v>233.39983380980189</v>
      </c>
      <c r="E130" s="1566">
        <f t="shared" si="21"/>
        <v>0</v>
      </c>
      <c r="F130" s="1567"/>
      <c r="G130" s="603">
        <f t="shared" si="22"/>
        <v>0</v>
      </c>
    </row>
    <row r="131" spans="1:7" x14ac:dyDescent="0.3">
      <c r="A131" s="132" t="str">
        <f>'5.2 Budgeted Enrollment YR2'!E34</f>
        <v xml:space="preserve">Alpine Academy </v>
      </c>
      <c r="C131" s="10" t="str">
        <f>'5.2 Budgeted Enrollment YR2'!D34</f>
        <v>Reno</v>
      </c>
      <c r="D131" s="73">
        <f>'5.2 Budgeted Enrollment YR2'!G34</f>
        <v>147.96290007070388</v>
      </c>
      <c r="E131" s="1566">
        <f t="shared" si="21"/>
        <v>0</v>
      </c>
      <c r="F131" s="1567"/>
      <c r="G131" s="603">
        <f t="shared" si="22"/>
        <v>0</v>
      </c>
    </row>
    <row r="132" spans="1:7" x14ac:dyDescent="0.3">
      <c r="A132" s="132" t="str">
        <f>'5.2 Budgeted Enrollment YR2'!E35</f>
        <v xml:space="preserve">Amplus (Formerly American Preparatory Academy) </v>
      </c>
      <c r="C132" s="10" t="str">
        <f>'5.2 Budgeted Enrollment YR2'!D35</f>
        <v>Las Vegas</v>
      </c>
      <c r="D132" s="73">
        <f>'5.2 Budgeted Enrollment YR2'!G35</f>
        <v>2269.9763633103498</v>
      </c>
      <c r="E132" s="1566">
        <f t="shared" si="21"/>
        <v>0</v>
      </c>
      <c r="F132" s="1567"/>
      <c r="G132" s="603">
        <f t="shared" si="22"/>
        <v>0</v>
      </c>
    </row>
    <row r="133" spans="1:7" x14ac:dyDescent="0.3">
      <c r="A133" s="132" t="str">
        <f>'5.2 Budgeted Enrollment YR2'!E36</f>
        <v>Bailey Charter School</v>
      </c>
      <c r="C133" s="10" t="str">
        <f>'5.2 Budgeted Enrollment YR2'!D36</f>
        <v>Reno</v>
      </c>
      <c r="D133" s="73">
        <f>'5.2 Budgeted Enrollment YR2'!G36</f>
        <v>175.50477307407152</v>
      </c>
      <c r="E133" s="1566">
        <f t="shared" si="21"/>
        <v>0</v>
      </c>
      <c r="F133" s="1567"/>
      <c r="G133" s="603">
        <f t="shared" si="22"/>
        <v>0</v>
      </c>
    </row>
    <row r="134" spans="1:7" x14ac:dyDescent="0.3">
      <c r="A134" s="132" t="str">
        <f>'5.2 Budgeted Enrollment YR2'!E37</f>
        <v>Battle Born Academy</v>
      </c>
      <c r="C134" s="10" t="str">
        <f>'5.2 Budgeted Enrollment YR2'!D37</f>
        <v>Las Vegas</v>
      </c>
      <c r="D134" s="73">
        <f>'5.2 Budgeted Enrollment YR2'!G37</f>
        <v>132.30307201336225</v>
      </c>
      <c r="E134" s="1566">
        <f t="shared" si="21"/>
        <v>0</v>
      </c>
      <c r="F134" s="1567"/>
      <c r="G134" s="603">
        <f t="shared" si="22"/>
        <v>0</v>
      </c>
    </row>
    <row r="135" spans="1:7" x14ac:dyDescent="0.3">
      <c r="A135" s="132" t="str">
        <f>'5.2 Budgeted Enrollment YR2'!E38</f>
        <v>Beacon Academy</v>
      </c>
      <c r="C135" s="10" t="str">
        <f>'5.2 Budgeted Enrollment YR2'!D38</f>
        <v>Las Vegas</v>
      </c>
      <c r="D135" s="73">
        <f>'5.2 Budgeted Enrollment YR2'!G38</f>
        <v>601.80991881205171</v>
      </c>
      <c r="E135" s="1566">
        <f t="shared" si="21"/>
        <v>0</v>
      </c>
      <c r="F135" s="1567"/>
      <c r="G135" s="603">
        <f t="shared" si="22"/>
        <v>0</v>
      </c>
    </row>
    <row r="136" spans="1:7" x14ac:dyDescent="0.3">
      <c r="A136" s="132" t="str">
        <f>'5.2 Budgeted Enrollment YR2'!E39</f>
        <v>Cactus Park</v>
      </c>
      <c r="C136" s="10" t="str">
        <f>'5.2 Budgeted Enrollment YR2'!D39</f>
        <v>Las Vegas</v>
      </c>
      <c r="D136" s="73">
        <f>'5.2 Budgeted Enrollment YR2'!G39</f>
        <v>108.63814205394173</v>
      </c>
      <c r="E136" s="1566">
        <f t="shared" si="21"/>
        <v>0</v>
      </c>
      <c r="F136" s="1567"/>
      <c r="G136" s="603">
        <f t="shared" ref="G136:G145" si="23">D136*E136</f>
        <v>0</v>
      </c>
    </row>
    <row r="137" spans="1:7" s="88" customFormat="1" x14ac:dyDescent="0.3">
      <c r="A137" s="132" t="str">
        <f>'5.2 Budgeted Enrollment YR2'!E40</f>
        <v>Carson Montessori</v>
      </c>
      <c r="B137" s="10"/>
      <c r="C137" s="10" t="str">
        <f>'5.2 Budgeted Enrollment YR2'!D40</f>
        <v>Carson City</v>
      </c>
      <c r="D137" s="73">
        <f>'5.2 Budgeted Enrollment YR2'!G40</f>
        <v>286.5624465080453</v>
      </c>
      <c r="E137" s="1566">
        <f t="shared" si="21"/>
        <v>700.45316239353804</v>
      </c>
      <c r="F137" s="1567"/>
      <c r="G137" s="603">
        <f t="shared" si="23"/>
        <v>200723.57187978941</v>
      </c>
    </row>
    <row r="138" spans="1:7" x14ac:dyDescent="0.3">
      <c r="A138" s="132" t="str">
        <f>'5.2 Budgeted Enrollment YR2'!E41</f>
        <v>CIVICA Nevada Career &amp; Collegiate Academy</v>
      </c>
      <c r="C138" s="10" t="str">
        <f>'5.2 Budgeted Enrollment YR2'!D41</f>
        <v>Las Vegas</v>
      </c>
      <c r="D138" s="73">
        <f>'5.2 Budgeted Enrollment YR2'!G41</f>
        <v>766.82382275741224</v>
      </c>
      <c r="E138" s="1566">
        <f t="shared" si="21"/>
        <v>0</v>
      </c>
      <c r="F138" s="1567"/>
      <c r="G138" s="603">
        <f t="shared" si="23"/>
        <v>0</v>
      </c>
    </row>
    <row r="139" spans="1:7" x14ac:dyDescent="0.3">
      <c r="A139" s="132" t="str">
        <f>'5.2 Budgeted Enrollment YR2'!E42</f>
        <v>Coral Academy of Science Las Vegas</v>
      </c>
      <c r="C139" s="10" t="str">
        <f>'5.2 Budgeted Enrollment YR2'!D42</f>
        <v>Las Vegas</v>
      </c>
      <c r="D139" s="73">
        <f>'5.2 Budgeted Enrollment YR2'!G42</f>
        <v>5181.6526046932322</v>
      </c>
      <c r="E139" s="1566">
        <f t="shared" si="21"/>
        <v>0</v>
      </c>
      <c r="F139" s="1567"/>
      <c r="G139" s="603">
        <f t="shared" si="23"/>
        <v>0</v>
      </c>
    </row>
    <row r="140" spans="1:7" x14ac:dyDescent="0.3">
      <c r="A140" s="132" t="str">
        <f>'5.2 Budgeted Enrollment YR2'!E43</f>
        <v>Coral Academy Washoe</v>
      </c>
      <c r="C140" s="10" t="str">
        <f>'5.2 Budgeted Enrollment YR2'!D43</f>
        <v>Reno</v>
      </c>
      <c r="D140" s="73">
        <f>'5.2 Budgeted Enrollment YR2'!G43</f>
        <v>1764.8271374062203</v>
      </c>
      <c r="E140" s="1566">
        <f t="shared" si="21"/>
        <v>0</v>
      </c>
      <c r="F140" s="1567"/>
      <c r="G140" s="603">
        <f t="shared" si="23"/>
        <v>0</v>
      </c>
    </row>
    <row r="141" spans="1:7" x14ac:dyDescent="0.3">
      <c r="A141" s="132" t="str">
        <f>'5.2 Budgeted Enrollment YR2'!E44</f>
        <v>Delta Academy</v>
      </c>
      <c r="C141" s="10" t="str">
        <f>'5.2 Budgeted Enrollment YR2'!D44</f>
        <v>Las Vegas</v>
      </c>
      <c r="D141" s="73">
        <f>'5.2 Budgeted Enrollment YR2'!G44</f>
        <v>1260.4243542206814</v>
      </c>
      <c r="E141" s="1566">
        <f t="shared" si="21"/>
        <v>0</v>
      </c>
      <c r="F141" s="1567"/>
      <c r="G141" s="603">
        <f t="shared" si="23"/>
        <v>0</v>
      </c>
    </row>
    <row r="142" spans="1:7" x14ac:dyDescent="0.3">
      <c r="A142" s="132" t="str">
        <f>'5.2 Budgeted Enrollment YR2'!E45</f>
        <v>Democracy Prep</v>
      </c>
      <c r="C142" s="10" t="str">
        <f>'5.2 Budgeted Enrollment YR2'!D45</f>
        <v>Las Vegas</v>
      </c>
      <c r="D142" s="73">
        <f>'5.2 Budgeted Enrollment YR2'!G45</f>
        <v>1204.5222970981536</v>
      </c>
      <c r="E142" s="1566">
        <f t="shared" si="21"/>
        <v>0</v>
      </c>
      <c r="F142" s="1567"/>
      <c r="G142" s="603">
        <f t="shared" si="23"/>
        <v>0</v>
      </c>
    </row>
    <row r="143" spans="1:7" x14ac:dyDescent="0.3">
      <c r="A143" s="132" t="str">
        <f>'5.2 Budgeted Enrollment YR2'!E46</f>
        <v>Discovery Charter</v>
      </c>
      <c r="C143" s="10" t="str">
        <f>'5.2 Budgeted Enrollment YR2'!D46</f>
        <v>Las Vegas</v>
      </c>
      <c r="D143" s="73">
        <f>'5.2 Budgeted Enrollment YR2'!G46</f>
        <v>492.70232395441064</v>
      </c>
      <c r="E143" s="1566">
        <f t="shared" si="21"/>
        <v>0</v>
      </c>
      <c r="F143" s="1567"/>
      <c r="G143" s="603">
        <f t="shared" si="23"/>
        <v>0</v>
      </c>
    </row>
    <row r="144" spans="1:7" x14ac:dyDescent="0.3">
      <c r="A144" s="132" t="str">
        <f>'5.2 Budgeted Enrollment YR2'!E47</f>
        <v>Doral Academy</v>
      </c>
      <c r="C144" s="10" t="str">
        <f>'5.2 Budgeted Enrollment YR2'!D47</f>
        <v>Las Vegas</v>
      </c>
      <c r="D144" s="73">
        <f>'5.2 Budgeted Enrollment YR2'!G47</f>
        <v>6286.4164943188516</v>
      </c>
      <c r="E144" s="1566">
        <f t="shared" si="21"/>
        <v>0</v>
      </c>
      <c r="F144" s="1567"/>
      <c r="G144" s="603">
        <f t="shared" si="23"/>
        <v>0</v>
      </c>
    </row>
    <row r="145" spans="1:7" x14ac:dyDescent="0.3">
      <c r="A145" s="132" t="str">
        <f>'5.2 Budgeted Enrollment YR2'!E48</f>
        <v>Doral Academy of Northern Nevada</v>
      </c>
      <c r="C145" s="10" t="str">
        <f>'5.2 Budgeted Enrollment YR2'!D48</f>
        <v>Reno</v>
      </c>
      <c r="D145" s="73">
        <f>'5.2 Budgeted Enrollment YR2'!G48</f>
        <v>958.37624221890496</v>
      </c>
      <c r="E145" s="1566">
        <f t="shared" si="21"/>
        <v>0</v>
      </c>
      <c r="F145" s="1567"/>
      <c r="G145" s="603">
        <f t="shared" si="23"/>
        <v>0</v>
      </c>
    </row>
    <row r="146" spans="1:7" x14ac:dyDescent="0.3">
      <c r="A146" s="132" t="str">
        <f>'5.2 Budgeted Enrollment YR2'!E49</f>
        <v>Eagle Charter School</v>
      </c>
      <c r="C146" s="10" t="str">
        <f>'5.2 Budgeted Enrollment YR2'!D49</f>
        <v>Las Vegas</v>
      </c>
      <c r="D146" s="73">
        <f>'5.2 Budgeted Enrollment YR2'!G49</f>
        <v>540.54</v>
      </c>
      <c r="E146" s="1566">
        <f t="shared" si="21"/>
        <v>0</v>
      </c>
      <c r="F146" s="1567"/>
      <c r="G146" s="603">
        <f t="shared" ref="G146:G188" si="24">D146*E146</f>
        <v>0</v>
      </c>
    </row>
    <row r="147" spans="1:7" x14ac:dyDescent="0.3">
      <c r="A147" s="132" t="str">
        <f>'5.2 Budgeted Enrollment YR2'!E50</f>
        <v>Elko Institute for Academic Achievement</v>
      </c>
      <c r="C147" s="10" t="str">
        <f>'5.2 Budgeted Enrollment YR2'!D50</f>
        <v>Elko</v>
      </c>
      <c r="D147" s="73">
        <f>'5.2 Budgeted Enrollment YR2'!G50</f>
        <v>197.4407703597104</v>
      </c>
      <c r="E147" s="1566">
        <f t="shared" si="21"/>
        <v>739.9814347381315</v>
      </c>
      <c r="F147" s="1567"/>
      <c r="G147" s="603">
        <f t="shared" si="24"/>
        <v>146102.50452658045</v>
      </c>
    </row>
    <row r="148" spans="1:7" x14ac:dyDescent="0.3">
      <c r="A148" s="132" t="str">
        <f>'5.2 Budgeted Enrollment YR2'!E51</f>
        <v>enCompass Academy</v>
      </c>
      <c r="C148" s="10" t="str">
        <f>'5.2 Budgeted Enrollment YR2'!D51</f>
        <v>Reno</v>
      </c>
      <c r="D148" s="73">
        <f>'5.2 Budgeted Enrollment YR2'!G51</f>
        <v>114.98868933024798</v>
      </c>
      <c r="E148" s="1566">
        <f t="shared" si="21"/>
        <v>0</v>
      </c>
      <c r="F148" s="1567"/>
      <c r="G148" s="603">
        <f t="shared" si="24"/>
        <v>0</v>
      </c>
    </row>
    <row r="149" spans="1:7" x14ac:dyDescent="0.3">
      <c r="A149" s="132" t="str">
        <f>'5.2 Budgeted Enrollment YR2'!E52</f>
        <v>Equipo Academy</v>
      </c>
      <c r="C149" s="10" t="str">
        <f>'5.2 Budgeted Enrollment YR2'!D52</f>
        <v>Las Vegas</v>
      </c>
      <c r="D149" s="73">
        <f>'5.2 Budgeted Enrollment YR2'!G52</f>
        <v>799.91961948830169</v>
      </c>
      <c r="E149" s="1566">
        <f t="shared" si="21"/>
        <v>0</v>
      </c>
      <c r="F149" s="1567"/>
      <c r="G149" s="603">
        <f t="shared" si="24"/>
        <v>0</v>
      </c>
    </row>
    <row r="150" spans="1:7" x14ac:dyDescent="0.3">
      <c r="A150" s="132" t="str">
        <f>'5.2 Budgeted Enrollment YR2'!E53</f>
        <v>Explore Academy</v>
      </c>
      <c r="C150" s="10" t="str">
        <f>'5.2 Budgeted Enrollment YR2'!D53</f>
        <v>Las Vegas</v>
      </c>
      <c r="D150" s="73">
        <f>'5.2 Budgeted Enrollment YR2'!G53</f>
        <v>275.00799010221766</v>
      </c>
      <c r="E150" s="1566">
        <f t="shared" si="21"/>
        <v>0</v>
      </c>
      <c r="F150" s="1567"/>
      <c r="G150" s="603">
        <f t="shared" si="24"/>
        <v>0</v>
      </c>
    </row>
    <row r="151" spans="1:7" x14ac:dyDescent="0.3">
      <c r="A151" s="132" t="str">
        <f>'5.2 Budgeted Enrollment YR2'!E54</f>
        <v>Explore Knowledge Academy</v>
      </c>
      <c r="C151" s="10" t="str">
        <f>'5.2 Budgeted Enrollment YR2'!D54</f>
        <v>Las Vegas</v>
      </c>
      <c r="D151" s="73">
        <f>'5.2 Budgeted Enrollment YR2'!G54</f>
        <v>672.490310086195</v>
      </c>
      <c r="E151" s="1566">
        <f t="shared" si="21"/>
        <v>0</v>
      </c>
      <c r="F151" s="1567"/>
      <c r="G151" s="603">
        <f t="shared" si="24"/>
        <v>0</v>
      </c>
    </row>
    <row r="152" spans="1:7" x14ac:dyDescent="0.3">
      <c r="A152" s="132" t="str">
        <f>'5.2 Budgeted Enrollment YR2'!E55</f>
        <v>Founders Academy of Las Vegas</v>
      </c>
      <c r="C152" s="10" t="str">
        <f>'5.2 Budgeted Enrollment YR2'!D55</f>
        <v>Las Vegas</v>
      </c>
      <c r="D152" s="73">
        <f>'5.2 Budgeted Enrollment YR2'!G55</f>
        <v>943.25732389413508</v>
      </c>
      <c r="E152" s="1566">
        <f t="shared" si="21"/>
        <v>0</v>
      </c>
      <c r="F152" s="1567"/>
      <c r="G152" s="603">
        <f t="shared" si="24"/>
        <v>0</v>
      </c>
    </row>
    <row r="153" spans="1:7" x14ac:dyDescent="0.3">
      <c r="A153" s="132" t="str">
        <f>'5.2 Budgeted Enrollment YR2'!E56</f>
        <v>Freedom Classical Academy</v>
      </c>
      <c r="C153" s="10" t="str">
        <f>'5.2 Budgeted Enrollment YR2'!D56</f>
        <v>Las Vegas</v>
      </c>
      <c r="D153" s="73">
        <f>'5.2 Budgeted Enrollment YR2'!G56</f>
        <v>1045.9981866482556</v>
      </c>
      <c r="E153" s="1566">
        <f t="shared" si="21"/>
        <v>0</v>
      </c>
      <c r="F153" s="1567"/>
      <c r="G153" s="603">
        <f t="shared" si="24"/>
        <v>0</v>
      </c>
    </row>
    <row r="154" spans="1:7" x14ac:dyDescent="0.3">
      <c r="A154" s="132" t="str">
        <f>'5.2 Budgeted Enrollment YR2'!E57</f>
        <v>Futuro Academy Elementary</v>
      </c>
      <c r="C154" s="10" t="str">
        <f>'5.2 Budgeted Enrollment YR2'!D57</f>
        <v>Las Vegas</v>
      </c>
      <c r="D154" s="73">
        <f>'5.2 Budgeted Enrollment YR2'!G57</f>
        <v>464.17096223843089</v>
      </c>
      <c r="E154" s="1566">
        <f t="shared" si="21"/>
        <v>0</v>
      </c>
      <c r="F154" s="1567"/>
      <c r="G154" s="603">
        <f t="shared" si="24"/>
        <v>0</v>
      </c>
    </row>
    <row r="155" spans="1:7" x14ac:dyDescent="0.3">
      <c r="A155" s="132" t="str">
        <f>'5.2 Budgeted Enrollment YR2'!E58</f>
        <v>Girls Athletic Leadership Schools</v>
      </c>
      <c r="C155" s="10" t="str">
        <f>'5.2 Budgeted Enrollment YR2'!D58</f>
        <v>Las Vegas</v>
      </c>
      <c r="D155" s="73">
        <f>'5.2 Budgeted Enrollment YR2'!G58</f>
        <v>0</v>
      </c>
      <c r="E155" s="1566">
        <f t="shared" si="21"/>
        <v>0</v>
      </c>
      <c r="F155" s="1567"/>
      <c r="G155" s="603">
        <f t="shared" si="24"/>
        <v>0</v>
      </c>
    </row>
    <row r="156" spans="1:7" x14ac:dyDescent="0.3">
      <c r="A156" s="132" t="str">
        <f>'5.2 Budgeted Enrollment YR2'!E59</f>
        <v>High Desert Montessori</v>
      </c>
      <c r="C156" s="10" t="str">
        <f>'5.2 Budgeted Enrollment YR2'!D59</f>
        <v>Reno</v>
      </c>
      <c r="D156" s="73">
        <f>'5.2 Budgeted Enrollment YR2'!G59</f>
        <v>392.72260172975848</v>
      </c>
      <c r="E156" s="1566">
        <f t="shared" si="21"/>
        <v>0</v>
      </c>
      <c r="F156" s="1567"/>
      <c r="G156" s="603">
        <f t="shared" si="24"/>
        <v>0</v>
      </c>
    </row>
    <row r="157" spans="1:7" x14ac:dyDescent="0.3">
      <c r="A157" s="132" t="str">
        <f>'5.2 Budgeted Enrollment YR2'!E60</f>
        <v>Honors Academy of Literature</v>
      </c>
      <c r="C157" s="10" t="str">
        <f>'5.2 Budgeted Enrollment YR2'!D60</f>
        <v>Reno</v>
      </c>
      <c r="D157" s="73">
        <f>'5.2 Budgeted Enrollment YR2'!G60</f>
        <v>216.78092314626417</v>
      </c>
      <c r="E157" s="1566">
        <f t="shared" si="21"/>
        <v>0</v>
      </c>
      <c r="F157" s="1567"/>
      <c r="G157" s="603">
        <f t="shared" si="24"/>
        <v>0</v>
      </c>
    </row>
    <row r="158" spans="1:7" x14ac:dyDescent="0.3">
      <c r="A158" s="132" t="str">
        <f>'5.2 Budgeted Enrollment YR2'!E61</f>
        <v>Imagine School Mountain View</v>
      </c>
      <c r="C158" s="10" t="str">
        <f>'5.2 Budgeted Enrollment YR2'!D61</f>
        <v>Las Vegas</v>
      </c>
      <c r="D158" s="73">
        <f>'5.2 Budgeted Enrollment YR2'!G61</f>
        <v>672.04958495599931</v>
      </c>
      <c r="E158" s="1566">
        <f t="shared" si="21"/>
        <v>0</v>
      </c>
      <c r="F158" s="1567"/>
      <c r="G158" s="603">
        <f t="shared" si="24"/>
        <v>0</v>
      </c>
    </row>
    <row r="159" spans="1:7" x14ac:dyDescent="0.3">
      <c r="A159" s="132" t="str">
        <f>'5.2 Budgeted Enrollment YR2'!E62</f>
        <v>Innovations Int'l Charter</v>
      </c>
      <c r="C159" s="10" t="str">
        <f>'5.2 Budgeted Enrollment YR2'!D62</f>
        <v>Las Vegas</v>
      </c>
      <c r="D159" s="73">
        <f>'5.2 Budgeted Enrollment YR2'!G62</f>
        <v>737.8298019390819</v>
      </c>
      <c r="E159" s="1566">
        <f t="shared" si="21"/>
        <v>0</v>
      </c>
      <c r="F159" s="1567"/>
      <c r="G159" s="603">
        <f t="shared" si="24"/>
        <v>0</v>
      </c>
    </row>
    <row r="160" spans="1:7" x14ac:dyDescent="0.3">
      <c r="A160" s="132" t="str">
        <f>'5.2 Budgeted Enrollment YR2'!E63</f>
        <v>Leadership Academy of Nevada</v>
      </c>
      <c r="C160" s="10" t="str">
        <f>'5.2 Budgeted Enrollment YR2'!D63</f>
        <v>Las Vegas</v>
      </c>
      <c r="D160" s="73">
        <f>'5.2 Budgeted Enrollment YR2'!G63</f>
        <v>267.90731642854911</v>
      </c>
      <c r="E160" s="1566">
        <f t="shared" si="21"/>
        <v>0</v>
      </c>
      <c r="F160" s="1567"/>
      <c r="G160" s="603">
        <f t="shared" si="24"/>
        <v>0</v>
      </c>
    </row>
    <row r="161" spans="1:7" x14ac:dyDescent="0.3">
      <c r="A161" s="132" t="str">
        <f>'5.2 Budgeted Enrollment YR2'!E64</f>
        <v>Learning Bridge</v>
      </c>
      <c r="C161" s="10" t="str">
        <f>'5.2 Budgeted Enrollment YR2'!D64</f>
        <v>Ely</v>
      </c>
      <c r="D161" s="73">
        <f>'5.2 Budgeted Enrollment YR2'!G64</f>
        <v>175.37345354755249</v>
      </c>
      <c r="E161" s="1566">
        <f t="shared" si="21"/>
        <v>4220.6575665102855</v>
      </c>
      <c r="F161" s="1567"/>
      <c r="G161" s="603">
        <f t="shared" si="24"/>
        <v>740191.29368051747</v>
      </c>
    </row>
    <row r="162" spans="1:7" x14ac:dyDescent="0.3">
      <c r="A162" s="132" t="str">
        <f>'5.2 Budgeted Enrollment YR2'!E65</f>
        <v>Legacy Traditional Schools</v>
      </c>
      <c r="C162" s="10" t="str">
        <f>'5.2 Budgeted Enrollment YR2'!D65</f>
        <v>Las Vegas</v>
      </c>
      <c r="D162" s="73">
        <f>'5.2 Budgeted Enrollment YR2'!G65</f>
        <v>4018.3786872551959</v>
      </c>
      <c r="E162" s="1566">
        <f t="shared" si="21"/>
        <v>0</v>
      </c>
      <c r="F162" s="1567"/>
      <c r="G162" s="603">
        <f t="shared" si="24"/>
        <v>0</v>
      </c>
    </row>
    <row r="163" spans="1:7" x14ac:dyDescent="0.3">
      <c r="A163" s="132" t="str">
        <f>'5.2 Budgeted Enrollment YR2'!E66</f>
        <v>Mariposa Dual Language Academy</v>
      </c>
      <c r="C163" s="10" t="str">
        <f>'5.2 Budgeted Enrollment YR2'!D66</f>
        <v>Reno</v>
      </c>
      <c r="D163" s="73">
        <f>'5.2 Budgeted Enrollment YR2'!G66</f>
        <v>160.32246760830301</v>
      </c>
      <c r="E163" s="1566">
        <f t="shared" si="21"/>
        <v>0</v>
      </c>
      <c r="F163" s="1567"/>
      <c r="G163" s="603">
        <f t="shared" si="24"/>
        <v>0</v>
      </c>
    </row>
    <row r="164" spans="1:7" x14ac:dyDescent="0.3">
      <c r="A164" s="132" t="str">
        <f>'5.2 Budgeted Enrollment YR2'!E67</f>
        <v>Mater Academy</v>
      </c>
      <c r="C164" s="10" t="str">
        <f>'5.2 Budgeted Enrollment YR2'!D67</f>
        <v>Las Vegas</v>
      </c>
      <c r="D164" s="73">
        <f>'5.2 Budgeted Enrollment YR2'!G67</f>
        <v>3961.4054733841613</v>
      </c>
      <c r="E164" s="1566">
        <f t="shared" si="21"/>
        <v>0</v>
      </c>
      <c r="F164" s="1567"/>
      <c r="G164" s="603">
        <f t="shared" si="24"/>
        <v>0</v>
      </c>
    </row>
    <row r="165" spans="1:7" x14ac:dyDescent="0.3">
      <c r="A165" s="132" t="str">
        <f>'5.2 Budgeted Enrollment YR2'!E68</f>
        <v>Mater Academy of Northern Nevada</v>
      </c>
      <c r="C165" s="10" t="str">
        <f>'5.2 Budgeted Enrollment YR2'!D68</f>
        <v>Reno</v>
      </c>
      <c r="D165" s="73">
        <f>'5.2 Budgeted Enrollment YR2'!G68</f>
        <v>491.96676270841391</v>
      </c>
      <c r="E165" s="1566">
        <f t="shared" si="21"/>
        <v>0</v>
      </c>
      <c r="F165" s="1567"/>
      <c r="G165" s="603">
        <f t="shared" si="24"/>
        <v>0</v>
      </c>
    </row>
    <row r="166" spans="1:7" x14ac:dyDescent="0.3">
      <c r="A166" s="132" t="str">
        <f>'5.2 Budgeted Enrollment YR2'!E69</f>
        <v>Nevada Connections Academy</v>
      </c>
      <c r="C166" s="10" t="str">
        <f>'5.2 Budgeted Enrollment YR2'!D69</f>
        <v>Reno</v>
      </c>
      <c r="D166" s="73">
        <f>'5.2 Budgeted Enrollment YR2'!G69</f>
        <v>1067.0069745922351</v>
      </c>
      <c r="E166" s="1566">
        <f t="shared" si="21"/>
        <v>0</v>
      </c>
      <c r="F166" s="1567"/>
      <c r="G166" s="603">
        <f t="shared" si="24"/>
        <v>0</v>
      </c>
    </row>
    <row r="167" spans="1:7" x14ac:dyDescent="0.3">
      <c r="A167" s="132" t="str">
        <f>'5.2 Budgeted Enrollment YR2'!E70</f>
        <v>Nevada Prep</v>
      </c>
      <c r="C167" s="10" t="str">
        <f>'5.2 Budgeted Enrollment YR2'!D70</f>
        <v>Las Vegas</v>
      </c>
      <c r="D167" s="73">
        <f>'5.2 Budgeted Enrollment YR2'!G70</f>
        <v>281.61777384713741</v>
      </c>
      <c r="E167" s="1566">
        <f t="shared" si="21"/>
        <v>0</v>
      </c>
      <c r="F167" s="1567"/>
      <c r="G167" s="603">
        <f t="shared" si="24"/>
        <v>0</v>
      </c>
    </row>
    <row r="168" spans="1:7" x14ac:dyDescent="0.3">
      <c r="A168" s="132" t="str">
        <f>'5.2 Budgeted Enrollment YR2'!E71</f>
        <v xml:space="preserve">Nevada Rise </v>
      </c>
      <c r="C168" s="10" t="str">
        <f>'5.2 Budgeted Enrollment YR2'!D71</f>
        <v>Las Vegas</v>
      </c>
      <c r="D168" s="73">
        <f>'5.2 Budgeted Enrollment YR2'!G71</f>
        <v>458.36661953837051</v>
      </c>
      <c r="E168" s="1566">
        <f t="shared" si="21"/>
        <v>0</v>
      </c>
      <c r="F168" s="1567"/>
      <c r="G168" s="603">
        <f t="shared" si="24"/>
        <v>0</v>
      </c>
    </row>
    <row r="169" spans="1:7" x14ac:dyDescent="0.3">
      <c r="A169" s="132" t="str">
        <f>'5.2 Budgeted Enrollment YR2'!E72</f>
        <v>Nevada State High School</v>
      </c>
      <c r="C169" s="10" t="str">
        <f>'5.2 Budgeted Enrollment YR2'!D72</f>
        <v>Las Vegas</v>
      </c>
      <c r="D169" s="73">
        <f>'5.2 Budgeted Enrollment YR2'!G72</f>
        <v>984.30035161182957</v>
      </c>
      <c r="E169" s="1566">
        <f t="shared" si="21"/>
        <v>0</v>
      </c>
      <c r="F169" s="1567"/>
      <c r="G169" s="603">
        <f t="shared" si="24"/>
        <v>0</v>
      </c>
    </row>
    <row r="170" spans="1:7" x14ac:dyDescent="0.3">
      <c r="A170" s="132" t="str">
        <f>'5.2 Budgeted Enrollment YR2'!E73</f>
        <v>Nevada State High School-Meadowwood</v>
      </c>
      <c r="C170" s="10" t="str">
        <f>'5.2 Budgeted Enrollment YR2'!D73</f>
        <v>Reno</v>
      </c>
      <c r="D170" s="73">
        <f>'5.2 Budgeted Enrollment YR2'!G73</f>
        <v>31.853232783121751</v>
      </c>
      <c r="E170" s="1566">
        <f t="shared" si="21"/>
        <v>0</v>
      </c>
      <c r="F170" s="1567"/>
      <c r="G170" s="603">
        <f t="shared" si="24"/>
        <v>0</v>
      </c>
    </row>
    <row r="171" spans="1:7" x14ac:dyDescent="0.3">
      <c r="A171" s="132" t="str">
        <f>'5.2 Budgeted Enrollment YR2'!E74</f>
        <v>Nevada Virtual Academy</v>
      </c>
      <c r="C171" s="10" t="str">
        <f>'5.2 Budgeted Enrollment YR2'!D74</f>
        <v>Las Vegas</v>
      </c>
      <c r="D171" s="73">
        <f>'5.2 Budgeted Enrollment YR2'!G74</f>
        <v>2160.5541598280038</v>
      </c>
      <c r="E171" s="1566">
        <f t="shared" ref="E171:E179" si="25">IF(C171="Carson City",$G$16,IF(C171="Fallon",$G$18,IF(C171="Elko",$G$39,IF(C171="Ely",$G$117,IF(C171="Stead",$G$111,0)))))</f>
        <v>0</v>
      </c>
      <c r="F171" s="1567"/>
      <c r="G171" s="603">
        <f t="shared" si="24"/>
        <v>0</v>
      </c>
    </row>
    <row r="172" spans="1:7" x14ac:dyDescent="0.3">
      <c r="A172" s="132" t="str">
        <f>'5.2 Budgeted Enrollment YR2'!E75</f>
        <v>Oasis Academy</v>
      </c>
      <c r="C172" s="10" t="str">
        <f>'5.2 Budgeted Enrollment YR2'!D75</f>
        <v>Fallon</v>
      </c>
      <c r="D172" s="73">
        <f>'5.2 Budgeted Enrollment YR2'!G75</f>
        <v>734.93884731429671</v>
      </c>
      <c r="E172" s="1566">
        <f t="shared" si="25"/>
        <v>1249.9152628713291</v>
      </c>
      <c r="F172" s="1567"/>
      <c r="G172" s="603">
        <f t="shared" si="24"/>
        <v>918611.28253520082</v>
      </c>
    </row>
    <row r="173" spans="1:7" x14ac:dyDescent="0.3">
      <c r="A173" s="132" t="str">
        <f>'5.2 Budgeted Enrollment YR2'!E76</f>
        <v>Odyssey Charter Schools</v>
      </c>
      <c r="C173" s="10" t="str">
        <f>'5.2 Budgeted Enrollment YR2'!D76</f>
        <v>Las Vegas</v>
      </c>
      <c r="D173" s="73">
        <f>'5.2 Budgeted Enrollment YR2'!G76</f>
        <v>2327.5551768725609</v>
      </c>
      <c r="E173" s="1566">
        <f t="shared" si="25"/>
        <v>0</v>
      </c>
      <c r="F173" s="1567"/>
      <c r="G173" s="603">
        <f t="shared" si="24"/>
        <v>0</v>
      </c>
    </row>
    <row r="174" spans="1:7" x14ac:dyDescent="0.3">
      <c r="A174" s="132" t="str">
        <f>'5.2 Budgeted Enrollment YR2'!E77</f>
        <v>Pinecrest Academy of Northern Nevada</v>
      </c>
      <c r="C174" s="10" t="str">
        <f>'5.2 Budgeted Enrollment YR2'!D77</f>
        <v>Reno</v>
      </c>
      <c r="D174" s="73">
        <f>'5.2 Budgeted Enrollment YR2'!G77</f>
        <v>927.90151170988167</v>
      </c>
      <c r="E174" s="1566">
        <f t="shared" si="25"/>
        <v>0</v>
      </c>
      <c r="F174" s="1567"/>
      <c r="G174" s="603">
        <f t="shared" si="24"/>
        <v>0</v>
      </c>
    </row>
    <row r="175" spans="1:7" x14ac:dyDescent="0.3">
      <c r="A175" s="132" t="str">
        <f>'5.2 Budgeted Enrollment YR2'!E78</f>
        <v>Pinecrest Academy of Nevada</v>
      </c>
      <c r="C175" s="10" t="str">
        <f>'5.2 Budgeted Enrollment YR2'!D78</f>
        <v>Las Vegas</v>
      </c>
      <c r="D175" s="73">
        <f>'5.2 Budgeted Enrollment YR2'!G78</f>
        <v>7413.8513684858726</v>
      </c>
      <c r="E175" s="1566">
        <f t="shared" si="25"/>
        <v>0</v>
      </c>
      <c r="F175" s="1567"/>
      <c r="G175" s="603">
        <f t="shared" si="24"/>
        <v>0</v>
      </c>
    </row>
    <row r="176" spans="1:7" x14ac:dyDescent="0.3">
      <c r="A176" s="132" t="str">
        <f>'5.2 Budgeted Enrollment YR2'!E79</f>
        <v>Quest Academy</v>
      </c>
      <c r="C176" s="10" t="str">
        <f>'5.2 Budgeted Enrollment YR2'!D79</f>
        <v>Las Vegas</v>
      </c>
      <c r="D176" s="73">
        <f>'5.2 Budgeted Enrollment YR2'!G79</f>
        <v>435.30441038798858</v>
      </c>
      <c r="E176" s="1566">
        <f t="shared" si="25"/>
        <v>0</v>
      </c>
      <c r="F176" s="1567"/>
      <c r="G176" s="603">
        <f t="shared" si="24"/>
        <v>0</v>
      </c>
    </row>
    <row r="177" spans="1:7" x14ac:dyDescent="0.3">
      <c r="A177" s="132" t="str">
        <f>'5.2 Budgeted Enrollment YR2'!E80</f>
        <v>Rainbow Dreams Academy</v>
      </c>
      <c r="C177" s="10" t="str">
        <f>'5.2 Budgeted Enrollment YR2'!D80</f>
        <v>Las Vegas</v>
      </c>
      <c r="D177" s="73">
        <f>'5.2 Budgeted Enrollment YR2'!G80</f>
        <v>70.305537539337109</v>
      </c>
      <c r="E177" s="1566">
        <f t="shared" si="25"/>
        <v>0</v>
      </c>
      <c r="F177" s="1567"/>
      <c r="G177" s="603">
        <f t="shared" si="24"/>
        <v>0</v>
      </c>
    </row>
    <row r="178" spans="1:7" x14ac:dyDescent="0.3">
      <c r="A178" s="132" t="str">
        <f>'5.2 Budgeted Enrollment YR2'!E81</f>
        <v>Rooted Charter School</v>
      </c>
      <c r="C178" s="10" t="str">
        <f>'5.2 Budgeted Enrollment YR2'!D81</f>
        <v>Las Vegas</v>
      </c>
      <c r="D178" s="73">
        <f>'5.2 Budgeted Enrollment YR2'!G81</f>
        <v>180.18</v>
      </c>
      <c r="E178" s="1566">
        <f t="shared" ref="E178" si="26">IF(C178="Carson City",$G$16,IF(C178="Fallon",$G$18,IF(C178="Elko",$G$39,IF(C178="Ely",$G$117,IF(C178="Stead",$G$111,0)))))</f>
        <v>0</v>
      </c>
      <c r="F178" s="1567"/>
      <c r="G178" s="603">
        <f t="shared" ref="G178" si="27">D178*E178</f>
        <v>0</v>
      </c>
    </row>
    <row r="179" spans="1:7" x14ac:dyDescent="0.3">
      <c r="A179" s="132" t="str">
        <f>'5.2 Budgeted Enrollment YR2'!E82</f>
        <v>Sage Collegiate Academy</v>
      </c>
      <c r="C179" s="10" t="str">
        <f>'5.2 Budgeted Enrollment YR2'!D82</f>
        <v>Las Vegas</v>
      </c>
      <c r="D179" s="73">
        <f>'5.2 Budgeted Enrollment YR2'!G82</f>
        <v>199.07693671069981</v>
      </c>
      <c r="E179" s="1566">
        <f t="shared" si="25"/>
        <v>0</v>
      </c>
      <c r="F179" s="1567"/>
      <c r="G179" s="603">
        <f t="shared" si="24"/>
        <v>0</v>
      </c>
    </row>
    <row r="180" spans="1:7" x14ac:dyDescent="0.3">
      <c r="A180" s="132" t="str">
        <f>'5.2 Budgeted Enrollment YR2'!E83</f>
        <v>Sierra Nevada Academy Charter</v>
      </c>
      <c r="C180" s="10" t="str">
        <f>'5.2 Budgeted Enrollment YR2'!D83</f>
        <v>Stead</v>
      </c>
      <c r="D180" s="73">
        <f>'5.2 Budgeted Enrollment YR2'!G83</f>
        <v>324.28890145521717</v>
      </c>
      <c r="E180" s="1566">
        <f>IF(C180="Carson City",$G$16,IF(C180="Fallon",$G$18,IF(C180="Elko",$G$39,IF(C180="Ely",$G$117,IF(C180="Stead",$G$111,0)))))</f>
        <v>744.48475024384652</v>
      </c>
      <c r="F180" s="1567"/>
      <c r="G180" s="603">
        <f t="shared" si="24"/>
        <v>241428.14180673871</v>
      </c>
    </row>
    <row r="181" spans="1:7" x14ac:dyDescent="0.3">
      <c r="A181" s="132" t="str">
        <f>'5.2 Budgeted Enrollment YR2'!E84</f>
        <v>Signature Preparatory</v>
      </c>
      <c r="C181" s="10" t="str">
        <f>'5.2 Budgeted Enrollment YR2'!D84</f>
        <v>Las Vegas</v>
      </c>
      <c r="D181" s="73">
        <f>'5.2 Budgeted Enrollment YR2'!G84</f>
        <v>974.64912726903549</v>
      </c>
      <c r="E181" s="1566">
        <f t="shared" ref="E181:E188" si="28">IF(C181="Carson City",$G$16,IF(C181="Fallon",$G$18,IF(C181="Elko",$G$39,IF(C181="Ely",$G$117,IF(C181="Stead",$G$111,0)))))</f>
        <v>0</v>
      </c>
      <c r="F181" s="1567"/>
      <c r="G181" s="603">
        <f t="shared" si="24"/>
        <v>0</v>
      </c>
    </row>
    <row r="182" spans="1:7" x14ac:dyDescent="0.3">
      <c r="A182" s="132" t="str">
        <f>'5.2 Budgeted Enrollment YR2'!E85</f>
        <v>Silver Sands Montessori</v>
      </c>
      <c r="C182" s="10" t="str">
        <f>'5.2 Budgeted Enrollment YR2'!D85</f>
        <v>Las Vegas</v>
      </c>
      <c r="D182" s="73">
        <f>'5.2 Budgeted Enrollment YR2'!G85</f>
        <v>240.38764208158702</v>
      </c>
      <c r="E182" s="1566">
        <f t="shared" si="28"/>
        <v>0</v>
      </c>
      <c r="F182" s="1567"/>
      <c r="G182" s="603">
        <f t="shared" si="24"/>
        <v>0</v>
      </c>
    </row>
    <row r="183" spans="1:7" x14ac:dyDescent="0.3">
      <c r="A183" s="132" t="str">
        <f>'5.2 Budgeted Enrollment YR2'!E86</f>
        <v>Somerset Academy</v>
      </c>
      <c r="C183" s="10" t="str">
        <f>'5.2 Budgeted Enrollment YR2'!D86</f>
        <v>Las Vegas</v>
      </c>
      <c r="D183" s="73">
        <f>'5.2 Budgeted Enrollment YR2'!G86</f>
        <v>9475.6362211165433</v>
      </c>
      <c r="E183" s="1566">
        <f t="shared" si="28"/>
        <v>0</v>
      </c>
      <c r="F183" s="1567"/>
      <c r="G183" s="603">
        <f t="shared" si="24"/>
        <v>0</v>
      </c>
    </row>
    <row r="184" spans="1:7" x14ac:dyDescent="0.3">
      <c r="A184" s="132" t="str">
        <f>'5.2 Budgeted Enrollment YR2'!E87</f>
        <v>Southern Nevada Trade High School</v>
      </c>
      <c r="C184" s="10" t="str">
        <f>'5.2 Budgeted Enrollment YR2'!D87</f>
        <v>Las Vegas</v>
      </c>
      <c r="D184" s="73">
        <f>'5.2 Budgeted Enrollment YR2'!G87</f>
        <v>200.2</v>
      </c>
      <c r="E184" s="1566">
        <f t="shared" ref="E184" si="29">IF(C184="Carson City",$G$16,IF(C184="Fallon",$G$18,IF(C184="Elko",$G$39,IF(C184="Ely",$G$117,IF(C184="Stead",$G$111,0)))))</f>
        <v>0</v>
      </c>
      <c r="F184" s="1567"/>
      <c r="G184" s="603">
        <f t="shared" ref="G184" si="30">D184*E184</f>
        <v>0</v>
      </c>
    </row>
    <row r="185" spans="1:7" x14ac:dyDescent="0.3">
      <c r="A185" s="132" t="str">
        <f>'5.2 Budgeted Enrollment YR2'!E88</f>
        <v>Sports Leadership and Management Academy</v>
      </c>
      <c r="C185" s="10" t="str">
        <f>'5.2 Budgeted Enrollment YR2'!D88</f>
        <v>Las Vegas</v>
      </c>
      <c r="D185" s="73">
        <f>'5.2 Budgeted Enrollment YR2'!G88</f>
        <v>1788.0122702171184</v>
      </c>
      <c r="E185" s="1566">
        <f t="shared" si="28"/>
        <v>0</v>
      </c>
      <c r="F185" s="1567"/>
      <c r="G185" s="603">
        <f t="shared" si="24"/>
        <v>0</v>
      </c>
    </row>
    <row r="186" spans="1:7" x14ac:dyDescent="0.3">
      <c r="A186" s="132" t="str">
        <f>'5.2 Budgeted Enrollment YR2'!E89</f>
        <v>Strong Start Academy</v>
      </c>
      <c r="C186" s="10" t="str">
        <f>'5.2 Budgeted Enrollment YR2'!D89</f>
        <v>Las Vegas</v>
      </c>
      <c r="D186" s="73">
        <f>'5.2 Budgeted Enrollment YR2'!G89</f>
        <v>80.710975515445185</v>
      </c>
      <c r="E186" s="1566">
        <f t="shared" si="28"/>
        <v>0</v>
      </c>
      <c r="F186" s="1567"/>
      <c r="G186" s="603">
        <f t="shared" si="24"/>
        <v>0</v>
      </c>
    </row>
    <row r="187" spans="1:7" x14ac:dyDescent="0.3">
      <c r="A187" s="132" t="str">
        <f>'5.2 Budgeted Enrollment YR2'!E90</f>
        <v>TEACH Las Vegas</v>
      </c>
      <c r="C187" s="10" t="str">
        <f>'5.2 Budgeted Enrollment YR2'!D90</f>
        <v>Las Vegas</v>
      </c>
      <c r="D187" s="73">
        <f>'5.2 Budgeted Enrollment YR2'!G90</f>
        <v>321.30487536118619</v>
      </c>
      <c r="E187" s="1566">
        <f t="shared" si="28"/>
        <v>0</v>
      </c>
      <c r="F187" s="1567"/>
      <c r="G187" s="603">
        <f t="shared" si="24"/>
        <v>0</v>
      </c>
    </row>
    <row r="188" spans="1:7" x14ac:dyDescent="0.3">
      <c r="A188" s="195" t="str">
        <f>'5.2 Budgeted Enrollment YR2'!E91</f>
        <v>Young Women's Leadership Academy</v>
      </c>
      <c r="B188" s="183"/>
      <c r="C188" s="183" t="str">
        <f>'5.2 Budgeted Enrollment YR2'!D91</f>
        <v>Las Vegas</v>
      </c>
      <c r="D188" s="538">
        <f>'5.2 Budgeted Enrollment YR2'!G91</f>
        <v>56.413128242471004</v>
      </c>
      <c r="E188" s="1568">
        <f t="shared" si="28"/>
        <v>0</v>
      </c>
      <c r="F188" s="1569"/>
      <c r="G188" s="1570">
        <f t="shared" si="24"/>
        <v>0</v>
      </c>
    </row>
    <row r="189" spans="1:7" x14ac:dyDescent="0.3">
      <c r="A189" s="4" t="s">
        <v>1139</v>
      </c>
      <c r="B189" s="4"/>
      <c r="C189" s="4"/>
      <c r="D189" s="613">
        <f>SUM(D129:D188)</f>
        <v>69072.499417353014</v>
      </c>
      <c r="E189" s="1571"/>
      <c r="F189" s="1571"/>
      <c r="G189" s="1572">
        <f>SUM(G129:G188)</f>
        <v>2247056.7944288272</v>
      </c>
    </row>
    <row r="190" spans="1:7" x14ac:dyDescent="0.3">
      <c r="D190" s="65">
        <f>D189-'5.2 Budgeted Enrollment YR2'!G92</f>
        <v>0</v>
      </c>
      <c r="E190" s="1567"/>
      <c r="F190" s="1567"/>
      <c r="G190" s="1567">
        <f>G189-'6.6 Adj. Base Summary YR2'!E97</f>
        <v>0</v>
      </c>
    </row>
    <row r="191" spans="1:7" x14ac:dyDescent="0.3">
      <c r="D191" s="65"/>
      <c r="E191" s="1567"/>
      <c r="F191" s="1567"/>
      <c r="G191" s="1567"/>
    </row>
    <row r="192" spans="1:7" s="94" customFormat="1" ht="99" x14ac:dyDescent="0.3">
      <c r="A192" s="407" t="s">
        <v>1256</v>
      </c>
      <c r="B192" s="727"/>
      <c r="C192" s="727" t="s">
        <v>756</v>
      </c>
      <c r="D192" s="728" t="s">
        <v>853</v>
      </c>
      <c r="E192" s="1573" t="s">
        <v>1046</v>
      </c>
      <c r="F192" s="1573"/>
      <c r="G192" s="1574" t="s">
        <v>1051</v>
      </c>
    </row>
    <row r="193" spans="1:7" x14ac:dyDescent="0.3">
      <c r="A193" s="683" t="str">
        <f>'5.2 Budgeted Enrollment YR2'!E96</f>
        <v>Davidson Academy</v>
      </c>
      <c r="C193" s="10" t="str">
        <f>'5.2 Budgeted Enrollment YR2'!D96</f>
        <v>Reno</v>
      </c>
      <c r="D193" s="729">
        <f>'5.2 Budgeted Enrollment YR2'!G96</f>
        <v>162.20612853670227</v>
      </c>
      <c r="E193" s="1567">
        <f>IF(C193="Carson City",$G$16,IF(C193="Fallon",$G$18,IF(C193="Elko",$G$39,IF(C193="Ely",$G$117,0))))</f>
        <v>0</v>
      </c>
      <c r="F193" s="1567"/>
      <c r="G193" s="603">
        <f>D193*E193</f>
        <v>0</v>
      </c>
    </row>
    <row r="194" spans="1:7" x14ac:dyDescent="0.3">
      <c r="A194" s="195">
        <f>'5.2 Budgeted Enrollment YR2'!E97</f>
        <v>0</v>
      </c>
      <c r="B194" s="183"/>
      <c r="C194" s="183">
        <f>'5.2 Budgeted Enrollment YR2'!D97</f>
        <v>0</v>
      </c>
      <c r="D194" s="726">
        <f>'5.2 Budgeted Enrollment YR2'!G97</f>
        <v>0</v>
      </c>
      <c r="E194" s="1569"/>
      <c r="F194" s="1569"/>
      <c r="G194" s="1570">
        <f>D194*E194</f>
        <v>0</v>
      </c>
    </row>
    <row r="195" spans="1:7" x14ac:dyDescent="0.3">
      <c r="D195" s="65">
        <f>SUM(D193:D194)</f>
        <v>162.20612853670227</v>
      </c>
      <c r="E195" s="1567"/>
      <c r="F195" s="1567"/>
      <c r="G195" s="1575">
        <f>SUM(G193:G194)</f>
        <v>0</v>
      </c>
    </row>
    <row r="196" spans="1:7" x14ac:dyDescent="0.3">
      <c r="E196" s="1567"/>
      <c r="F196" s="1567"/>
      <c r="G196" s="1567"/>
    </row>
    <row r="197" spans="1:7" x14ac:dyDescent="0.3">
      <c r="E197" s="1567"/>
      <c r="F197" s="1567"/>
      <c r="G197" s="1567"/>
    </row>
  </sheetData>
  <sheetProtection algorithmName="SHA-512" hashValue="TQpqwzGSZeAU+TOhaKUY4LrNgAEq1LRQEPZ2V51oTEGvgN0hnz3gHRAk+PFk30cAZQ1BFXPWh9SNoG079fwkZQ==" saltValue="CbHzPD4Cugjv7sFTRk8ctA==" spinCount="100000" sheet="1" objects="1" scenarios="1"/>
  <pageMargins left="0.7" right="0.7" top="0.75" bottom="0.75" header="0.3" footer="0.3"/>
  <pageSetup scale="97" fitToHeight="4" orientation="landscape" horizontalDpi="1200" verticalDpi="1200" r:id="rId1"/>
  <rowBreaks count="3" manualBreakCount="3">
    <brk id="49" max="6" man="1"/>
    <brk id="87" max="6" man="1"/>
    <brk id="120" max="6" man="1"/>
  </rowBreaks>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19805-41B0-4EB6-8DE0-A127D80FF8FD}">
  <sheetPr>
    <tabColor theme="6" tint="-0.249977111117893"/>
    <pageSetUpPr autoPageBreaks="0" fitToPage="1"/>
  </sheetPr>
  <dimension ref="A1:M95"/>
  <sheetViews>
    <sheetView zoomScale="85" zoomScaleNormal="85" workbookViewId="0"/>
  </sheetViews>
  <sheetFormatPr defaultColWidth="8.85546875" defaultRowHeight="16.5" x14ac:dyDescent="0.3"/>
  <cols>
    <col min="1" max="1" width="7.7109375" style="4" customWidth="1"/>
    <col min="2" max="2" width="39.140625" style="10" customWidth="1"/>
    <col min="3" max="3" width="13.140625" style="10" bestFit="1" customWidth="1"/>
    <col min="4" max="4" width="14.140625" style="10" bestFit="1" customWidth="1"/>
    <col min="5" max="5" width="10.5703125" style="10" bestFit="1" customWidth="1"/>
    <col min="6" max="6" width="15" style="10" bestFit="1" customWidth="1"/>
    <col min="7" max="7" width="15.5703125" style="10" bestFit="1" customWidth="1"/>
    <col min="8" max="8" width="16.42578125" style="10" bestFit="1" customWidth="1"/>
    <col min="9" max="9" width="19.140625" style="10" customWidth="1"/>
    <col min="10" max="10" width="18.42578125" style="10" customWidth="1"/>
    <col min="11" max="11" width="2.7109375" style="93" bestFit="1" customWidth="1"/>
    <col min="12" max="12" width="43.7109375" style="10" bestFit="1" customWidth="1"/>
    <col min="13" max="13" width="12.85546875" style="10" bestFit="1" customWidth="1"/>
    <col min="14" max="16384" width="8.85546875" style="10"/>
  </cols>
  <sheetData>
    <row r="1" spans="1:13" s="4" customFormat="1" x14ac:dyDescent="0.3">
      <c r="B1" s="4" t="s">
        <v>602</v>
      </c>
      <c r="K1" s="16"/>
    </row>
    <row r="2" spans="1:13" x14ac:dyDescent="0.3">
      <c r="B2" s="10" t="str">
        <f>CONCATENATE("Pupil Center Funding Plan | FY",'5.1 Assumption Control YR2'!D5)</f>
        <v>Pupil Center Funding Plan | FY2025</v>
      </c>
      <c r="K2" s="218"/>
    </row>
    <row r="3" spans="1:13" x14ac:dyDescent="0.3">
      <c r="B3" s="10" t="s">
        <v>1293</v>
      </c>
      <c r="K3" s="218"/>
    </row>
    <row r="4" spans="1:13" x14ac:dyDescent="0.3">
      <c r="I4" s="94"/>
      <c r="J4" s="88"/>
    </row>
    <row r="5" spans="1:13" ht="66" x14ac:dyDescent="0.3">
      <c r="A5" s="4" t="str">
        <f>'2.3 Statewide Base Funding YR1'!A13</f>
        <v>School District</v>
      </c>
      <c r="B5" s="4"/>
      <c r="C5" s="4"/>
      <c r="D5" s="95" t="str">
        <f>'2.5 NCEI Adj. YR1'!D5</f>
        <v>Statewide Base Per pupil Funding</v>
      </c>
      <c r="E5" s="1203" t="str">
        <f>'2.5 NCEI Adj. YR1'!E5</f>
        <v>Distant Education Enrollment</v>
      </c>
      <c r="F5" s="1204" t="str">
        <f>'2.5 NCEI Adj. YR1'!F5</f>
        <v>Statewide Base Total for Distant Education</v>
      </c>
      <c r="G5" s="1203" t="str">
        <f>'2.5 NCEI Adj. YR1'!G5</f>
        <v>Total Enrollment less Distant Education</v>
      </c>
      <c r="H5" s="1204" t="str">
        <f>'2.5 NCEI Adj. YR1'!H5</f>
        <v xml:space="preserve">Total Statewide base less Distant Education </v>
      </c>
      <c r="I5" s="407" t="str">
        <f>'2.5 NCEI Adj. YR1'!I5</f>
        <v>NCEI, Using CWI All Workers for Wages, and RPP “Goods” for Non-wages</v>
      </c>
      <c r="J5" s="991" t="str">
        <f>'2.5 NCEI Adj. YR1'!J5</f>
        <v xml:space="preserve">Nevada Cost of Education Index (NCEI) Adjustment </v>
      </c>
    </row>
    <row r="6" spans="1:13" s="101" customFormat="1" x14ac:dyDescent="0.25">
      <c r="A6" s="1242"/>
      <c r="B6" s="303" t="s">
        <v>879</v>
      </c>
      <c r="C6" s="1240" t="s">
        <v>1424</v>
      </c>
      <c r="D6" s="1240" t="s">
        <v>1426</v>
      </c>
      <c r="E6" s="1255" t="s">
        <v>944</v>
      </c>
      <c r="F6" s="1550" t="s">
        <v>885</v>
      </c>
      <c r="G6" s="1255" t="s">
        <v>1424</v>
      </c>
      <c r="H6" s="1267" t="s">
        <v>1425</v>
      </c>
      <c r="I6" s="1241" t="s">
        <v>1413</v>
      </c>
      <c r="J6" s="962" t="s">
        <v>1427</v>
      </c>
      <c r="K6" s="233"/>
    </row>
    <row r="7" spans="1:13" x14ac:dyDescent="0.3">
      <c r="B7" s="10" t="str">
        <f>'5.2 Budgeted Enrollment YR2'!E9</f>
        <v>Carson City</v>
      </c>
      <c r="C7" s="40">
        <f>'5.2 Budgeted Enrollment YR2'!B9</f>
        <v>13</v>
      </c>
      <c r="D7" s="1197">
        <f>'6.3 Statewide Base Funding YR2'!C14</f>
        <v>9428</v>
      </c>
      <c r="E7" s="84">
        <v>0</v>
      </c>
      <c r="F7" s="244">
        <f>D7*E7</f>
        <v>0</v>
      </c>
      <c r="G7" s="1257">
        <f>'5.2 Budgeted Enrollment YR2'!G9-E7</f>
        <v>7207.4987624368023</v>
      </c>
      <c r="H7" s="1207">
        <f>D7*G7</f>
        <v>67952298.332254171</v>
      </c>
      <c r="I7" s="539">
        <f>'5.1 Assumption Control YR2'!M35</f>
        <v>1</v>
      </c>
      <c r="J7" s="609">
        <f>SUM(H7:H7)*(I7-1)</f>
        <v>0</v>
      </c>
      <c r="K7" s="1202">
        <f>(F7+H7)-'6.3 Statewide Base Funding YR2'!E14</f>
        <v>0</v>
      </c>
    </row>
    <row r="8" spans="1:13" x14ac:dyDescent="0.3">
      <c r="B8" s="10" t="str">
        <f>'5.2 Budgeted Enrollment YR2'!E10</f>
        <v>Churchill</v>
      </c>
      <c r="C8" s="40">
        <f>'5.2 Budgeted Enrollment YR2'!B10</f>
        <v>1</v>
      </c>
      <c r="D8" s="1197">
        <f>'6.3 Statewide Base Funding YR2'!C15</f>
        <v>9428</v>
      </c>
      <c r="E8" s="84">
        <v>0</v>
      </c>
      <c r="F8" s="244">
        <f t="shared" ref="F8:F25" si="0">D8*E8</f>
        <v>0</v>
      </c>
      <c r="G8" s="1257">
        <f>'5.2 Budgeted Enrollment YR2'!G10-E8</f>
        <v>3194.3177502985195</v>
      </c>
      <c r="H8" s="1207">
        <f t="shared" ref="H8:H23" si="1">D8*G8</f>
        <v>30116027.749814443</v>
      </c>
      <c r="I8" s="539">
        <f>'5.1 Assumption Control YR2'!M36</f>
        <v>1</v>
      </c>
      <c r="J8" s="609">
        <f t="shared" ref="J8:J23" si="2">SUM(H8:H8)*(I8-1)</f>
        <v>0</v>
      </c>
      <c r="K8" s="1202">
        <f>(F8+H8)-'6.3 Statewide Base Funding YR2'!E15</f>
        <v>0</v>
      </c>
      <c r="L8" s="12"/>
      <c r="M8" s="206"/>
    </row>
    <row r="9" spans="1:13" x14ac:dyDescent="0.3">
      <c r="B9" s="10" t="str">
        <f>'5.2 Budgeted Enrollment YR2'!E11</f>
        <v>Clark</v>
      </c>
      <c r="C9" s="40">
        <f>'5.2 Budgeted Enrollment YR2'!B11</f>
        <v>2</v>
      </c>
      <c r="D9" s="1197">
        <f>'6.3 Statewide Base Funding YR2'!C16</f>
        <v>9428</v>
      </c>
      <c r="E9" s="84">
        <v>0</v>
      </c>
      <c r="F9" s="244">
        <f t="shared" si="0"/>
        <v>0</v>
      </c>
      <c r="G9" s="1257">
        <f>'5.2 Budgeted Enrollment YR2'!G11-E9</f>
        <v>293503.02038115874</v>
      </c>
      <c r="H9" s="1207">
        <f t="shared" si="1"/>
        <v>2767146476.1535645</v>
      </c>
      <c r="I9" s="539">
        <f>'5.1 Assumption Control YR2'!M37</f>
        <v>1</v>
      </c>
      <c r="J9" s="609">
        <f t="shared" si="2"/>
        <v>0</v>
      </c>
      <c r="K9" s="1202">
        <f>(F9+H9)-'6.3 Statewide Base Funding YR2'!E16</f>
        <v>0</v>
      </c>
      <c r="L9" s="12"/>
      <c r="M9" s="206"/>
    </row>
    <row r="10" spans="1:13" x14ac:dyDescent="0.3">
      <c r="B10" s="10" t="str">
        <f>'5.2 Budgeted Enrollment YR2'!E12</f>
        <v>Douglas</v>
      </c>
      <c r="C10" s="40">
        <f>'5.2 Budgeted Enrollment YR2'!B12</f>
        <v>3</v>
      </c>
      <c r="D10" s="1197">
        <f>'6.3 Statewide Base Funding YR2'!C17</f>
        <v>9428</v>
      </c>
      <c r="E10" s="84">
        <v>0</v>
      </c>
      <c r="F10" s="244">
        <f t="shared" si="0"/>
        <v>0</v>
      </c>
      <c r="G10" s="1257">
        <f>'5.2 Budgeted Enrollment YR2'!G12-E10</f>
        <v>5170.6418474641814</v>
      </c>
      <c r="H10" s="1207">
        <f t="shared" si="1"/>
        <v>48748811.337892301</v>
      </c>
      <c r="I10" s="539">
        <f>'5.1 Assumption Control YR2'!M38</f>
        <v>1</v>
      </c>
      <c r="J10" s="609">
        <f t="shared" si="2"/>
        <v>0</v>
      </c>
      <c r="K10" s="1202">
        <f>(F10+H10)-'6.3 Statewide Base Funding YR2'!E17</f>
        <v>0</v>
      </c>
      <c r="L10" s="12"/>
      <c r="M10" s="206"/>
    </row>
    <row r="11" spans="1:13" x14ac:dyDescent="0.3">
      <c r="B11" s="10" t="str">
        <f>'5.2 Budgeted Enrollment YR2'!E13</f>
        <v>Elko</v>
      </c>
      <c r="C11" s="40">
        <f>'5.2 Budgeted Enrollment YR2'!B13</f>
        <v>4</v>
      </c>
      <c r="D11" s="1197">
        <f>'6.3 Statewide Base Funding YR2'!C18</f>
        <v>9428</v>
      </c>
      <c r="E11" s="84">
        <v>0</v>
      </c>
      <c r="F11" s="244">
        <f t="shared" si="0"/>
        <v>0</v>
      </c>
      <c r="G11" s="1257">
        <f>'5.2 Budgeted Enrollment YR2'!G13-E11</f>
        <v>9818.4043511504351</v>
      </c>
      <c r="H11" s="1207">
        <f t="shared" si="1"/>
        <v>92567916.222646296</v>
      </c>
      <c r="I11" s="539">
        <f>'5.1 Assumption Control YR2'!M39</f>
        <v>1</v>
      </c>
      <c r="J11" s="609">
        <f t="shared" si="2"/>
        <v>0</v>
      </c>
      <c r="K11" s="1202">
        <f>(F11+H11)-'6.3 Statewide Base Funding YR2'!E18</f>
        <v>0</v>
      </c>
      <c r="L11" s="12"/>
      <c r="M11" s="206"/>
    </row>
    <row r="12" spans="1:13" x14ac:dyDescent="0.3">
      <c r="B12" s="10" t="str">
        <f>'5.2 Budgeted Enrollment YR2'!E14</f>
        <v>Esmeralda</v>
      </c>
      <c r="C12" s="40">
        <f>'5.2 Budgeted Enrollment YR2'!B14</f>
        <v>5</v>
      </c>
      <c r="D12" s="1197">
        <f>'6.3 Statewide Base Funding YR2'!C19</f>
        <v>9428</v>
      </c>
      <c r="E12" s="84">
        <v>0</v>
      </c>
      <c r="F12" s="244">
        <f t="shared" si="0"/>
        <v>0</v>
      </c>
      <c r="G12" s="1257">
        <f>'5.2 Budgeted Enrollment YR2'!G14-E12</f>
        <v>77.392537325948581</v>
      </c>
      <c r="H12" s="1207">
        <f t="shared" si="1"/>
        <v>729656.84190904326</v>
      </c>
      <c r="I12" s="539">
        <f>'5.1 Assumption Control YR2'!M40</f>
        <v>1</v>
      </c>
      <c r="J12" s="609">
        <f t="shared" si="2"/>
        <v>0</v>
      </c>
      <c r="K12" s="1202">
        <f>(F12+H12)-'6.3 Statewide Base Funding YR2'!E19</f>
        <v>0</v>
      </c>
      <c r="L12" s="12"/>
      <c r="M12" s="206"/>
    </row>
    <row r="13" spans="1:13" x14ac:dyDescent="0.3">
      <c r="B13" s="10" t="str">
        <f>'5.2 Budgeted Enrollment YR2'!E15</f>
        <v>Eureka</v>
      </c>
      <c r="C13" s="40">
        <f>'5.2 Budgeted Enrollment YR2'!B15</f>
        <v>6</v>
      </c>
      <c r="D13" s="1197">
        <f>'6.3 Statewide Base Funding YR2'!C20</f>
        <v>9428</v>
      </c>
      <c r="E13" s="84">
        <v>0</v>
      </c>
      <c r="F13" s="244">
        <f t="shared" si="0"/>
        <v>0</v>
      </c>
      <c r="G13" s="1257">
        <f>'5.2 Budgeted Enrollment YR2'!G15-E13</f>
        <v>324.02623606097552</v>
      </c>
      <c r="H13" s="1207">
        <f t="shared" si="1"/>
        <v>3054919.3535828772</v>
      </c>
      <c r="I13" s="539">
        <f>'5.1 Assumption Control YR2'!M41</f>
        <v>1</v>
      </c>
      <c r="J13" s="609">
        <f t="shared" si="2"/>
        <v>0</v>
      </c>
      <c r="K13" s="1202">
        <f>(F13+H13)-'6.3 Statewide Base Funding YR2'!E20</f>
        <v>0</v>
      </c>
      <c r="L13" s="12"/>
      <c r="M13" s="206"/>
    </row>
    <row r="14" spans="1:13" x14ac:dyDescent="0.3">
      <c r="B14" s="10" t="str">
        <f>'5.2 Budgeted Enrollment YR2'!E16</f>
        <v>Humboldt</v>
      </c>
      <c r="C14" s="40">
        <f>'5.2 Budgeted Enrollment YR2'!B16</f>
        <v>7</v>
      </c>
      <c r="D14" s="1197">
        <f>'6.3 Statewide Base Funding YR2'!C21</f>
        <v>9428</v>
      </c>
      <c r="E14" s="84">
        <v>0</v>
      </c>
      <c r="F14" s="244">
        <f t="shared" si="0"/>
        <v>0</v>
      </c>
      <c r="G14" s="1257">
        <f>'5.2 Budgeted Enrollment YR2'!G16-E14</f>
        <v>3185.805194816955</v>
      </c>
      <c r="H14" s="1207">
        <f t="shared" si="1"/>
        <v>30035771.376734253</v>
      </c>
      <c r="I14" s="539">
        <f>'5.1 Assumption Control YR2'!M42</f>
        <v>1</v>
      </c>
      <c r="J14" s="609">
        <f t="shared" si="2"/>
        <v>0</v>
      </c>
      <c r="K14" s="1202">
        <f>(F14+H14)-'6.3 Statewide Base Funding YR2'!E21</f>
        <v>0</v>
      </c>
      <c r="L14" s="12"/>
      <c r="M14" s="206"/>
    </row>
    <row r="15" spans="1:13" x14ac:dyDescent="0.3">
      <c r="B15" s="10" t="str">
        <f>'5.2 Budgeted Enrollment YR2'!E17</f>
        <v>Lander</v>
      </c>
      <c r="C15" s="40">
        <f>'5.2 Budgeted Enrollment YR2'!B17</f>
        <v>8</v>
      </c>
      <c r="D15" s="1197">
        <f>'6.3 Statewide Base Funding YR2'!C22</f>
        <v>9428</v>
      </c>
      <c r="E15" s="84">
        <v>0</v>
      </c>
      <c r="F15" s="244">
        <f t="shared" si="0"/>
        <v>0</v>
      </c>
      <c r="G15" s="1257">
        <f>'5.2 Budgeted Enrollment YR2'!G17-E15</f>
        <v>1003.8754811636373</v>
      </c>
      <c r="H15" s="1207">
        <f t="shared" si="1"/>
        <v>9464538.0364107732</v>
      </c>
      <c r="I15" s="539">
        <f>'5.1 Assumption Control YR2'!M43</f>
        <v>1</v>
      </c>
      <c r="J15" s="609">
        <f t="shared" si="2"/>
        <v>0</v>
      </c>
      <c r="K15" s="1202">
        <f>(F15+H15)-'6.3 Statewide Base Funding YR2'!E22</f>
        <v>0</v>
      </c>
      <c r="L15" s="12"/>
      <c r="M15" s="206"/>
    </row>
    <row r="16" spans="1:13" x14ac:dyDescent="0.3">
      <c r="B16" s="10" t="str">
        <f>'5.2 Budgeted Enrollment YR2'!E18</f>
        <v>Lincoln</v>
      </c>
      <c r="C16" s="40">
        <f>'5.2 Budgeted Enrollment YR2'!B18</f>
        <v>9</v>
      </c>
      <c r="D16" s="1197">
        <f>'6.3 Statewide Base Funding YR2'!C23</f>
        <v>9428</v>
      </c>
      <c r="E16" s="84">
        <v>0</v>
      </c>
      <c r="F16" s="244">
        <f t="shared" si="0"/>
        <v>0</v>
      </c>
      <c r="G16" s="1257">
        <f>'5.2 Budgeted Enrollment YR2'!G18-E16</f>
        <v>883.90246946271293</v>
      </c>
      <c r="H16" s="1207">
        <f t="shared" si="1"/>
        <v>8333432.4820944574</v>
      </c>
      <c r="I16" s="539">
        <f>'5.1 Assumption Control YR2'!M44</f>
        <v>1</v>
      </c>
      <c r="J16" s="609">
        <f t="shared" si="2"/>
        <v>0</v>
      </c>
      <c r="K16" s="1202">
        <f>(F16+H16)-'6.3 Statewide Base Funding YR2'!E23</f>
        <v>0</v>
      </c>
      <c r="L16" s="12"/>
      <c r="M16" s="206"/>
    </row>
    <row r="17" spans="1:13" x14ac:dyDescent="0.3">
      <c r="B17" s="10" t="str">
        <f>'5.2 Budgeted Enrollment YR2'!E19</f>
        <v>Lyon</v>
      </c>
      <c r="C17" s="40">
        <f>'5.2 Budgeted Enrollment YR2'!B19</f>
        <v>10</v>
      </c>
      <c r="D17" s="1197">
        <f>'6.3 Statewide Base Funding YR2'!C24</f>
        <v>9428</v>
      </c>
      <c r="E17" s="84">
        <v>0</v>
      </c>
      <c r="F17" s="244">
        <f t="shared" si="0"/>
        <v>0</v>
      </c>
      <c r="G17" s="1257">
        <f>'5.2 Budgeted Enrollment YR2'!G19-E17</f>
        <v>9045.069485259779</v>
      </c>
      <c r="H17" s="1207">
        <f t="shared" si="1"/>
        <v>85276915.1070292</v>
      </c>
      <c r="I17" s="539">
        <f>'5.1 Assumption Control YR2'!M45</f>
        <v>1</v>
      </c>
      <c r="J17" s="609">
        <f t="shared" si="2"/>
        <v>0</v>
      </c>
      <c r="K17" s="1202">
        <f>(F17+H17)-'6.3 Statewide Base Funding YR2'!E24</f>
        <v>0</v>
      </c>
      <c r="L17" s="12"/>
      <c r="M17" s="206"/>
    </row>
    <row r="18" spans="1:13" x14ac:dyDescent="0.3">
      <c r="B18" s="10" t="str">
        <f>'5.2 Budgeted Enrollment YR2'!E20</f>
        <v>Mineral</v>
      </c>
      <c r="C18" s="40">
        <f>'5.2 Budgeted Enrollment YR2'!B20</f>
        <v>11</v>
      </c>
      <c r="D18" s="1197">
        <f>'6.3 Statewide Base Funding YR2'!C25</f>
        <v>9428</v>
      </c>
      <c r="E18" s="84">
        <v>0</v>
      </c>
      <c r="F18" s="244">
        <f t="shared" si="0"/>
        <v>0</v>
      </c>
      <c r="G18" s="1257">
        <f>'5.2 Budgeted Enrollment YR2'!G20-E18</f>
        <v>568.00070537479974</v>
      </c>
      <c r="H18" s="1207">
        <f t="shared" si="1"/>
        <v>5355110.6502736118</v>
      </c>
      <c r="I18" s="539">
        <f>'5.1 Assumption Control YR2'!M46</f>
        <v>1</v>
      </c>
      <c r="J18" s="609">
        <f t="shared" si="2"/>
        <v>0</v>
      </c>
      <c r="K18" s="1202">
        <f>(F18+H18)-'6.3 Statewide Base Funding YR2'!E25</f>
        <v>0</v>
      </c>
      <c r="L18" s="12"/>
      <c r="M18" s="206"/>
    </row>
    <row r="19" spans="1:13" x14ac:dyDescent="0.3">
      <c r="B19" s="10" t="str">
        <f>'5.2 Budgeted Enrollment YR2'!E21</f>
        <v>Nye</v>
      </c>
      <c r="C19" s="40">
        <f>'5.2 Budgeted Enrollment YR2'!B21</f>
        <v>12</v>
      </c>
      <c r="D19" s="1197">
        <f>'6.3 Statewide Base Funding YR2'!C26</f>
        <v>9428</v>
      </c>
      <c r="E19" s="84">
        <v>0</v>
      </c>
      <c r="F19" s="244">
        <f t="shared" si="0"/>
        <v>0</v>
      </c>
      <c r="G19" s="1257">
        <f>'5.2 Budgeted Enrollment YR2'!G21-E19</f>
        <v>5594.5124332004871</v>
      </c>
      <c r="H19" s="1207">
        <f t="shared" si="1"/>
        <v>52745063.220214196</v>
      </c>
      <c r="I19" s="539">
        <f>'5.1 Assumption Control YR2'!M47</f>
        <v>1</v>
      </c>
      <c r="J19" s="609">
        <f t="shared" si="2"/>
        <v>0</v>
      </c>
      <c r="K19" s="1202">
        <f>(F19+H19)-'6.3 Statewide Base Funding YR2'!E26</f>
        <v>0</v>
      </c>
      <c r="L19" s="12"/>
      <c r="M19" s="206"/>
    </row>
    <row r="20" spans="1:13" x14ac:dyDescent="0.3">
      <c r="B20" s="10" t="str">
        <f>'5.2 Budgeted Enrollment YR2'!E22</f>
        <v>Pershing</v>
      </c>
      <c r="C20" s="40">
        <f>'5.2 Budgeted Enrollment YR2'!B22</f>
        <v>14</v>
      </c>
      <c r="D20" s="1197">
        <f>'6.3 Statewide Base Funding YR2'!C27</f>
        <v>9428</v>
      </c>
      <c r="E20" s="84">
        <v>0</v>
      </c>
      <c r="F20" s="244">
        <f t="shared" si="0"/>
        <v>0</v>
      </c>
      <c r="G20" s="1257">
        <f>'5.2 Budgeted Enrollment YR2'!G22-E20</f>
        <v>660.8205610348989</v>
      </c>
      <c r="H20" s="1207">
        <f t="shared" si="1"/>
        <v>6230216.2494370267</v>
      </c>
      <c r="I20" s="539">
        <f>'5.1 Assumption Control YR2'!M48</f>
        <v>1</v>
      </c>
      <c r="J20" s="609">
        <f t="shared" si="2"/>
        <v>0</v>
      </c>
      <c r="K20" s="1202">
        <f>(F20+H20)-'6.3 Statewide Base Funding YR2'!E27</f>
        <v>0</v>
      </c>
    </row>
    <row r="21" spans="1:13" x14ac:dyDescent="0.3">
      <c r="B21" s="10" t="str">
        <f>'5.2 Budgeted Enrollment YR2'!E23</f>
        <v>Storey</v>
      </c>
      <c r="C21" s="40">
        <f>'5.2 Budgeted Enrollment YR2'!B23</f>
        <v>15</v>
      </c>
      <c r="D21" s="1197">
        <f>'6.3 Statewide Base Funding YR2'!C28</f>
        <v>9428</v>
      </c>
      <c r="E21" s="84">
        <v>0</v>
      </c>
      <c r="F21" s="244">
        <f t="shared" si="0"/>
        <v>0</v>
      </c>
      <c r="G21" s="1257">
        <f>'5.2 Budgeted Enrollment YR2'!G23-E21</f>
        <v>413.46750117998658</v>
      </c>
      <c r="H21" s="1207">
        <f t="shared" si="1"/>
        <v>3898171.6011249134</v>
      </c>
      <c r="I21" s="539">
        <f>'5.1 Assumption Control YR2'!M49</f>
        <v>1</v>
      </c>
      <c r="J21" s="609">
        <f t="shared" si="2"/>
        <v>0</v>
      </c>
      <c r="K21" s="1202">
        <f>(F21+H21)-'6.3 Statewide Base Funding YR2'!E28</f>
        <v>0</v>
      </c>
    </row>
    <row r="22" spans="1:13" x14ac:dyDescent="0.3">
      <c r="B22" s="10" t="str">
        <f>'5.2 Budgeted Enrollment YR2'!E24</f>
        <v>Washoe</v>
      </c>
      <c r="C22" s="40">
        <f>'5.2 Budgeted Enrollment YR2'!B24</f>
        <v>16</v>
      </c>
      <c r="D22" s="1197">
        <f>'6.3 Statewide Base Funding YR2'!C29</f>
        <v>9428</v>
      </c>
      <c r="E22" s="84">
        <v>0</v>
      </c>
      <c r="F22" s="244">
        <f t="shared" si="0"/>
        <v>0</v>
      </c>
      <c r="G22" s="1257">
        <f>'5.2 Budgeted Enrollment YR2'!G24-E22</f>
        <v>60608.138003589171</v>
      </c>
      <c r="H22" s="1207">
        <f t="shared" si="1"/>
        <v>571413525.09783876</v>
      </c>
      <c r="I22" s="539">
        <f>'5.1 Assumption Control YR2'!M50</f>
        <v>1</v>
      </c>
      <c r="J22" s="609">
        <f t="shared" si="2"/>
        <v>0</v>
      </c>
      <c r="K22" s="1202">
        <f>(F22+H22)-'6.3 Statewide Base Funding YR2'!E29</f>
        <v>0</v>
      </c>
    </row>
    <row r="23" spans="1:13" x14ac:dyDescent="0.3">
      <c r="B23" s="10" t="str">
        <f>'5.2 Budgeted Enrollment YR2'!E25</f>
        <v>White Pine</v>
      </c>
      <c r="C23" s="40">
        <f>'5.2 Budgeted Enrollment YR2'!B25</f>
        <v>17</v>
      </c>
      <c r="D23" s="1197">
        <f>'6.3 Statewide Base Funding YR2'!C30</f>
        <v>9428</v>
      </c>
      <c r="E23" s="84">
        <v>0</v>
      </c>
      <c r="F23" s="244">
        <f>D23*E23</f>
        <v>0</v>
      </c>
      <c r="G23" s="1257">
        <f>'5.2 Budgeted Enrollment YR2'!G25-E23</f>
        <v>1260.6496409044739</v>
      </c>
      <c r="H23" s="1207">
        <f t="shared" si="1"/>
        <v>11885404.814447381</v>
      </c>
      <c r="I23" s="539">
        <f>'5.1 Assumption Control YR2'!M51</f>
        <v>1</v>
      </c>
      <c r="J23" s="609">
        <f t="shared" si="2"/>
        <v>0</v>
      </c>
      <c r="K23" s="1202">
        <f>(F23+H23)-'6.3 Statewide Base Funding YR2'!E30</f>
        <v>0</v>
      </c>
    </row>
    <row r="24" spans="1:13" x14ac:dyDescent="0.3">
      <c r="B24" s="10" t="str">
        <f>'5.2 Budgeted Enrollment YR2'!E26</f>
        <v>Charter Schools (Combined)</v>
      </c>
      <c r="C24" s="40">
        <f>'5.2 Budgeted Enrollment YR2'!B26</f>
        <v>18</v>
      </c>
      <c r="D24" s="1197">
        <f>'6.3 Statewide Base Funding YR2'!C31</f>
        <v>9428</v>
      </c>
      <c r="E24" s="84">
        <v>0</v>
      </c>
      <c r="F24" s="244">
        <f>F90</f>
        <v>32955276.554602373</v>
      </c>
      <c r="G24" s="247">
        <f t="shared" ref="G24:H24" si="3">G90</f>
        <v>65577.03096650423</v>
      </c>
      <c r="H24" s="242">
        <f t="shared" si="3"/>
        <v>618260247.95220208</v>
      </c>
      <c r="I24" s="12"/>
      <c r="J24" s="552">
        <f>J90</f>
        <v>0</v>
      </c>
      <c r="K24" s="1202">
        <f>(F24+H24)-'6.3 Statewide Base Funding YR2'!E31</f>
        <v>0</v>
      </c>
    </row>
    <row r="25" spans="1:13" x14ac:dyDescent="0.3">
      <c r="A25" s="181"/>
      <c r="B25" s="183" t="str">
        <f>'5.2 Budgeted Enrollment YR2'!E27</f>
        <v>University Schools</v>
      </c>
      <c r="C25" s="449">
        <f>'5.2 Budgeted Enrollment YR2'!B27</f>
        <v>19</v>
      </c>
      <c r="D25" s="250">
        <f>'6.3 Statewide Base Funding YR2'!C32</f>
        <v>9428</v>
      </c>
      <c r="E25" s="1353">
        <v>0</v>
      </c>
      <c r="F25" s="250">
        <f t="shared" si="0"/>
        <v>0</v>
      </c>
      <c r="G25" s="1259">
        <f>'5.2 Budgeted Enrollment YR2'!G27-E25</f>
        <v>162.20612853670227</v>
      </c>
      <c r="H25" s="1209">
        <f>D25*G25</f>
        <v>1529279.379844029</v>
      </c>
      <c r="I25" s="664"/>
      <c r="J25" s="604">
        <f>J95</f>
        <v>0</v>
      </c>
      <c r="K25" s="1202">
        <f>(F25+H25)-'6.3 Statewide Base Funding YR2'!E32</f>
        <v>0</v>
      </c>
    </row>
    <row r="26" spans="1:13" s="4" customFormat="1" x14ac:dyDescent="0.3">
      <c r="B26" s="4" t="s">
        <v>90</v>
      </c>
      <c r="E26" s="1256">
        <f>SUM(E7:E25)</f>
        <v>0</v>
      </c>
      <c r="F26" s="1551">
        <f>SUM(F7:F25)</f>
        <v>32955276.554602373</v>
      </c>
      <c r="G26" s="1258">
        <f>SUM(G7:G25)</f>
        <v>468258.78043692349</v>
      </c>
      <c r="H26" s="1210">
        <f>SUM(H7:H25)</f>
        <v>4414743781.9593134</v>
      </c>
      <c r="I26" s="553"/>
      <c r="J26" s="553">
        <f>SUM(J7:J25)</f>
        <v>0</v>
      </c>
    </row>
    <row r="27" spans="1:13" x14ac:dyDescent="0.3">
      <c r="H27" s="15"/>
      <c r="I27" s="97"/>
      <c r="J27" s="15"/>
    </row>
    <row r="28" spans="1:13" s="98" customFormat="1" ht="69" customHeight="1" x14ac:dyDescent="0.3">
      <c r="A28" s="731" t="str">
        <f>'2.3 Statewide Base Funding YR1'!A35</f>
        <v>Charter Schools</v>
      </c>
      <c r="B28" s="732"/>
      <c r="C28" s="733"/>
      <c r="D28" s="733" t="str">
        <f>D5</f>
        <v>Statewide Base Per pupil Funding</v>
      </c>
      <c r="E28" s="733" t="str">
        <f t="shared" ref="E28:J28" si="4">E5</f>
        <v>Distant Education Enrollment</v>
      </c>
      <c r="F28" s="733" t="str">
        <f t="shared" si="4"/>
        <v>Statewide Base Total for Distant Education</v>
      </c>
      <c r="G28" s="733" t="str">
        <f t="shared" si="4"/>
        <v>Total Enrollment less Distant Education</v>
      </c>
      <c r="H28" s="733" t="str">
        <f t="shared" si="4"/>
        <v xml:space="preserve">Total Statewide base less Distant Education </v>
      </c>
      <c r="I28" s="733" t="str">
        <f t="shared" si="4"/>
        <v>NCEI, Using CWI All Workers for Wages, and RPP “Goods” for Non-wages</v>
      </c>
      <c r="J28" s="733" t="str">
        <f t="shared" si="4"/>
        <v xml:space="preserve">Nevada Cost of Education Index (NCEI) Adjustment </v>
      </c>
      <c r="K28" s="234"/>
    </row>
    <row r="29" spans="1:13" s="103" customFormat="1" x14ac:dyDescent="0.25">
      <c r="A29" s="1249"/>
      <c r="B29" s="1250" t="s">
        <v>879</v>
      </c>
      <c r="C29" s="1251" t="str">
        <f>C6</f>
        <v>Tab 5.2</v>
      </c>
      <c r="D29" s="1251" t="str">
        <f>D6</f>
        <v>Tab 6.3</v>
      </c>
      <c r="E29" s="1251" t="str">
        <f>E6</f>
        <v>N/A</v>
      </c>
      <c r="F29" s="1251" t="str">
        <f>F6</f>
        <v>= D * E</v>
      </c>
      <c r="G29" s="1251" t="str">
        <f>G6</f>
        <v>Tab 5.2</v>
      </c>
      <c r="H29" s="1251" t="str">
        <f>H6</f>
        <v>= D * G</v>
      </c>
      <c r="I29" s="1252" t="s">
        <v>883</v>
      </c>
      <c r="J29" s="1253" t="str">
        <f>J6</f>
        <v>=(H * (G - 1))</v>
      </c>
      <c r="K29" s="235"/>
    </row>
    <row r="30" spans="1:13" x14ac:dyDescent="0.3">
      <c r="B30" s="10" t="str">
        <f>'5.2 Budgeted Enrollment YR2'!E32</f>
        <v>100 Academy Of Excellence</v>
      </c>
      <c r="C30" s="590" t="str">
        <f>'5.2 Budgeted Enrollment YR2'!A32</f>
        <v>Clark</v>
      </c>
      <c r="D30" s="552">
        <f>'6.3 Statewide Base Funding YR2'!C36</f>
        <v>9428</v>
      </c>
      <c r="E30" s="1244">
        <f>'5.2 Budgeted Enrollment YR2'!K32</f>
        <v>0</v>
      </c>
      <c r="F30" s="550">
        <f>D30*E30</f>
        <v>0</v>
      </c>
      <c r="G30" s="1247">
        <f>'5.2 Budgeted Enrollment YR2'!G32-E30</f>
        <v>317.62972370211571</v>
      </c>
      <c r="H30" s="256">
        <f>D30*G30</f>
        <v>2994613.0350635471</v>
      </c>
      <c r="I30" s="614">
        <f>VLOOKUP($C30,'6.5 NCEI Adj. YR2'!$B$7:$I$23,8,FALSE)</f>
        <v>1</v>
      </c>
      <c r="J30" s="1254">
        <f>SUM(H30:H30)*(I30-1)</f>
        <v>0</v>
      </c>
      <c r="K30" s="10"/>
    </row>
    <row r="31" spans="1:13" x14ac:dyDescent="0.3">
      <c r="B31" s="10" t="str">
        <f>'5.2 Budgeted Enrollment YR2'!E33</f>
        <v>Academy For Career Education</v>
      </c>
      <c r="C31" s="590" t="str">
        <f>'5.2 Budgeted Enrollment YR2'!A33</f>
        <v>Washoe</v>
      </c>
      <c r="D31" s="552">
        <f>'6.3 Statewide Base Funding YR2'!C37</f>
        <v>9428</v>
      </c>
      <c r="E31" s="1244">
        <f>'5.2 Budgeted Enrollment YR2'!K33</f>
        <v>0</v>
      </c>
      <c r="F31" s="550">
        <f t="shared" ref="F31:F89" si="5">D31*E31</f>
        <v>0</v>
      </c>
      <c r="G31" s="1247">
        <f>'5.2 Budgeted Enrollment YR2'!G33-E31</f>
        <v>233.39983380980189</v>
      </c>
      <c r="H31" s="256">
        <f t="shared" ref="H31:H89" si="6">D31*G31</f>
        <v>2200493.6331588123</v>
      </c>
      <c r="I31" s="614">
        <f>VLOOKUP($C31,'6.5 NCEI Adj. YR2'!$B$7:$I$23,8,FALSE)</f>
        <v>1</v>
      </c>
      <c r="J31" s="609">
        <f t="shared" ref="J31:J61" si="7">SUM(H31:H31)*(I31-1)</f>
        <v>0</v>
      </c>
      <c r="K31" s="10"/>
    </row>
    <row r="32" spans="1:13" x14ac:dyDescent="0.3">
      <c r="B32" s="10" t="str">
        <f>'5.2 Budgeted Enrollment YR2'!E34</f>
        <v xml:space="preserve">Alpine Academy </v>
      </c>
      <c r="C32" s="590" t="str">
        <f>'5.2 Budgeted Enrollment YR2'!A34</f>
        <v>Washoe</v>
      </c>
      <c r="D32" s="552">
        <f>'6.3 Statewide Base Funding YR2'!C38</f>
        <v>9428</v>
      </c>
      <c r="E32" s="1244">
        <f>'5.2 Budgeted Enrollment YR2'!K34</f>
        <v>0</v>
      </c>
      <c r="F32" s="550">
        <f t="shared" si="5"/>
        <v>0</v>
      </c>
      <c r="G32" s="1247">
        <f>'5.2 Budgeted Enrollment YR2'!G34-E32</f>
        <v>147.96290007070388</v>
      </c>
      <c r="H32" s="256">
        <f t="shared" si="6"/>
        <v>1394994.2218665963</v>
      </c>
      <c r="I32" s="614">
        <f>VLOOKUP($C32,'6.5 NCEI Adj. YR2'!$B$7:$I$23,8,FALSE)</f>
        <v>1</v>
      </c>
      <c r="J32" s="609">
        <f t="shared" si="7"/>
        <v>0</v>
      </c>
      <c r="K32" s="10"/>
    </row>
    <row r="33" spans="2:11" x14ac:dyDescent="0.3">
      <c r="B33" s="10" t="str">
        <f>'5.2 Budgeted Enrollment YR2'!E35</f>
        <v xml:space="preserve">Amplus (Formerly American Preparatory Academy) </v>
      </c>
      <c r="C33" s="590" t="str">
        <f>'5.2 Budgeted Enrollment YR2'!A35</f>
        <v>Clark</v>
      </c>
      <c r="D33" s="552">
        <f>'6.3 Statewide Base Funding YR2'!C39</f>
        <v>9428</v>
      </c>
      <c r="E33" s="1244">
        <f>'5.2 Budgeted Enrollment YR2'!K35</f>
        <v>0</v>
      </c>
      <c r="F33" s="550">
        <f t="shared" si="5"/>
        <v>0</v>
      </c>
      <c r="G33" s="1247">
        <f>'5.2 Budgeted Enrollment YR2'!G35-E33</f>
        <v>2269.9763633103498</v>
      </c>
      <c r="H33" s="256">
        <f t="shared" si="6"/>
        <v>21401337.153289977</v>
      </c>
      <c r="I33" s="614">
        <f>VLOOKUP($C33,'6.5 NCEI Adj. YR2'!$B$7:$I$23,8,FALSE)</f>
        <v>1</v>
      </c>
      <c r="J33" s="609">
        <f t="shared" si="7"/>
        <v>0</v>
      </c>
      <c r="K33" s="10"/>
    </row>
    <row r="34" spans="2:11" x14ac:dyDescent="0.3">
      <c r="B34" s="10" t="str">
        <f>'5.2 Budgeted Enrollment YR2'!E36</f>
        <v>Bailey Charter School</v>
      </c>
      <c r="C34" s="590" t="str">
        <f>'5.2 Budgeted Enrollment YR2'!A36</f>
        <v>Washoe</v>
      </c>
      <c r="D34" s="552">
        <f>'6.3 Statewide Base Funding YR2'!C40</f>
        <v>9428</v>
      </c>
      <c r="E34" s="1244">
        <f>'5.2 Budgeted Enrollment YR2'!K36</f>
        <v>0</v>
      </c>
      <c r="F34" s="550">
        <f t="shared" si="5"/>
        <v>0</v>
      </c>
      <c r="G34" s="1247">
        <f>'5.2 Budgeted Enrollment YR2'!G36-E34</f>
        <v>175.50477307407152</v>
      </c>
      <c r="H34" s="256">
        <f t="shared" si="6"/>
        <v>1654659.0005423464</v>
      </c>
      <c r="I34" s="614">
        <f>VLOOKUP($C34,'6.5 NCEI Adj. YR2'!$B$7:$I$23,8,FALSE)</f>
        <v>1</v>
      </c>
      <c r="J34" s="609">
        <f t="shared" si="7"/>
        <v>0</v>
      </c>
      <c r="K34" s="10"/>
    </row>
    <row r="35" spans="2:11" x14ac:dyDescent="0.3">
      <c r="B35" s="10" t="str">
        <f>'5.2 Budgeted Enrollment YR2'!E37</f>
        <v>Battle Born Academy</v>
      </c>
      <c r="C35" s="590" t="str">
        <f>'5.2 Budgeted Enrollment YR2'!A37</f>
        <v>Clark</v>
      </c>
      <c r="D35" s="552">
        <f>'6.3 Statewide Base Funding YR2'!C41</f>
        <v>9428</v>
      </c>
      <c r="E35" s="1244">
        <f>'5.2 Budgeted Enrollment YR2'!K37</f>
        <v>0</v>
      </c>
      <c r="F35" s="550">
        <f t="shared" si="5"/>
        <v>0</v>
      </c>
      <c r="G35" s="1247">
        <f>'5.2 Budgeted Enrollment YR2'!G37-E35</f>
        <v>132.30307201336225</v>
      </c>
      <c r="H35" s="256">
        <f t="shared" si="6"/>
        <v>1247353.3629419794</v>
      </c>
      <c r="I35" s="614">
        <f>VLOOKUP($C35,'6.5 NCEI Adj. YR2'!$B$7:$I$23,8,FALSE)</f>
        <v>1</v>
      </c>
      <c r="J35" s="609">
        <f t="shared" si="7"/>
        <v>0</v>
      </c>
      <c r="K35" s="10"/>
    </row>
    <row r="36" spans="2:11" x14ac:dyDescent="0.3">
      <c r="B36" s="10" t="str">
        <f>'5.2 Budgeted Enrollment YR2'!E38</f>
        <v>Beacon Academy</v>
      </c>
      <c r="C36" s="590" t="str">
        <f>'5.2 Budgeted Enrollment YR2'!A38</f>
        <v>Clark</v>
      </c>
      <c r="D36" s="552">
        <f>'6.3 Statewide Base Funding YR2'!C42</f>
        <v>9428</v>
      </c>
      <c r="E36" s="1244">
        <f>'5.2 Budgeted Enrollment YR2'!K38</f>
        <v>0</v>
      </c>
      <c r="F36" s="550">
        <f t="shared" si="5"/>
        <v>0</v>
      </c>
      <c r="G36" s="1247">
        <f>'5.2 Budgeted Enrollment YR2'!G38-E36</f>
        <v>601.80991881205171</v>
      </c>
      <c r="H36" s="256">
        <f t="shared" si="6"/>
        <v>5673863.9145600237</v>
      </c>
      <c r="I36" s="614">
        <f>VLOOKUP($C36,'6.5 NCEI Adj. YR2'!$B$7:$I$23,8,FALSE)</f>
        <v>1</v>
      </c>
      <c r="J36" s="609">
        <f t="shared" si="7"/>
        <v>0</v>
      </c>
      <c r="K36" s="10"/>
    </row>
    <row r="37" spans="2:11" x14ac:dyDescent="0.3">
      <c r="B37" s="10" t="str">
        <f>'5.2 Budgeted Enrollment YR2'!E39</f>
        <v>Cactus Park</v>
      </c>
      <c r="C37" s="590" t="str">
        <f>'5.2 Budgeted Enrollment YR2'!A39</f>
        <v>Clark</v>
      </c>
      <c r="D37" s="552">
        <f>'6.3 Statewide Base Funding YR2'!C43</f>
        <v>9428</v>
      </c>
      <c r="E37" s="1244">
        <f>'5.2 Budgeted Enrollment YR2'!K39</f>
        <v>0</v>
      </c>
      <c r="F37" s="550">
        <f t="shared" si="5"/>
        <v>0</v>
      </c>
      <c r="G37" s="1247">
        <f>'5.2 Budgeted Enrollment YR2'!G39-E37</f>
        <v>108.63814205394173</v>
      </c>
      <c r="H37" s="256">
        <f t="shared" si="6"/>
        <v>1024240.4032845626</v>
      </c>
      <c r="I37" s="614">
        <f>VLOOKUP($C37,'6.5 NCEI Adj. YR2'!$B$7:$I$23,8,FALSE)</f>
        <v>1</v>
      </c>
      <c r="J37" s="609">
        <f t="shared" si="7"/>
        <v>0</v>
      </c>
      <c r="K37" s="10"/>
    </row>
    <row r="38" spans="2:11" x14ac:dyDescent="0.3">
      <c r="B38" s="10" t="str">
        <f>'5.2 Budgeted Enrollment YR2'!E40</f>
        <v>Carson Montessori</v>
      </c>
      <c r="C38" s="590" t="str">
        <f>'5.2 Budgeted Enrollment YR2'!A40</f>
        <v>Carson City</v>
      </c>
      <c r="D38" s="552">
        <f>'6.3 Statewide Base Funding YR2'!C44</f>
        <v>9428</v>
      </c>
      <c r="E38" s="1244">
        <f>'5.2 Budgeted Enrollment YR2'!K40</f>
        <v>0</v>
      </c>
      <c r="F38" s="550">
        <f t="shared" si="5"/>
        <v>0</v>
      </c>
      <c r="G38" s="1247">
        <f>'5.2 Budgeted Enrollment YR2'!G40-E38</f>
        <v>286.5624465080453</v>
      </c>
      <c r="H38" s="256">
        <f t="shared" si="6"/>
        <v>2701710.7456778511</v>
      </c>
      <c r="I38" s="614">
        <f>VLOOKUP($C38,'6.5 NCEI Adj. YR2'!$B$7:$I$23,8,FALSE)</f>
        <v>1</v>
      </c>
      <c r="J38" s="609">
        <f t="shared" si="7"/>
        <v>0</v>
      </c>
      <c r="K38" s="10"/>
    </row>
    <row r="39" spans="2:11" x14ac:dyDescent="0.3">
      <c r="B39" s="10" t="str">
        <f>'5.2 Budgeted Enrollment YR2'!E41</f>
        <v>CIVICA Nevada Career &amp; Collegiate Academy</v>
      </c>
      <c r="C39" s="590" t="str">
        <f>'5.2 Budgeted Enrollment YR2'!A41</f>
        <v>Clark</v>
      </c>
      <c r="D39" s="552">
        <f>'6.3 Statewide Base Funding YR2'!C45</f>
        <v>9428</v>
      </c>
      <c r="E39" s="1244">
        <f>'5.2 Budgeted Enrollment YR2'!K41</f>
        <v>0</v>
      </c>
      <c r="F39" s="550">
        <f t="shared" si="5"/>
        <v>0</v>
      </c>
      <c r="G39" s="1247">
        <f>'5.2 Budgeted Enrollment YR2'!G41-E39</f>
        <v>766.82382275741224</v>
      </c>
      <c r="H39" s="256">
        <f t="shared" si="6"/>
        <v>7229615.0009568827</v>
      </c>
      <c r="I39" s="614">
        <f>VLOOKUP($C39,'6.5 NCEI Adj. YR2'!$B$7:$I$23,8,FALSE)</f>
        <v>1</v>
      </c>
      <c r="J39" s="609">
        <f t="shared" si="7"/>
        <v>0</v>
      </c>
      <c r="K39" s="10"/>
    </row>
    <row r="40" spans="2:11" x14ac:dyDescent="0.3">
      <c r="B40" s="10" t="str">
        <f>'5.2 Budgeted Enrollment YR2'!E42</f>
        <v>Coral Academy of Science Las Vegas</v>
      </c>
      <c r="C40" s="590" t="str">
        <f>'5.2 Budgeted Enrollment YR2'!A42</f>
        <v>Clark</v>
      </c>
      <c r="D40" s="552">
        <f>'6.3 Statewide Base Funding YR2'!C46</f>
        <v>9428</v>
      </c>
      <c r="E40" s="1244">
        <f>'5.2 Budgeted Enrollment YR2'!K42</f>
        <v>0</v>
      </c>
      <c r="F40" s="550">
        <f t="shared" si="5"/>
        <v>0</v>
      </c>
      <c r="G40" s="1247">
        <f>'5.2 Budgeted Enrollment YR2'!G42-E40</f>
        <v>5181.6526046932322</v>
      </c>
      <c r="H40" s="256">
        <f t="shared" si="6"/>
        <v>48852620.757047795</v>
      </c>
      <c r="I40" s="614">
        <f>VLOOKUP($C40,'6.5 NCEI Adj. YR2'!$B$7:$I$23,8,FALSE)</f>
        <v>1</v>
      </c>
      <c r="J40" s="609">
        <f t="shared" si="7"/>
        <v>0</v>
      </c>
      <c r="K40" s="10"/>
    </row>
    <row r="41" spans="2:11" x14ac:dyDescent="0.3">
      <c r="B41" s="10" t="str">
        <f>'5.2 Budgeted Enrollment YR2'!E43</f>
        <v>Coral Academy Washoe</v>
      </c>
      <c r="C41" s="590" t="str">
        <f>'5.2 Budgeted Enrollment YR2'!A43</f>
        <v>Washoe</v>
      </c>
      <c r="D41" s="552">
        <f>'6.3 Statewide Base Funding YR2'!C47</f>
        <v>9428</v>
      </c>
      <c r="E41" s="1244">
        <f>'5.2 Budgeted Enrollment YR2'!K43</f>
        <v>0</v>
      </c>
      <c r="F41" s="550">
        <f t="shared" si="5"/>
        <v>0</v>
      </c>
      <c r="G41" s="1247">
        <f>'5.2 Budgeted Enrollment YR2'!G43-E41</f>
        <v>1764.8271374062203</v>
      </c>
      <c r="H41" s="256">
        <f t="shared" si="6"/>
        <v>16638790.251465846</v>
      </c>
      <c r="I41" s="614">
        <f>VLOOKUP($C41,'6.5 NCEI Adj. YR2'!$B$7:$I$23,8,FALSE)</f>
        <v>1</v>
      </c>
      <c r="J41" s="609">
        <f t="shared" si="7"/>
        <v>0</v>
      </c>
      <c r="K41" s="10"/>
    </row>
    <row r="42" spans="2:11" x14ac:dyDescent="0.3">
      <c r="B42" s="10" t="str">
        <f>'5.2 Budgeted Enrollment YR2'!E44</f>
        <v>Delta Academy</v>
      </c>
      <c r="C42" s="590" t="str">
        <f>'5.2 Budgeted Enrollment YR2'!A44</f>
        <v>Clark</v>
      </c>
      <c r="D42" s="552">
        <f>'6.3 Statewide Base Funding YR2'!C48</f>
        <v>9428</v>
      </c>
      <c r="E42" s="1244">
        <f>'5.2 Budgeted Enrollment YR2'!K44</f>
        <v>0</v>
      </c>
      <c r="F42" s="550">
        <f t="shared" si="5"/>
        <v>0</v>
      </c>
      <c r="G42" s="1247">
        <f>'5.2 Budgeted Enrollment YR2'!G44-E42</f>
        <v>1260.4243542206814</v>
      </c>
      <c r="H42" s="256">
        <f t="shared" si="6"/>
        <v>11883280.811592584</v>
      </c>
      <c r="I42" s="614">
        <f>VLOOKUP($C42,'6.5 NCEI Adj. YR2'!$B$7:$I$23,8,FALSE)</f>
        <v>1</v>
      </c>
      <c r="J42" s="609">
        <f t="shared" si="7"/>
        <v>0</v>
      </c>
      <c r="K42" s="10"/>
    </row>
    <row r="43" spans="2:11" x14ac:dyDescent="0.3">
      <c r="B43" s="10" t="str">
        <f>'5.2 Budgeted Enrollment YR2'!E45</f>
        <v>Democracy Prep</v>
      </c>
      <c r="C43" s="590" t="str">
        <f>'5.2 Budgeted Enrollment YR2'!A45</f>
        <v>Clark</v>
      </c>
      <c r="D43" s="552">
        <f>'6.3 Statewide Base Funding YR2'!C49</f>
        <v>9428</v>
      </c>
      <c r="E43" s="1244">
        <f>'5.2 Budgeted Enrollment YR2'!K45</f>
        <v>0</v>
      </c>
      <c r="F43" s="550">
        <f t="shared" si="5"/>
        <v>0</v>
      </c>
      <c r="G43" s="1247">
        <f>'5.2 Budgeted Enrollment YR2'!G45-E43</f>
        <v>1204.5222970981536</v>
      </c>
      <c r="H43" s="256">
        <f t="shared" si="6"/>
        <v>11356236.217041392</v>
      </c>
      <c r="I43" s="614">
        <f>VLOOKUP($C43,'6.5 NCEI Adj. YR2'!$B$7:$I$23,8,FALSE)</f>
        <v>1</v>
      </c>
      <c r="J43" s="609">
        <f t="shared" si="7"/>
        <v>0</v>
      </c>
      <c r="K43" s="10"/>
    </row>
    <row r="44" spans="2:11" x14ac:dyDescent="0.3">
      <c r="B44" s="10" t="str">
        <f>'5.2 Budgeted Enrollment YR2'!E46</f>
        <v>Discovery Charter</v>
      </c>
      <c r="C44" s="590" t="str">
        <f>'5.2 Budgeted Enrollment YR2'!A46</f>
        <v>Clark</v>
      </c>
      <c r="D44" s="552">
        <f>'6.3 Statewide Base Funding YR2'!C50</f>
        <v>9428</v>
      </c>
      <c r="E44" s="1244">
        <f>'5.2 Budgeted Enrollment YR2'!K46</f>
        <v>0</v>
      </c>
      <c r="F44" s="550">
        <f t="shared" si="5"/>
        <v>0</v>
      </c>
      <c r="G44" s="1247">
        <f>'5.2 Budgeted Enrollment YR2'!G46-E44</f>
        <v>492.70232395441064</v>
      </c>
      <c r="H44" s="256">
        <f t="shared" si="6"/>
        <v>4645197.5102421837</v>
      </c>
      <c r="I44" s="614">
        <f>VLOOKUP($C44,'6.5 NCEI Adj. YR2'!$B$7:$I$23,8,FALSE)</f>
        <v>1</v>
      </c>
      <c r="J44" s="609">
        <f t="shared" si="7"/>
        <v>0</v>
      </c>
      <c r="K44" s="10"/>
    </row>
    <row r="45" spans="2:11" x14ac:dyDescent="0.3">
      <c r="B45" s="10" t="str">
        <f>'5.2 Budgeted Enrollment YR2'!E47</f>
        <v>Doral Academy</v>
      </c>
      <c r="C45" s="590" t="str">
        <f>'5.2 Budgeted Enrollment YR2'!A47</f>
        <v>Clark</v>
      </c>
      <c r="D45" s="552">
        <f>'6.3 Statewide Base Funding YR2'!C51</f>
        <v>9428</v>
      </c>
      <c r="E45" s="1244">
        <f>'5.2 Budgeted Enrollment YR2'!K47</f>
        <v>0</v>
      </c>
      <c r="F45" s="550">
        <f t="shared" si="5"/>
        <v>0</v>
      </c>
      <c r="G45" s="1247">
        <f>'5.2 Budgeted Enrollment YR2'!G47-E45</f>
        <v>6286.4164943188516</v>
      </c>
      <c r="H45" s="256">
        <f t="shared" si="6"/>
        <v>59268334.708438136</v>
      </c>
      <c r="I45" s="614">
        <f>VLOOKUP($C45,'6.5 NCEI Adj. YR2'!$B$7:$I$23,8,FALSE)</f>
        <v>1</v>
      </c>
      <c r="J45" s="609">
        <f t="shared" si="7"/>
        <v>0</v>
      </c>
      <c r="K45" s="10"/>
    </row>
    <row r="46" spans="2:11" x14ac:dyDescent="0.3">
      <c r="B46" s="10" t="str">
        <f>'5.2 Budgeted Enrollment YR2'!E48</f>
        <v>Doral Academy of Northern Nevada</v>
      </c>
      <c r="C46" s="590" t="str">
        <f>'5.2 Budgeted Enrollment YR2'!A48</f>
        <v>Washoe</v>
      </c>
      <c r="D46" s="552">
        <f>'6.3 Statewide Base Funding YR2'!C52</f>
        <v>9428</v>
      </c>
      <c r="E46" s="1244">
        <f>'5.2 Budgeted Enrollment YR2'!K48</f>
        <v>0</v>
      </c>
      <c r="F46" s="550">
        <f t="shared" si="5"/>
        <v>0</v>
      </c>
      <c r="G46" s="1247">
        <f>'5.2 Budgeted Enrollment YR2'!G48-E46</f>
        <v>958.37624221890496</v>
      </c>
      <c r="H46" s="256">
        <f t="shared" si="6"/>
        <v>9035571.2116398364</v>
      </c>
      <c r="I46" s="614">
        <f>VLOOKUP($C46,'6.5 NCEI Adj. YR2'!$B$7:$I$23,8,FALSE)</f>
        <v>1</v>
      </c>
      <c r="J46" s="609">
        <f t="shared" si="7"/>
        <v>0</v>
      </c>
      <c r="K46" s="10"/>
    </row>
    <row r="47" spans="2:11" x14ac:dyDescent="0.3">
      <c r="B47" s="10" t="str">
        <f>'5.2 Budgeted Enrollment YR2'!E49</f>
        <v>Eagle Charter School</v>
      </c>
      <c r="C47" s="590" t="str">
        <f>'5.2 Budgeted Enrollment YR2'!A49</f>
        <v>Clark</v>
      </c>
      <c r="D47" s="552">
        <f>'6.3 Statewide Base Funding YR2'!C53</f>
        <v>9428</v>
      </c>
      <c r="E47" s="1244">
        <f>'5.2 Budgeted Enrollment YR2'!K49</f>
        <v>0</v>
      </c>
      <c r="F47" s="550">
        <f t="shared" si="5"/>
        <v>0</v>
      </c>
      <c r="G47" s="1247">
        <f>'5.2 Budgeted Enrollment YR2'!G49-E47</f>
        <v>540.54</v>
      </c>
      <c r="H47" s="256">
        <f t="shared" si="6"/>
        <v>5096211.12</v>
      </c>
      <c r="I47" s="614">
        <f>VLOOKUP($C47,'6.5 NCEI Adj. YR2'!$B$7:$I$23,8,FALSE)</f>
        <v>1</v>
      </c>
      <c r="J47" s="609">
        <f t="shared" si="7"/>
        <v>0</v>
      </c>
      <c r="K47" s="10"/>
    </row>
    <row r="48" spans="2:11" x14ac:dyDescent="0.3">
      <c r="B48" s="10" t="str">
        <f>'5.2 Budgeted Enrollment YR2'!E50</f>
        <v>Elko Institute for Academic Achievement</v>
      </c>
      <c r="C48" s="590" t="str">
        <f>'5.2 Budgeted Enrollment YR2'!A50</f>
        <v>Elko</v>
      </c>
      <c r="D48" s="552">
        <f>'6.3 Statewide Base Funding YR2'!C54</f>
        <v>9428</v>
      </c>
      <c r="E48" s="1244">
        <f>'5.2 Budgeted Enrollment YR2'!K50</f>
        <v>0</v>
      </c>
      <c r="F48" s="550">
        <f t="shared" si="5"/>
        <v>0</v>
      </c>
      <c r="G48" s="1247">
        <f>'5.2 Budgeted Enrollment YR2'!G50-E48</f>
        <v>197.4407703597104</v>
      </c>
      <c r="H48" s="256">
        <f t="shared" si="6"/>
        <v>1861471.5829513497</v>
      </c>
      <c r="I48" s="614">
        <f>VLOOKUP($C48,'6.5 NCEI Adj. YR2'!$B$7:$I$23,8,FALSE)</f>
        <v>1</v>
      </c>
      <c r="J48" s="609">
        <f t="shared" si="7"/>
        <v>0</v>
      </c>
      <c r="K48" s="10"/>
    </row>
    <row r="49" spans="2:11" x14ac:dyDescent="0.3">
      <c r="B49" s="10" t="str">
        <f>'5.2 Budgeted Enrollment YR2'!E51</f>
        <v>enCompass Academy</v>
      </c>
      <c r="C49" s="590" t="str">
        <f>'5.2 Budgeted Enrollment YR2'!A51</f>
        <v>Washoe</v>
      </c>
      <c r="D49" s="552">
        <f>'6.3 Statewide Base Funding YR2'!C55</f>
        <v>9428</v>
      </c>
      <c r="E49" s="1244">
        <f>'5.2 Budgeted Enrollment YR2'!K51</f>
        <v>0</v>
      </c>
      <c r="F49" s="550">
        <f t="shared" si="5"/>
        <v>0</v>
      </c>
      <c r="G49" s="1247">
        <f>'5.2 Budgeted Enrollment YR2'!G51-E49</f>
        <v>114.98868933024798</v>
      </c>
      <c r="H49" s="256">
        <f t="shared" si="6"/>
        <v>1084113.3630055781</v>
      </c>
      <c r="I49" s="614">
        <f>VLOOKUP($C49,'6.5 NCEI Adj. YR2'!$B$7:$I$23,8,FALSE)</f>
        <v>1</v>
      </c>
      <c r="J49" s="609">
        <f t="shared" si="7"/>
        <v>0</v>
      </c>
      <c r="K49" s="10"/>
    </row>
    <row r="50" spans="2:11" x14ac:dyDescent="0.3">
      <c r="B50" s="10" t="str">
        <f>'5.2 Budgeted Enrollment YR2'!E52</f>
        <v>Equipo Academy</v>
      </c>
      <c r="C50" s="590" t="str">
        <f>'5.2 Budgeted Enrollment YR2'!A52</f>
        <v>Clark</v>
      </c>
      <c r="D50" s="552">
        <f>'6.3 Statewide Base Funding YR2'!C56</f>
        <v>9428</v>
      </c>
      <c r="E50" s="1244">
        <f>'5.2 Budgeted Enrollment YR2'!K52</f>
        <v>0</v>
      </c>
      <c r="F50" s="550">
        <f t="shared" si="5"/>
        <v>0</v>
      </c>
      <c r="G50" s="1247">
        <f>'5.2 Budgeted Enrollment YR2'!G52-E50</f>
        <v>799.91961948830169</v>
      </c>
      <c r="H50" s="256">
        <f t="shared" si="6"/>
        <v>7541642.1725357082</v>
      </c>
      <c r="I50" s="614">
        <f>VLOOKUP($C50,'6.5 NCEI Adj. YR2'!$B$7:$I$23,8,FALSE)</f>
        <v>1</v>
      </c>
      <c r="J50" s="609">
        <f t="shared" si="7"/>
        <v>0</v>
      </c>
      <c r="K50" s="10"/>
    </row>
    <row r="51" spans="2:11" x14ac:dyDescent="0.3">
      <c r="B51" s="10" t="str">
        <f>'5.2 Budgeted Enrollment YR2'!E53</f>
        <v>Explore Academy</v>
      </c>
      <c r="C51" s="590" t="str">
        <f>'5.2 Budgeted Enrollment YR2'!A53</f>
        <v>Clark</v>
      </c>
      <c r="D51" s="552">
        <f>'6.3 Statewide Base Funding YR2'!C57</f>
        <v>9428</v>
      </c>
      <c r="E51" s="1244">
        <f>'5.2 Budgeted Enrollment YR2'!K53</f>
        <v>0</v>
      </c>
      <c r="F51" s="550">
        <f t="shared" si="5"/>
        <v>0</v>
      </c>
      <c r="G51" s="1247">
        <f>'5.2 Budgeted Enrollment YR2'!G53-E51</f>
        <v>275.00799010221766</v>
      </c>
      <c r="H51" s="256">
        <f t="shared" si="6"/>
        <v>2592775.3306837082</v>
      </c>
      <c r="I51" s="614">
        <f>VLOOKUP($C51,'6.5 NCEI Adj. YR2'!$B$7:$I$23,8,FALSE)</f>
        <v>1</v>
      </c>
      <c r="J51" s="609">
        <f t="shared" si="7"/>
        <v>0</v>
      </c>
      <c r="K51" s="10"/>
    </row>
    <row r="52" spans="2:11" x14ac:dyDescent="0.3">
      <c r="B52" s="10" t="str">
        <f>'5.2 Budgeted Enrollment YR2'!E54</f>
        <v>Explore Knowledge Academy</v>
      </c>
      <c r="C52" s="590" t="str">
        <f>'5.2 Budgeted Enrollment YR2'!A54</f>
        <v>Clark</v>
      </c>
      <c r="D52" s="552">
        <f>'6.3 Statewide Base Funding YR2'!C58</f>
        <v>9428</v>
      </c>
      <c r="E52" s="1244">
        <f>'5.2 Budgeted Enrollment YR2'!K54</f>
        <v>0</v>
      </c>
      <c r="F52" s="550">
        <f t="shared" si="5"/>
        <v>0</v>
      </c>
      <c r="G52" s="1247">
        <f>'5.2 Budgeted Enrollment YR2'!G54-E52</f>
        <v>672.490310086195</v>
      </c>
      <c r="H52" s="256">
        <f t="shared" si="6"/>
        <v>6340238.6434926465</v>
      </c>
      <c r="I52" s="614">
        <f>VLOOKUP($C52,'6.5 NCEI Adj. YR2'!$B$7:$I$23,8,FALSE)</f>
        <v>1</v>
      </c>
      <c r="J52" s="609">
        <f t="shared" si="7"/>
        <v>0</v>
      </c>
      <c r="K52" s="10"/>
    </row>
    <row r="53" spans="2:11" x14ac:dyDescent="0.3">
      <c r="B53" s="10" t="str">
        <f>'5.2 Budgeted Enrollment YR2'!E55</f>
        <v>Founders Academy of Las Vegas</v>
      </c>
      <c r="C53" s="590" t="str">
        <f>'5.2 Budgeted Enrollment YR2'!A55</f>
        <v>Clark</v>
      </c>
      <c r="D53" s="552">
        <f>'6.3 Statewide Base Funding YR2'!C59</f>
        <v>9428</v>
      </c>
      <c r="E53" s="1244">
        <f>'5.2 Budgeted Enrollment YR2'!K55</f>
        <v>0</v>
      </c>
      <c r="F53" s="550">
        <f t="shared" si="5"/>
        <v>0</v>
      </c>
      <c r="G53" s="1247">
        <f>'5.2 Budgeted Enrollment YR2'!G55-E53</f>
        <v>943.25732389413508</v>
      </c>
      <c r="H53" s="256">
        <f t="shared" si="6"/>
        <v>8893030.0496739056</v>
      </c>
      <c r="I53" s="614">
        <f>VLOOKUP($C53,'6.5 NCEI Adj. YR2'!$B$7:$I$23,8,FALSE)</f>
        <v>1</v>
      </c>
      <c r="J53" s="609">
        <f t="shared" si="7"/>
        <v>0</v>
      </c>
      <c r="K53" s="10"/>
    </row>
    <row r="54" spans="2:11" x14ac:dyDescent="0.3">
      <c r="B54" s="10" t="str">
        <f>'5.2 Budgeted Enrollment YR2'!E56</f>
        <v>Freedom Classical Academy</v>
      </c>
      <c r="C54" s="590" t="str">
        <f>'5.2 Budgeted Enrollment YR2'!A56</f>
        <v>Clark</v>
      </c>
      <c r="D54" s="552">
        <f>'6.3 Statewide Base Funding YR2'!C60</f>
        <v>9428</v>
      </c>
      <c r="E54" s="1244">
        <f>'5.2 Budgeted Enrollment YR2'!K56</f>
        <v>0</v>
      </c>
      <c r="F54" s="550">
        <f t="shared" si="5"/>
        <v>0</v>
      </c>
      <c r="G54" s="1247">
        <f>'5.2 Budgeted Enrollment YR2'!G56-E54</f>
        <v>1045.9981866482556</v>
      </c>
      <c r="H54" s="256">
        <f t="shared" si="6"/>
        <v>9861670.903719753</v>
      </c>
      <c r="I54" s="614">
        <f>VLOOKUP($C54,'6.5 NCEI Adj. YR2'!$B$7:$I$23,8,FALSE)</f>
        <v>1</v>
      </c>
      <c r="J54" s="609">
        <f t="shared" si="7"/>
        <v>0</v>
      </c>
      <c r="K54" s="10"/>
    </row>
    <row r="55" spans="2:11" x14ac:dyDescent="0.3">
      <c r="B55" s="10" t="str">
        <f>'5.2 Budgeted Enrollment YR2'!E57</f>
        <v>Futuro Academy Elementary</v>
      </c>
      <c r="C55" s="590" t="str">
        <f>'5.2 Budgeted Enrollment YR2'!A57</f>
        <v>Clark</v>
      </c>
      <c r="D55" s="552">
        <f>'6.3 Statewide Base Funding YR2'!C61</f>
        <v>9428</v>
      </c>
      <c r="E55" s="1244">
        <f>'5.2 Budgeted Enrollment YR2'!K57</f>
        <v>0</v>
      </c>
      <c r="F55" s="550">
        <f t="shared" si="5"/>
        <v>0</v>
      </c>
      <c r="G55" s="1247">
        <f>'5.2 Budgeted Enrollment YR2'!G57-E55</f>
        <v>464.17096223843089</v>
      </c>
      <c r="H55" s="256">
        <f t="shared" si="6"/>
        <v>4376203.8319839267</v>
      </c>
      <c r="I55" s="614">
        <f>VLOOKUP($C55,'6.5 NCEI Adj. YR2'!$B$7:$I$23,8,FALSE)</f>
        <v>1</v>
      </c>
      <c r="J55" s="609">
        <f t="shared" si="7"/>
        <v>0</v>
      </c>
      <c r="K55" s="10"/>
    </row>
    <row r="56" spans="2:11" x14ac:dyDescent="0.3">
      <c r="B56" s="10" t="str">
        <f>'5.2 Budgeted Enrollment YR2'!E58</f>
        <v>Girls Athletic Leadership Schools</v>
      </c>
      <c r="C56" s="590" t="str">
        <f>'5.2 Budgeted Enrollment YR2'!A58</f>
        <v>Clark</v>
      </c>
      <c r="D56" s="552">
        <f>'6.3 Statewide Base Funding YR2'!C62</f>
        <v>9428</v>
      </c>
      <c r="E56" s="1244">
        <f>'5.2 Budgeted Enrollment YR2'!K58</f>
        <v>0</v>
      </c>
      <c r="F56" s="550">
        <f t="shared" si="5"/>
        <v>0</v>
      </c>
      <c r="G56" s="1247">
        <f>'5.2 Budgeted Enrollment YR2'!G58-E56</f>
        <v>0</v>
      </c>
      <c r="H56" s="256">
        <f t="shared" si="6"/>
        <v>0</v>
      </c>
      <c r="I56" s="614">
        <f>VLOOKUP($C56,'6.5 NCEI Adj. YR2'!$B$7:$I$23,8,FALSE)</f>
        <v>1</v>
      </c>
      <c r="J56" s="609">
        <f t="shared" si="7"/>
        <v>0</v>
      </c>
      <c r="K56" s="10"/>
    </row>
    <row r="57" spans="2:11" x14ac:dyDescent="0.3">
      <c r="B57" s="10" t="str">
        <f>'5.2 Budgeted Enrollment YR2'!E59</f>
        <v>High Desert Montessori</v>
      </c>
      <c r="C57" s="590" t="str">
        <f>'5.2 Budgeted Enrollment YR2'!A59</f>
        <v>Washoe</v>
      </c>
      <c r="D57" s="552">
        <f>'6.3 Statewide Base Funding YR2'!C63</f>
        <v>9428</v>
      </c>
      <c r="E57" s="1244">
        <f>'5.2 Budgeted Enrollment YR2'!K59</f>
        <v>0</v>
      </c>
      <c r="F57" s="550">
        <f t="shared" si="5"/>
        <v>0</v>
      </c>
      <c r="G57" s="1247">
        <f>'5.2 Budgeted Enrollment YR2'!G59-E57</f>
        <v>392.72260172975848</v>
      </c>
      <c r="H57" s="256">
        <f t="shared" si="6"/>
        <v>3702588.6891081631</v>
      </c>
      <c r="I57" s="614">
        <f>VLOOKUP($C57,'6.5 NCEI Adj. YR2'!$B$7:$I$23,8,FALSE)</f>
        <v>1</v>
      </c>
      <c r="J57" s="609">
        <f t="shared" si="7"/>
        <v>0</v>
      </c>
      <c r="K57" s="10"/>
    </row>
    <row r="58" spans="2:11" x14ac:dyDescent="0.3">
      <c r="B58" s="10" t="str">
        <f>'5.2 Budgeted Enrollment YR2'!E60</f>
        <v>Honors Academy of Literature</v>
      </c>
      <c r="C58" s="590" t="str">
        <f>'5.2 Budgeted Enrollment YR2'!A60</f>
        <v>Washoe</v>
      </c>
      <c r="D58" s="552">
        <f>'6.3 Statewide Base Funding YR2'!C64</f>
        <v>9428</v>
      </c>
      <c r="E58" s="1244">
        <f>'5.2 Budgeted Enrollment YR2'!K60</f>
        <v>0</v>
      </c>
      <c r="F58" s="550">
        <f t="shared" si="5"/>
        <v>0</v>
      </c>
      <c r="G58" s="1247">
        <f>'5.2 Budgeted Enrollment YR2'!G60-E58</f>
        <v>216.78092314626417</v>
      </c>
      <c r="H58" s="256">
        <f t="shared" si="6"/>
        <v>2043810.5434229786</v>
      </c>
      <c r="I58" s="614">
        <f>VLOOKUP($C58,'6.5 NCEI Adj. YR2'!$B$7:$I$23,8,FALSE)</f>
        <v>1</v>
      </c>
      <c r="J58" s="609">
        <f t="shared" si="7"/>
        <v>0</v>
      </c>
      <c r="K58" s="10"/>
    </row>
    <row r="59" spans="2:11" x14ac:dyDescent="0.3">
      <c r="B59" s="10" t="str">
        <f>'5.2 Budgeted Enrollment YR2'!E61</f>
        <v>Imagine School Mountain View</v>
      </c>
      <c r="C59" s="590" t="str">
        <f>'5.2 Budgeted Enrollment YR2'!A61</f>
        <v>Clark</v>
      </c>
      <c r="D59" s="552">
        <f>'6.3 Statewide Base Funding YR2'!C65</f>
        <v>9428</v>
      </c>
      <c r="E59" s="1244">
        <f>'5.2 Budgeted Enrollment YR2'!K61</f>
        <v>0</v>
      </c>
      <c r="F59" s="550">
        <f t="shared" si="5"/>
        <v>0</v>
      </c>
      <c r="G59" s="1247">
        <f>'5.2 Budgeted Enrollment YR2'!G61-E59</f>
        <v>672.04958495599931</v>
      </c>
      <c r="H59" s="256">
        <f t="shared" si="6"/>
        <v>6336083.4869651617</v>
      </c>
      <c r="I59" s="614">
        <f>VLOOKUP($C59,'6.5 NCEI Adj. YR2'!$B$7:$I$23,8,FALSE)</f>
        <v>1</v>
      </c>
      <c r="J59" s="609">
        <f t="shared" si="7"/>
        <v>0</v>
      </c>
      <c r="K59" s="10"/>
    </row>
    <row r="60" spans="2:11" x14ac:dyDescent="0.3">
      <c r="B60" s="10" t="str">
        <f>'5.2 Budgeted Enrollment YR2'!E62</f>
        <v>Innovations Int'l Charter</v>
      </c>
      <c r="C60" s="590" t="str">
        <f>'5.2 Budgeted Enrollment YR2'!A62</f>
        <v>Clark</v>
      </c>
      <c r="D60" s="552">
        <f>'6.3 Statewide Base Funding YR2'!C66</f>
        <v>9428</v>
      </c>
      <c r="E60" s="1244">
        <f>'5.2 Budgeted Enrollment YR2'!K62</f>
        <v>0</v>
      </c>
      <c r="F60" s="550">
        <f t="shared" si="5"/>
        <v>0</v>
      </c>
      <c r="G60" s="1247">
        <f>'5.2 Budgeted Enrollment YR2'!G62-E60</f>
        <v>737.8298019390819</v>
      </c>
      <c r="H60" s="256">
        <f t="shared" si="6"/>
        <v>6956259.3726816643</v>
      </c>
      <c r="I60" s="614">
        <f>VLOOKUP($C60,'6.5 NCEI Adj. YR2'!$B$7:$I$23,8,FALSE)</f>
        <v>1</v>
      </c>
      <c r="J60" s="609">
        <f t="shared" si="7"/>
        <v>0</v>
      </c>
      <c r="K60" s="10"/>
    </row>
    <row r="61" spans="2:11" x14ac:dyDescent="0.3">
      <c r="B61" s="10" t="str">
        <f>'5.2 Budgeted Enrollment YR2'!E63</f>
        <v>Leadership Academy of Nevada</v>
      </c>
      <c r="C61" s="590" t="str">
        <f>'5.2 Budgeted Enrollment YR2'!A63</f>
        <v>Clark</v>
      </c>
      <c r="D61" s="552">
        <f>'6.3 Statewide Base Funding YR2'!C67</f>
        <v>9428</v>
      </c>
      <c r="E61" s="1244">
        <f>'5.2 Budgeted Enrollment YR2'!K63</f>
        <v>267.90731642854911</v>
      </c>
      <c r="F61" s="550">
        <f t="shared" si="5"/>
        <v>2525830.1792883612</v>
      </c>
      <c r="G61" s="1247">
        <f>'5.2 Budgeted Enrollment YR2'!G63-E61</f>
        <v>0</v>
      </c>
      <c r="H61" s="256">
        <f t="shared" si="6"/>
        <v>0</v>
      </c>
      <c r="I61" s="614">
        <f>VLOOKUP($C61,'6.5 NCEI Adj. YR2'!$B$7:$I$23,8,FALSE)</f>
        <v>1</v>
      </c>
      <c r="J61" s="609">
        <f t="shared" si="7"/>
        <v>0</v>
      </c>
      <c r="K61" s="10"/>
    </row>
    <row r="62" spans="2:11" x14ac:dyDescent="0.3">
      <c r="B62" s="10" t="str">
        <f>'5.2 Budgeted Enrollment YR2'!E64</f>
        <v>Learning Bridge</v>
      </c>
      <c r="C62" s="590" t="str">
        <f>'5.2 Budgeted Enrollment YR2'!A64</f>
        <v>White Pine</v>
      </c>
      <c r="D62" s="552">
        <f>'6.3 Statewide Base Funding YR2'!C68</f>
        <v>9428</v>
      </c>
      <c r="E62" s="1244">
        <f>'5.2 Budgeted Enrollment YR2'!K64</f>
        <v>0</v>
      </c>
      <c r="F62" s="550">
        <f t="shared" si="5"/>
        <v>0</v>
      </c>
      <c r="G62" s="1247">
        <f>'5.2 Budgeted Enrollment YR2'!G64-E62</f>
        <v>175.37345354755249</v>
      </c>
      <c r="H62" s="256">
        <f t="shared" si="6"/>
        <v>1653420.9200463248</v>
      </c>
      <c r="I62" s="614">
        <f>VLOOKUP($C62,'6.5 NCEI Adj. YR2'!$B$7:$I$23,8,FALSE)</f>
        <v>1</v>
      </c>
      <c r="J62" s="609">
        <f t="shared" ref="J62:J89" si="8">SUM(H62:H62)*(I62-1)</f>
        <v>0</v>
      </c>
      <c r="K62" s="10"/>
    </row>
    <row r="63" spans="2:11" x14ac:dyDescent="0.3">
      <c r="B63" s="10" t="str">
        <f>'5.2 Budgeted Enrollment YR2'!E65</f>
        <v>Legacy Traditional Schools</v>
      </c>
      <c r="C63" s="590" t="str">
        <f>'5.2 Budgeted Enrollment YR2'!A65</f>
        <v>Clark</v>
      </c>
      <c r="D63" s="552">
        <f>'6.3 Statewide Base Funding YR2'!C69</f>
        <v>9428</v>
      </c>
      <c r="E63" s="1244">
        <f>'5.2 Budgeted Enrollment YR2'!K65</f>
        <v>0</v>
      </c>
      <c r="F63" s="550">
        <f t="shared" si="5"/>
        <v>0</v>
      </c>
      <c r="G63" s="1247">
        <f>'5.2 Budgeted Enrollment YR2'!G65-E63</f>
        <v>4018.3786872551959</v>
      </c>
      <c r="H63" s="256">
        <f t="shared" si="6"/>
        <v>37885274.263441987</v>
      </c>
      <c r="I63" s="614">
        <f>VLOOKUP($C63,'6.5 NCEI Adj. YR2'!$B$7:$I$23,8,FALSE)</f>
        <v>1</v>
      </c>
      <c r="J63" s="609">
        <f t="shared" si="8"/>
        <v>0</v>
      </c>
      <c r="K63" s="10"/>
    </row>
    <row r="64" spans="2:11" x14ac:dyDescent="0.3">
      <c r="B64" s="10" t="str">
        <f>'5.2 Budgeted Enrollment YR2'!E66</f>
        <v>Mariposa Dual Language Academy</v>
      </c>
      <c r="C64" s="590" t="str">
        <f>'5.2 Budgeted Enrollment YR2'!A66</f>
        <v>Washoe</v>
      </c>
      <c r="D64" s="552">
        <f>'6.3 Statewide Base Funding YR2'!C70</f>
        <v>9428</v>
      </c>
      <c r="E64" s="1244">
        <f>'5.2 Budgeted Enrollment YR2'!K66</f>
        <v>0</v>
      </c>
      <c r="F64" s="550">
        <f t="shared" si="5"/>
        <v>0</v>
      </c>
      <c r="G64" s="1247">
        <f>'5.2 Budgeted Enrollment YR2'!G66-E64</f>
        <v>160.32246760830301</v>
      </c>
      <c r="H64" s="256">
        <f t="shared" si="6"/>
        <v>1511520.2246110807</v>
      </c>
      <c r="I64" s="614">
        <f>VLOOKUP($C64,'6.5 NCEI Adj. YR2'!$B$7:$I$23,8,FALSE)</f>
        <v>1</v>
      </c>
      <c r="J64" s="609">
        <f t="shared" si="8"/>
        <v>0</v>
      </c>
      <c r="K64" s="10"/>
    </row>
    <row r="65" spans="2:11" x14ac:dyDescent="0.3">
      <c r="B65" s="10" t="str">
        <f>'5.2 Budgeted Enrollment YR2'!E67</f>
        <v>Mater Academy</v>
      </c>
      <c r="C65" s="590" t="str">
        <f>'5.2 Budgeted Enrollment YR2'!A67</f>
        <v>Clark</v>
      </c>
      <c r="D65" s="552">
        <f>'6.3 Statewide Base Funding YR2'!C71</f>
        <v>9428</v>
      </c>
      <c r="E65" s="1244">
        <f>'5.2 Budgeted Enrollment YR2'!K67</f>
        <v>0</v>
      </c>
      <c r="F65" s="550">
        <f t="shared" si="5"/>
        <v>0</v>
      </c>
      <c r="G65" s="1247">
        <f>'5.2 Budgeted Enrollment YR2'!G67-E65</f>
        <v>3961.4054733841613</v>
      </c>
      <c r="H65" s="256">
        <f t="shared" si="6"/>
        <v>37348130.803065874</v>
      </c>
      <c r="I65" s="614">
        <f>VLOOKUP($C65,'6.5 NCEI Adj. YR2'!$B$7:$I$23,8,FALSE)</f>
        <v>1</v>
      </c>
      <c r="J65" s="609">
        <f t="shared" si="8"/>
        <v>0</v>
      </c>
      <c r="K65" s="10"/>
    </row>
    <row r="66" spans="2:11" x14ac:dyDescent="0.3">
      <c r="B66" s="10" t="str">
        <f>'5.2 Budgeted Enrollment YR2'!E68</f>
        <v>Mater Academy of Northern Nevada</v>
      </c>
      <c r="C66" s="590" t="str">
        <f>'5.2 Budgeted Enrollment YR2'!A68</f>
        <v>Washoe</v>
      </c>
      <c r="D66" s="552">
        <f>'6.3 Statewide Base Funding YR2'!C72</f>
        <v>9428</v>
      </c>
      <c r="E66" s="1244">
        <f>'5.2 Budgeted Enrollment YR2'!K68</f>
        <v>0</v>
      </c>
      <c r="F66" s="550">
        <f t="shared" si="5"/>
        <v>0</v>
      </c>
      <c r="G66" s="1247">
        <f>'5.2 Budgeted Enrollment YR2'!G68-E66</f>
        <v>491.96676270841391</v>
      </c>
      <c r="H66" s="256">
        <f t="shared" si="6"/>
        <v>4638262.6388149261</v>
      </c>
      <c r="I66" s="614">
        <f>VLOOKUP($C66,'6.5 NCEI Adj. YR2'!$B$7:$I$23,8,FALSE)</f>
        <v>1</v>
      </c>
      <c r="J66" s="609">
        <f t="shared" si="8"/>
        <v>0</v>
      </c>
      <c r="K66" s="10"/>
    </row>
    <row r="67" spans="2:11" x14ac:dyDescent="0.3">
      <c r="B67" s="10" t="str">
        <f>'5.2 Budgeted Enrollment YR2'!E69</f>
        <v>Nevada Connections Academy</v>
      </c>
      <c r="C67" s="590" t="str">
        <f>'5.2 Budgeted Enrollment YR2'!A69</f>
        <v>Washoe</v>
      </c>
      <c r="D67" s="552">
        <f>'6.3 Statewide Base Funding YR2'!C73</f>
        <v>9428</v>
      </c>
      <c r="E67" s="1244">
        <f>'5.2 Budgeted Enrollment YR2'!K69</f>
        <v>1067.0069745922351</v>
      </c>
      <c r="F67" s="550">
        <f t="shared" si="5"/>
        <v>10059741.756455593</v>
      </c>
      <c r="G67" s="1247">
        <f>'5.2 Budgeted Enrollment YR2'!G69-E67</f>
        <v>0</v>
      </c>
      <c r="H67" s="256">
        <f t="shared" si="6"/>
        <v>0</v>
      </c>
      <c r="I67" s="614">
        <f>VLOOKUP($C67,'6.5 NCEI Adj. YR2'!$B$7:$I$23,8,FALSE)</f>
        <v>1</v>
      </c>
      <c r="J67" s="609">
        <f t="shared" si="8"/>
        <v>0</v>
      </c>
      <c r="K67" s="10"/>
    </row>
    <row r="68" spans="2:11" x14ac:dyDescent="0.3">
      <c r="B68" s="10" t="str">
        <f>'5.2 Budgeted Enrollment YR2'!E70</f>
        <v>Nevada Prep</v>
      </c>
      <c r="C68" s="590" t="str">
        <f>'5.2 Budgeted Enrollment YR2'!A70</f>
        <v>Clark</v>
      </c>
      <c r="D68" s="552">
        <f>'6.3 Statewide Base Funding YR2'!C74</f>
        <v>9428</v>
      </c>
      <c r="E68" s="1244">
        <f>'5.2 Budgeted Enrollment YR2'!K70</f>
        <v>0</v>
      </c>
      <c r="F68" s="550">
        <f t="shared" si="5"/>
        <v>0</v>
      </c>
      <c r="G68" s="1247">
        <f>'5.2 Budgeted Enrollment YR2'!G70-E68</f>
        <v>281.61777384713741</v>
      </c>
      <c r="H68" s="256">
        <f t="shared" si="6"/>
        <v>2655092.3718308117</v>
      </c>
      <c r="I68" s="614">
        <f>VLOOKUP($C68,'6.5 NCEI Adj. YR2'!$B$7:$I$23,8,FALSE)</f>
        <v>1</v>
      </c>
      <c r="J68" s="609">
        <f t="shared" si="8"/>
        <v>0</v>
      </c>
      <c r="K68" s="10"/>
    </row>
    <row r="69" spans="2:11" x14ac:dyDescent="0.3">
      <c r="B69" s="10" t="str">
        <f>'5.2 Budgeted Enrollment YR2'!E71</f>
        <v xml:space="preserve">Nevada Rise </v>
      </c>
      <c r="C69" s="590" t="str">
        <f>'5.2 Budgeted Enrollment YR2'!A71</f>
        <v>Clark</v>
      </c>
      <c r="D69" s="552">
        <f>'6.3 Statewide Base Funding YR2'!C75</f>
        <v>9428</v>
      </c>
      <c r="E69" s="1244">
        <f>'5.2 Budgeted Enrollment YR2'!K71</f>
        <v>0</v>
      </c>
      <c r="F69" s="550">
        <f t="shared" si="5"/>
        <v>0</v>
      </c>
      <c r="G69" s="1247">
        <f>'5.2 Budgeted Enrollment YR2'!G71-E69</f>
        <v>458.36661953837051</v>
      </c>
      <c r="H69" s="256">
        <f t="shared" si="6"/>
        <v>4321480.489007757</v>
      </c>
      <c r="I69" s="614">
        <f>VLOOKUP($C69,'6.5 NCEI Adj. YR2'!$B$7:$I$23,8,FALSE)</f>
        <v>1</v>
      </c>
      <c r="J69" s="609">
        <f t="shared" si="8"/>
        <v>0</v>
      </c>
      <c r="K69" s="10"/>
    </row>
    <row r="70" spans="2:11" x14ac:dyDescent="0.3">
      <c r="B70" s="10" t="str">
        <f>'5.2 Budgeted Enrollment YR2'!E72</f>
        <v>Nevada State High School</v>
      </c>
      <c r="C70" s="590" t="str">
        <f>'5.2 Budgeted Enrollment YR2'!A72</f>
        <v>Clark</v>
      </c>
      <c r="D70" s="552">
        <f>'6.3 Statewide Base Funding YR2'!C76</f>
        <v>9428</v>
      </c>
      <c r="E70" s="1244">
        <f>'5.2 Budgeted Enrollment YR2'!K72</f>
        <v>0</v>
      </c>
      <c r="F70" s="550">
        <f t="shared" si="5"/>
        <v>0</v>
      </c>
      <c r="G70" s="1247">
        <f>'5.2 Budgeted Enrollment YR2'!G72-E70</f>
        <v>984.30035161182957</v>
      </c>
      <c r="H70" s="256">
        <f t="shared" si="6"/>
        <v>9279983.7149963286</v>
      </c>
      <c r="I70" s="614">
        <f>VLOOKUP($C70,'6.5 NCEI Adj. YR2'!$B$7:$I$23,8,FALSE)</f>
        <v>1</v>
      </c>
      <c r="J70" s="609">
        <f t="shared" si="8"/>
        <v>0</v>
      </c>
      <c r="K70" s="10"/>
    </row>
    <row r="71" spans="2:11" x14ac:dyDescent="0.3">
      <c r="B71" s="10" t="str">
        <f>'5.2 Budgeted Enrollment YR2'!E73</f>
        <v>Nevada State High School-Meadowwood</v>
      </c>
      <c r="C71" s="590" t="str">
        <f>'5.2 Budgeted Enrollment YR2'!A73</f>
        <v>Washoe</v>
      </c>
      <c r="D71" s="552">
        <f>'6.3 Statewide Base Funding YR2'!C77</f>
        <v>9428</v>
      </c>
      <c r="E71" s="1244">
        <f>'5.2 Budgeted Enrollment YR2'!K73</f>
        <v>0</v>
      </c>
      <c r="F71" s="550">
        <f t="shared" si="5"/>
        <v>0</v>
      </c>
      <c r="G71" s="1247">
        <f>'5.2 Budgeted Enrollment YR2'!G73-E71</f>
        <v>31.853232783121751</v>
      </c>
      <c r="H71" s="256">
        <f t="shared" si="6"/>
        <v>300312.27867927187</v>
      </c>
      <c r="I71" s="614">
        <f>VLOOKUP($C71,'6.5 NCEI Adj. YR2'!$B$7:$I$23,8,FALSE)</f>
        <v>1</v>
      </c>
      <c r="J71" s="609">
        <f t="shared" si="8"/>
        <v>0</v>
      </c>
      <c r="K71" s="10"/>
    </row>
    <row r="72" spans="2:11" x14ac:dyDescent="0.3">
      <c r="B72" s="10" t="str">
        <f>'5.2 Budgeted Enrollment YR2'!E74</f>
        <v>Nevada Virtual Academy</v>
      </c>
      <c r="C72" s="590" t="str">
        <f>'5.2 Budgeted Enrollment YR2'!A74</f>
        <v>Clark</v>
      </c>
      <c r="D72" s="552">
        <f>'6.3 Statewide Base Funding YR2'!C78</f>
        <v>9428</v>
      </c>
      <c r="E72" s="1244">
        <f>'5.2 Budgeted Enrollment YR2'!K74</f>
        <v>2160.5541598280038</v>
      </c>
      <c r="F72" s="550">
        <f t="shared" si="5"/>
        <v>20369704.618858419</v>
      </c>
      <c r="G72" s="1247">
        <f>'5.2 Budgeted Enrollment YR2'!G74-E72</f>
        <v>0</v>
      </c>
      <c r="H72" s="256">
        <f t="shared" si="6"/>
        <v>0</v>
      </c>
      <c r="I72" s="614">
        <f>VLOOKUP($C72,'6.5 NCEI Adj. YR2'!$B$7:$I$23,8,FALSE)</f>
        <v>1</v>
      </c>
      <c r="J72" s="609">
        <f t="shared" si="8"/>
        <v>0</v>
      </c>
      <c r="K72" s="10"/>
    </row>
    <row r="73" spans="2:11" x14ac:dyDescent="0.3">
      <c r="B73" s="10" t="str">
        <f>'5.2 Budgeted Enrollment YR2'!E75</f>
        <v>Oasis Academy</v>
      </c>
      <c r="C73" s="590" t="str">
        <f>'5.2 Budgeted Enrollment YR2'!A75</f>
        <v>Churchill</v>
      </c>
      <c r="D73" s="552">
        <f>'6.3 Statewide Base Funding YR2'!C79</f>
        <v>9428</v>
      </c>
      <c r="E73" s="1244">
        <f>'5.2 Budgeted Enrollment YR2'!K75</f>
        <v>0</v>
      </c>
      <c r="F73" s="550">
        <f t="shared" si="5"/>
        <v>0</v>
      </c>
      <c r="G73" s="1247">
        <f>'5.2 Budgeted Enrollment YR2'!G75-E73</f>
        <v>734.93884731429671</v>
      </c>
      <c r="H73" s="256">
        <f t="shared" si="6"/>
        <v>6929003.4524791893</v>
      </c>
      <c r="I73" s="614">
        <f>VLOOKUP($C73,'6.5 NCEI Adj. YR2'!$B$7:$I$23,8,FALSE)</f>
        <v>1</v>
      </c>
      <c r="J73" s="609">
        <f t="shared" si="8"/>
        <v>0</v>
      </c>
      <c r="K73" s="10"/>
    </row>
    <row r="74" spans="2:11" x14ac:dyDescent="0.3">
      <c r="B74" s="10" t="str">
        <f>'5.2 Budgeted Enrollment YR2'!E76</f>
        <v>Odyssey Charter Schools</v>
      </c>
      <c r="C74" s="590" t="str">
        <f>'5.2 Budgeted Enrollment YR2'!A76</f>
        <v>Clark</v>
      </c>
      <c r="D74" s="552">
        <f>'6.3 Statewide Base Funding YR2'!C80</f>
        <v>9428</v>
      </c>
      <c r="E74" s="1244">
        <f>'5.2 Budgeted Enrollment YR2'!K76</f>
        <v>0</v>
      </c>
      <c r="F74" s="550">
        <f t="shared" si="5"/>
        <v>0</v>
      </c>
      <c r="G74" s="1247">
        <f>'5.2 Budgeted Enrollment YR2'!G76-E74</f>
        <v>2327.5551768725609</v>
      </c>
      <c r="H74" s="256">
        <f t="shared" si="6"/>
        <v>21944190.207554504</v>
      </c>
      <c r="I74" s="614">
        <f>VLOOKUP($C74,'6.5 NCEI Adj. YR2'!$B$7:$I$23,8,FALSE)</f>
        <v>1</v>
      </c>
      <c r="J74" s="609">
        <f t="shared" si="8"/>
        <v>0</v>
      </c>
      <c r="K74" s="10"/>
    </row>
    <row r="75" spans="2:11" x14ac:dyDescent="0.3">
      <c r="B75" s="10" t="str">
        <f>'5.2 Budgeted Enrollment YR2'!E77</f>
        <v>Pinecrest Academy of Northern Nevada</v>
      </c>
      <c r="C75" s="590" t="str">
        <f>'5.2 Budgeted Enrollment YR2'!A77</f>
        <v>Washoe</v>
      </c>
      <c r="D75" s="552">
        <f>'6.3 Statewide Base Funding YR2'!C81</f>
        <v>9428</v>
      </c>
      <c r="E75" s="1244">
        <f>'5.2 Budgeted Enrollment YR2'!K77</f>
        <v>0</v>
      </c>
      <c r="F75" s="550">
        <f t="shared" si="5"/>
        <v>0</v>
      </c>
      <c r="G75" s="1247">
        <f>'5.2 Budgeted Enrollment YR2'!G77-E75</f>
        <v>927.90151170988167</v>
      </c>
      <c r="H75" s="256">
        <f t="shared" si="6"/>
        <v>8748255.4524007645</v>
      </c>
      <c r="I75" s="614">
        <f>VLOOKUP($C75,'6.5 NCEI Adj. YR2'!$B$7:$I$23,8,FALSE)</f>
        <v>1</v>
      </c>
      <c r="J75" s="609">
        <f t="shared" si="8"/>
        <v>0</v>
      </c>
      <c r="K75" s="10"/>
    </row>
    <row r="76" spans="2:11" x14ac:dyDescent="0.3">
      <c r="B76" s="10" t="str">
        <f>'5.2 Budgeted Enrollment YR2'!E78</f>
        <v>Pinecrest Academy of Nevada</v>
      </c>
      <c r="C76" s="590" t="str">
        <f>'5.2 Budgeted Enrollment YR2'!A78</f>
        <v>Clark</v>
      </c>
      <c r="D76" s="552">
        <f>'6.3 Statewide Base Funding YR2'!C82</f>
        <v>9428</v>
      </c>
      <c r="E76" s="1244">
        <f>'5.2 Budgeted Enrollment YR2'!K78</f>
        <v>0</v>
      </c>
      <c r="F76" s="550">
        <f t="shared" si="5"/>
        <v>0</v>
      </c>
      <c r="G76" s="1247">
        <f>'5.2 Budgeted Enrollment YR2'!G78-E76</f>
        <v>7413.8513684858726</v>
      </c>
      <c r="H76" s="256">
        <f t="shared" si="6"/>
        <v>69897790.70208481</v>
      </c>
      <c r="I76" s="614">
        <f>VLOOKUP($C76,'6.5 NCEI Adj. YR2'!$B$7:$I$23,8,FALSE)</f>
        <v>1</v>
      </c>
      <c r="J76" s="609">
        <f t="shared" si="8"/>
        <v>0</v>
      </c>
      <c r="K76" s="10"/>
    </row>
    <row r="77" spans="2:11" x14ac:dyDescent="0.3">
      <c r="B77" s="10" t="str">
        <f>'5.2 Budgeted Enrollment YR2'!E79</f>
        <v>Quest Academy</v>
      </c>
      <c r="C77" s="590" t="str">
        <f>'5.2 Budgeted Enrollment YR2'!A79</f>
        <v>Clark</v>
      </c>
      <c r="D77" s="552">
        <f>'6.3 Statewide Base Funding YR2'!C83</f>
        <v>9428</v>
      </c>
      <c r="E77" s="1244">
        <f>'5.2 Budgeted Enrollment YR2'!K79</f>
        <v>0</v>
      </c>
      <c r="F77" s="550">
        <f t="shared" si="5"/>
        <v>0</v>
      </c>
      <c r="G77" s="1247">
        <f>'5.2 Budgeted Enrollment YR2'!G79-E77</f>
        <v>435.30441038798858</v>
      </c>
      <c r="H77" s="256">
        <f t="shared" si="6"/>
        <v>4104049.9811379565</v>
      </c>
      <c r="I77" s="614">
        <f>VLOOKUP($C77,'6.5 NCEI Adj. YR2'!$B$7:$I$23,8,FALSE)</f>
        <v>1</v>
      </c>
      <c r="J77" s="609">
        <f t="shared" si="8"/>
        <v>0</v>
      </c>
      <c r="K77" s="10"/>
    </row>
    <row r="78" spans="2:11" x14ac:dyDescent="0.3">
      <c r="B78" s="10" t="str">
        <f>'5.2 Budgeted Enrollment YR2'!E80</f>
        <v>Rainbow Dreams Academy</v>
      </c>
      <c r="C78" s="590" t="str">
        <f>'5.2 Budgeted Enrollment YR2'!A80</f>
        <v>Clark</v>
      </c>
      <c r="D78" s="552">
        <f>'6.3 Statewide Base Funding YR2'!C84</f>
        <v>9428</v>
      </c>
      <c r="E78" s="1244">
        <f>'5.2 Budgeted Enrollment YR2'!K80</f>
        <v>0</v>
      </c>
      <c r="F78" s="550">
        <f t="shared" si="5"/>
        <v>0</v>
      </c>
      <c r="G78" s="1247">
        <f>'5.2 Budgeted Enrollment YR2'!G80-E78</f>
        <v>70.305537539337109</v>
      </c>
      <c r="H78" s="256">
        <f t="shared" si="6"/>
        <v>662840.6079208703</v>
      </c>
      <c r="I78" s="614">
        <f>VLOOKUP($C78,'6.5 NCEI Adj. YR2'!$B$7:$I$23,8,FALSE)</f>
        <v>1</v>
      </c>
      <c r="J78" s="609">
        <f t="shared" si="8"/>
        <v>0</v>
      </c>
      <c r="K78" s="10"/>
    </row>
    <row r="79" spans="2:11" x14ac:dyDescent="0.3">
      <c r="B79" s="10" t="str">
        <f>'5.2 Budgeted Enrollment YR2'!E81</f>
        <v>Rooted Charter School</v>
      </c>
      <c r="C79" s="590" t="str">
        <f>'5.2 Budgeted Enrollment YR2'!A81</f>
        <v>Clark</v>
      </c>
      <c r="D79" s="552">
        <f>'6.3 Statewide Base Funding YR2'!C85</f>
        <v>9428</v>
      </c>
      <c r="E79" s="1244">
        <f>'5.2 Budgeted Enrollment YR2'!K81</f>
        <v>0</v>
      </c>
      <c r="F79" s="550">
        <f t="shared" ref="F79" si="9">D79*E79</f>
        <v>0</v>
      </c>
      <c r="G79" s="1247">
        <f>'5.2 Budgeted Enrollment YR2'!G81-E79</f>
        <v>180.18</v>
      </c>
      <c r="H79" s="256">
        <f t="shared" ref="H79" si="10">D79*G79</f>
        <v>1698737.04</v>
      </c>
      <c r="I79" s="614">
        <f>VLOOKUP($C79,'6.5 NCEI Adj. YR2'!$B$7:$I$23,8,FALSE)</f>
        <v>1</v>
      </c>
      <c r="J79" s="609">
        <f t="shared" ref="J79" si="11">SUM(H79:H79)*(I79-1)</f>
        <v>0</v>
      </c>
      <c r="K79" s="10"/>
    </row>
    <row r="80" spans="2:11" x14ac:dyDescent="0.3">
      <c r="B80" s="10" t="str">
        <f>'5.2 Budgeted Enrollment YR2'!E82</f>
        <v>Sage Collegiate Academy</v>
      </c>
      <c r="C80" s="590" t="str">
        <f>'5.2 Budgeted Enrollment YR2'!A82</f>
        <v>Clark</v>
      </c>
      <c r="D80" s="552">
        <f>'6.3 Statewide Base Funding YR2'!C86</f>
        <v>9428</v>
      </c>
      <c r="E80" s="1244">
        <f>'5.2 Budgeted Enrollment YR2'!K82</f>
        <v>0</v>
      </c>
      <c r="F80" s="550">
        <f t="shared" si="5"/>
        <v>0</v>
      </c>
      <c r="G80" s="1247">
        <f>'5.2 Budgeted Enrollment YR2'!G82-E80</f>
        <v>199.07693671069981</v>
      </c>
      <c r="H80" s="256">
        <f t="shared" si="6"/>
        <v>1876897.3593084777</v>
      </c>
      <c r="I80" s="614">
        <f>VLOOKUP($C80,'6.5 NCEI Adj. YR2'!$B$7:$I$23,8,FALSE)</f>
        <v>1</v>
      </c>
      <c r="J80" s="609">
        <f t="shared" si="8"/>
        <v>0</v>
      </c>
      <c r="K80" s="10"/>
    </row>
    <row r="81" spans="1:11" x14ac:dyDescent="0.3">
      <c r="B81" s="10" t="str">
        <f>'5.2 Budgeted Enrollment YR2'!E83</f>
        <v>Sierra Nevada Academy Charter</v>
      </c>
      <c r="C81" s="590" t="str">
        <f>'5.2 Budgeted Enrollment YR2'!A83</f>
        <v>Washoe</v>
      </c>
      <c r="D81" s="552">
        <f>'6.3 Statewide Base Funding YR2'!C87</f>
        <v>9428</v>
      </c>
      <c r="E81" s="1244">
        <f>'5.2 Budgeted Enrollment YR2'!K83</f>
        <v>0</v>
      </c>
      <c r="F81" s="550">
        <f t="shared" si="5"/>
        <v>0</v>
      </c>
      <c r="G81" s="1247">
        <f>'5.2 Budgeted Enrollment YR2'!G83-E81</f>
        <v>324.28890145521717</v>
      </c>
      <c r="H81" s="256">
        <f t="shared" si="6"/>
        <v>3057395.7629197873</v>
      </c>
      <c r="I81" s="614">
        <f>VLOOKUP($C81,'6.5 NCEI Adj. YR2'!$B$7:$I$23,8,FALSE)</f>
        <v>1</v>
      </c>
      <c r="J81" s="609">
        <f t="shared" si="8"/>
        <v>0</v>
      </c>
      <c r="K81" s="10"/>
    </row>
    <row r="82" spans="1:11" x14ac:dyDescent="0.3">
      <c r="B82" s="10" t="str">
        <f>'5.2 Budgeted Enrollment YR2'!E84</f>
        <v>Signature Preparatory</v>
      </c>
      <c r="C82" s="590" t="str">
        <f>'5.2 Budgeted Enrollment YR2'!A84</f>
        <v>Clark</v>
      </c>
      <c r="D82" s="552">
        <f>'6.3 Statewide Base Funding YR2'!C88</f>
        <v>9428</v>
      </c>
      <c r="E82" s="1244">
        <f>'5.2 Budgeted Enrollment YR2'!K84</f>
        <v>0</v>
      </c>
      <c r="F82" s="550">
        <f t="shared" si="5"/>
        <v>0</v>
      </c>
      <c r="G82" s="1247">
        <f>'5.2 Budgeted Enrollment YR2'!G84-E82</f>
        <v>974.64912726903549</v>
      </c>
      <c r="H82" s="256">
        <f t="shared" si="6"/>
        <v>9188991.9718924668</v>
      </c>
      <c r="I82" s="614">
        <f>VLOOKUP($C82,'6.5 NCEI Adj. YR2'!$B$7:$I$23,8,FALSE)</f>
        <v>1</v>
      </c>
      <c r="J82" s="609">
        <f t="shared" si="8"/>
        <v>0</v>
      </c>
      <c r="K82" s="10"/>
    </row>
    <row r="83" spans="1:11" x14ac:dyDescent="0.3">
      <c r="B83" s="10" t="str">
        <f>'5.2 Budgeted Enrollment YR2'!E85</f>
        <v>Silver Sands Montessori</v>
      </c>
      <c r="C83" s="590" t="str">
        <f>'5.2 Budgeted Enrollment YR2'!A85</f>
        <v>Clark</v>
      </c>
      <c r="D83" s="552">
        <f>'6.3 Statewide Base Funding YR2'!C89</f>
        <v>9428</v>
      </c>
      <c r="E83" s="1244">
        <f>'5.2 Budgeted Enrollment YR2'!K85</f>
        <v>0</v>
      </c>
      <c r="F83" s="550">
        <f t="shared" si="5"/>
        <v>0</v>
      </c>
      <c r="G83" s="1247">
        <f>'5.2 Budgeted Enrollment YR2'!G85-E83</f>
        <v>240.38764208158702</v>
      </c>
      <c r="H83" s="256">
        <f t="shared" si="6"/>
        <v>2266374.6895452025</v>
      </c>
      <c r="I83" s="614">
        <f>VLOOKUP($C83,'6.5 NCEI Adj. YR2'!$B$7:$I$23,8,FALSE)</f>
        <v>1</v>
      </c>
      <c r="J83" s="609">
        <f t="shared" si="8"/>
        <v>0</v>
      </c>
      <c r="K83" s="10"/>
    </row>
    <row r="84" spans="1:11" x14ac:dyDescent="0.3">
      <c r="B84" s="10" t="str">
        <f>'5.2 Budgeted Enrollment YR2'!E86</f>
        <v>Somerset Academy</v>
      </c>
      <c r="C84" s="590" t="str">
        <f>'5.2 Budgeted Enrollment YR2'!A86</f>
        <v>Clark</v>
      </c>
      <c r="D84" s="552">
        <f>'6.3 Statewide Base Funding YR2'!C90</f>
        <v>9428</v>
      </c>
      <c r="E84" s="1244">
        <f>'5.2 Budgeted Enrollment YR2'!K86</f>
        <v>0</v>
      </c>
      <c r="F84" s="550">
        <f t="shared" si="5"/>
        <v>0</v>
      </c>
      <c r="G84" s="1247">
        <f>'5.2 Budgeted Enrollment YR2'!G86-E84</f>
        <v>9475.6362211165433</v>
      </c>
      <c r="H84" s="256">
        <f t="shared" si="6"/>
        <v>89336298.292686775</v>
      </c>
      <c r="I84" s="614">
        <f>VLOOKUP($C84,'6.5 NCEI Adj. YR2'!$B$7:$I$23,8,FALSE)</f>
        <v>1</v>
      </c>
      <c r="J84" s="609">
        <f t="shared" si="8"/>
        <v>0</v>
      </c>
      <c r="K84" s="10"/>
    </row>
    <row r="85" spans="1:11" x14ac:dyDescent="0.3">
      <c r="B85" s="10" t="str">
        <f>'5.2 Budgeted Enrollment YR2'!E87</f>
        <v>Southern Nevada Trade High School</v>
      </c>
      <c r="C85" s="590" t="str">
        <f>'5.2 Budgeted Enrollment YR2'!A87</f>
        <v>Clark</v>
      </c>
      <c r="D85" s="552">
        <f>'6.3 Statewide Base Funding YR2'!C91</f>
        <v>9428</v>
      </c>
      <c r="E85" s="1244">
        <f>'5.2 Budgeted Enrollment YR2'!K87</f>
        <v>0</v>
      </c>
      <c r="F85" s="550">
        <f t="shared" ref="F85" si="12">D85*E85</f>
        <v>0</v>
      </c>
      <c r="G85" s="1247">
        <f>'5.2 Budgeted Enrollment YR2'!G87-E85</f>
        <v>200.2</v>
      </c>
      <c r="H85" s="256">
        <f t="shared" ref="H85" si="13">D85*G85</f>
        <v>1887485.5999999999</v>
      </c>
      <c r="I85" s="614">
        <f>VLOOKUP($C85,'6.5 NCEI Adj. YR2'!$B$7:$I$23,8,FALSE)</f>
        <v>1</v>
      </c>
      <c r="J85" s="609">
        <f t="shared" ref="J85" si="14">SUM(H85:H85)*(I85-1)</f>
        <v>0</v>
      </c>
      <c r="K85" s="10"/>
    </row>
    <row r="86" spans="1:11" x14ac:dyDescent="0.3">
      <c r="B86" s="10" t="str">
        <f>'5.2 Budgeted Enrollment YR2'!E88</f>
        <v>Sports Leadership and Management Academy</v>
      </c>
      <c r="C86" s="590" t="str">
        <f>'5.2 Budgeted Enrollment YR2'!A88</f>
        <v>Clark</v>
      </c>
      <c r="D86" s="552">
        <f>'6.3 Statewide Base Funding YR2'!C92</f>
        <v>9428</v>
      </c>
      <c r="E86" s="1244">
        <f>'5.2 Budgeted Enrollment YR2'!K88</f>
        <v>0</v>
      </c>
      <c r="F86" s="550">
        <f t="shared" si="5"/>
        <v>0</v>
      </c>
      <c r="G86" s="1247">
        <f>'5.2 Budgeted Enrollment YR2'!G88-E86</f>
        <v>1788.0122702171184</v>
      </c>
      <c r="H86" s="256">
        <f t="shared" si="6"/>
        <v>16857379.683606993</v>
      </c>
      <c r="I86" s="614">
        <f>VLOOKUP($C86,'6.5 NCEI Adj. YR2'!$B$7:$I$23,8,FALSE)</f>
        <v>1</v>
      </c>
      <c r="J86" s="609">
        <f t="shared" si="8"/>
        <v>0</v>
      </c>
      <c r="K86" s="10"/>
    </row>
    <row r="87" spans="1:11" x14ac:dyDescent="0.3">
      <c r="B87" s="10" t="str">
        <f>'5.2 Budgeted Enrollment YR2'!E89</f>
        <v>Strong Start Academy</v>
      </c>
      <c r="C87" s="590" t="str">
        <f>'5.2 Budgeted Enrollment YR2'!A89</f>
        <v>Clark</v>
      </c>
      <c r="D87" s="552">
        <f>'6.3 Statewide Base Funding YR2'!C93</f>
        <v>9428</v>
      </c>
      <c r="E87" s="1244">
        <f>'5.2 Budgeted Enrollment YR2'!K89</f>
        <v>0</v>
      </c>
      <c r="F87" s="550">
        <f t="shared" si="5"/>
        <v>0</v>
      </c>
      <c r="G87" s="1247">
        <f>'5.2 Budgeted Enrollment YR2'!G89-E87</f>
        <v>80.710975515445185</v>
      </c>
      <c r="H87" s="256">
        <f t="shared" si="6"/>
        <v>760943.07715961721</v>
      </c>
      <c r="I87" s="614">
        <f>VLOOKUP($C87,'6.5 NCEI Adj. YR2'!$B$7:$I$23,8,FALSE)</f>
        <v>1</v>
      </c>
      <c r="J87" s="609">
        <f t="shared" si="8"/>
        <v>0</v>
      </c>
      <c r="K87" s="10"/>
    </row>
    <row r="88" spans="1:11" x14ac:dyDescent="0.3">
      <c r="B88" s="10" t="str">
        <f>'5.2 Budgeted Enrollment YR2'!E90</f>
        <v>TEACH Las Vegas</v>
      </c>
      <c r="C88" s="590" t="str">
        <f>'5.2 Budgeted Enrollment YR2'!A90</f>
        <v>Clark</v>
      </c>
      <c r="D88" s="552">
        <f>'6.3 Statewide Base Funding YR2'!C94</f>
        <v>9428</v>
      </c>
      <c r="E88" s="1244">
        <f>'5.2 Budgeted Enrollment YR2'!K90</f>
        <v>0</v>
      </c>
      <c r="F88" s="550">
        <f t="shared" si="5"/>
        <v>0</v>
      </c>
      <c r="G88" s="1247">
        <f>'5.2 Budgeted Enrollment YR2'!G90-E88</f>
        <v>321.30487536118619</v>
      </c>
      <c r="H88" s="256">
        <f t="shared" si="6"/>
        <v>3029262.3649052633</v>
      </c>
      <c r="I88" s="614">
        <f>VLOOKUP($C88,'6.5 NCEI Adj. YR2'!$B$7:$I$23,8,FALSE)</f>
        <v>1</v>
      </c>
      <c r="J88" s="609">
        <f t="shared" si="8"/>
        <v>0</v>
      </c>
      <c r="K88" s="10"/>
    </row>
    <row r="89" spans="1:11" x14ac:dyDescent="0.3">
      <c r="A89" s="181"/>
      <c r="B89" s="183" t="str">
        <f>'5.2 Budgeted Enrollment YR2'!E91</f>
        <v>Young Women's Leadership Academy</v>
      </c>
      <c r="C89" s="611" t="str">
        <f>'5.2 Budgeted Enrollment YR2'!A91</f>
        <v>Clark</v>
      </c>
      <c r="D89" s="604">
        <f>'6.3 Statewide Base Funding YR2'!C95</f>
        <v>9428</v>
      </c>
      <c r="E89" s="1245">
        <f>'5.2 Budgeted Enrollment YR2'!K91</f>
        <v>0</v>
      </c>
      <c r="F89" s="577">
        <f t="shared" si="5"/>
        <v>0</v>
      </c>
      <c r="G89" s="1248">
        <f>'5.2 Budgeted Enrollment YR2'!G91-E89</f>
        <v>56.413128242471004</v>
      </c>
      <c r="H89" s="736">
        <f t="shared" si="6"/>
        <v>531862.9730700166</v>
      </c>
      <c r="I89" s="615">
        <f>VLOOKUP($C89,'6.5 NCEI Adj. YR2'!$B$7:$I$23,8,FALSE)</f>
        <v>1</v>
      </c>
      <c r="J89" s="616">
        <f t="shared" si="8"/>
        <v>0</v>
      </c>
      <c r="K89" s="10"/>
    </row>
    <row r="90" spans="1:11" s="4" customFormat="1" x14ac:dyDescent="0.3">
      <c r="B90" s="4" t="str">
        <f>'6.3 Statewide Base Funding YR2'!B96</f>
        <v>Charter Total</v>
      </c>
      <c r="E90" s="589">
        <f>SUM(E30:E89)</f>
        <v>3495.4684508487881</v>
      </c>
      <c r="F90" s="553">
        <f>SUM(F30:F89)</f>
        <v>32955276.554602373</v>
      </c>
      <c r="G90" s="613">
        <f>SUM(G30:G89)</f>
        <v>65577.03096650423</v>
      </c>
      <c r="H90" s="553">
        <f>SUM(H30:H89)</f>
        <v>618260247.95220208</v>
      </c>
      <c r="I90" s="613"/>
      <c r="J90" s="613">
        <f>SUM(J30:J89)</f>
        <v>0</v>
      </c>
      <c r="K90" s="102"/>
    </row>
    <row r="91" spans="1:11" x14ac:dyDescent="0.3">
      <c r="G91" s="65">
        <f>E90+G90-'5.2 Budgeted Enrollment YR2'!G26</f>
        <v>0</v>
      </c>
      <c r="H91" s="12"/>
    </row>
    <row r="92" spans="1:11" x14ac:dyDescent="0.3">
      <c r="A92" s="4" t="s">
        <v>1256</v>
      </c>
      <c r="F92" s="183"/>
      <c r="G92" s="136"/>
      <c r="H92" s="12"/>
    </row>
    <row r="93" spans="1:11" x14ac:dyDescent="0.3">
      <c r="A93" s="443"/>
      <c r="B93" s="307" t="str">
        <f>'5.2 Budgeted Enrollment YR2'!E96</f>
        <v>Davidson Academy</v>
      </c>
      <c r="C93" s="903" t="str">
        <f>'5.2 Budgeted Enrollment YR2'!A96</f>
        <v>Washoe</v>
      </c>
      <c r="D93" s="1243">
        <f>'6.3 Statewide Base Funding YR2'!C99</f>
        <v>9428</v>
      </c>
      <c r="E93" s="1246">
        <f>'5.2 Budgeted Enrollment YR2'!K96</f>
        <v>0</v>
      </c>
      <c r="F93" s="570">
        <f>D93*E93</f>
        <v>0</v>
      </c>
      <c r="G93" s="1246">
        <f>'5.2 Budgeted Enrollment YR2'!G96-E93</f>
        <v>162.20612853670227</v>
      </c>
      <c r="H93" s="1234">
        <f>D93*G93</f>
        <v>1529279.379844029</v>
      </c>
      <c r="I93" s="904">
        <f>VLOOKUP($C93,'6.5 NCEI Adj. YR2'!$B$7:$I$25,8,FALSE)</f>
        <v>1</v>
      </c>
      <c r="J93" s="905">
        <f>SUM(H93:H93)*(I93-1)</f>
        <v>0</v>
      </c>
    </row>
    <row r="94" spans="1:11" x14ac:dyDescent="0.3">
      <c r="A94" s="304"/>
      <c r="B94" s="183"/>
      <c r="C94" s="183"/>
      <c r="D94" s="183"/>
      <c r="E94" s="183"/>
      <c r="F94" s="183">
        <f>D94*E94</f>
        <v>0</v>
      </c>
      <c r="G94" s="183"/>
      <c r="H94" s="664"/>
      <c r="I94" s="611"/>
      <c r="J94" s="569"/>
    </row>
    <row r="95" spans="1:11" s="4" customFormat="1" x14ac:dyDescent="0.3">
      <c r="E95" s="618">
        <f>SUM(E93:E94)</f>
        <v>0</v>
      </c>
      <c r="F95" s="735">
        <f>SUM(F93:F94)</f>
        <v>0</v>
      </c>
      <c r="G95" s="618">
        <f>SUM(G93:G94)</f>
        <v>162.20612853670227</v>
      </c>
      <c r="H95" s="553">
        <f>SUM(H93:H94)</f>
        <v>1529279.379844029</v>
      </c>
      <c r="I95" s="735"/>
      <c r="J95" s="735">
        <f>SUM(J93:J94)</f>
        <v>0</v>
      </c>
      <c r="K95" s="102"/>
    </row>
  </sheetData>
  <sheetProtection algorithmName="SHA-512" hashValue="wPbFQ+mBr6cXSUhALZ4j/QttZVznyH/zZ7bSJbSago3vf25OVp5gu7F2KcRQsJiEj8xm56YRNO5De8qaUvSgWw==" saltValue="speNgObM0leDIQ9iA2nWlQ==" spinCount="100000" sheet="1" objects="1" scenarios="1"/>
  <pageMargins left="0.7" right="0.7" top="0.75" bottom="0.75" header="0.3" footer="0.3"/>
  <pageSetup paperSize="3" scale="72" fitToHeight="0" orientation="landscape" r:id="rId1"/>
  <headerFooter>
    <oddHeader>&amp;R&amp;"Arial Narrow,Regular"&amp;10&amp;A
&amp;P</oddHeader>
  </headerFooter>
  <rowBreaks count="2" manualBreakCount="2">
    <brk id="26" max="16383" man="1"/>
    <brk id="70"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005B5-9261-4600-9502-6D9AC5E8422B}">
  <sheetPr>
    <tabColor theme="6" tint="-0.499984740745262"/>
    <pageSetUpPr autoPageBreaks="0" fitToPage="1"/>
  </sheetPr>
  <dimension ref="A1:K102"/>
  <sheetViews>
    <sheetView workbookViewId="0"/>
  </sheetViews>
  <sheetFormatPr defaultColWidth="8.85546875" defaultRowHeight="16.5" x14ac:dyDescent="0.3"/>
  <cols>
    <col min="1" max="1" width="7" style="10" customWidth="1"/>
    <col min="2" max="2" width="38.42578125" style="10" bestFit="1" customWidth="1"/>
    <col min="3" max="3" width="15.85546875" style="10" bestFit="1" customWidth="1"/>
    <col min="4" max="4" width="16.42578125" style="10" bestFit="1" customWidth="1"/>
    <col min="5" max="5" width="14.42578125" style="10" bestFit="1" customWidth="1"/>
    <col min="6" max="6" width="13.5703125" style="10" bestFit="1" customWidth="1"/>
    <col min="7" max="7" width="14.5703125" style="10" bestFit="1" customWidth="1"/>
    <col min="8" max="8" width="16.28515625" style="10" bestFit="1" customWidth="1"/>
    <col min="9" max="9" width="3.7109375" style="10" customWidth="1"/>
    <col min="10" max="16384" width="8.85546875" style="10"/>
  </cols>
  <sheetData>
    <row r="1" spans="1:10" s="4" customFormat="1" x14ac:dyDescent="0.3">
      <c r="A1" s="4" t="s">
        <v>602</v>
      </c>
    </row>
    <row r="2" spans="1:10" x14ac:dyDescent="0.3">
      <c r="A2" s="10" t="str">
        <f>CONCATENATE("Pupil Center Funding Plan | FY",'5.1 Assumption Control YR2'!D5)</f>
        <v>Pupil Center Funding Plan | FY2025</v>
      </c>
    </row>
    <row r="3" spans="1:10" x14ac:dyDescent="0.3">
      <c r="A3" s="10" t="s">
        <v>1191</v>
      </c>
    </row>
    <row r="5" spans="1:10" ht="17.25" thickBot="1" x14ac:dyDescent="0.35">
      <c r="B5" s="17" t="s">
        <v>597</v>
      </c>
      <c r="C5" s="17" t="s">
        <v>92</v>
      </c>
      <c r="D5" s="17" t="s">
        <v>93</v>
      </c>
      <c r="E5" s="18" t="s">
        <v>94</v>
      </c>
    </row>
    <row r="6" spans="1:10" ht="18" thickTop="1" thickBot="1" x14ac:dyDescent="0.35">
      <c r="C6" s="50">
        <f>'6.3 Statewide Base Funding YR2'!E6</f>
        <v>591929626.1160841</v>
      </c>
      <c r="D6" s="51">
        <f>E34+F34</f>
        <v>150974927.18721125</v>
      </c>
      <c r="E6" s="52">
        <f>C6-D6</f>
        <v>440954698.92887282</v>
      </c>
    </row>
    <row r="7" spans="1:10" ht="17.25" thickTop="1" x14ac:dyDescent="0.3">
      <c r="B7" s="17"/>
      <c r="C7" s="92"/>
    </row>
    <row r="8" spans="1:10" ht="15.6" customHeight="1" x14ac:dyDescent="0.3">
      <c r="B8" s="17"/>
      <c r="C8" s="170"/>
      <c r="D8" s="1587" t="s">
        <v>599</v>
      </c>
      <c r="E8" s="1588"/>
      <c r="F8" s="1588"/>
      <c r="G8" s="1588"/>
      <c r="H8" s="1589"/>
      <c r="J8" s="4"/>
    </row>
    <row r="9" spans="1:10" x14ac:dyDescent="0.3">
      <c r="B9" s="17"/>
      <c r="C9" s="170"/>
      <c r="D9" s="1590" t="s">
        <v>1052</v>
      </c>
      <c r="E9" s="1591"/>
      <c r="F9" s="1591"/>
      <c r="G9" s="1591"/>
      <c r="H9" s="1592"/>
      <c r="J9" s="4"/>
    </row>
    <row r="10" spans="1:10" x14ac:dyDescent="0.3">
      <c r="C10" s="18" t="s">
        <v>744</v>
      </c>
      <c r="D10" s="123" t="s">
        <v>741</v>
      </c>
      <c r="E10" s="150" t="s">
        <v>851</v>
      </c>
      <c r="F10" s="124" t="s">
        <v>850</v>
      </c>
      <c r="G10" s="17" t="s">
        <v>981</v>
      </c>
      <c r="H10" s="124" t="s">
        <v>982</v>
      </c>
    </row>
    <row r="11" spans="1:10" x14ac:dyDescent="0.3">
      <c r="C11" s="24" t="s">
        <v>21</v>
      </c>
      <c r="D11" s="123" t="s">
        <v>929</v>
      </c>
      <c r="E11" s="150" t="s">
        <v>928</v>
      </c>
      <c r="F11" s="124" t="s">
        <v>1010</v>
      </c>
      <c r="G11" s="17" t="s">
        <v>955</v>
      </c>
      <c r="H11" s="124" t="s">
        <v>710</v>
      </c>
    </row>
    <row r="12" spans="1:10" x14ac:dyDescent="0.3">
      <c r="A12" s="4"/>
      <c r="B12" s="13"/>
      <c r="C12" s="481"/>
      <c r="D12" s="482" t="s">
        <v>88</v>
      </c>
      <c r="E12" s="483" t="s">
        <v>88</v>
      </c>
      <c r="F12" s="484" t="s">
        <v>88</v>
      </c>
      <c r="G12" s="17" t="s">
        <v>88</v>
      </c>
      <c r="H12" s="124" t="s">
        <v>954</v>
      </c>
    </row>
    <row r="13" spans="1:10" s="40" customFormat="1" x14ac:dyDescent="0.3">
      <c r="A13" s="485"/>
      <c r="B13" s="486" t="s">
        <v>879</v>
      </c>
      <c r="C13" s="487" t="s">
        <v>1424</v>
      </c>
      <c r="D13" s="488" t="s">
        <v>1426</v>
      </c>
      <c r="E13" s="489" t="s">
        <v>1428</v>
      </c>
      <c r="F13" s="490" t="s">
        <v>1429</v>
      </c>
      <c r="G13" s="491" t="s">
        <v>916</v>
      </c>
      <c r="H13" s="492" t="s">
        <v>880</v>
      </c>
    </row>
    <row r="14" spans="1:10" x14ac:dyDescent="0.3">
      <c r="A14" s="427" t="s">
        <v>87</v>
      </c>
      <c r="B14" s="341"/>
      <c r="C14" s="493"/>
      <c r="D14" s="495"/>
      <c r="E14" s="495"/>
      <c r="F14" s="496"/>
      <c r="G14" s="307"/>
      <c r="H14" s="497"/>
    </row>
    <row r="15" spans="1:10" x14ac:dyDescent="0.3">
      <c r="B15" s="307" t="str">
        <f>'5.2 Budgeted Enrollment YR2'!E9</f>
        <v>Carson City</v>
      </c>
      <c r="C15" s="536">
        <f>'5.2 Budgeted Enrollment YR2'!G9</f>
        <v>7207.4987624368023</v>
      </c>
      <c r="D15" s="667">
        <f>'6.3 Statewide Base Funding YR2'!E14</f>
        <v>67952298.332254171</v>
      </c>
      <c r="E15" s="668">
        <f>'6.4 District Size Adj. YR2'!$F$16</f>
        <v>5048515.3010963695</v>
      </c>
      <c r="F15" s="12">
        <f>'6.5 NCEI Adj. YR2'!J7</f>
        <v>0</v>
      </c>
      <c r="G15" s="738">
        <f>D15+E15+F15</f>
        <v>73000813.633350536</v>
      </c>
      <c r="H15" s="603">
        <f>IF(C15=0,0,G15/C15)</f>
        <v>10128.453162393538</v>
      </c>
    </row>
    <row r="16" spans="1:10" x14ac:dyDescent="0.3">
      <c r="B16" s="10" t="str">
        <f>'5.2 Budgeted Enrollment YR2'!E10</f>
        <v>Churchill</v>
      </c>
      <c r="C16" s="536">
        <f>'5.2 Budgeted Enrollment YR2'!G10</f>
        <v>3194.3177502985195</v>
      </c>
      <c r="D16" s="148">
        <f>'6.3 Statewide Base Funding YR2'!E15</f>
        <v>30116027.749814443</v>
      </c>
      <c r="E16" s="147">
        <f>'6.4 District Size Adj. YR2'!$F$18</f>
        <v>3992626.5105589274</v>
      </c>
      <c r="F16" s="12">
        <f>'6.5 NCEI Adj. YR2'!J8</f>
        <v>0</v>
      </c>
      <c r="G16" s="581">
        <f t="shared" ref="G16:G33" si="0">D16+E16+F16</f>
        <v>34108654.260373369</v>
      </c>
      <c r="H16" s="595">
        <f>IF(C16=0,0,G16/C16)</f>
        <v>10677.915262871329</v>
      </c>
    </row>
    <row r="17" spans="2:8" x14ac:dyDescent="0.3">
      <c r="B17" s="10" t="str">
        <f>'5.2 Budgeted Enrollment YR2'!E11</f>
        <v>Clark</v>
      </c>
      <c r="C17" s="536">
        <f>'5.2 Budgeted Enrollment YR2'!G11</f>
        <v>293503.02038115874</v>
      </c>
      <c r="D17" s="148">
        <f>'6.3 Statewide Base Funding YR2'!E16</f>
        <v>2767146476.1535645</v>
      </c>
      <c r="E17" s="147">
        <f>'6.4 District Size Adj. YR2'!$F$31</f>
        <v>24452935.966787413</v>
      </c>
      <c r="F17" s="12">
        <f>'6.5 NCEI Adj. YR2'!J9</f>
        <v>0</v>
      </c>
      <c r="G17" s="581">
        <f t="shared" si="0"/>
        <v>2791599412.1203518</v>
      </c>
      <c r="H17" s="595">
        <f t="shared" ref="H17:H33" si="1">IF(C17=0,0,G17/C17)</f>
        <v>9511.3140862912805</v>
      </c>
    </row>
    <row r="18" spans="2:8" x14ac:dyDescent="0.3">
      <c r="B18" s="10" t="str">
        <f>'5.2 Budgeted Enrollment YR2'!E12</f>
        <v>Douglas</v>
      </c>
      <c r="C18" s="536">
        <f>'5.2 Budgeted Enrollment YR2'!G12</f>
        <v>5170.6418474641814</v>
      </c>
      <c r="D18" s="148">
        <f>'6.3 Statewide Base Funding YR2'!E17</f>
        <v>48748811.337892301</v>
      </c>
      <c r="E18" s="147">
        <f>'6.4 District Size Adj. YR2'!$F$36</f>
        <v>6132445.7371512027</v>
      </c>
      <c r="F18" s="12">
        <f>'6.5 NCEI Adj. YR2'!J10</f>
        <v>0</v>
      </c>
      <c r="G18" s="581">
        <f t="shared" si="0"/>
        <v>54881257.075043507</v>
      </c>
      <c r="H18" s="595">
        <f t="shared" si="1"/>
        <v>10614.012475445135</v>
      </c>
    </row>
    <row r="19" spans="2:8" x14ac:dyDescent="0.3">
      <c r="B19" s="10" t="str">
        <f>'5.2 Budgeted Enrollment YR2'!E13</f>
        <v>Elko</v>
      </c>
      <c r="C19" s="536">
        <f>'5.2 Budgeted Enrollment YR2'!G13</f>
        <v>9818.4043511504351</v>
      </c>
      <c r="D19" s="148">
        <f>'6.3 Statewide Base Funding YR2'!E18</f>
        <v>92567916.222646296</v>
      </c>
      <c r="E19" s="147">
        <f>'6.4 District Size Adj. YR2'!$F$49</f>
        <v>21166605.66387758</v>
      </c>
      <c r="F19" s="12">
        <f>'6.5 NCEI Adj. YR2'!J11</f>
        <v>0</v>
      </c>
      <c r="G19" s="581">
        <f t="shared" si="0"/>
        <v>113734521.88652387</v>
      </c>
      <c r="H19" s="595">
        <f t="shared" si="1"/>
        <v>11583.809122018636</v>
      </c>
    </row>
    <row r="20" spans="2:8" x14ac:dyDescent="0.3">
      <c r="B20" s="10" t="str">
        <f>'5.2 Budgeted Enrollment YR2'!E14</f>
        <v>Esmeralda</v>
      </c>
      <c r="C20" s="536">
        <f>'5.2 Budgeted Enrollment YR2'!G14</f>
        <v>77.392537325948581</v>
      </c>
      <c r="D20" s="148">
        <f>'6.3 Statewide Base Funding YR2'!E19</f>
        <v>729656.84190904326</v>
      </c>
      <c r="E20" s="147">
        <f>'6.4 District Size Adj. YR2'!$F$54</f>
        <v>1210908.4142568191</v>
      </c>
      <c r="F20" s="12">
        <f>'6.5 NCEI Adj. YR2'!J12</f>
        <v>0</v>
      </c>
      <c r="G20" s="581">
        <f t="shared" si="0"/>
        <v>1940565.2561658623</v>
      </c>
      <c r="H20" s="595">
        <f t="shared" si="1"/>
        <v>25074.320124599653</v>
      </c>
    </row>
    <row r="21" spans="2:8" x14ac:dyDescent="0.3">
      <c r="B21" s="10" t="str">
        <f>'5.2 Budgeted Enrollment YR2'!E15</f>
        <v>Eureka</v>
      </c>
      <c r="C21" s="536">
        <f>'5.2 Budgeted Enrollment YR2'!G15</f>
        <v>324.02623606097552</v>
      </c>
      <c r="D21" s="148">
        <f>'6.3 Statewide Base Funding YR2'!E20</f>
        <v>3054919.3535828772</v>
      </c>
      <c r="E21" s="147">
        <f>'6.4 District Size Adj. YR2'!$F$58</f>
        <v>2664805.5966647682</v>
      </c>
      <c r="F21" s="12">
        <f>'6.5 NCEI Adj. YR2'!J13</f>
        <v>0</v>
      </c>
      <c r="G21" s="581">
        <f t="shared" si="0"/>
        <v>5719724.9502476454</v>
      </c>
      <c r="H21" s="595">
        <f t="shared" si="1"/>
        <v>17652.042685738888</v>
      </c>
    </row>
    <row r="22" spans="2:8" x14ac:dyDescent="0.3">
      <c r="B22" s="10" t="str">
        <f>'5.2 Budgeted Enrollment YR2'!E16</f>
        <v>Humboldt</v>
      </c>
      <c r="C22" s="536">
        <f>'5.2 Budgeted Enrollment YR2'!G16</f>
        <v>3185.805194816955</v>
      </c>
      <c r="D22" s="148">
        <f>'6.3 Statewide Base Funding YR2'!E21</f>
        <v>30035771.376734253</v>
      </c>
      <c r="E22" s="147">
        <f>'6.4 District Size Adj. YR2'!$F$66</f>
        <v>6734797.1283968352</v>
      </c>
      <c r="F22" s="12">
        <f>'6.5 NCEI Adj. YR2'!J14</f>
        <v>0</v>
      </c>
      <c r="G22" s="581">
        <f t="shared" si="0"/>
        <v>36770568.505131088</v>
      </c>
      <c r="H22" s="595">
        <f t="shared" si="1"/>
        <v>11542.001552685582</v>
      </c>
    </row>
    <row r="23" spans="2:8" x14ac:dyDescent="0.3">
      <c r="B23" s="10" t="str">
        <f>'5.2 Budgeted Enrollment YR2'!E17</f>
        <v>Lander</v>
      </c>
      <c r="C23" s="536">
        <f>'5.2 Budgeted Enrollment YR2'!G17</f>
        <v>1003.8754811636373</v>
      </c>
      <c r="D23" s="148">
        <f>'6.3 Statewide Base Funding YR2'!E22</f>
        <v>9464538.0364107732</v>
      </c>
      <c r="E23" s="147">
        <f>'6.4 District Size Adj. YR2'!$F$70</f>
        <v>4605386.3902864531</v>
      </c>
      <c r="F23" s="12">
        <f>'6.5 NCEI Adj. YR2'!J15</f>
        <v>0</v>
      </c>
      <c r="G23" s="581">
        <f t="shared" si="0"/>
        <v>14069924.426697226</v>
      </c>
      <c r="H23" s="595">
        <f t="shared" si="1"/>
        <v>14015.607204977396</v>
      </c>
    </row>
    <row r="24" spans="2:8" x14ac:dyDescent="0.3">
      <c r="B24" s="10" t="str">
        <f>'5.2 Budgeted Enrollment YR2'!E18</f>
        <v>Lincoln</v>
      </c>
      <c r="C24" s="536">
        <f>'5.2 Budgeted Enrollment YR2'!G18</f>
        <v>883.90246946271293</v>
      </c>
      <c r="D24" s="148">
        <f>'6.3 Statewide Base Funding YR2'!E23</f>
        <v>8333432.4820944574</v>
      </c>
      <c r="E24" s="147">
        <f>'6.4 District Size Adj. YR2'!$F$76</f>
        <v>6831768.4625348477</v>
      </c>
      <c r="F24" s="12">
        <f>'6.5 NCEI Adj. YR2'!J16</f>
        <v>0</v>
      </c>
      <c r="G24" s="581">
        <f t="shared" si="0"/>
        <v>15165200.944629304</v>
      </c>
      <c r="H24" s="595">
        <f t="shared" si="1"/>
        <v>17157.097608119129</v>
      </c>
    </row>
    <row r="25" spans="2:8" x14ac:dyDescent="0.3">
      <c r="B25" s="10" t="str">
        <f>'5.2 Budgeted Enrollment YR2'!E19</f>
        <v>Lyon</v>
      </c>
      <c r="C25" s="536">
        <f>'5.2 Budgeted Enrollment YR2'!G19</f>
        <v>9045.069485259779</v>
      </c>
      <c r="D25" s="148">
        <f>'6.3 Statewide Base Funding YR2'!E24</f>
        <v>85276915.1070292</v>
      </c>
      <c r="E25" s="147">
        <f>'6.4 District Size Adj. YR2'!$F$83</f>
        <v>18788503.902233206</v>
      </c>
      <c r="F25" s="12">
        <f>'6.5 NCEI Adj. YR2'!J17</f>
        <v>0</v>
      </c>
      <c r="G25" s="581">
        <f t="shared" si="0"/>
        <v>104065419.00926241</v>
      </c>
      <c r="H25" s="595">
        <f t="shared" si="1"/>
        <v>11505.209460120979</v>
      </c>
    </row>
    <row r="26" spans="2:8" x14ac:dyDescent="0.3">
      <c r="B26" s="10" t="str">
        <f>'5.2 Budgeted Enrollment YR2'!E20</f>
        <v>Mineral</v>
      </c>
      <c r="C26" s="536">
        <f>'5.2 Budgeted Enrollment YR2'!G20</f>
        <v>568.00070537479974</v>
      </c>
      <c r="D26" s="148">
        <f>'6.3 Statewide Base Funding YR2'!E25</f>
        <v>5355110.6502736118</v>
      </c>
      <c r="E26" s="147">
        <f>'6.4 District Size Adj. YR2'!$F$87</f>
        <v>3866932.7721181544</v>
      </c>
      <c r="F26" s="12">
        <f>'6.5 NCEI Adj. YR2'!J18</f>
        <v>0</v>
      </c>
      <c r="G26" s="581">
        <f t="shared" si="0"/>
        <v>9222043.4223917667</v>
      </c>
      <c r="H26" s="595">
        <f t="shared" si="1"/>
        <v>16235.971778074692</v>
      </c>
    </row>
    <row r="27" spans="2:8" x14ac:dyDescent="0.3">
      <c r="B27" s="10" t="str">
        <f>'5.2 Budgeted Enrollment YR2'!E21</f>
        <v>Nye</v>
      </c>
      <c r="C27" s="536">
        <f>'5.2 Budgeted Enrollment YR2'!G21</f>
        <v>5594.5124332004871</v>
      </c>
      <c r="D27" s="148">
        <f>'6.3 Statewide Base Funding YR2'!E26</f>
        <v>52745063.220214196</v>
      </c>
      <c r="E27" s="147">
        <f>'6.4 District Size Adj. YR2'!$F$96</f>
        <v>11712953.280580169</v>
      </c>
      <c r="F27" s="12">
        <f>'6.5 NCEI Adj. YR2'!J19</f>
        <v>0</v>
      </c>
      <c r="G27" s="581">
        <f t="shared" si="0"/>
        <v>64458016.500794366</v>
      </c>
      <c r="H27" s="595">
        <f t="shared" si="1"/>
        <v>11521.650415551847</v>
      </c>
    </row>
    <row r="28" spans="2:8" x14ac:dyDescent="0.3">
      <c r="B28" s="10" t="str">
        <f>'5.2 Budgeted Enrollment YR2'!E22</f>
        <v>Pershing</v>
      </c>
      <c r="C28" s="536">
        <f>'5.2 Budgeted Enrollment YR2'!G22</f>
        <v>660.8205610348989</v>
      </c>
      <c r="D28" s="148">
        <f>'6.3 Statewide Base Funding YR2'!E27</f>
        <v>6230216.2494370267</v>
      </c>
      <c r="E28" s="147">
        <f>'6.4 District Size Adj. YR2'!$F$100</f>
        <v>3804313.6196283991</v>
      </c>
      <c r="F28" s="12">
        <f>'6.5 NCEI Adj. YR2'!J20</f>
        <v>0</v>
      </c>
      <c r="G28" s="581">
        <f t="shared" si="0"/>
        <v>10034529.869065426</v>
      </c>
      <c r="H28" s="595">
        <f t="shared" si="1"/>
        <v>15184.954071874721</v>
      </c>
    </row>
    <row r="29" spans="2:8" x14ac:dyDescent="0.3">
      <c r="B29" s="10" t="str">
        <f>'5.2 Budgeted Enrollment YR2'!E23</f>
        <v>Storey</v>
      </c>
      <c r="C29" s="536">
        <f>'5.2 Budgeted Enrollment YR2'!G23</f>
        <v>413.46750117998658</v>
      </c>
      <c r="D29" s="148">
        <f>'6.3 Statewide Base Funding YR2'!E28</f>
        <v>3898171.6011249134</v>
      </c>
      <c r="E29" s="147">
        <f>'6.4 District Size Adj. YR2'!$F$104</f>
        <v>3154670.6803232906</v>
      </c>
      <c r="F29" s="12">
        <f>'6.5 NCEI Adj. YR2'!J21</f>
        <v>0</v>
      </c>
      <c r="G29" s="581">
        <f t="shared" si="0"/>
        <v>7052842.2814482041</v>
      </c>
      <c r="H29" s="595">
        <f t="shared" si="1"/>
        <v>17057.791147599844</v>
      </c>
    </row>
    <row r="30" spans="2:8" x14ac:dyDescent="0.3">
      <c r="B30" s="10" t="str">
        <f>'5.2 Budgeted Enrollment YR2'!E24</f>
        <v>Washoe</v>
      </c>
      <c r="C30" s="536">
        <f>'5.2 Budgeted Enrollment YR2'!G24</f>
        <v>60608.138003589171</v>
      </c>
      <c r="D30" s="148">
        <f>'6.3 Statewide Base Funding YR2'!E29</f>
        <v>571413525.09783876</v>
      </c>
      <c r="E30" s="147">
        <f>'6.4 District Size Adj. YR2'!$F$114</f>
        <v>17682786.732112821</v>
      </c>
      <c r="F30" s="12">
        <f>'6.5 NCEI Adj. YR2'!J22</f>
        <v>0</v>
      </c>
      <c r="G30" s="581">
        <f t="shared" si="0"/>
        <v>589096311.82995152</v>
      </c>
      <c r="H30" s="595">
        <f t="shared" si="1"/>
        <v>9719.7559805428391</v>
      </c>
    </row>
    <row r="31" spans="2:8" x14ac:dyDescent="0.3">
      <c r="B31" s="10" t="str">
        <f>'5.2 Budgeted Enrollment YR2'!E25</f>
        <v>White Pine</v>
      </c>
      <c r="C31" s="536">
        <f>'5.2 Budgeted Enrollment YR2'!G25</f>
        <v>1260.6496409044739</v>
      </c>
      <c r="D31" s="148">
        <f>'6.3 Statewide Base Funding YR2'!E30</f>
        <v>11885404.814447381</v>
      </c>
      <c r="E31" s="147">
        <f>'6.4 District Size Adj. YR2'!$F$120</f>
        <v>6876914.2341751698</v>
      </c>
      <c r="F31" s="12">
        <f>'6.5 NCEI Adj. YR2'!J23</f>
        <v>0</v>
      </c>
      <c r="G31" s="581">
        <f t="shared" si="0"/>
        <v>18762319.048622549</v>
      </c>
      <c r="H31" s="595">
        <f t="shared" si="1"/>
        <v>14883.055878365391</v>
      </c>
    </row>
    <row r="32" spans="2:8" x14ac:dyDescent="0.3">
      <c r="B32" s="10" t="str">
        <f>'5.2 Budgeted Enrollment YR2'!E26</f>
        <v>Charter Schools (Combined)</v>
      </c>
      <c r="C32" s="73">
        <f>C97</f>
        <v>69072.499417353014</v>
      </c>
      <c r="D32" s="529">
        <f>D97</f>
        <v>651215524.50680447</v>
      </c>
      <c r="E32" s="1031">
        <f>E97</f>
        <v>2247056.7944288272</v>
      </c>
      <c r="F32" s="208">
        <f>F97</f>
        <v>0</v>
      </c>
      <c r="G32" s="581">
        <f t="shared" si="0"/>
        <v>653462581.30123329</v>
      </c>
      <c r="H32" s="595">
        <f t="shared" si="1"/>
        <v>9460.5318587481797</v>
      </c>
    </row>
    <row r="33" spans="1:11" x14ac:dyDescent="0.3">
      <c r="A33" s="183"/>
      <c r="B33" s="183" t="str">
        <f>'5.2 Budgeted Enrollment YR2'!E27</f>
        <v>University Schools</v>
      </c>
      <c r="C33" s="538">
        <f>C102</f>
        <v>162.20612853670227</v>
      </c>
      <c r="D33" s="531">
        <f>D102</f>
        <v>1529279.379844029</v>
      </c>
      <c r="E33" s="1032">
        <f>E102</f>
        <v>0</v>
      </c>
      <c r="F33" s="201">
        <f>F102</f>
        <v>0</v>
      </c>
      <c r="G33" s="578">
        <f t="shared" si="0"/>
        <v>1529279.379844029</v>
      </c>
      <c r="H33" s="596">
        <f t="shared" si="1"/>
        <v>9428</v>
      </c>
    </row>
    <row r="34" spans="1:11" s="4" customFormat="1" x14ac:dyDescent="0.3">
      <c r="A34" s="181"/>
      <c r="B34" s="181" t="s">
        <v>89</v>
      </c>
      <c r="C34" s="601">
        <f>SUM(C15:C33)</f>
        <v>471754.24888777226</v>
      </c>
      <c r="D34" s="563">
        <f>SUM(D15:D33)</f>
        <v>4447699058.513916</v>
      </c>
      <c r="E34" s="171">
        <f>SUM(E15:E33)</f>
        <v>150974927.18721125</v>
      </c>
      <c r="F34" s="737">
        <f>SUM(F15:F33)</f>
        <v>0</v>
      </c>
      <c r="G34" s="563">
        <f>SUM(G15:G33)</f>
        <v>4598673985.701129</v>
      </c>
      <c r="H34" s="594">
        <f>G34/C34</f>
        <v>9748.028759768793</v>
      </c>
      <c r="K34" s="9"/>
    </row>
    <row r="35" spans="1:11" x14ac:dyDescent="0.3">
      <c r="C35" s="136">
        <f>C34-'5.2 Budgeted Enrollment YR2'!G28</f>
        <v>0</v>
      </c>
      <c r="D35" s="132"/>
      <c r="E35" s="128"/>
      <c r="F35" s="143"/>
      <c r="H35" s="143"/>
    </row>
    <row r="36" spans="1:11" x14ac:dyDescent="0.3">
      <c r="A36" s="181" t="s">
        <v>84</v>
      </c>
      <c r="B36" s="183"/>
      <c r="C36" s="183"/>
      <c r="D36" s="195"/>
      <c r="E36" s="196"/>
      <c r="F36" s="168"/>
      <c r="G36" s="183"/>
      <c r="H36" s="168"/>
    </row>
    <row r="37" spans="1:11" x14ac:dyDescent="0.3">
      <c r="B37" s="307" t="str">
        <f>'5.2 Budgeted Enrollment YR2'!E32</f>
        <v>100 Academy Of Excellence</v>
      </c>
      <c r="C37" s="665">
        <f>'5.2 Budgeted Enrollment YR2'!G32</f>
        <v>317.62972370211571</v>
      </c>
      <c r="D37" s="666">
        <f>'6.3 Statewide Base Funding YR2'!E36</f>
        <v>2994613.0350635471</v>
      </c>
      <c r="E37" s="667">
        <f>'6.4 District Size Adj. YR2'!G129</f>
        <v>0</v>
      </c>
      <c r="F37" s="668">
        <f>'6.5 NCEI Adj. YR2'!J30</f>
        <v>0</v>
      </c>
      <c r="G37" s="552">
        <f>D37+E37+F37</f>
        <v>2994613.0350635471</v>
      </c>
      <c r="H37" s="595">
        <f>IF(C37=0,0,G37/C37)</f>
        <v>9428</v>
      </c>
    </row>
    <row r="38" spans="1:11" x14ac:dyDescent="0.3">
      <c r="B38" s="10" t="str">
        <f>'5.2 Budgeted Enrollment YR2'!E33</f>
        <v>Academy For Career Education</v>
      </c>
      <c r="C38" s="73">
        <f>'5.2 Budgeted Enrollment YR2'!G33</f>
        <v>233.39983380980189</v>
      </c>
      <c r="D38" s="540">
        <f>'6.3 Statewide Base Funding YR2'!E37</f>
        <v>2200493.6331588123</v>
      </c>
      <c r="E38" s="148">
        <f>'6.4 District Size Adj. YR2'!G130</f>
        <v>0</v>
      </c>
      <c r="F38" s="147">
        <f>'6.5 NCEI Adj. YR2'!J31</f>
        <v>0</v>
      </c>
      <c r="G38" s="552">
        <f>D38+E38+F38</f>
        <v>2200493.6331588123</v>
      </c>
      <c r="H38" s="595">
        <f>IF(C38=0,0,G38/C38)</f>
        <v>9428</v>
      </c>
    </row>
    <row r="39" spans="1:11" x14ac:dyDescent="0.3">
      <c r="B39" s="10" t="str">
        <f>'5.2 Budgeted Enrollment YR2'!E34</f>
        <v xml:space="preserve">Alpine Academy </v>
      </c>
      <c r="C39" s="73">
        <f>'5.2 Budgeted Enrollment YR2'!G34</f>
        <v>147.96290007070388</v>
      </c>
      <c r="D39" s="540">
        <f>'6.3 Statewide Base Funding YR2'!E38</f>
        <v>1394994.2218665963</v>
      </c>
      <c r="E39" s="148">
        <f>'6.4 District Size Adj. YR2'!G131</f>
        <v>0</v>
      </c>
      <c r="F39" s="147">
        <f>'6.5 NCEI Adj. YR2'!J32</f>
        <v>0</v>
      </c>
      <c r="G39" s="552">
        <f t="shared" ref="G39:G45" si="2">D39+E39+F39</f>
        <v>1394994.2218665963</v>
      </c>
      <c r="H39" s="595">
        <f t="shared" ref="H39:H45" si="3">IF(C39=0,0,G39/C39)</f>
        <v>9428</v>
      </c>
    </row>
    <row r="40" spans="1:11" x14ac:dyDescent="0.3">
      <c r="B40" s="10" t="str">
        <f>'5.2 Budgeted Enrollment YR2'!E35</f>
        <v xml:space="preserve">Amplus (Formerly American Preparatory Academy) </v>
      </c>
      <c r="C40" s="73">
        <f>'5.2 Budgeted Enrollment YR2'!G35</f>
        <v>2269.9763633103498</v>
      </c>
      <c r="D40" s="540">
        <f>'6.3 Statewide Base Funding YR2'!E39</f>
        <v>21401337.153289977</v>
      </c>
      <c r="E40" s="148">
        <f>'6.4 District Size Adj. YR2'!G132</f>
        <v>0</v>
      </c>
      <c r="F40" s="147">
        <f>'6.5 NCEI Adj. YR2'!J33</f>
        <v>0</v>
      </c>
      <c r="G40" s="552">
        <f t="shared" si="2"/>
        <v>21401337.153289977</v>
      </c>
      <c r="H40" s="595">
        <f t="shared" si="3"/>
        <v>9428</v>
      </c>
    </row>
    <row r="41" spans="1:11" x14ac:dyDescent="0.3">
      <c r="B41" s="10" t="str">
        <f>'5.2 Budgeted Enrollment YR2'!E36</f>
        <v>Bailey Charter School</v>
      </c>
      <c r="C41" s="73">
        <f>'5.2 Budgeted Enrollment YR2'!G36</f>
        <v>175.50477307407152</v>
      </c>
      <c r="D41" s="540">
        <f>'6.3 Statewide Base Funding YR2'!E40</f>
        <v>1654659.0005423464</v>
      </c>
      <c r="E41" s="148">
        <f>'6.4 District Size Adj. YR2'!G133</f>
        <v>0</v>
      </c>
      <c r="F41" s="147">
        <f>'6.5 NCEI Adj. YR2'!J34</f>
        <v>0</v>
      </c>
      <c r="G41" s="552">
        <f t="shared" si="2"/>
        <v>1654659.0005423464</v>
      </c>
      <c r="H41" s="595">
        <f t="shared" si="3"/>
        <v>9428</v>
      </c>
    </row>
    <row r="42" spans="1:11" x14ac:dyDescent="0.3">
      <c r="B42" s="10" t="str">
        <f>'5.2 Budgeted Enrollment YR2'!E37</f>
        <v>Battle Born Academy</v>
      </c>
      <c r="C42" s="73">
        <f>'5.2 Budgeted Enrollment YR2'!G37</f>
        <v>132.30307201336225</v>
      </c>
      <c r="D42" s="540">
        <f>'6.3 Statewide Base Funding YR2'!E41</f>
        <v>1247353.3629419794</v>
      </c>
      <c r="E42" s="148">
        <f>'6.4 District Size Adj. YR2'!G134</f>
        <v>0</v>
      </c>
      <c r="F42" s="147">
        <f>'6.5 NCEI Adj. YR2'!J35</f>
        <v>0</v>
      </c>
      <c r="G42" s="552">
        <f t="shared" si="2"/>
        <v>1247353.3629419794</v>
      </c>
      <c r="H42" s="595">
        <f t="shared" si="3"/>
        <v>9428</v>
      </c>
    </row>
    <row r="43" spans="1:11" x14ac:dyDescent="0.3">
      <c r="B43" s="10" t="str">
        <f>'5.2 Budgeted Enrollment YR2'!E38</f>
        <v>Beacon Academy</v>
      </c>
      <c r="C43" s="73">
        <f>'5.2 Budgeted Enrollment YR2'!G38</f>
        <v>601.80991881205171</v>
      </c>
      <c r="D43" s="540">
        <f>'6.3 Statewide Base Funding YR2'!E42</f>
        <v>5673863.9145600237</v>
      </c>
      <c r="E43" s="148">
        <f>'6.4 District Size Adj. YR2'!G135</f>
        <v>0</v>
      </c>
      <c r="F43" s="147">
        <f>'6.5 NCEI Adj. YR2'!J36</f>
        <v>0</v>
      </c>
      <c r="G43" s="552">
        <f t="shared" si="2"/>
        <v>5673863.9145600237</v>
      </c>
      <c r="H43" s="595">
        <f t="shared" si="3"/>
        <v>9428</v>
      </c>
    </row>
    <row r="44" spans="1:11" x14ac:dyDescent="0.3">
      <c r="B44" s="10" t="str">
        <f>'5.2 Budgeted Enrollment YR2'!E39</f>
        <v>Cactus Park</v>
      </c>
      <c r="C44" s="73">
        <f>'5.2 Budgeted Enrollment YR2'!G39</f>
        <v>108.63814205394173</v>
      </c>
      <c r="D44" s="540">
        <f>'6.3 Statewide Base Funding YR2'!E43</f>
        <v>1024240.4032845626</v>
      </c>
      <c r="E44" s="148">
        <f>'6.4 District Size Adj. YR2'!G136</f>
        <v>0</v>
      </c>
      <c r="F44" s="147">
        <f>'6.5 NCEI Adj. YR2'!J37</f>
        <v>0</v>
      </c>
      <c r="G44" s="552">
        <f t="shared" si="2"/>
        <v>1024240.4032845626</v>
      </c>
      <c r="H44" s="595">
        <f t="shared" si="3"/>
        <v>9428</v>
      </c>
    </row>
    <row r="45" spans="1:11" x14ac:dyDescent="0.3">
      <c r="B45" s="10" t="str">
        <f>'5.2 Budgeted Enrollment YR2'!E40</f>
        <v>Carson Montessori</v>
      </c>
      <c r="C45" s="73">
        <f>'5.2 Budgeted Enrollment YR2'!G40</f>
        <v>286.5624465080453</v>
      </c>
      <c r="D45" s="540">
        <f>'6.3 Statewide Base Funding YR2'!E44</f>
        <v>2701710.7456778511</v>
      </c>
      <c r="E45" s="148">
        <f>'6.4 District Size Adj. YR2'!G137</f>
        <v>200723.57187978941</v>
      </c>
      <c r="F45" s="147">
        <f>'6.5 NCEI Adj. YR2'!J38</f>
        <v>0</v>
      </c>
      <c r="G45" s="552">
        <f t="shared" si="2"/>
        <v>2902434.3175576404</v>
      </c>
      <c r="H45" s="595">
        <f t="shared" si="3"/>
        <v>10128.453162393538</v>
      </c>
    </row>
    <row r="46" spans="1:11" x14ac:dyDescent="0.3">
      <c r="B46" s="10" t="str">
        <f>'5.2 Budgeted Enrollment YR2'!E41</f>
        <v>CIVICA Nevada Career &amp; Collegiate Academy</v>
      </c>
      <c r="C46" s="73">
        <f>'5.2 Budgeted Enrollment YR2'!G41</f>
        <v>766.82382275741224</v>
      </c>
      <c r="D46" s="540">
        <f>'6.3 Statewide Base Funding YR2'!E45</f>
        <v>7229615.0009568827</v>
      </c>
      <c r="E46" s="148">
        <f>'6.4 District Size Adj. YR2'!G138</f>
        <v>0</v>
      </c>
      <c r="F46" s="147">
        <f>'6.5 NCEI Adj. YR2'!J39</f>
        <v>0</v>
      </c>
      <c r="G46" s="552">
        <f t="shared" ref="G46:G70" si="4">D46+E46+F46</f>
        <v>7229615.0009568827</v>
      </c>
      <c r="H46" s="595">
        <f t="shared" ref="H46:H70" si="5">IF(C46=0,0,G46/C46)</f>
        <v>9428</v>
      </c>
    </row>
    <row r="47" spans="1:11" x14ac:dyDescent="0.3">
      <c r="B47" s="10" t="str">
        <f>'5.2 Budgeted Enrollment YR2'!E42</f>
        <v>Coral Academy of Science Las Vegas</v>
      </c>
      <c r="C47" s="73">
        <f>'5.2 Budgeted Enrollment YR2'!G42</f>
        <v>5181.6526046932322</v>
      </c>
      <c r="D47" s="540">
        <f>'6.3 Statewide Base Funding YR2'!E46</f>
        <v>48852620.757047795</v>
      </c>
      <c r="E47" s="148">
        <f>'6.4 District Size Adj. YR2'!G139</f>
        <v>0</v>
      </c>
      <c r="F47" s="147">
        <f>'6.5 NCEI Adj. YR2'!J40</f>
        <v>0</v>
      </c>
      <c r="G47" s="552">
        <f t="shared" si="4"/>
        <v>48852620.757047795</v>
      </c>
      <c r="H47" s="595">
        <f t="shared" si="5"/>
        <v>9428</v>
      </c>
    </row>
    <row r="48" spans="1:11" x14ac:dyDescent="0.3">
      <c r="B48" s="10" t="str">
        <f>'5.2 Budgeted Enrollment YR2'!E43</f>
        <v>Coral Academy Washoe</v>
      </c>
      <c r="C48" s="73">
        <f>'5.2 Budgeted Enrollment YR2'!G43</f>
        <v>1764.8271374062203</v>
      </c>
      <c r="D48" s="540">
        <f>'6.3 Statewide Base Funding YR2'!E47</f>
        <v>16638790.251465846</v>
      </c>
      <c r="E48" s="148">
        <f>'6.4 District Size Adj. YR2'!G140</f>
        <v>0</v>
      </c>
      <c r="F48" s="147">
        <f>'6.5 NCEI Adj. YR2'!J41</f>
        <v>0</v>
      </c>
      <c r="G48" s="552">
        <f t="shared" si="4"/>
        <v>16638790.251465846</v>
      </c>
      <c r="H48" s="595">
        <f t="shared" si="5"/>
        <v>9428</v>
      </c>
    </row>
    <row r="49" spans="1:8" x14ac:dyDescent="0.3">
      <c r="B49" s="10" t="str">
        <f>'5.2 Budgeted Enrollment YR2'!E44</f>
        <v>Delta Academy</v>
      </c>
      <c r="C49" s="73">
        <f>'5.2 Budgeted Enrollment YR2'!G44</f>
        <v>1260.4243542206814</v>
      </c>
      <c r="D49" s="540">
        <f>'6.3 Statewide Base Funding YR2'!E48</f>
        <v>11883280.811592584</v>
      </c>
      <c r="E49" s="148">
        <f>'6.4 District Size Adj. YR2'!G141</f>
        <v>0</v>
      </c>
      <c r="F49" s="147">
        <f>'6.5 NCEI Adj. YR2'!J42</f>
        <v>0</v>
      </c>
      <c r="G49" s="552">
        <f t="shared" si="4"/>
        <v>11883280.811592584</v>
      </c>
      <c r="H49" s="595">
        <f t="shared" si="5"/>
        <v>9428</v>
      </c>
    </row>
    <row r="50" spans="1:8" x14ac:dyDescent="0.3">
      <c r="B50" s="10" t="str">
        <f>'5.2 Budgeted Enrollment YR2'!E45</f>
        <v>Democracy Prep</v>
      </c>
      <c r="C50" s="73">
        <f>'5.2 Budgeted Enrollment YR2'!G45</f>
        <v>1204.5222970981536</v>
      </c>
      <c r="D50" s="540">
        <f>'6.3 Statewide Base Funding YR2'!E49</f>
        <v>11356236.217041392</v>
      </c>
      <c r="E50" s="148">
        <f>'6.4 District Size Adj. YR2'!G142</f>
        <v>0</v>
      </c>
      <c r="F50" s="147">
        <f>'6.5 NCEI Adj. YR2'!J43</f>
        <v>0</v>
      </c>
      <c r="G50" s="552">
        <f t="shared" si="4"/>
        <v>11356236.217041392</v>
      </c>
      <c r="H50" s="595">
        <f t="shared" si="5"/>
        <v>9428</v>
      </c>
    </row>
    <row r="51" spans="1:8" x14ac:dyDescent="0.3">
      <c r="B51" s="10" t="str">
        <f>'5.2 Budgeted Enrollment YR2'!E46</f>
        <v>Discovery Charter</v>
      </c>
      <c r="C51" s="73">
        <f>'5.2 Budgeted Enrollment YR2'!G46</f>
        <v>492.70232395441064</v>
      </c>
      <c r="D51" s="540">
        <f>'6.3 Statewide Base Funding YR2'!E50</f>
        <v>4645197.5102421837</v>
      </c>
      <c r="E51" s="148">
        <f>'6.4 District Size Adj. YR2'!G143</f>
        <v>0</v>
      </c>
      <c r="F51" s="147">
        <f>'6.5 NCEI Adj. YR2'!J44</f>
        <v>0</v>
      </c>
      <c r="G51" s="552">
        <f t="shared" si="4"/>
        <v>4645197.5102421837</v>
      </c>
      <c r="H51" s="595">
        <f t="shared" si="5"/>
        <v>9428</v>
      </c>
    </row>
    <row r="52" spans="1:8" x14ac:dyDescent="0.3">
      <c r="B52" s="10" t="str">
        <f>'5.2 Budgeted Enrollment YR2'!E47</f>
        <v>Doral Academy</v>
      </c>
      <c r="C52" s="73">
        <f>'5.2 Budgeted Enrollment YR2'!G47</f>
        <v>6286.4164943188516</v>
      </c>
      <c r="D52" s="540">
        <f>'6.3 Statewide Base Funding YR2'!E51</f>
        <v>59268334.708438136</v>
      </c>
      <c r="E52" s="148">
        <f>'6.4 District Size Adj. YR2'!G144</f>
        <v>0</v>
      </c>
      <c r="F52" s="147">
        <f>'6.5 NCEI Adj. YR2'!J45</f>
        <v>0</v>
      </c>
      <c r="G52" s="552">
        <f t="shared" si="4"/>
        <v>59268334.708438136</v>
      </c>
      <c r="H52" s="595">
        <f t="shared" si="5"/>
        <v>9428</v>
      </c>
    </row>
    <row r="53" spans="1:8" x14ac:dyDescent="0.3">
      <c r="B53" s="10" t="str">
        <f>'5.2 Budgeted Enrollment YR2'!E48</f>
        <v>Doral Academy of Northern Nevada</v>
      </c>
      <c r="C53" s="73">
        <f>'5.2 Budgeted Enrollment YR2'!G48</f>
        <v>958.37624221890496</v>
      </c>
      <c r="D53" s="540">
        <f>'6.3 Statewide Base Funding YR2'!E52</f>
        <v>9035571.2116398364</v>
      </c>
      <c r="E53" s="148">
        <f>'6.4 District Size Adj. YR2'!G145</f>
        <v>0</v>
      </c>
      <c r="F53" s="147">
        <f>'6.5 NCEI Adj. YR2'!J46</f>
        <v>0</v>
      </c>
      <c r="G53" s="552">
        <f t="shared" si="4"/>
        <v>9035571.2116398364</v>
      </c>
      <c r="H53" s="595">
        <f t="shared" si="5"/>
        <v>9428</v>
      </c>
    </row>
    <row r="54" spans="1:8" x14ac:dyDescent="0.3">
      <c r="B54" s="10" t="str">
        <f>'5.2 Budgeted Enrollment YR2'!E49</f>
        <v>Eagle Charter School</v>
      </c>
      <c r="C54" s="73">
        <f>'5.2 Budgeted Enrollment YR2'!G49</f>
        <v>540.54</v>
      </c>
      <c r="D54" s="540">
        <f>'6.3 Statewide Base Funding YR2'!E53</f>
        <v>5096211.12</v>
      </c>
      <c r="E54" s="148">
        <f>'6.4 District Size Adj. YR2'!G146</f>
        <v>0</v>
      </c>
      <c r="F54" s="147">
        <f>'6.5 NCEI Adj. YR2'!J47</f>
        <v>0</v>
      </c>
      <c r="G54" s="552">
        <f t="shared" si="4"/>
        <v>5096211.12</v>
      </c>
      <c r="H54" s="595">
        <f t="shared" si="5"/>
        <v>9428</v>
      </c>
    </row>
    <row r="55" spans="1:8" x14ac:dyDescent="0.3">
      <c r="B55" s="10" t="str">
        <f>'5.2 Budgeted Enrollment YR2'!E50</f>
        <v>Elko Institute for Academic Achievement</v>
      </c>
      <c r="C55" s="73">
        <f>'5.2 Budgeted Enrollment YR2'!G50</f>
        <v>197.4407703597104</v>
      </c>
      <c r="D55" s="540">
        <f>'6.3 Statewide Base Funding YR2'!E54</f>
        <v>1861471.5829513497</v>
      </c>
      <c r="E55" s="148">
        <f>'6.4 District Size Adj. YR2'!G147</f>
        <v>146102.50452658045</v>
      </c>
      <c r="F55" s="147">
        <f>'6.5 NCEI Adj. YR2'!J48</f>
        <v>0</v>
      </c>
      <c r="G55" s="552">
        <f t="shared" si="4"/>
        <v>2007574.0874779301</v>
      </c>
      <c r="H55" s="595">
        <f t="shared" si="5"/>
        <v>10167.981434738133</v>
      </c>
    </row>
    <row r="56" spans="1:8" x14ac:dyDescent="0.3">
      <c r="B56" s="10" t="str">
        <f>'5.2 Budgeted Enrollment YR2'!E51</f>
        <v>enCompass Academy</v>
      </c>
      <c r="C56" s="73">
        <f>'5.2 Budgeted Enrollment YR2'!G51</f>
        <v>114.98868933024798</v>
      </c>
      <c r="D56" s="540">
        <f>'6.3 Statewide Base Funding YR2'!E55</f>
        <v>1084113.3630055781</v>
      </c>
      <c r="E56" s="148">
        <f>'6.4 District Size Adj. YR2'!G148</f>
        <v>0</v>
      </c>
      <c r="F56" s="147">
        <f>'6.5 NCEI Adj. YR2'!J49</f>
        <v>0</v>
      </c>
      <c r="G56" s="552">
        <f t="shared" si="4"/>
        <v>1084113.3630055781</v>
      </c>
      <c r="H56" s="595">
        <f t="shared" si="5"/>
        <v>9428.0000000000018</v>
      </c>
    </row>
    <row r="57" spans="1:8" x14ac:dyDescent="0.3">
      <c r="B57" s="10" t="str">
        <f>'5.2 Budgeted Enrollment YR2'!E52</f>
        <v>Equipo Academy</v>
      </c>
      <c r="C57" s="73">
        <f>'5.2 Budgeted Enrollment YR2'!G52</f>
        <v>799.91961948830169</v>
      </c>
      <c r="D57" s="540">
        <f>'6.3 Statewide Base Funding YR2'!E56</f>
        <v>7541642.1725357082</v>
      </c>
      <c r="E57" s="148">
        <f>'6.4 District Size Adj. YR2'!G149</f>
        <v>0</v>
      </c>
      <c r="F57" s="147">
        <f>'6.5 NCEI Adj. YR2'!J50</f>
        <v>0</v>
      </c>
      <c r="G57" s="552">
        <f t="shared" si="4"/>
        <v>7541642.1725357082</v>
      </c>
      <c r="H57" s="595">
        <f t="shared" si="5"/>
        <v>9428</v>
      </c>
    </row>
    <row r="58" spans="1:8" x14ac:dyDescent="0.3">
      <c r="B58" s="10" t="str">
        <f>'5.2 Budgeted Enrollment YR2'!E53</f>
        <v>Explore Academy</v>
      </c>
      <c r="C58" s="73">
        <f>'5.2 Budgeted Enrollment YR2'!G53</f>
        <v>275.00799010221766</v>
      </c>
      <c r="D58" s="540">
        <f>'6.3 Statewide Base Funding YR2'!E57</f>
        <v>2592775.3306837082</v>
      </c>
      <c r="E58" s="148">
        <f>'6.4 District Size Adj. YR2'!G150</f>
        <v>0</v>
      </c>
      <c r="F58" s="147">
        <f>'6.5 NCEI Adj. YR2'!J51</f>
        <v>0</v>
      </c>
      <c r="G58" s="552">
        <f t="shared" si="4"/>
        <v>2592775.3306837082</v>
      </c>
      <c r="H58" s="595">
        <f t="shared" si="5"/>
        <v>9428</v>
      </c>
    </row>
    <row r="59" spans="1:8" x14ac:dyDescent="0.3">
      <c r="B59" s="10" t="str">
        <f>'5.2 Budgeted Enrollment YR2'!E54</f>
        <v>Explore Knowledge Academy</v>
      </c>
      <c r="C59" s="73">
        <f>'5.2 Budgeted Enrollment YR2'!G54</f>
        <v>672.490310086195</v>
      </c>
      <c r="D59" s="540">
        <f>'6.3 Statewide Base Funding YR2'!E58</f>
        <v>6340238.6434926465</v>
      </c>
      <c r="E59" s="148">
        <f>'6.4 District Size Adj. YR2'!G151</f>
        <v>0</v>
      </c>
      <c r="F59" s="147">
        <f>'6.5 NCEI Adj. YR2'!J52</f>
        <v>0</v>
      </c>
      <c r="G59" s="552">
        <f t="shared" si="4"/>
        <v>6340238.6434926465</v>
      </c>
      <c r="H59" s="595">
        <f t="shared" si="5"/>
        <v>9428</v>
      </c>
    </row>
    <row r="60" spans="1:8" s="19" customFormat="1" x14ac:dyDescent="0.3">
      <c r="A60" s="10"/>
      <c r="B60" s="10" t="str">
        <f>'5.2 Budgeted Enrollment YR2'!E55</f>
        <v>Founders Academy of Las Vegas</v>
      </c>
      <c r="C60" s="73">
        <f>'5.2 Budgeted Enrollment YR2'!G55</f>
        <v>943.25732389413508</v>
      </c>
      <c r="D60" s="540">
        <f>'6.3 Statewide Base Funding YR2'!E59</f>
        <v>8893030.0496739056</v>
      </c>
      <c r="E60" s="148">
        <f>'6.4 District Size Adj. YR2'!G152</f>
        <v>0</v>
      </c>
      <c r="F60" s="147">
        <f>'6.5 NCEI Adj. YR2'!J53</f>
        <v>0</v>
      </c>
      <c r="G60" s="552">
        <f t="shared" si="4"/>
        <v>8893030.0496739056</v>
      </c>
      <c r="H60" s="595">
        <f t="shared" si="5"/>
        <v>9428</v>
      </c>
    </row>
    <row r="61" spans="1:8" x14ac:dyDescent="0.3">
      <c r="B61" s="10" t="str">
        <f>'5.2 Budgeted Enrollment YR2'!E56</f>
        <v>Freedom Classical Academy</v>
      </c>
      <c r="C61" s="73">
        <f>'5.2 Budgeted Enrollment YR2'!G56</f>
        <v>1045.9981866482556</v>
      </c>
      <c r="D61" s="540">
        <f>'6.3 Statewide Base Funding YR2'!E60</f>
        <v>9861670.903719753</v>
      </c>
      <c r="E61" s="148">
        <f>'6.4 District Size Adj. YR2'!G153</f>
        <v>0</v>
      </c>
      <c r="F61" s="147">
        <f>'6.5 NCEI Adj. YR2'!J54</f>
        <v>0</v>
      </c>
      <c r="G61" s="552">
        <f t="shared" si="4"/>
        <v>9861670.903719753</v>
      </c>
      <c r="H61" s="595">
        <f t="shared" si="5"/>
        <v>9428</v>
      </c>
    </row>
    <row r="62" spans="1:8" x14ac:dyDescent="0.3">
      <c r="B62" s="10" t="str">
        <f>'5.2 Budgeted Enrollment YR2'!E57</f>
        <v>Futuro Academy Elementary</v>
      </c>
      <c r="C62" s="73">
        <f>'5.2 Budgeted Enrollment YR2'!G57</f>
        <v>464.17096223843089</v>
      </c>
      <c r="D62" s="540">
        <f>'6.3 Statewide Base Funding YR2'!E61</f>
        <v>4376203.8319839267</v>
      </c>
      <c r="E62" s="148">
        <f>'6.4 District Size Adj. YR2'!G154</f>
        <v>0</v>
      </c>
      <c r="F62" s="147">
        <f>'6.5 NCEI Adj. YR2'!J55</f>
        <v>0</v>
      </c>
      <c r="G62" s="552">
        <f t="shared" si="4"/>
        <v>4376203.8319839267</v>
      </c>
      <c r="H62" s="595">
        <f t="shared" si="5"/>
        <v>9428</v>
      </c>
    </row>
    <row r="63" spans="1:8" x14ac:dyDescent="0.3">
      <c r="B63" s="10" t="str">
        <f>'5.2 Budgeted Enrollment YR2'!E58</f>
        <v>Girls Athletic Leadership Schools</v>
      </c>
      <c r="C63" s="73">
        <f>'5.2 Budgeted Enrollment YR2'!G58</f>
        <v>0</v>
      </c>
      <c r="D63" s="540">
        <f>'6.3 Statewide Base Funding YR2'!E62</f>
        <v>0</v>
      </c>
      <c r="E63" s="148">
        <f>'6.4 District Size Adj. YR2'!G155</f>
        <v>0</v>
      </c>
      <c r="F63" s="147">
        <f>'6.5 NCEI Adj. YR2'!J56</f>
        <v>0</v>
      </c>
      <c r="G63" s="552">
        <f t="shared" si="4"/>
        <v>0</v>
      </c>
      <c r="H63" s="595">
        <f t="shared" si="5"/>
        <v>0</v>
      </c>
    </row>
    <row r="64" spans="1:8" x14ac:dyDescent="0.3">
      <c r="B64" s="10" t="str">
        <f>'5.2 Budgeted Enrollment YR2'!E59</f>
        <v>High Desert Montessori</v>
      </c>
      <c r="C64" s="73">
        <f>'5.2 Budgeted Enrollment YR2'!G59</f>
        <v>392.72260172975848</v>
      </c>
      <c r="D64" s="540">
        <f>'6.3 Statewide Base Funding YR2'!E63</f>
        <v>3702588.6891081631</v>
      </c>
      <c r="E64" s="148">
        <f>'6.4 District Size Adj. YR2'!G156</f>
        <v>0</v>
      </c>
      <c r="F64" s="147">
        <f>'6.5 NCEI Adj. YR2'!J57</f>
        <v>0</v>
      </c>
      <c r="G64" s="552">
        <f t="shared" si="4"/>
        <v>3702588.6891081631</v>
      </c>
      <c r="H64" s="595">
        <f t="shared" si="5"/>
        <v>9428</v>
      </c>
    </row>
    <row r="65" spans="2:8" x14ac:dyDescent="0.3">
      <c r="B65" s="10" t="str">
        <f>'5.2 Budgeted Enrollment YR2'!E60</f>
        <v>Honors Academy of Literature</v>
      </c>
      <c r="C65" s="73">
        <f>'5.2 Budgeted Enrollment YR2'!G60</f>
        <v>216.78092314626417</v>
      </c>
      <c r="D65" s="540">
        <f>'6.3 Statewide Base Funding YR2'!E64</f>
        <v>2043810.5434229786</v>
      </c>
      <c r="E65" s="148">
        <f>'6.4 District Size Adj. YR2'!G157</f>
        <v>0</v>
      </c>
      <c r="F65" s="147">
        <f>'6.5 NCEI Adj. YR2'!J58</f>
        <v>0</v>
      </c>
      <c r="G65" s="552">
        <f t="shared" si="4"/>
        <v>2043810.5434229786</v>
      </c>
      <c r="H65" s="595">
        <f t="shared" si="5"/>
        <v>9428</v>
      </c>
    </row>
    <row r="66" spans="2:8" x14ac:dyDescent="0.3">
      <c r="B66" s="10" t="str">
        <f>'5.2 Budgeted Enrollment YR2'!E61</f>
        <v>Imagine School Mountain View</v>
      </c>
      <c r="C66" s="73">
        <f>'5.2 Budgeted Enrollment YR2'!G61</f>
        <v>672.04958495599931</v>
      </c>
      <c r="D66" s="540">
        <f>'6.3 Statewide Base Funding YR2'!E65</f>
        <v>6336083.4869651617</v>
      </c>
      <c r="E66" s="148">
        <f>'6.4 District Size Adj. YR2'!G158</f>
        <v>0</v>
      </c>
      <c r="F66" s="147">
        <f>'6.5 NCEI Adj. YR2'!J59</f>
        <v>0</v>
      </c>
      <c r="G66" s="552">
        <f t="shared" si="4"/>
        <v>6336083.4869651617</v>
      </c>
      <c r="H66" s="595">
        <f t="shared" si="5"/>
        <v>9428</v>
      </c>
    </row>
    <row r="67" spans="2:8" x14ac:dyDescent="0.3">
      <c r="B67" s="10" t="str">
        <f>'5.2 Budgeted Enrollment YR2'!E62</f>
        <v>Innovations Int'l Charter</v>
      </c>
      <c r="C67" s="73">
        <f>'5.2 Budgeted Enrollment YR2'!G62</f>
        <v>737.8298019390819</v>
      </c>
      <c r="D67" s="540">
        <f>'6.3 Statewide Base Funding YR2'!E66</f>
        <v>6956259.3726816643</v>
      </c>
      <c r="E67" s="148">
        <f>'6.4 District Size Adj. YR2'!G159</f>
        <v>0</v>
      </c>
      <c r="F67" s="147">
        <f>'6.5 NCEI Adj. YR2'!J60</f>
        <v>0</v>
      </c>
      <c r="G67" s="552">
        <f t="shared" si="4"/>
        <v>6956259.3726816643</v>
      </c>
      <c r="H67" s="595">
        <f t="shared" si="5"/>
        <v>9428</v>
      </c>
    </row>
    <row r="68" spans="2:8" x14ac:dyDescent="0.3">
      <c r="B68" s="10" t="str">
        <f>'5.2 Budgeted Enrollment YR2'!E63</f>
        <v>Leadership Academy of Nevada</v>
      </c>
      <c r="C68" s="73">
        <f>'5.2 Budgeted Enrollment YR2'!G63</f>
        <v>267.90731642854911</v>
      </c>
      <c r="D68" s="540">
        <f>'6.3 Statewide Base Funding YR2'!E67</f>
        <v>2525830.1792883612</v>
      </c>
      <c r="E68" s="148">
        <f>'6.4 District Size Adj. YR2'!G160</f>
        <v>0</v>
      </c>
      <c r="F68" s="147">
        <f>'6.5 NCEI Adj. YR2'!J61</f>
        <v>0</v>
      </c>
      <c r="G68" s="552">
        <f t="shared" si="4"/>
        <v>2525830.1792883612</v>
      </c>
      <c r="H68" s="595">
        <f t="shared" si="5"/>
        <v>9428</v>
      </c>
    </row>
    <row r="69" spans="2:8" x14ac:dyDescent="0.3">
      <c r="B69" s="10" t="str">
        <f>'5.2 Budgeted Enrollment YR2'!E64</f>
        <v>Learning Bridge</v>
      </c>
      <c r="C69" s="73">
        <f>'5.2 Budgeted Enrollment YR2'!G64</f>
        <v>175.37345354755249</v>
      </c>
      <c r="D69" s="540">
        <f>'6.3 Statewide Base Funding YR2'!E68</f>
        <v>1653420.9200463248</v>
      </c>
      <c r="E69" s="148">
        <f>'6.4 District Size Adj. YR2'!G161</f>
        <v>740191.29368051747</v>
      </c>
      <c r="F69" s="147">
        <f>'6.5 NCEI Adj. YR2'!J62</f>
        <v>0</v>
      </c>
      <c r="G69" s="552">
        <f t="shared" si="4"/>
        <v>2393612.2137268423</v>
      </c>
      <c r="H69" s="595">
        <f t="shared" si="5"/>
        <v>13648.657566510285</v>
      </c>
    </row>
    <row r="70" spans="2:8" x14ac:dyDescent="0.3">
      <c r="B70" s="10" t="str">
        <f>'5.2 Budgeted Enrollment YR2'!E65</f>
        <v>Legacy Traditional Schools</v>
      </c>
      <c r="C70" s="73">
        <f>'5.2 Budgeted Enrollment YR2'!G65</f>
        <v>4018.3786872551959</v>
      </c>
      <c r="D70" s="540">
        <f>'6.3 Statewide Base Funding YR2'!E69</f>
        <v>37885274.263441987</v>
      </c>
      <c r="E70" s="148">
        <f>'6.4 District Size Adj. YR2'!G162</f>
        <v>0</v>
      </c>
      <c r="F70" s="147">
        <f>'6.5 NCEI Adj. YR2'!J63</f>
        <v>0</v>
      </c>
      <c r="G70" s="552">
        <f t="shared" si="4"/>
        <v>37885274.263441987</v>
      </c>
      <c r="H70" s="595">
        <f t="shared" si="5"/>
        <v>9428</v>
      </c>
    </row>
    <row r="71" spans="2:8" x14ac:dyDescent="0.3">
      <c r="B71" s="10" t="str">
        <f>'5.2 Budgeted Enrollment YR2'!E66</f>
        <v>Mariposa Dual Language Academy</v>
      </c>
      <c r="C71" s="73">
        <f>'5.2 Budgeted Enrollment YR2'!G66</f>
        <v>160.32246760830301</v>
      </c>
      <c r="D71" s="540">
        <f>'6.3 Statewide Base Funding YR2'!E70</f>
        <v>1511520.2246110807</v>
      </c>
      <c r="E71" s="148">
        <f>'6.4 District Size Adj. YR2'!G163</f>
        <v>0</v>
      </c>
      <c r="F71" s="147">
        <f>'6.5 NCEI Adj. YR2'!J64</f>
        <v>0</v>
      </c>
      <c r="G71" s="552">
        <f t="shared" ref="G71:G95" si="6">D71+E71+F71</f>
        <v>1511520.2246110807</v>
      </c>
      <c r="H71" s="595">
        <f t="shared" ref="H71:H95" si="7">IF(C71=0,0,G71/C71)</f>
        <v>9428</v>
      </c>
    </row>
    <row r="72" spans="2:8" x14ac:dyDescent="0.3">
      <c r="B72" s="10" t="str">
        <f>'5.2 Budgeted Enrollment YR2'!E67</f>
        <v>Mater Academy</v>
      </c>
      <c r="C72" s="73">
        <f>'5.2 Budgeted Enrollment YR2'!G67</f>
        <v>3961.4054733841613</v>
      </c>
      <c r="D72" s="540">
        <f>'6.3 Statewide Base Funding YR2'!E71</f>
        <v>37348130.803065874</v>
      </c>
      <c r="E72" s="148">
        <f>'6.4 District Size Adj. YR2'!G164</f>
        <v>0</v>
      </c>
      <c r="F72" s="147">
        <f>'6.5 NCEI Adj. YR2'!J65</f>
        <v>0</v>
      </c>
      <c r="G72" s="552">
        <f t="shared" si="6"/>
        <v>37348130.803065874</v>
      </c>
      <c r="H72" s="595">
        <f t="shared" si="7"/>
        <v>9428</v>
      </c>
    </row>
    <row r="73" spans="2:8" x14ac:dyDescent="0.3">
      <c r="B73" s="10" t="str">
        <f>'5.2 Budgeted Enrollment YR2'!E68</f>
        <v>Mater Academy of Northern Nevada</v>
      </c>
      <c r="C73" s="73">
        <f>'5.2 Budgeted Enrollment YR2'!G68</f>
        <v>491.96676270841391</v>
      </c>
      <c r="D73" s="540">
        <f>'6.3 Statewide Base Funding YR2'!E72</f>
        <v>4638262.6388149261</v>
      </c>
      <c r="E73" s="148">
        <f>'6.4 District Size Adj. YR2'!G165</f>
        <v>0</v>
      </c>
      <c r="F73" s="147">
        <f>'6.5 NCEI Adj. YR2'!J66</f>
        <v>0</v>
      </c>
      <c r="G73" s="552">
        <f t="shared" si="6"/>
        <v>4638262.6388149261</v>
      </c>
      <c r="H73" s="595">
        <f t="shared" si="7"/>
        <v>9428</v>
      </c>
    </row>
    <row r="74" spans="2:8" x14ac:dyDescent="0.3">
      <c r="B74" s="10" t="str">
        <f>'5.2 Budgeted Enrollment YR2'!E69</f>
        <v>Nevada Connections Academy</v>
      </c>
      <c r="C74" s="73">
        <f>'5.2 Budgeted Enrollment YR2'!G69</f>
        <v>1067.0069745922351</v>
      </c>
      <c r="D74" s="540">
        <f>'6.3 Statewide Base Funding YR2'!E73</f>
        <v>10059741.756455593</v>
      </c>
      <c r="E74" s="148">
        <f>'6.4 District Size Adj. YR2'!G166</f>
        <v>0</v>
      </c>
      <c r="F74" s="147">
        <f>'6.5 NCEI Adj. YR2'!J67</f>
        <v>0</v>
      </c>
      <c r="G74" s="552">
        <f t="shared" si="6"/>
        <v>10059741.756455593</v>
      </c>
      <c r="H74" s="595">
        <f t="shared" si="7"/>
        <v>9428</v>
      </c>
    </row>
    <row r="75" spans="2:8" x14ac:dyDescent="0.3">
      <c r="B75" s="10" t="str">
        <f>'5.2 Budgeted Enrollment YR2'!E70</f>
        <v>Nevada Prep</v>
      </c>
      <c r="C75" s="73">
        <f>'5.2 Budgeted Enrollment YR2'!G70</f>
        <v>281.61777384713741</v>
      </c>
      <c r="D75" s="540">
        <f>'6.3 Statewide Base Funding YR2'!E74</f>
        <v>2655092.3718308117</v>
      </c>
      <c r="E75" s="148">
        <f>'6.4 District Size Adj. YR2'!G167</f>
        <v>0</v>
      </c>
      <c r="F75" s="147">
        <f>'6.5 NCEI Adj. YR2'!J68</f>
        <v>0</v>
      </c>
      <c r="G75" s="552">
        <f t="shared" si="6"/>
        <v>2655092.3718308117</v>
      </c>
      <c r="H75" s="595">
        <f t="shared" si="7"/>
        <v>9428</v>
      </c>
    </row>
    <row r="76" spans="2:8" x14ac:dyDescent="0.3">
      <c r="B76" s="10" t="str">
        <f>'5.2 Budgeted Enrollment YR2'!E71</f>
        <v xml:space="preserve">Nevada Rise </v>
      </c>
      <c r="C76" s="73">
        <f>'5.2 Budgeted Enrollment YR2'!G71</f>
        <v>458.36661953837051</v>
      </c>
      <c r="D76" s="540">
        <f>'6.3 Statewide Base Funding YR2'!E75</f>
        <v>4321480.489007757</v>
      </c>
      <c r="E76" s="148">
        <f>'6.4 District Size Adj. YR2'!G168</f>
        <v>0</v>
      </c>
      <c r="F76" s="147">
        <f>'6.5 NCEI Adj. YR2'!J69</f>
        <v>0</v>
      </c>
      <c r="G76" s="552">
        <f t="shared" si="6"/>
        <v>4321480.489007757</v>
      </c>
      <c r="H76" s="595">
        <f t="shared" si="7"/>
        <v>9428</v>
      </c>
    </row>
    <row r="77" spans="2:8" x14ac:dyDescent="0.3">
      <c r="B77" s="10" t="str">
        <f>'5.2 Budgeted Enrollment YR2'!E72</f>
        <v>Nevada State High School</v>
      </c>
      <c r="C77" s="73">
        <f>'5.2 Budgeted Enrollment YR2'!G72</f>
        <v>984.30035161182957</v>
      </c>
      <c r="D77" s="540">
        <f>'6.3 Statewide Base Funding YR2'!E76</f>
        <v>9279983.7149963286</v>
      </c>
      <c r="E77" s="148">
        <f>'6.4 District Size Adj. YR2'!G169</f>
        <v>0</v>
      </c>
      <c r="F77" s="147">
        <f>'6.5 NCEI Adj. YR2'!J70</f>
        <v>0</v>
      </c>
      <c r="G77" s="552">
        <f t="shared" si="6"/>
        <v>9279983.7149963286</v>
      </c>
      <c r="H77" s="595">
        <f t="shared" si="7"/>
        <v>9428</v>
      </c>
    </row>
    <row r="78" spans="2:8" x14ac:dyDescent="0.3">
      <c r="B78" s="10" t="str">
        <f>'5.2 Budgeted Enrollment YR2'!E73</f>
        <v>Nevada State High School-Meadowwood</v>
      </c>
      <c r="C78" s="73">
        <f>'5.2 Budgeted Enrollment YR2'!G73</f>
        <v>31.853232783121751</v>
      </c>
      <c r="D78" s="540">
        <f>'6.3 Statewide Base Funding YR2'!E77</f>
        <v>300312.27867927187</v>
      </c>
      <c r="E78" s="148">
        <f>'6.4 District Size Adj. YR2'!G170</f>
        <v>0</v>
      </c>
      <c r="F78" s="147">
        <f>'6.5 NCEI Adj. YR2'!J71</f>
        <v>0</v>
      </c>
      <c r="G78" s="552">
        <f t="shared" si="6"/>
        <v>300312.27867927187</v>
      </c>
      <c r="H78" s="595">
        <f t="shared" si="7"/>
        <v>9428</v>
      </c>
    </row>
    <row r="79" spans="2:8" x14ac:dyDescent="0.3">
      <c r="B79" s="10" t="str">
        <f>'5.2 Budgeted Enrollment YR2'!E74</f>
        <v>Nevada Virtual Academy</v>
      </c>
      <c r="C79" s="73">
        <f>'5.2 Budgeted Enrollment YR2'!G74</f>
        <v>2160.5541598280038</v>
      </c>
      <c r="D79" s="540">
        <f>'6.3 Statewide Base Funding YR2'!E78</f>
        <v>20369704.618858419</v>
      </c>
      <c r="E79" s="148">
        <f>'6.4 District Size Adj. YR2'!G171</f>
        <v>0</v>
      </c>
      <c r="F79" s="147">
        <f>'6.5 NCEI Adj. YR2'!J72</f>
        <v>0</v>
      </c>
      <c r="G79" s="552">
        <f t="shared" si="6"/>
        <v>20369704.618858419</v>
      </c>
      <c r="H79" s="595">
        <f t="shared" si="7"/>
        <v>9428</v>
      </c>
    </row>
    <row r="80" spans="2:8" x14ac:dyDescent="0.3">
      <c r="B80" s="10" t="str">
        <f>'5.2 Budgeted Enrollment YR2'!E75</f>
        <v>Oasis Academy</v>
      </c>
      <c r="C80" s="73">
        <f>'5.2 Budgeted Enrollment YR2'!G75</f>
        <v>734.93884731429671</v>
      </c>
      <c r="D80" s="540">
        <f>'6.3 Statewide Base Funding YR2'!E79</f>
        <v>6929003.4524791893</v>
      </c>
      <c r="E80" s="148">
        <f>'6.4 District Size Adj. YR2'!G172</f>
        <v>918611.28253520082</v>
      </c>
      <c r="F80" s="147">
        <f>'6.5 NCEI Adj. YR2'!J73</f>
        <v>0</v>
      </c>
      <c r="G80" s="552">
        <f t="shared" si="6"/>
        <v>7847614.7350143902</v>
      </c>
      <c r="H80" s="595">
        <f t="shared" si="7"/>
        <v>10677.915262871329</v>
      </c>
    </row>
    <row r="81" spans="2:8" x14ac:dyDescent="0.3">
      <c r="B81" s="10" t="str">
        <f>'5.2 Budgeted Enrollment YR2'!E76</f>
        <v>Odyssey Charter Schools</v>
      </c>
      <c r="C81" s="73">
        <f>'5.2 Budgeted Enrollment YR2'!G76</f>
        <v>2327.5551768725609</v>
      </c>
      <c r="D81" s="540">
        <f>'6.3 Statewide Base Funding YR2'!E80</f>
        <v>21944190.207554504</v>
      </c>
      <c r="E81" s="148">
        <f>'6.4 District Size Adj. YR2'!G173</f>
        <v>0</v>
      </c>
      <c r="F81" s="147">
        <f>'6.5 NCEI Adj. YR2'!J74</f>
        <v>0</v>
      </c>
      <c r="G81" s="552">
        <f t="shared" si="6"/>
        <v>21944190.207554504</v>
      </c>
      <c r="H81" s="595">
        <f t="shared" si="7"/>
        <v>9428</v>
      </c>
    </row>
    <row r="82" spans="2:8" x14ac:dyDescent="0.3">
      <c r="B82" s="10" t="str">
        <f>'5.2 Budgeted Enrollment YR2'!E77</f>
        <v>Pinecrest Academy of Northern Nevada</v>
      </c>
      <c r="C82" s="73">
        <f>'5.2 Budgeted Enrollment YR2'!G77</f>
        <v>927.90151170988167</v>
      </c>
      <c r="D82" s="540">
        <f>'6.3 Statewide Base Funding YR2'!E81</f>
        <v>8748255.4524007645</v>
      </c>
      <c r="E82" s="148">
        <f>'6.4 District Size Adj. YR2'!G174</f>
        <v>0</v>
      </c>
      <c r="F82" s="147">
        <f>'6.5 NCEI Adj. YR2'!J75</f>
        <v>0</v>
      </c>
      <c r="G82" s="552">
        <f t="shared" si="6"/>
        <v>8748255.4524007645</v>
      </c>
      <c r="H82" s="595">
        <f t="shared" si="7"/>
        <v>9428</v>
      </c>
    </row>
    <row r="83" spans="2:8" x14ac:dyDescent="0.3">
      <c r="B83" s="10" t="str">
        <f>'5.2 Budgeted Enrollment YR2'!E78</f>
        <v>Pinecrest Academy of Nevada</v>
      </c>
      <c r="C83" s="73">
        <f>'5.2 Budgeted Enrollment YR2'!G78</f>
        <v>7413.8513684858726</v>
      </c>
      <c r="D83" s="540">
        <f>'6.3 Statewide Base Funding YR2'!E82</f>
        <v>69897790.70208481</v>
      </c>
      <c r="E83" s="148">
        <f>'6.4 District Size Adj. YR2'!G175</f>
        <v>0</v>
      </c>
      <c r="F83" s="147">
        <f>'6.5 NCEI Adj. YR2'!J76</f>
        <v>0</v>
      </c>
      <c r="G83" s="552">
        <f t="shared" si="6"/>
        <v>69897790.70208481</v>
      </c>
      <c r="H83" s="595">
        <f t="shared" si="7"/>
        <v>9428</v>
      </c>
    </row>
    <row r="84" spans="2:8" x14ac:dyDescent="0.3">
      <c r="B84" s="10" t="str">
        <f>'5.2 Budgeted Enrollment YR2'!E79</f>
        <v>Quest Academy</v>
      </c>
      <c r="C84" s="73">
        <f>'5.2 Budgeted Enrollment YR2'!G79</f>
        <v>435.30441038798858</v>
      </c>
      <c r="D84" s="540">
        <f>'6.3 Statewide Base Funding YR2'!E83</f>
        <v>4104049.9811379565</v>
      </c>
      <c r="E84" s="148">
        <f>'6.4 District Size Adj. YR2'!G176</f>
        <v>0</v>
      </c>
      <c r="F84" s="147">
        <f>'6.5 NCEI Adj. YR2'!J77</f>
        <v>0</v>
      </c>
      <c r="G84" s="552">
        <f t="shared" si="6"/>
        <v>4104049.9811379565</v>
      </c>
      <c r="H84" s="595">
        <f t="shared" si="7"/>
        <v>9428</v>
      </c>
    </row>
    <row r="85" spans="2:8" x14ac:dyDescent="0.3">
      <c r="B85" s="10" t="str">
        <f>'5.2 Budgeted Enrollment YR2'!E80</f>
        <v>Rainbow Dreams Academy</v>
      </c>
      <c r="C85" s="73">
        <f>'5.2 Budgeted Enrollment YR2'!G80</f>
        <v>70.305537539337109</v>
      </c>
      <c r="D85" s="540">
        <f>'6.3 Statewide Base Funding YR2'!E84</f>
        <v>662840.6079208703</v>
      </c>
      <c r="E85" s="148">
        <f>'6.4 District Size Adj. YR2'!G177</f>
        <v>0</v>
      </c>
      <c r="F85" s="147">
        <f>'6.5 NCEI Adj. YR2'!J78</f>
        <v>0</v>
      </c>
      <c r="G85" s="552">
        <f t="shared" si="6"/>
        <v>662840.6079208703</v>
      </c>
      <c r="H85" s="595">
        <f t="shared" si="7"/>
        <v>9428</v>
      </c>
    </row>
    <row r="86" spans="2:8" x14ac:dyDescent="0.3">
      <c r="B86" s="10" t="str">
        <f>'5.2 Budgeted Enrollment YR2'!E81</f>
        <v>Rooted Charter School</v>
      </c>
      <c r="C86" s="73">
        <f>'5.2 Budgeted Enrollment YR2'!G81</f>
        <v>180.18</v>
      </c>
      <c r="D86" s="540">
        <f>'6.3 Statewide Base Funding YR2'!E85</f>
        <v>1698737.04</v>
      </c>
      <c r="E86" s="148">
        <f>'6.4 District Size Adj. YR2'!G178</f>
        <v>0</v>
      </c>
      <c r="F86" s="147">
        <f>'6.5 NCEI Adj. YR2'!J79</f>
        <v>0</v>
      </c>
      <c r="G86" s="552">
        <f t="shared" ref="G86" si="8">D86+E86+F86</f>
        <v>1698737.04</v>
      </c>
      <c r="H86" s="595">
        <f t="shared" ref="H86" si="9">IF(C86=0,0,G86/C86)</f>
        <v>9428</v>
      </c>
    </row>
    <row r="87" spans="2:8" x14ac:dyDescent="0.3">
      <c r="B87" s="10" t="str">
        <f>'5.2 Budgeted Enrollment YR2'!E82</f>
        <v>Sage Collegiate Academy</v>
      </c>
      <c r="C87" s="73">
        <f>'5.2 Budgeted Enrollment YR2'!G82</f>
        <v>199.07693671069981</v>
      </c>
      <c r="D87" s="540">
        <f>'6.3 Statewide Base Funding YR2'!E86</f>
        <v>1876897.3593084777</v>
      </c>
      <c r="E87" s="148">
        <f>'6.4 District Size Adj. YR2'!G179</f>
        <v>0</v>
      </c>
      <c r="F87" s="147">
        <f>'6.5 NCEI Adj. YR2'!J80</f>
        <v>0</v>
      </c>
      <c r="G87" s="552">
        <f t="shared" si="6"/>
        <v>1876897.3593084777</v>
      </c>
      <c r="H87" s="595">
        <f t="shared" si="7"/>
        <v>9428</v>
      </c>
    </row>
    <row r="88" spans="2:8" x14ac:dyDescent="0.3">
      <c r="B88" s="10" t="str">
        <f>'5.2 Budgeted Enrollment YR2'!E83</f>
        <v>Sierra Nevada Academy Charter</v>
      </c>
      <c r="C88" s="73">
        <f>'5.2 Budgeted Enrollment YR2'!G83</f>
        <v>324.28890145521717</v>
      </c>
      <c r="D88" s="540">
        <f>'6.3 Statewide Base Funding YR2'!E87</f>
        <v>3057395.7629197873</v>
      </c>
      <c r="E88" s="148">
        <f>'6.4 District Size Adj. YR2'!G180</f>
        <v>241428.14180673871</v>
      </c>
      <c r="F88" s="147">
        <f>'6.5 NCEI Adj. YR2'!J81</f>
        <v>0</v>
      </c>
      <c r="G88" s="552">
        <f t="shared" si="6"/>
        <v>3298823.9047265262</v>
      </c>
      <c r="H88" s="595">
        <f t="shared" si="7"/>
        <v>10172.484750243846</v>
      </c>
    </row>
    <row r="89" spans="2:8" x14ac:dyDescent="0.3">
      <c r="B89" s="10" t="str">
        <f>'5.2 Budgeted Enrollment YR2'!E84</f>
        <v>Signature Preparatory</v>
      </c>
      <c r="C89" s="73">
        <f>'5.2 Budgeted Enrollment YR2'!G84</f>
        <v>974.64912726903549</v>
      </c>
      <c r="D89" s="540">
        <f>'6.3 Statewide Base Funding YR2'!E88</f>
        <v>9188991.9718924668</v>
      </c>
      <c r="E89" s="148">
        <f>'6.4 District Size Adj. YR2'!G181</f>
        <v>0</v>
      </c>
      <c r="F89" s="147">
        <f>'6.5 NCEI Adj. YR2'!J82</f>
        <v>0</v>
      </c>
      <c r="G89" s="552">
        <f t="shared" si="6"/>
        <v>9188991.9718924668</v>
      </c>
      <c r="H89" s="595">
        <f t="shared" si="7"/>
        <v>9428</v>
      </c>
    </row>
    <row r="90" spans="2:8" x14ac:dyDescent="0.3">
      <c r="B90" s="10" t="str">
        <f>'5.2 Budgeted Enrollment YR2'!E85</f>
        <v>Silver Sands Montessori</v>
      </c>
      <c r="C90" s="73">
        <f>'5.2 Budgeted Enrollment YR2'!G85</f>
        <v>240.38764208158702</v>
      </c>
      <c r="D90" s="540">
        <f>'6.3 Statewide Base Funding YR2'!E89</f>
        <v>2266374.6895452025</v>
      </c>
      <c r="E90" s="148">
        <f>'6.4 District Size Adj. YR2'!G182</f>
        <v>0</v>
      </c>
      <c r="F90" s="147">
        <f>'6.5 NCEI Adj. YR2'!J83</f>
        <v>0</v>
      </c>
      <c r="G90" s="552">
        <f t="shared" si="6"/>
        <v>2266374.6895452025</v>
      </c>
      <c r="H90" s="595">
        <f t="shared" si="7"/>
        <v>9428</v>
      </c>
    </row>
    <row r="91" spans="2:8" x14ac:dyDescent="0.3">
      <c r="B91" s="10" t="str">
        <f>'5.2 Budgeted Enrollment YR2'!E86</f>
        <v>Somerset Academy</v>
      </c>
      <c r="C91" s="73">
        <f>'5.2 Budgeted Enrollment YR2'!G86</f>
        <v>9475.6362211165433</v>
      </c>
      <c r="D91" s="540">
        <f>'6.3 Statewide Base Funding YR2'!E90</f>
        <v>89336298.292686775</v>
      </c>
      <c r="E91" s="148">
        <f>'6.4 District Size Adj. YR2'!G183</f>
        <v>0</v>
      </c>
      <c r="F91" s="147">
        <f>'6.5 NCEI Adj. YR2'!J84</f>
        <v>0</v>
      </c>
      <c r="G91" s="552">
        <f t="shared" si="6"/>
        <v>89336298.292686775</v>
      </c>
      <c r="H91" s="595">
        <f t="shared" si="7"/>
        <v>9428</v>
      </c>
    </row>
    <row r="92" spans="2:8" x14ac:dyDescent="0.3">
      <c r="B92" s="10" t="str">
        <f>'5.2 Budgeted Enrollment YR2'!E87</f>
        <v>Southern Nevada Trade High School</v>
      </c>
      <c r="C92" s="73">
        <f>'5.2 Budgeted Enrollment YR2'!G87</f>
        <v>200.2</v>
      </c>
      <c r="D92" s="540">
        <f>'6.3 Statewide Base Funding YR2'!E91</f>
        <v>1887485.5999999999</v>
      </c>
      <c r="E92" s="148">
        <f>'6.4 District Size Adj. YR2'!G184</f>
        <v>0</v>
      </c>
      <c r="F92" s="147">
        <f>'6.5 NCEI Adj. YR2'!J85</f>
        <v>0</v>
      </c>
      <c r="G92" s="552">
        <f t="shared" ref="G92" si="10">D92+E92+F92</f>
        <v>1887485.5999999999</v>
      </c>
      <c r="H92" s="595">
        <f t="shared" ref="H92" si="11">IF(C92=0,0,G92/C92)</f>
        <v>9428</v>
      </c>
    </row>
    <row r="93" spans="2:8" x14ac:dyDescent="0.3">
      <c r="B93" s="10" t="str">
        <f>'5.2 Budgeted Enrollment YR2'!E88</f>
        <v>Sports Leadership and Management Academy</v>
      </c>
      <c r="C93" s="73">
        <f>'5.2 Budgeted Enrollment YR2'!G88</f>
        <v>1788.0122702171184</v>
      </c>
      <c r="D93" s="540">
        <f>'6.3 Statewide Base Funding YR2'!E92</f>
        <v>16857379.683606993</v>
      </c>
      <c r="E93" s="148">
        <f>'6.4 District Size Adj. YR2'!G185</f>
        <v>0</v>
      </c>
      <c r="F93" s="147">
        <f>'6.5 NCEI Adj. YR2'!J86</f>
        <v>0</v>
      </c>
      <c r="G93" s="552">
        <f t="shared" si="6"/>
        <v>16857379.683606993</v>
      </c>
      <c r="H93" s="595">
        <f t="shared" si="7"/>
        <v>9428</v>
      </c>
    </row>
    <row r="94" spans="2:8" x14ac:dyDescent="0.3">
      <c r="B94" s="10" t="str">
        <f>'5.2 Budgeted Enrollment YR2'!E89</f>
        <v>Strong Start Academy</v>
      </c>
      <c r="C94" s="73">
        <f>'5.2 Budgeted Enrollment YR2'!G89</f>
        <v>80.710975515445185</v>
      </c>
      <c r="D94" s="540">
        <f>'6.3 Statewide Base Funding YR2'!E93</f>
        <v>760943.07715961721</v>
      </c>
      <c r="E94" s="148">
        <f>'6.4 District Size Adj. YR2'!G186</f>
        <v>0</v>
      </c>
      <c r="F94" s="147">
        <f>'6.5 NCEI Adj. YR2'!J87</f>
        <v>0</v>
      </c>
      <c r="G94" s="552">
        <f t="shared" si="6"/>
        <v>760943.07715961721</v>
      </c>
      <c r="H94" s="595">
        <f t="shared" si="7"/>
        <v>9428</v>
      </c>
    </row>
    <row r="95" spans="2:8" x14ac:dyDescent="0.3">
      <c r="B95" s="10" t="str">
        <f>'5.2 Budgeted Enrollment YR2'!E90</f>
        <v>TEACH Las Vegas</v>
      </c>
      <c r="C95" s="73">
        <f>'5.2 Budgeted Enrollment YR2'!G90</f>
        <v>321.30487536118619</v>
      </c>
      <c r="D95" s="540">
        <f>'6.3 Statewide Base Funding YR2'!E94</f>
        <v>3029262.3649052633</v>
      </c>
      <c r="E95" s="148">
        <f>'6.4 District Size Adj. YR2'!G187</f>
        <v>0</v>
      </c>
      <c r="F95" s="147">
        <f>'6.5 NCEI Adj. YR2'!J88</f>
        <v>0</v>
      </c>
      <c r="G95" s="552">
        <f t="shared" si="6"/>
        <v>3029262.3649052633</v>
      </c>
      <c r="H95" s="595">
        <f t="shared" si="7"/>
        <v>9428</v>
      </c>
    </row>
    <row r="96" spans="2:8" x14ac:dyDescent="0.3">
      <c r="B96" s="183" t="str">
        <f>'5.2 Budgeted Enrollment YR2'!E91</f>
        <v>Young Women's Leadership Academy</v>
      </c>
      <c r="C96" s="538">
        <f>'5.2 Budgeted Enrollment YR2'!G91</f>
        <v>56.413128242471004</v>
      </c>
      <c r="D96" s="541">
        <f>'6.3 Statewide Base Funding YR2'!E95</f>
        <v>531862.9730700166</v>
      </c>
      <c r="E96" s="224">
        <f>'6.4 District Size Adj. YR2'!G188</f>
        <v>0</v>
      </c>
      <c r="F96" s="542">
        <f>'6.5 NCEI Adj. YR2'!J89</f>
        <v>0</v>
      </c>
      <c r="G96" s="552">
        <f>D96+E96+F96</f>
        <v>531862.9730700166</v>
      </c>
      <c r="H96" s="595">
        <f>IF(C96=0,0,G96/C96)</f>
        <v>9428</v>
      </c>
    </row>
    <row r="97" spans="1:8" s="4" customFormat="1" x14ac:dyDescent="0.3">
      <c r="A97" s="427"/>
      <c r="B97" s="427" t="s">
        <v>63</v>
      </c>
      <c r="C97" s="606">
        <f>SUM(C37:C96)</f>
        <v>69072.499417353014</v>
      </c>
      <c r="D97" s="607">
        <f>SUM(D37:D96)</f>
        <v>651215524.50680447</v>
      </c>
      <c r="E97" s="562">
        <f>SUM(E37:E96)</f>
        <v>2247056.7944288272</v>
      </c>
      <c r="F97" s="608">
        <f>SUM(F37:F96)</f>
        <v>0</v>
      </c>
      <c r="G97" s="605">
        <f>SUM(G37:G96)</f>
        <v>653462581.30123317</v>
      </c>
      <c r="H97" s="608">
        <f>G97/C97</f>
        <v>9460.5318587481779</v>
      </c>
    </row>
    <row r="98" spans="1:8" x14ac:dyDescent="0.3">
      <c r="G98" s="12"/>
      <c r="H98" s="12"/>
    </row>
    <row r="99" spans="1:8" x14ac:dyDescent="0.3">
      <c r="A99" s="425" t="s">
        <v>1256</v>
      </c>
      <c r="B99" s="341"/>
      <c r="C99" s="341"/>
      <c r="D99" s="341"/>
      <c r="E99" s="341"/>
      <c r="F99" s="341"/>
      <c r="G99" s="341"/>
      <c r="H99" s="497"/>
    </row>
    <row r="100" spans="1:8" x14ac:dyDescent="0.3">
      <c r="A100" s="132"/>
      <c r="B100" s="10" t="str">
        <f>'5.2 Budgeted Enrollment YR2'!E96</f>
        <v>Davidson Academy</v>
      </c>
      <c r="C100" s="136">
        <f>'5.2 Budgeted Enrollment YR2'!G96</f>
        <v>162.20612853670227</v>
      </c>
      <c r="D100" s="146">
        <f>'6.3 Statewide Base Funding YR2'!E99</f>
        <v>1529279.379844029</v>
      </c>
      <c r="E100" s="15">
        <f>'6.4 District Size Adj. YR2'!G193</f>
        <v>0</v>
      </c>
      <c r="F100" s="115">
        <f>'6.5 NCEI Adj. YR2'!J93</f>
        <v>0</v>
      </c>
      <c r="G100" s="552">
        <f>D100+E100+F100</f>
        <v>1529279.379844029</v>
      </c>
      <c r="H100" s="741">
        <f>IF(C100=0,0,G100/C100)</f>
        <v>9428</v>
      </c>
    </row>
    <row r="101" spans="1:8" x14ac:dyDescent="0.3">
      <c r="A101" s="195"/>
      <c r="B101" s="183"/>
      <c r="C101" s="183"/>
      <c r="D101" s="183"/>
      <c r="E101" s="183"/>
      <c r="F101" s="664"/>
      <c r="G101" s="611"/>
      <c r="H101" s="569"/>
    </row>
    <row r="102" spans="1:8" s="4" customFormat="1" x14ac:dyDescent="0.3">
      <c r="A102" s="425"/>
      <c r="B102" s="427"/>
      <c r="C102" s="739">
        <f t="shared" ref="C102:H102" si="12">SUM(C100:C101)</f>
        <v>162.20612853670227</v>
      </c>
      <c r="D102" s="739">
        <f t="shared" si="12"/>
        <v>1529279.379844029</v>
      </c>
      <c r="E102" s="739">
        <f t="shared" si="12"/>
        <v>0</v>
      </c>
      <c r="F102" s="605">
        <f t="shared" si="12"/>
        <v>0</v>
      </c>
      <c r="G102" s="739">
        <f t="shared" si="12"/>
        <v>1529279.379844029</v>
      </c>
      <c r="H102" s="740">
        <f t="shared" si="12"/>
        <v>9428</v>
      </c>
    </row>
  </sheetData>
  <sheetProtection algorithmName="SHA-512" hashValue="BK9z+TGwBayv5nFu7lMqhpK1xHbwvHu/XnCUXGe3n/CGIkyOINVGHvJFfuALVbK2VjJ7rIzW7chuJWrIj3c4MQ==" saltValue="p/5Mf3CE34zCb1YfWvJ43Q==" spinCount="100000" sheet="1" objects="1" scenarios="1"/>
  <mergeCells count="2">
    <mergeCell ref="D8:H8"/>
    <mergeCell ref="D9:H9"/>
  </mergeCells>
  <pageMargins left="0.7" right="0.7" top="0.75" bottom="0.75" header="0.3" footer="0.3"/>
  <pageSetup paperSize="3" scale="71" fitToHeight="0" orientation="landscape" r:id="rId1"/>
  <headerFooter>
    <oddHeader>&amp;R&amp;"Arial Narrow,Regular"&amp;10&amp;A
&amp;P</oddHeader>
  </headerFooter>
  <rowBreaks count="1" manualBreakCount="1">
    <brk id="34"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0C228-977B-4F5E-97DE-48A3F31ABB04}">
  <sheetPr>
    <tabColor theme="6" tint="-0.499984740745262"/>
    <pageSetUpPr autoPageBreaks="0"/>
  </sheetPr>
  <dimension ref="A1:AJ107"/>
  <sheetViews>
    <sheetView zoomScale="85" zoomScaleNormal="85" workbookViewId="0"/>
  </sheetViews>
  <sheetFormatPr defaultColWidth="9" defaultRowHeight="16.5" x14ac:dyDescent="0.3"/>
  <cols>
    <col min="1" max="1" width="7" style="10" customWidth="1"/>
    <col min="2" max="2" width="38.42578125" style="10" bestFit="1" customWidth="1"/>
    <col min="3" max="3" width="32.7109375" style="22" customWidth="1"/>
    <col min="4" max="5" width="17" style="10" bestFit="1" customWidth="1"/>
    <col min="6" max="6" width="2.7109375" style="10" customWidth="1"/>
    <col min="7" max="7" width="32.7109375" style="22" bestFit="1" customWidth="1"/>
    <col min="8" max="9" width="16.85546875" style="10" bestFit="1" customWidth="1"/>
    <col min="10" max="10" width="2.7109375" style="10" customWidth="1"/>
    <col min="11" max="11" width="36.7109375" style="27" customWidth="1"/>
    <col min="12" max="12" width="16.85546875" style="11" bestFit="1" customWidth="1"/>
    <col min="13" max="13" width="16.85546875" style="10" bestFit="1" customWidth="1"/>
    <col min="14" max="14" width="2.7109375" style="10" customWidth="1"/>
    <col min="15" max="36" width="9" style="10" customWidth="1"/>
    <col min="37" max="16384" width="9" style="10"/>
  </cols>
  <sheetData>
    <row r="1" spans="1:36" s="4" customFormat="1" x14ac:dyDescent="0.3">
      <c r="A1" s="4" t="s">
        <v>602</v>
      </c>
      <c r="C1" s="17"/>
    </row>
    <row r="2" spans="1:36" x14ac:dyDescent="0.3">
      <c r="A2" s="10" t="str">
        <f>CONCATENATE("Pupil Center Funding Plan | FY",'5.1 Assumption Control YR2'!D5)</f>
        <v>Pupil Center Funding Plan | FY2025</v>
      </c>
      <c r="C2" s="17"/>
      <c r="D2" s="4"/>
      <c r="E2" s="4"/>
      <c r="F2" s="4"/>
      <c r="G2" s="443" t="s">
        <v>1188</v>
      </c>
      <c r="H2" s="434"/>
      <c r="I2" s="445"/>
      <c r="J2" s="4"/>
      <c r="K2" s="4" t="str">
        <f>'2.7 Weighted Funding YR1'!K2</f>
        <v>[1] Targeted Multipliers:  Recommended by the CSF during their April 17, 2020 meeting and formally recommended to Gov and Leg in July 15, 2020 letter; CSF targeted weight for GATE was .14.</v>
      </c>
      <c r="L2" s="4"/>
      <c r="M2" s="4"/>
    </row>
    <row r="3" spans="1:36" x14ac:dyDescent="0.3">
      <c r="A3" s="10" t="s">
        <v>1294</v>
      </c>
      <c r="C3" s="17"/>
      <c r="D3" s="4"/>
      <c r="E3" s="4"/>
      <c r="F3" s="4"/>
      <c r="G3" s="670"/>
      <c r="H3" s="4" t="s">
        <v>1187</v>
      </c>
      <c r="I3" s="421" t="s">
        <v>1088</v>
      </c>
      <c r="J3" s="4"/>
      <c r="K3" s="4"/>
      <c r="L3" s="4"/>
      <c r="M3" s="4"/>
    </row>
    <row r="4" spans="1:36" x14ac:dyDescent="0.3">
      <c r="C4" s="17"/>
      <c r="D4" s="4"/>
      <c r="E4" s="4"/>
      <c r="F4" s="4"/>
      <c r="G4" s="662" t="s">
        <v>1184</v>
      </c>
      <c r="H4" s="669">
        <v>0.5</v>
      </c>
      <c r="I4" s="661">
        <f>D11-H4</f>
        <v>-4.9999999999999989E-2</v>
      </c>
      <c r="J4" s="4"/>
      <c r="K4" s="4"/>
      <c r="L4" s="4"/>
      <c r="M4" s="4"/>
    </row>
    <row r="5" spans="1:36" s="4" customFormat="1" ht="17.25" thickBot="1" x14ac:dyDescent="0.35">
      <c r="B5" s="87"/>
      <c r="C5" s="17" t="s">
        <v>92</v>
      </c>
      <c r="D5" s="17" t="s">
        <v>93</v>
      </c>
      <c r="E5" s="18" t="s">
        <v>94</v>
      </c>
      <c r="F5" s="10"/>
      <c r="G5" s="662" t="s">
        <v>1185</v>
      </c>
      <c r="H5" s="669">
        <v>0.3</v>
      </c>
      <c r="I5" s="661">
        <f>H11-H5</f>
        <v>4.9999999999999989E-2</v>
      </c>
      <c r="J5" s="10"/>
      <c r="L5" s="10"/>
      <c r="M5" s="10"/>
      <c r="N5" s="17"/>
      <c r="O5" s="17"/>
      <c r="P5" s="17"/>
      <c r="Q5" s="17"/>
      <c r="R5" s="17"/>
      <c r="S5" s="17"/>
      <c r="T5" s="17"/>
      <c r="U5" s="17"/>
      <c r="V5" s="17"/>
      <c r="W5" s="17"/>
      <c r="X5" s="17"/>
      <c r="Y5" s="17"/>
      <c r="Z5" s="17"/>
      <c r="AA5" s="17"/>
      <c r="AB5" s="17"/>
      <c r="AC5" s="17"/>
      <c r="AD5" s="17"/>
      <c r="AE5" s="17"/>
      <c r="AF5" s="17"/>
      <c r="AG5" s="17"/>
      <c r="AH5" s="17"/>
      <c r="AI5" s="17"/>
      <c r="AJ5" s="17"/>
    </row>
    <row r="6" spans="1:36" ht="18" thickTop="1" thickBot="1" x14ac:dyDescent="0.35">
      <c r="B6" s="17" t="s">
        <v>930</v>
      </c>
      <c r="C6" s="50">
        <f>'6.6 Adj. Base Summary YR2'!E6</f>
        <v>440954698.92887282</v>
      </c>
      <c r="D6" s="51">
        <f>E37+I37+M37</f>
        <v>440862047.80000007</v>
      </c>
      <c r="E6" s="113">
        <f>C6-D6</f>
        <v>92651.12887275219</v>
      </c>
      <c r="G6" s="662" t="s">
        <v>1186</v>
      </c>
      <c r="H6" s="1196">
        <v>0.14000000000000001</v>
      </c>
      <c r="I6" s="661">
        <v>0</v>
      </c>
      <c r="K6" s="4" t="str">
        <f>'2.7 Weighted Funding YR1'!K6</f>
        <v xml:space="preserve"> [2] Weight for GATE set to .12 per Legislature</v>
      </c>
      <c r="L6" s="10"/>
    </row>
    <row r="7" spans="1:36" ht="17.25" thickTop="1" x14ac:dyDescent="0.3">
      <c r="C7" s="23"/>
      <c r="D7" s="17"/>
      <c r="E7" s="17"/>
      <c r="F7" s="17"/>
      <c r="G7" s="23"/>
      <c r="H7" s="17"/>
      <c r="I7" s="17"/>
      <c r="J7" s="17"/>
      <c r="K7" s="26"/>
      <c r="L7" s="18"/>
      <c r="M7" s="17"/>
    </row>
    <row r="8" spans="1:36" x14ac:dyDescent="0.3">
      <c r="C8" s="453" t="s">
        <v>931</v>
      </c>
      <c r="D8" s="454"/>
      <c r="E8" s="455"/>
      <c r="G8" s="453" t="s">
        <v>932</v>
      </c>
      <c r="H8" s="454"/>
      <c r="I8" s="455"/>
      <c r="K8" s="453" t="s">
        <v>933</v>
      </c>
      <c r="L8" s="454"/>
      <c r="M8" s="455"/>
    </row>
    <row r="9" spans="1:36" x14ac:dyDescent="0.3">
      <c r="C9" s="145" t="s">
        <v>864</v>
      </c>
      <c r="D9" s="65">
        <f>'5.2 Budgeted Enrollment YR2'!H28</f>
        <v>52678</v>
      </c>
      <c r="E9" s="142" t="s">
        <v>1424</v>
      </c>
      <c r="G9" s="145" t="s">
        <v>865</v>
      </c>
      <c r="H9" s="65">
        <f>'5.2 Budgeted Enrollment YR2'!I28</f>
        <v>63325</v>
      </c>
      <c r="I9" s="142" t="s">
        <v>1424</v>
      </c>
      <c r="K9" s="141" t="s">
        <v>890</v>
      </c>
      <c r="L9" s="544">
        <f>'5.2 Budgeted Enrollment YR2'!J28</f>
        <v>7434</v>
      </c>
      <c r="M9" s="142" t="s">
        <v>1424</v>
      </c>
    </row>
    <row r="10" spans="1:36" x14ac:dyDescent="0.3">
      <c r="B10" s="17"/>
      <c r="C10" s="191" t="s">
        <v>891</v>
      </c>
      <c r="D10" s="208">
        <f>'5.1 Assumption Control YR2'!E41</f>
        <v>4242.6000000000004</v>
      </c>
      <c r="E10" s="142" t="s">
        <v>1413</v>
      </c>
      <c r="G10" s="191" t="s">
        <v>892</v>
      </c>
      <c r="H10" s="208">
        <f>'5.1 Assumption Control YR2'!E42</f>
        <v>3299.7999999999997</v>
      </c>
      <c r="I10" s="142" t="s">
        <v>1413</v>
      </c>
      <c r="K10" s="191" t="s">
        <v>893</v>
      </c>
      <c r="L10" s="208">
        <f>'5.1 Assumption Control YR2'!E43</f>
        <v>1131.3599999999999</v>
      </c>
      <c r="M10" s="142" t="s">
        <v>1413</v>
      </c>
    </row>
    <row r="11" spans="1:36" x14ac:dyDescent="0.3">
      <c r="B11" s="17"/>
      <c r="C11" s="166" t="s">
        <v>1131</v>
      </c>
      <c r="D11" s="543">
        <f>'5.1 Assumption Control YR2'!D41</f>
        <v>0.45</v>
      </c>
      <c r="E11" s="447" t="s">
        <v>1413</v>
      </c>
      <c r="G11" s="166" t="s">
        <v>1131</v>
      </c>
      <c r="H11" s="543">
        <f>'5.1 Assumption Control YR2'!D42</f>
        <v>0.35</v>
      </c>
      <c r="I11" s="447" t="s">
        <v>1413</v>
      </c>
      <c r="K11" s="166" t="s">
        <v>1131</v>
      </c>
      <c r="L11" s="543">
        <f>'5.1 Assumption Control YR2'!D43</f>
        <v>0.12</v>
      </c>
      <c r="M11" s="447" t="s">
        <v>1413</v>
      </c>
    </row>
    <row r="12" spans="1:36" x14ac:dyDescent="0.3">
      <c r="B12" s="17"/>
      <c r="C12" s="191"/>
      <c r="D12" s="180"/>
      <c r="E12" s="143"/>
      <c r="G12" s="191"/>
      <c r="H12" s="180"/>
      <c r="I12" s="143"/>
      <c r="K12" s="123" t="s">
        <v>984</v>
      </c>
      <c r="L12" s="180"/>
      <c r="M12" s="143"/>
    </row>
    <row r="13" spans="1:36" x14ac:dyDescent="0.3">
      <c r="C13" s="131" t="s">
        <v>986</v>
      </c>
      <c r="D13" s="117" t="s">
        <v>95</v>
      </c>
      <c r="E13" s="124"/>
      <c r="G13" s="131" t="s">
        <v>983</v>
      </c>
      <c r="H13" s="117" t="s">
        <v>97</v>
      </c>
      <c r="I13" s="124"/>
      <c r="K13" s="131" t="s">
        <v>866</v>
      </c>
      <c r="L13" s="117" t="s">
        <v>99</v>
      </c>
      <c r="M13" s="124"/>
    </row>
    <row r="14" spans="1:36" s="134" customFormat="1" x14ac:dyDescent="0.3">
      <c r="A14" s="10"/>
      <c r="B14" s="10"/>
      <c r="C14" s="131" t="s">
        <v>866</v>
      </c>
      <c r="D14" s="119" t="s">
        <v>96</v>
      </c>
      <c r="E14" s="120" t="s">
        <v>95</v>
      </c>
      <c r="F14" s="10"/>
      <c r="G14" s="131" t="s">
        <v>866</v>
      </c>
      <c r="H14" s="119" t="s">
        <v>98</v>
      </c>
      <c r="I14" s="120" t="s">
        <v>97</v>
      </c>
      <c r="J14" s="10"/>
      <c r="K14" s="131" t="s">
        <v>985</v>
      </c>
      <c r="L14" s="119" t="s">
        <v>98</v>
      </c>
      <c r="M14" s="120" t="s">
        <v>99</v>
      </c>
    </row>
    <row r="15" spans="1:36" x14ac:dyDescent="0.3">
      <c r="A15" s="4"/>
      <c r="C15" s="144"/>
      <c r="D15" s="119" t="s">
        <v>934</v>
      </c>
      <c r="E15" s="120" t="s">
        <v>96</v>
      </c>
      <c r="G15" s="131" t="s">
        <v>985</v>
      </c>
      <c r="H15" s="119" t="s">
        <v>934</v>
      </c>
      <c r="I15" s="120" t="s">
        <v>98</v>
      </c>
      <c r="K15" s="131" t="s">
        <v>1858</v>
      </c>
      <c r="L15" s="119" t="s">
        <v>19</v>
      </c>
      <c r="M15" s="120" t="s">
        <v>98</v>
      </c>
    </row>
    <row r="16" spans="1:36" x14ac:dyDescent="0.3">
      <c r="A16" s="498"/>
      <c r="B16" s="499" t="s">
        <v>879</v>
      </c>
      <c r="C16" s="500" t="s">
        <v>1424</v>
      </c>
      <c r="D16" s="501" t="s">
        <v>935</v>
      </c>
      <c r="E16" s="502" t="s">
        <v>898</v>
      </c>
      <c r="F16" s="134"/>
      <c r="G16" s="500" t="s">
        <v>1424</v>
      </c>
      <c r="H16" s="501" t="s">
        <v>936</v>
      </c>
      <c r="I16" s="502" t="s">
        <v>917</v>
      </c>
      <c r="J16" s="134"/>
      <c r="K16" s="500" t="s">
        <v>1424</v>
      </c>
      <c r="L16" s="501" t="s">
        <v>937</v>
      </c>
      <c r="M16" s="502" t="s">
        <v>918</v>
      </c>
    </row>
    <row r="17" spans="1:13" x14ac:dyDescent="0.3">
      <c r="A17" s="427" t="s">
        <v>87</v>
      </c>
      <c r="B17" s="341"/>
      <c r="C17" s="503"/>
      <c r="D17" s="428"/>
      <c r="E17" s="497"/>
      <c r="G17" s="503"/>
      <c r="H17" s="428"/>
      <c r="I17" s="497"/>
      <c r="K17" s="503"/>
      <c r="L17" s="428"/>
      <c r="M17" s="497"/>
    </row>
    <row r="18" spans="1:13" x14ac:dyDescent="0.3">
      <c r="B18" s="671" t="str">
        <f>'5.2 Budgeted Enrollment YR2'!E9</f>
        <v>Carson City</v>
      </c>
      <c r="C18" s="545">
        <f>'5.2 Budgeted Enrollment YR2'!H9</f>
        <v>719</v>
      </c>
      <c r="D18" s="208">
        <f>$D$10</f>
        <v>4242.6000000000004</v>
      </c>
      <c r="E18" s="595">
        <f>C18*D18</f>
        <v>3050429.4000000004</v>
      </c>
      <c r="G18" s="545">
        <f>'5.2 Budgeted Enrollment YR2'!I9</f>
        <v>289</v>
      </c>
      <c r="H18" s="208">
        <f t="shared" ref="H18:H36" si="0">$H$10</f>
        <v>3299.7999999999997</v>
      </c>
      <c r="I18" s="595">
        <f>G18*H18</f>
        <v>953642.2</v>
      </c>
      <c r="K18" s="545">
        <f>'5.2 Budgeted Enrollment YR2'!J9</f>
        <v>385</v>
      </c>
      <c r="L18" s="208">
        <f t="shared" ref="L18:L36" si="1">$L$10</f>
        <v>1131.3599999999999</v>
      </c>
      <c r="M18" s="595">
        <f>L18*K18</f>
        <v>435573.6</v>
      </c>
    </row>
    <row r="19" spans="1:13" x14ac:dyDescent="0.3">
      <c r="B19" s="143" t="str">
        <f>'5.2 Budgeted Enrollment YR2'!E10</f>
        <v>Churchill</v>
      </c>
      <c r="C19" s="545">
        <f>'5.2 Budgeted Enrollment YR2'!H10</f>
        <v>111</v>
      </c>
      <c r="D19" s="208">
        <f>$D$10</f>
        <v>4242.6000000000004</v>
      </c>
      <c r="E19" s="595">
        <f>C19*D19</f>
        <v>470928.60000000003</v>
      </c>
      <c r="G19" s="545">
        <f>'5.2 Budgeted Enrollment YR2'!I10</f>
        <v>177</v>
      </c>
      <c r="H19" s="208">
        <f>$H$10</f>
        <v>3299.7999999999997</v>
      </c>
      <c r="I19" s="595">
        <f>G19*H19</f>
        <v>584064.6</v>
      </c>
      <c r="K19" s="545">
        <f>'5.2 Budgeted Enrollment YR2'!J10</f>
        <v>0</v>
      </c>
      <c r="L19" s="208">
        <f>$L$10</f>
        <v>1131.3599999999999</v>
      </c>
      <c r="M19" s="595">
        <f>L19*K19</f>
        <v>0</v>
      </c>
    </row>
    <row r="20" spans="1:13" x14ac:dyDescent="0.3">
      <c r="B20" s="143" t="str">
        <f>'5.2 Budgeted Enrollment YR2'!E11</f>
        <v>Clark</v>
      </c>
      <c r="C20" s="545">
        <f>'5.2 Budgeted Enrollment YR2'!H11</f>
        <v>37632</v>
      </c>
      <c r="D20" s="208">
        <f t="shared" ref="D20:D36" si="2">$D$10</f>
        <v>4242.6000000000004</v>
      </c>
      <c r="E20" s="595">
        <f>C20*D20</f>
        <v>159657523.20000002</v>
      </c>
      <c r="G20" s="545">
        <f>'5.2 Budgeted Enrollment YR2'!I11</f>
        <v>52674</v>
      </c>
      <c r="H20" s="208">
        <f t="shared" si="0"/>
        <v>3299.7999999999997</v>
      </c>
      <c r="I20" s="595">
        <f t="shared" ref="I20:I35" si="3">G20*H20</f>
        <v>173813665.19999999</v>
      </c>
      <c r="K20" s="545">
        <f>'5.2 Budgeted Enrollment YR2'!J11</f>
        <v>4545</v>
      </c>
      <c r="L20" s="208">
        <f t="shared" si="1"/>
        <v>1131.3599999999999</v>
      </c>
      <c r="M20" s="595">
        <f t="shared" ref="M20:M35" si="4">L20*K20</f>
        <v>5142031.1999999993</v>
      </c>
    </row>
    <row r="21" spans="1:13" x14ac:dyDescent="0.3">
      <c r="B21" s="143" t="str">
        <f>'5.2 Budgeted Enrollment YR2'!E12</f>
        <v>Douglas</v>
      </c>
      <c r="C21" s="545">
        <f>'5.2 Budgeted Enrollment YR2'!H12</f>
        <v>169</v>
      </c>
      <c r="D21" s="208">
        <f t="shared" si="2"/>
        <v>4242.6000000000004</v>
      </c>
      <c r="E21" s="595">
        <f t="shared" ref="E21:E35" si="5">C21*D21</f>
        <v>716999.4</v>
      </c>
      <c r="G21" s="545">
        <f>'5.2 Budgeted Enrollment YR2'!I12</f>
        <v>171</v>
      </c>
      <c r="H21" s="208">
        <f t="shared" si="0"/>
        <v>3299.7999999999997</v>
      </c>
      <c r="I21" s="595">
        <f t="shared" si="3"/>
        <v>564265.79999999993</v>
      </c>
      <c r="K21" s="545">
        <f>'5.2 Budgeted Enrollment YR2'!J12</f>
        <v>46</v>
      </c>
      <c r="L21" s="208">
        <f t="shared" si="1"/>
        <v>1131.3599999999999</v>
      </c>
      <c r="M21" s="595">
        <f t="shared" si="4"/>
        <v>52042.559999999998</v>
      </c>
    </row>
    <row r="22" spans="1:13" x14ac:dyDescent="0.3">
      <c r="B22" s="143" t="str">
        <f>'5.2 Budgeted Enrollment YR2'!E13</f>
        <v>Elko</v>
      </c>
      <c r="C22" s="545">
        <f>'5.2 Budgeted Enrollment YR2'!H13</f>
        <v>677</v>
      </c>
      <c r="D22" s="208">
        <f t="shared" si="2"/>
        <v>4242.6000000000004</v>
      </c>
      <c r="E22" s="595">
        <f t="shared" si="5"/>
        <v>2872240.2</v>
      </c>
      <c r="G22" s="545">
        <f>'5.2 Budgeted Enrollment YR2'!I13</f>
        <v>631</v>
      </c>
      <c r="H22" s="208">
        <f t="shared" si="0"/>
        <v>3299.7999999999997</v>
      </c>
      <c r="I22" s="595">
        <f t="shared" si="3"/>
        <v>2082173.7999999998</v>
      </c>
      <c r="K22" s="545">
        <f>'5.2 Budgeted Enrollment YR2'!J13</f>
        <v>97</v>
      </c>
      <c r="L22" s="208">
        <f t="shared" si="1"/>
        <v>1131.3599999999999</v>
      </c>
      <c r="M22" s="595">
        <f t="shared" si="4"/>
        <v>109741.91999999998</v>
      </c>
    </row>
    <row r="23" spans="1:13" x14ac:dyDescent="0.3">
      <c r="B23" s="143" t="str">
        <f>'5.2 Budgeted Enrollment YR2'!E14</f>
        <v>Esmeralda</v>
      </c>
      <c r="C23" s="545">
        <f>'5.2 Budgeted Enrollment YR2'!H14</f>
        <v>7</v>
      </c>
      <c r="D23" s="208">
        <f t="shared" si="2"/>
        <v>4242.6000000000004</v>
      </c>
      <c r="E23" s="595">
        <f t="shared" si="5"/>
        <v>29698.200000000004</v>
      </c>
      <c r="G23" s="545">
        <f>'5.2 Budgeted Enrollment YR2'!I14</f>
        <v>8</v>
      </c>
      <c r="H23" s="208">
        <f t="shared" si="0"/>
        <v>3299.7999999999997</v>
      </c>
      <c r="I23" s="595">
        <f t="shared" si="3"/>
        <v>26398.399999999998</v>
      </c>
      <c r="K23" s="545">
        <f>'5.2 Budgeted Enrollment YR2'!J14</f>
        <v>0</v>
      </c>
      <c r="L23" s="208">
        <f t="shared" si="1"/>
        <v>1131.3599999999999</v>
      </c>
      <c r="M23" s="595">
        <f t="shared" si="4"/>
        <v>0</v>
      </c>
    </row>
    <row r="24" spans="1:13" x14ac:dyDescent="0.3">
      <c r="B24" s="143" t="str">
        <f>'5.2 Budgeted Enrollment YR2'!E15</f>
        <v>Eureka</v>
      </c>
      <c r="C24" s="545">
        <f>'5.2 Budgeted Enrollment YR2'!H15</f>
        <v>3</v>
      </c>
      <c r="D24" s="208">
        <f t="shared" si="2"/>
        <v>4242.6000000000004</v>
      </c>
      <c r="E24" s="595">
        <f t="shared" si="5"/>
        <v>12727.800000000001</v>
      </c>
      <c r="G24" s="545">
        <f>'5.2 Budgeted Enrollment YR2'!I15</f>
        <v>4</v>
      </c>
      <c r="H24" s="208">
        <f t="shared" si="0"/>
        <v>3299.7999999999997</v>
      </c>
      <c r="I24" s="595">
        <f t="shared" si="3"/>
        <v>13199.199999999999</v>
      </c>
      <c r="K24" s="545">
        <f>'5.2 Budgeted Enrollment YR2'!J15</f>
        <v>0</v>
      </c>
      <c r="L24" s="208">
        <f t="shared" si="1"/>
        <v>1131.3599999999999</v>
      </c>
      <c r="M24" s="595">
        <f t="shared" si="4"/>
        <v>0</v>
      </c>
    </row>
    <row r="25" spans="1:13" x14ac:dyDescent="0.3">
      <c r="B25" s="143" t="str">
        <f>'5.2 Budgeted Enrollment YR2'!E16</f>
        <v>Humboldt</v>
      </c>
      <c r="C25" s="545">
        <f>'5.2 Budgeted Enrollment YR2'!H16</f>
        <v>203</v>
      </c>
      <c r="D25" s="208">
        <f t="shared" si="2"/>
        <v>4242.6000000000004</v>
      </c>
      <c r="E25" s="595">
        <f t="shared" si="5"/>
        <v>861247.8</v>
      </c>
      <c r="G25" s="545">
        <f>'5.2 Budgeted Enrollment YR2'!I16</f>
        <v>81</v>
      </c>
      <c r="H25" s="208">
        <f t="shared" si="0"/>
        <v>3299.7999999999997</v>
      </c>
      <c r="I25" s="595">
        <f t="shared" si="3"/>
        <v>267283.8</v>
      </c>
      <c r="K25" s="545">
        <f>'5.2 Budgeted Enrollment YR2'!J16</f>
        <v>0</v>
      </c>
      <c r="L25" s="208">
        <f t="shared" si="1"/>
        <v>1131.3599999999999</v>
      </c>
      <c r="M25" s="595">
        <f t="shared" si="4"/>
        <v>0</v>
      </c>
    </row>
    <row r="26" spans="1:13" x14ac:dyDescent="0.3">
      <c r="B26" s="143" t="str">
        <f>'5.2 Budgeted Enrollment YR2'!E17</f>
        <v>Lander</v>
      </c>
      <c r="C26" s="545">
        <f>'5.2 Budgeted Enrollment YR2'!H17</f>
        <v>33</v>
      </c>
      <c r="D26" s="208">
        <f t="shared" si="2"/>
        <v>4242.6000000000004</v>
      </c>
      <c r="E26" s="595">
        <f t="shared" si="5"/>
        <v>140005.80000000002</v>
      </c>
      <c r="G26" s="545">
        <f>'5.2 Budgeted Enrollment YR2'!I17</f>
        <v>98</v>
      </c>
      <c r="H26" s="208">
        <f t="shared" si="0"/>
        <v>3299.7999999999997</v>
      </c>
      <c r="I26" s="595">
        <f t="shared" si="3"/>
        <v>323380.39999999997</v>
      </c>
      <c r="K26" s="545">
        <f>'5.2 Budgeted Enrollment YR2'!J17</f>
        <v>0</v>
      </c>
      <c r="L26" s="208">
        <f t="shared" si="1"/>
        <v>1131.3599999999999</v>
      </c>
      <c r="M26" s="595">
        <f t="shared" si="4"/>
        <v>0</v>
      </c>
    </row>
    <row r="27" spans="1:13" x14ac:dyDescent="0.3">
      <c r="B27" s="143" t="str">
        <f>'5.2 Budgeted Enrollment YR2'!E18</f>
        <v>Lincoln</v>
      </c>
      <c r="C27" s="545">
        <f>'5.2 Budgeted Enrollment YR2'!H18</f>
        <v>6</v>
      </c>
      <c r="D27" s="208">
        <f t="shared" si="2"/>
        <v>4242.6000000000004</v>
      </c>
      <c r="E27" s="595">
        <f t="shared" si="5"/>
        <v>25455.600000000002</v>
      </c>
      <c r="G27" s="545">
        <f>'5.2 Budgeted Enrollment YR2'!I18</f>
        <v>43</v>
      </c>
      <c r="H27" s="208">
        <f t="shared" si="0"/>
        <v>3299.7999999999997</v>
      </c>
      <c r="I27" s="595">
        <f t="shared" si="3"/>
        <v>141891.4</v>
      </c>
      <c r="K27" s="545">
        <f>'5.2 Budgeted Enrollment YR2'!J18</f>
        <v>0</v>
      </c>
      <c r="L27" s="208">
        <f t="shared" si="1"/>
        <v>1131.3599999999999</v>
      </c>
      <c r="M27" s="595">
        <f t="shared" si="4"/>
        <v>0</v>
      </c>
    </row>
    <row r="28" spans="1:13" x14ac:dyDescent="0.3">
      <c r="B28" s="143" t="str">
        <f>'5.2 Budgeted Enrollment YR2'!E19</f>
        <v>Lyon</v>
      </c>
      <c r="C28" s="545">
        <f>'5.2 Budgeted Enrollment YR2'!H19</f>
        <v>485</v>
      </c>
      <c r="D28" s="208">
        <f t="shared" si="2"/>
        <v>4242.6000000000004</v>
      </c>
      <c r="E28" s="595">
        <f>C28*D28</f>
        <v>2057661.0000000002</v>
      </c>
      <c r="G28" s="545">
        <f>'5.2 Budgeted Enrollment YR2'!I19</f>
        <v>526</v>
      </c>
      <c r="H28" s="208">
        <f t="shared" si="0"/>
        <v>3299.7999999999997</v>
      </c>
      <c r="I28" s="595">
        <f t="shared" si="3"/>
        <v>1735694.7999999998</v>
      </c>
      <c r="K28" s="545">
        <f>'5.2 Budgeted Enrollment YR2'!J19</f>
        <v>0</v>
      </c>
      <c r="L28" s="208">
        <f t="shared" si="1"/>
        <v>1131.3599999999999</v>
      </c>
      <c r="M28" s="595">
        <f t="shared" si="4"/>
        <v>0</v>
      </c>
    </row>
    <row r="29" spans="1:13" x14ac:dyDescent="0.3">
      <c r="B29" s="143" t="str">
        <f>'5.2 Budgeted Enrollment YR2'!E20</f>
        <v>Mineral</v>
      </c>
      <c r="C29" s="545">
        <f>'5.2 Budgeted Enrollment YR2'!H20</f>
        <v>34</v>
      </c>
      <c r="D29" s="208">
        <f t="shared" si="2"/>
        <v>4242.6000000000004</v>
      </c>
      <c r="E29" s="595">
        <f t="shared" si="5"/>
        <v>144248.40000000002</v>
      </c>
      <c r="G29" s="545">
        <f>'5.2 Budgeted Enrollment YR2'!I20</f>
        <v>52</v>
      </c>
      <c r="H29" s="208">
        <f t="shared" si="0"/>
        <v>3299.7999999999997</v>
      </c>
      <c r="I29" s="595">
        <f t="shared" si="3"/>
        <v>171589.59999999998</v>
      </c>
      <c r="K29" s="545">
        <f>'5.2 Budgeted Enrollment YR2'!J20</f>
        <v>0</v>
      </c>
      <c r="L29" s="208">
        <f t="shared" si="1"/>
        <v>1131.3599999999999</v>
      </c>
      <c r="M29" s="595">
        <f t="shared" si="4"/>
        <v>0</v>
      </c>
    </row>
    <row r="30" spans="1:13" x14ac:dyDescent="0.3">
      <c r="B30" s="143" t="str">
        <f>'5.2 Budgeted Enrollment YR2'!E21</f>
        <v>Nye</v>
      </c>
      <c r="C30" s="545">
        <f>'5.2 Budgeted Enrollment YR2'!H21</f>
        <v>324</v>
      </c>
      <c r="D30" s="208">
        <f t="shared" si="2"/>
        <v>4242.6000000000004</v>
      </c>
      <c r="E30" s="595">
        <f t="shared" si="5"/>
        <v>1374602.4000000001</v>
      </c>
      <c r="G30" s="545">
        <f>'5.2 Budgeted Enrollment YR2'!I21</f>
        <v>449</v>
      </c>
      <c r="H30" s="208">
        <f t="shared" si="0"/>
        <v>3299.7999999999997</v>
      </c>
      <c r="I30" s="595">
        <f t="shared" si="3"/>
        <v>1481610.2</v>
      </c>
      <c r="K30" s="545">
        <f>'5.2 Budgeted Enrollment YR2'!J21</f>
        <v>0</v>
      </c>
      <c r="L30" s="208">
        <f t="shared" si="1"/>
        <v>1131.3599999999999</v>
      </c>
      <c r="M30" s="595">
        <f t="shared" si="4"/>
        <v>0</v>
      </c>
    </row>
    <row r="31" spans="1:13" x14ac:dyDescent="0.3">
      <c r="B31" s="143" t="str">
        <f>'5.2 Budgeted Enrollment YR2'!E22</f>
        <v>Pershing</v>
      </c>
      <c r="C31" s="545">
        <f>'5.2 Budgeted Enrollment YR2'!H22</f>
        <v>23</v>
      </c>
      <c r="D31" s="208">
        <f t="shared" si="2"/>
        <v>4242.6000000000004</v>
      </c>
      <c r="E31" s="595">
        <f t="shared" si="5"/>
        <v>97579.8</v>
      </c>
      <c r="G31" s="545">
        <f>'5.2 Budgeted Enrollment YR2'!I22</f>
        <v>39</v>
      </c>
      <c r="H31" s="208">
        <f t="shared" si="0"/>
        <v>3299.7999999999997</v>
      </c>
      <c r="I31" s="595">
        <f t="shared" si="3"/>
        <v>128692.19999999998</v>
      </c>
      <c r="K31" s="545">
        <f>'5.2 Budgeted Enrollment YR2'!J22</f>
        <v>0</v>
      </c>
      <c r="L31" s="208">
        <f t="shared" si="1"/>
        <v>1131.3599999999999</v>
      </c>
      <c r="M31" s="595">
        <f t="shared" si="4"/>
        <v>0</v>
      </c>
    </row>
    <row r="32" spans="1:13" x14ac:dyDescent="0.3">
      <c r="B32" s="143" t="str">
        <f>'5.2 Budgeted Enrollment YR2'!E23</f>
        <v>Storey</v>
      </c>
      <c r="C32" s="545">
        <f>'5.2 Budgeted Enrollment YR2'!H23</f>
        <v>1</v>
      </c>
      <c r="D32" s="208">
        <f t="shared" si="2"/>
        <v>4242.6000000000004</v>
      </c>
      <c r="E32" s="595">
        <f t="shared" si="5"/>
        <v>4242.6000000000004</v>
      </c>
      <c r="G32" s="545">
        <f>'5.2 Budgeted Enrollment YR2'!I23</f>
        <v>12</v>
      </c>
      <c r="H32" s="208">
        <f t="shared" si="0"/>
        <v>3299.7999999999997</v>
      </c>
      <c r="I32" s="595">
        <f t="shared" si="3"/>
        <v>39597.599999999999</v>
      </c>
      <c r="K32" s="545">
        <f>'5.2 Budgeted Enrollment YR2'!J23</f>
        <v>5</v>
      </c>
      <c r="L32" s="208">
        <f t="shared" si="1"/>
        <v>1131.3599999999999</v>
      </c>
      <c r="M32" s="595">
        <f t="shared" si="4"/>
        <v>5656.7999999999993</v>
      </c>
    </row>
    <row r="33" spans="1:13" x14ac:dyDescent="0.3">
      <c r="B33" s="143" t="str">
        <f>'5.2 Budgeted Enrollment YR2'!E24</f>
        <v>Washoe</v>
      </c>
      <c r="C33" s="545">
        <f>'5.2 Budgeted Enrollment YR2'!H24</f>
        <v>6726</v>
      </c>
      <c r="D33" s="208">
        <f t="shared" si="2"/>
        <v>4242.6000000000004</v>
      </c>
      <c r="E33" s="595">
        <f t="shared" si="5"/>
        <v>28535727.600000001</v>
      </c>
      <c r="G33" s="545">
        <f>'5.2 Budgeted Enrollment YR2'!I24</f>
        <v>4912</v>
      </c>
      <c r="H33" s="208">
        <f t="shared" si="0"/>
        <v>3299.7999999999997</v>
      </c>
      <c r="I33" s="595">
        <f t="shared" si="3"/>
        <v>16208617.599999998</v>
      </c>
      <c r="K33" s="545">
        <f>'5.2 Budgeted Enrollment YR2'!J24</f>
        <v>1259</v>
      </c>
      <c r="L33" s="208">
        <f t="shared" si="1"/>
        <v>1131.3599999999999</v>
      </c>
      <c r="M33" s="595">
        <f t="shared" si="4"/>
        <v>1424382.2399999998</v>
      </c>
    </row>
    <row r="34" spans="1:13" s="4" customFormat="1" x14ac:dyDescent="0.3">
      <c r="A34" s="10"/>
      <c r="B34" s="143" t="str">
        <f>'5.2 Budgeted Enrollment YR2'!E25</f>
        <v>White Pine</v>
      </c>
      <c r="C34" s="545">
        <f>'5.2 Budgeted Enrollment YR2'!H25</f>
        <v>15</v>
      </c>
      <c r="D34" s="208">
        <f t="shared" si="2"/>
        <v>4242.6000000000004</v>
      </c>
      <c r="E34" s="595">
        <f t="shared" si="5"/>
        <v>63639.000000000007</v>
      </c>
      <c r="F34" s="10"/>
      <c r="G34" s="545">
        <f>'5.2 Budgeted Enrollment YR2'!I25</f>
        <v>109</v>
      </c>
      <c r="H34" s="208">
        <f t="shared" si="0"/>
        <v>3299.7999999999997</v>
      </c>
      <c r="I34" s="595">
        <f t="shared" si="3"/>
        <v>359678.19999999995</v>
      </c>
      <c r="J34" s="10"/>
      <c r="K34" s="545">
        <f>'5.2 Budgeted Enrollment YR2'!J25</f>
        <v>0</v>
      </c>
      <c r="L34" s="208">
        <f t="shared" si="1"/>
        <v>1131.3599999999999</v>
      </c>
      <c r="M34" s="595">
        <f t="shared" si="4"/>
        <v>0</v>
      </c>
    </row>
    <row r="35" spans="1:13" x14ac:dyDescent="0.3">
      <c r="B35" s="143" t="str">
        <f>'5.2 Budgeted Enrollment YR2'!E26</f>
        <v>Charter Schools (Combined)</v>
      </c>
      <c r="C35" s="545">
        <f>'5.2 Budgeted Enrollment YR2'!H26</f>
        <v>5510</v>
      </c>
      <c r="D35" s="208">
        <f t="shared" si="2"/>
        <v>4242.6000000000004</v>
      </c>
      <c r="E35" s="595">
        <f t="shared" si="5"/>
        <v>23376726.000000004</v>
      </c>
      <c r="G35" s="545">
        <f>'5.2 Budgeted Enrollment YR2'!I26</f>
        <v>3050</v>
      </c>
      <c r="H35" s="208">
        <f t="shared" si="0"/>
        <v>3299.7999999999997</v>
      </c>
      <c r="I35" s="595">
        <f t="shared" si="3"/>
        <v>10064390</v>
      </c>
      <c r="K35" s="545">
        <f>'5.2 Budgeted Enrollment YR2'!J26</f>
        <v>1097</v>
      </c>
      <c r="L35" s="208">
        <f t="shared" si="1"/>
        <v>1131.3599999999999</v>
      </c>
      <c r="M35" s="595">
        <f t="shared" si="4"/>
        <v>1241101.92</v>
      </c>
    </row>
    <row r="36" spans="1:13" x14ac:dyDescent="0.3">
      <c r="B36" s="168" t="str">
        <f>'5.2 Budgeted Enrollment YR2'!E27</f>
        <v>University Schools</v>
      </c>
      <c r="C36" s="545">
        <f>C105</f>
        <v>0</v>
      </c>
      <c r="D36" s="208">
        <f t="shared" si="2"/>
        <v>4242.6000000000004</v>
      </c>
      <c r="E36" s="595">
        <f>E105</f>
        <v>0</v>
      </c>
      <c r="G36" s="545">
        <f>'5.2 Budgeted Enrollment YR2'!I27</f>
        <v>0</v>
      </c>
      <c r="H36" s="208">
        <f t="shared" si="0"/>
        <v>3299.7999999999997</v>
      </c>
      <c r="I36" s="595">
        <f>I105</f>
        <v>0</v>
      </c>
      <c r="K36" s="545">
        <f>K105</f>
        <v>0</v>
      </c>
      <c r="L36" s="208">
        <f t="shared" si="1"/>
        <v>1131.3599999999999</v>
      </c>
      <c r="M36" s="595">
        <f>M105</f>
        <v>0</v>
      </c>
    </row>
    <row r="37" spans="1:13" x14ac:dyDescent="0.3">
      <c r="A37" s="4"/>
      <c r="B37" s="427" t="s">
        <v>89</v>
      </c>
      <c r="C37" s="599">
        <f>SUM(C18:C36)</f>
        <v>52678</v>
      </c>
      <c r="D37" s="428"/>
      <c r="E37" s="504">
        <f>SUM(E18:E36)</f>
        <v>223491682.80000004</v>
      </c>
      <c r="F37" s="4"/>
      <c r="G37" s="599">
        <f>SUM(G18:G36)</f>
        <v>63325</v>
      </c>
      <c r="H37" s="428"/>
      <c r="I37" s="504">
        <f>SUM(I18:I36)</f>
        <v>208959835</v>
      </c>
      <c r="J37" s="4"/>
      <c r="K37" s="599">
        <f>SUM(K18:K36)</f>
        <v>7434</v>
      </c>
      <c r="L37" s="428"/>
      <c r="M37" s="504">
        <f>ROUND(SUM(M18:M36),0)</f>
        <v>8410530</v>
      </c>
    </row>
    <row r="38" spans="1:13" x14ac:dyDescent="0.3">
      <c r="C38" s="1283">
        <f>C37-'5.2 Budgeted Enrollment YR2'!H28</f>
        <v>0</v>
      </c>
      <c r="D38" s="136"/>
      <c r="E38" s="126"/>
      <c r="G38" s="1283">
        <f>G37-'5.2 Budgeted Enrollment YR2'!I28</f>
        <v>0</v>
      </c>
      <c r="H38" s="136"/>
      <c r="I38" s="126"/>
      <c r="K38" s="1283">
        <f>K37-'5.2 Budgeted Enrollment YR2'!J28</f>
        <v>0</v>
      </c>
      <c r="L38" s="136"/>
      <c r="M38" s="126"/>
    </row>
    <row r="39" spans="1:13" x14ac:dyDescent="0.3">
      <c r="A39" s="181" t="s">
        <v>84</v>
      </c>
      <c r="B39" s="183"/>
      <c r="C39" s="195"/>
      <c r="D39" s="183"/>
      <c r="E39" s="213"/>
      <c r="G39" s="195"/>
      <c r="H39" s="183"/>
      <c r="I39" s="213"/>
      <c r="K39" s="195"/>
      <c r="L39" s="183"/>
      <c r="M39" s="213"/>
    </row>
    <row r="40" spans="1:13" x14ac:dyDescent="0.3">
      <c r="B40" s="671" t="str">
        <f>'5.2 Budgeted Enrollment YR2'!E32</f>
        <v>100 Academy Of Excellence</v>
      </c>
      <c r="C40" s="742">
        <f>'5.2 Budgeted Enrollment YR2'!H32</f>
        <v>30</v>
      </c>
      <c r="D40" s="208">
        <f t="shared" ref="D40:D99" si="6">$D$10</f>
        <v>4242.6000000000004</v>
      </c>
      <c r="E40" s="595">
        <f t="shared" ref="E40:E46" si="7">C40*D40</f>
        <v>127278.00000000001</v>
      </c>
      <c r="G40" s="545">
        <f>'5.2 Budgeted Enrollment YR2'!I32</f>
        <v>161</v>
      </c>
      <c r="H40" s="208">
        <f t="shared" ref="H40:H99" si="8">$H$10</f>
        <v>3299.7999999999997</v>
      </c>
      <c r="I40" s="595">
        <f t="shared" ref="I40:I46" si="9">G40*H40</f>
        <v>531267.79999999993</v>
      </c>
      <c r="K40" s="545">
        <f>'5.2 Budgeted Enrollment YR2'!J32</f>
        <v>0</v>
      </c>
      <c r="L40" s="208">
        <f t="shared" ref="L40:L99" si="10">$L$10</f>
        <v>1131.3599999999999</v>
      </c>
      <c r="M40" s="595">
        <f t="shared" ref="M40:M46" si="11">K40*L40</f>
        <v>0</v>
      </c>
    </row>
    <row r="41" spans="1:13" x14ac:dyDescent="0.3">
      <c r="B41" s="143" t="str">
        <f>'5.2 Budgeted Enrollment YR2'!E33</f>
        <v>Academy For Career Education</v>
      </c>
      <c r="C41" s="545">
        <f>'1.2 Budgeted Enrollment YR1'!H33</f>
        <v>22</v>
      </c>
      <c r="D41" s="208">
        <f t="shared" si="6"/>
        <v>4242.6000000000004</v>
      </c>
      <c r="E41" s="595">
        <f t="shared" si="7"/>
        <v>93337.200000000012</v>
      </c>
      <c r="G41" s="545">
        <f>'5.2 Budgeted Enrollment YR2'!I33</f>
        <v>2</v>
      </c>
      <c r="H41" s="208">
        <f t="shared" si="8"/>
        <v>3299.7999999999997</v>
      </c>
      <c r="I41" s="595">
        <f t="shared" si="9"/>
        <v>6599.5999999999995</v>
      </c>
      <c r="K41" s="545">
        <f>'5.2 Budgeted Enrollment YR2'!J33</f>
        <v>0</v>
      </c>
      <c r="L41" s="208">
        <f t="shared" si="10"/>
        <v>1131.3599999999999</v>
      </c>
      <c r="M41" s="595">
        <f t="shared" si="11"/>
        <v>0</v>
      </c>
    </row>
    <row r="42" spans="1:13" x14ac:dyDescent="0.3">
      <c r="B42" s="143" t="str">
        <f>'5.2 Budgeted Enrollment YR2'!E34</f>
        <v xml:space="preserve">Alpine Academy </v>
      </c>
      <c r="C42" s="545">
        <f>'1.2 Budgeted Enrollment YR1'!H34</f>
        <v>0</v>
      </c>
      <c r="D42" s="208">
        <f t="shared" si="6"/>
        <v>4242.6000000000004</v>
      </c>
      <c r="E42" s="595">
        <f t="shared" si="7"/>
        <v>0</v>
      </c>
      <c r="G42" s="545">
        <f>'5.2 Budgeted Enrollment YR2'!I34</f>
        <v>5</v>
      </c>
      <c r="H42" s="208">
        <f t="shared" si="8"/>
        <v>3299.7999999999997</v>
      </c>
      <c r="I42" s="595">
        <f t="shared" si="9"/>
        <v>16499</v>
      </c>
      <c r="K42" s="545">
        <f>'5.2 Budgeted Enrollment YR2'!J34</f>
        <v>0</v>
      </c>
      <c r="L42" s="208">
        <f t="shared" si="10"/>
        <v>1131.3599999999999</v>
      </c>
      <c r="M42" s="595">
        <f t="shared" si="11"/>
        <v>0</v>
      </c>
    </row>
    <row r="43" spans="1:13" x14ac:dyDescent="0.3">
      <c r="B43" s="143" t="str">
        <f>'5.2 Budgeted Enrollment YR2'!E35</f>
        <v xml:space="preserve">Amplus (Formerly American Preparatory Academy) </v>
      </c>
      <c r="C43" s="545">
        <f>'1.2 Budgeted Enrollment YR1'!H35</f>
        <v>174</v>
      </c>
      <c r="D43" s="208">
        <f t="shared" si="6"/>
        <v>4242.6000000000004</v>
      </c>
      <c r="E43" s="595">
        <f t="shared" si="7"/>
        <v>738212.4</v>
      </c>
      <c r="G43" s="545">
        <f>'5.2 Budgeted Enrollment YR2'!I35</f>
        <v>39</v>
      </c>
      <c r="H43" s="208">
        <f t="shared" si="8"/>
        <v>3299.7999999999997</v>
      </c>
      <c r="I43" s="595">
        <f t="shared" si="9"/>
        <v>128692.19999999998</v>
      </c>
      <c r="K43" s="545">
        <f>'5.2 Budgeted Enrollment YR2'!J35</f>
        <v>40</v>
      </c>
      <c r="L43" s="208">
        <f t="shared" si="10"/>
        <v>1131.3599999999999</v>
      </c>
      <c r="M43" s="595">
        <f t="shared" si="11"/>
        <v>45254.399999999994</v>
      </c>
    </row>
    <row r="44" spans="1:13" x14ac:dyDescent="0.3">
      <c r="B44" s="143" t="str">
        <f>'5.2 Budgeted Enrollment YR2'!E36</f>
        <v>Bailey Charter School</v>
      </c>
      <c r="C44" s="545">
        <f>'1.2 Budgeted Enrollment YR1'!H36</f>
        <v>75</v>
      </c>
      <c r="D44" s="208">
        <f t="shared" si="6"/>
        <v>4242.6000000000004</v>
      </c>
      <c r="E44" s="595">
        <f t="shared" si="7"/>
        <v>318195</v>
      </c>
      <c r="G44" s="545">
        <f>'5.2 Budgeted Enrollment YR2'!I36</f>
        <v>37</v>
      </c>
      <c r="H44" s="208">
        <f t="shared" si="8"/>
        <v>3299.7999999999997</v>
      </c>
      <c r="I44" s="595">
        <f t="shared" si="9"/>
        <v>122092.59999999999</v>
      </c>
      <c r="K44" s="545">
        <f>'5.2 Budgeted Enrollment YR2'!J36</f>
        <v>0</v>
      </c>
      <c r="L44" s="208">
        <f t="shared" si="10"/>
        <v>1131.3599999999999</v>
      </c>
      <c r="M44" s="595">
        <f t="shared" si="11"/>
        <v>0</v>
      </c>
    </row>
    <row r="45" spans="1:13" x14ac:dyDescent="0.3">
      <c r="B45" s="143" t="str">
        <f>'5.2 Budgeted Enrollment YR2'!E37</f>
        <v>Battle Born Academy</v>
      </c>
      <c r="C45" s="545">
        <f>'1.2 Budgeted Enrollment YR1'!H37</f>
        <v>56</v>
      </c>
      <c r="D45" s="208">
        <f t="shared" si="6"/>
        <v>4242.6000000000004</v>
      </c>
      <c r="E45" s="595">
        <f t="shared" si="7"/>
        <v>237585.60000000003</v>
      </c>
      <c r="G45" s="545">
        <f>'5.2 Budgeted Enrollment YR2'!I37</f>
        <v>0</v>
      </c>
      <c r="H45" s="208">
        <f t="shared" si="8"/>
        <v>3299.7999999999997</v>
      </c>
      <c r="I45" s="595">
        <f t="shared" si="9"/>
        <v>0</v>
      </c>
      <c r="K45" s="545">
        <f>'5.2 Budgeted Enrollment YR2'!J37</f>
        <v>0</v>
      </c>
      <c r="L45" s="208">
        <f t="shared" si="10"/>
        <v>1131.3599999999999</v>
      </c>
      <c r="M45" s="595">
        <f t="shared" si="11"/>
        <v>0</v>
      </c>
    </row>
    <row r="46" spans="1:13" x14ac:dyDescent="0.3">
      <c r="B46" s="143" t="str">
        <f>'5.2 Budgeted Enrollment YR2'!E38</f>
        <v>Beacon Academy</v>
      </c>
      <c r="C46" s="545">
        <f>'1.2 Budgeted Enrollment YR1'!H38</f>
        <v>56</v>
      </c>
      <c r="D46" s="208">
        <f t="shared" si="6"/>
        <v>4242.6000000000004</v>
      </c>
      <c r="E46" s="595">
        <f t="shared" si="7"/>
        <v>237585.60000000003</v>
      </c>
      <c r="G46" s="545">
        <f>'5.2 Budgeted Enrollment YR2'!I38</f>
        <v>168</v>
      </c>
      <c r="H46" s="208">
        <f t="shared" si="8"/>
        <v>3299.7999999999997</v>
      </c>
      <c r="I46" s="595">
        <f t="shared" si="9"/>
        <v>554366.39999999991</v>
      </c>
      <c r="K46" s="545">
        <f>'5.2 Budgeted Enrollment YR2'!J38</f>
        <v>0</v>
      </c>
      <c r="L46" s="208">
        <f t="shared" si="10"/>
        <v>1131.3599999999999</v>
      </c>
      <c r="M46" s="595">
        <f t="shared" si="11"/>
        <v>0</v>
      </c>
    </row>
    <row r="47" spans="1:13" x14ac:dyDescent="0.3">
      <c r="B47" s="143" t="str">
        <f>'5.2 Budgeted Enrollment YR2'!E39</f>
        <v>Cactus Park</v>
      </c>
      <c r="C47" s="545">
        <f>'1.2 Budgeted Enrollment YR1'!H39</f>
        <v>22</v>
      </c>
      <c r="D47" s="208">
        <f t="shared" si="6"/>
        <v>4242.6000000000004</v>
      </c>
      <c r="E47" s="595">
        <f t="shared" ref="E47:E54" si="12">C47*D47</f>
        <v>93337.200000000012</v>
      </c>
      <c r="G47" s="545">
        <f>'5.2 Budgeted Enrollment YR2'!I39</f>
        <v>0</v>
      </c>
      <c r="H47" s="208">
        <f t="shared" si="8"/>
        <v>3299.7999999999997</v>
      </c>
      <c r="I47" s="595">
        <f t="shared" ref="I47:I54" si="13">G47*H47</f>
        <v>0</v>
      </c>
      <c r="K47" s="545">
        <f>'5.2 Budgeted Enrollment YR2'!J39</f>
        <v>0</v>
      </c>
      <c r="L47" s="208">
        <f t="shared" si="10"/>
        <v>1131.3599999999999</v>
      </c>
      <c r="M47" s="595">
        <f t="shared" ref="M47:M54" si="14">K47*L47</f>
        <v>0</v>
      </c>
    </row>
    <row r="48" spans="1:13" x14ac:dyDescent="0.3">
      <c r="B48" s="143" t="str">
        <f>'5.2 Budgeted Enrollment YR2'!E40</f>
        <v>Carson Montessori</v>
      </c>
      <c r="C48" s="545">
        <f>'1.2 Budgeted Enrollment YR1'!H40</f>
        <v>9</v>
      </c>
      <c r="D48" s="208">
        <f t="shared" si="6"/>
        <v>4242.6000000000004</v>
      </c>
      <c r="E48" s="595">
        <f t="shared" si="12"/>
        <v>38183.4</v>
      </c>
      <c r="G48" s="545">
        <f>'5.2 Budgeted Enrollment YR2'!I40</f>
        <v>3</v>
      </c>
      <c r="H48" s="208">
        <f t="shared" si="8"/>
        <v>3299.7999999999997</v>
      </c>
      <c r="I48" s="595">
        <f t="shared" si="13"/>
        <v>9899.4</v>
      </c>
      <c r="K48" s="545">
        <f>'5.2 Budgeted Enrollment YR2'!J40</f>
        <v>0</v>
      </c>
      <c r="L48" s="208">
        <f t="shared" si="10"/>
        <v>1131.3599999999999</v>
      </c>
      <c r="M48" s="595">
        <f t="shared" si="14"/>
        <v>0</v>
      </c>
    </row>
    <row r="49" spans="1:13" x14ac:dyDescent="0.3">
      <c r="B49" s="143" t="str">
        <f>'5.2 Budgeted Enrollment YR2'!E41</f>
        <v>CIVICA Nevada Career &amp; Collegiate Academy</v>
      </c>
      <c r="C49" s="545">
        <f>'1.2 Budgeted Enrollment YR1'!H41</f>
        <v>241</v>
      </c>
      <c r="D49" s="208">
        <f t="shared" si="6"/>
        <v>4242.6000000000004</v>
      </c>
      <c r="E49" s="595">
        <f t="shared" si="12"/>
        <v>1022466.6000000001</v>
      </c>
      <c r="G49" s="545">
        <f>'5.2 Budgeted Enrollment YR2'!I41</f>
        <v>49</v>
      </c>
      <c r="H49" s="208">
        <f t="shared" si="8"/>
        <v>3299.7999999999997</v>
      </c>
      <c r="I49" s="595">
        <f t="shared" si="13"/>
        <v>161690.19999999998</v>
      </c>
      <c r="K49" s="545">
        <f>'5.2 Budgeted Enrollment YR2'!J41</f>
        <v>0</v>
      </c>
      <c r="L49" s="208">
        <f t="shared" si="10"/>
        <v>1131.3599999999999</v>
      </c>
      <c r="M49" s="595">
        <f t="shared" si="14"/>
        <v>0</v>
      </c>
    </row>
    <row r="50" spans="1:13" x14ac:dyDescent="0.3">
      <c r="B50" s="143" t="str">
        <f>'5.2 Budgeted Enrollment YR2'!E42</f>
        <v>Coral Academy of Science Las Vegas</v>
      </c>
      <c r="C50" s="545">
        <f>'1.2 Budgeted Enrollment YR1'!H42</f>
        <v>217</v>
      </c>
      <c r="D50" s="208">
        <f t="shared" si="6"/>
        <v>4242.6000000000004</v>
      </c>
      <c r="E50" s="595">
        <f t="shared" si="12"/>
        <v>920644.20000000007</v>
      </c>
      <c r="G50" s="545">
        <f>'5.2 Budgeted Enrollment YR2'!I42</f>
        <v>29</v>
      </c>
      <c r="H50" s="208">
        <f t="shared" si="8"/>
        <v>3299.7999999999997</v>
      </c>
      <c r="I50" s="595">
        <f t="shared" si="13"/>
        <v>95694.2</v>
      </c>
      <c r="K50" s="545">
        <f>'5.2 Budgeted Enrollment YR2'!J42</f>
        <v>23</v>
      </c>
      <c r="L50" s="208">
        <f t="shared" si="10"/>
        <v>1131.3599999999999</v>
      </c>
      <c r="M50" s="595">
        <f t="shared" si="14"/>
        <v>26021.279999999999</v>
      </c>
    </row>
    <row r="51" spans="1:13" x14ac:dyDescent="0.3">
      <c r="B51" s="143" t="str">
        <f>'5.2 Budgeted Enrollment YR2'!E43</f>
        <v>Coral Academy Washoe</v>
      </c>
      <c r="C51" s="545">
        <f>'1.2 Budgeted Enrollment YR1'!H43</f>
        <v>128</v>
      </c>
      <c r="D51" s="208">
        <f t="shared" si="6"/>
        <v>4242.6000000000004</v>
      </c>
      <c r="E51" s="595">
        <f t="shared" si="12"/>
        <v>543052.80000000005</v>
      </c>
      <c r="G51" s="545">
        <f>'5.2 Budgeted Enrollment YR2'!I43</f>
        <v>42</v>
      </c>
      <c r="H51" s="208">
        <f t="shared" si="8"/>
        <v>3299.7999999999997</v>
      </c>
      <c r="I51" s="595">
        <f t="shared" si="13"/>
        <v>138591.59999999998</v>
      </c>
      <c r="K51" s="545">
        <f>'5.2 Budgeted Enrollment YR2'!J43</f>
        <v>4</v>
      </c>
      <c r="L51" s="208">
        <f t="shared" si="10"/>
        <v>1131.3599999999999</v>
      </c>
      <c r="M51" s="595">
        <f t="shared" si="14"/>
        <v>4525.4399999999996</v>
      </c>
    </row>
    <row r="52" spans="1:13" x14ac:dyDescent="0.3">
      <c r="B52" s="143" t="str">
        <f>'5.2 Budgeted Enrollment YR2'!E44</f>
        <v>Delta Academy</v>
      </c>
      <c r="C52" s="545">
        <f>'1.2 Budgeted Enrollment YR1'!H44</f>
        <v>101</v>
      </c>
      <c r="D52" s="208">
        <f t="shared" si="6"/>
        <v>4242.6000000000004</v>
      </c>
      <c r="E52" s="595">
        <f t="shared" si="12"/>
        <v>428502.60000000003</v>
      </c>
      <c r="G52" s="545">
        <f>'5.2 Budgeted Enrollment YR2'!I44</f>
        <v>332</v>
      </c>
      <c r="H52" s="208">
        <f t="shared" si="8"/>
        <v>3299.7999999999997</v>
      </c>
      <c r="I52" s="595">
        <f t="shared" si="13"/>
        <v>1095533.5999999999</v>
      </c>
      <c r="K52" s="545">
        <f>'5.2 Budgeted Enrollment YR2'!J44</f>
        <v>0</v>
      </c>
      <c r="L52" s="208">
        <f t="shared" si="10"/>
        <v>1131.3599999999999</v>
      </c>
      <c r="M52" s="595">
        <f t="shared" si="14"/>
        <v>0</v>
      </c>
    </row>
    <row r="53" spans="1:13" s="19" customFormat="1" x14ac:dyDescent="0.3">
      <c r="A53" s="10"/>
      <c r="B53" s="143" t="str">
        <f>'5.2 Budgeted Enrollment YR2'!E45</f>
        <v>Democracy Prep</v>
      </c>
      <c r="C53" s="545">
        <f>'1.2 Budgeted Enrollment YR1'!H45</f>
        <v>108</v>
      </c>
      <c r="D53" s="208">
        <f t="shared" si="6"/>
        <v>4242.6000000000004</v>
      </c>
      <c r="E53" s="595">
        <f t="shared" si="12"/>
        <v>458200.80000000005</v>
      </c>
      <c r="F53" s="10"/>
      <c r="G53" s="545">
        <f>'5.2 Budgeted Enrollment YR2'!I45</f>
        <v>194</v>
      </c>
      <c r="H53" s="208">
        <f t="shared" si="8"/>
        <v>3299.7999999999997</v>
      </c>
      <c r="I53" s="595">
        <f t="shared" si="13"/>
        <v>640161.19999999995</v>
      </c>
      <c r="J53" s="10"/>
      <c r="K53" s="545">
        <f>'5.2 Budgeted Enrollment YR2'!J45</f>
        <v>0</v>
      </c>
      <c r="L53" s="208">
        <f t="shared" si="10"/>
        <v>1131.3599999999999</v>
      </c>
      <c r="M53" s="595">
        <f t="shared" si="14"/>
        <v>0</v>
      </c>
    </row>
    <row r="54" spans="1:13" x14ac:dyDescent="0.3">
      <c r="B54" s="143" t="str">
        <f>'5.2 Budgeted Enrollment YR2'!E46</f>
        <v>Discovery Charter</v>
      </c>
      <c r="C54" s="545">
        <f>'1.2 Budgeted Enrollment YR1'!H46</f>
        <v>23</v>
      </c>
      <c r="D54" s="208">
        <f t="shared" si="6"/>
        <v>4242.6000000000004</v>
      </c>
      <c r="E54" s="595">
        <f t="shared" si="12"/>
        <v>97579.8</v>
      </c>
      <c r="G54" s="545">
        <f>'5.2 Budgeted Enrollment YR2'!I46</f>
        <v>9</v>
      </c>
      <c r="H54" s="208">
        <f t="shared" si="8"/>
        <v>3299.7999999999997</v>
      </c>
      <c r="I54" s="595">
        <f t="shared" si="13"/>
        <v>29698.199999999997</v>
      </c>
      <c r="K54" s="545">
        <f>'5.2 Budgeted Enrollment YR2'!J46</f>
        <v>43</v>
      </c>
      <c r="L54" s="208">
        <f t="shared" si="10"/>
        <v>1131.3599999999999</v>
      </c>
      <c r="M54" s="595">
        <f t="shared" si="14"/>
        <v>48648.479999999996</v>
      </c>
    </row>
    <row r="55" spans="1:13" x14ac:dyDescent="0.3">
      <c r="A55" s="19"/>
      <c r="B55" s="143" t="str">
        <f>'5.2 Budgeted Enrollment YR2'!E47</f>
        <v>Doral Academy</v>
      </c>
      <c r="C55" s="545">
        <f>'1.2 Budgeted Enrollment YR1'!H47</f>
        <v>223</v>
      </c>
      <c r="D55" s="208">
        <f t="shared" si="6"/>
        <v>4242.6000000000004</v>
      </c>
      <c r="E55" s="595">
        <f t="shared" ref="E55:E98" si="15">C55*D55</f>
        <v>946099.8</v>
      </c>
      <c r="G55" s="545">
        <f>'5.2 Budgeted Enrollment YR2'!I47</f>
        <v>37</v>
      </c>
      <c r="H55" s="208">
        <f t="shared" si="8"/>
        <v>3299.7999999999997</v>
      </c>
      <c r="I55" s="595">
        <f t="shared" ref="I55:I98" si="16">G55*H55</f>
        <v>122092.59999999999</v>
      </c>
      <c r="K55" s="545">
        <f>'5.2 Budgeted Enrollment YR2'!J47</f>
        <v>337</v>
      </c>
      <c r="L55" s="208">
        <f t="shared" si="10"/>
        <v>1131.3599999999999</v>
      </c>
      <c r="M55" s="595">
        <f t="shared" ref="M55:M98" si="17">K55*L55</f>
        <v>381268.31999999995</v>
      </c>
    </row>
    <row r="56" spans="1:13" x14ac:dyDescent="0.3">
      <c r="B56" s="143" t="str">
        <f>'5.2 Budgeted Enrollment YR2'!E48</f>
        <v>Doral Academy of Northern Nevada</v>
      </c>
      <c r="C56" s="545">
        <f>'1.2 Budgeted Enrollment YR1'!H48</f>
        <v>2</v>
      </c>
      <c r="D56" s="208">
        <f t="shared" si="6"/>
        <v>4242.6000000000004</v>
      </c>
      <c r="E56" s="595">
        <f t="shared" si="15"/>
        <v>8485.2000000000007</v>
      </c>
      <c r="G56" s="545">
        <f>'5.2 Budgeted Enrollment YR2'!I48</f>
        <v>0</v>
      </c>
      <c r="H56" s="208">
        <f t="shared" si="8"/>
        <v>3299.7999999999997</v>
      </c>
      <c r="I56" s="595">
        <f t="shared" si="16"/>
        <v>0</v>
      </c>
      <c r="K56" s="545">
        <f>'5.2 Budgeted Enrollment YR2'!J48</f>
        <v>65</v>
      </c>
      <c r="L56" s="208">
        <f t="shared" si="10"/>
        <v>1131.3599999999999</v>
      </c>
      <c r="M56" s="595">
        <f t="shared" si="17"/>
        <v>73538.399999999994</v>
      </c>
    </row>
    <row r="57" spans="1:13" x14ac:dyDescent="0.3">
      <c r="B57" s="143" t="str">
        <f>'5.2 Budgeted Enrollment YR2'!E49</f>
        <v>Eagle Charter School</v>
      </c>
      <c r="C57" s="545">
        <f>'1.2 Budgeted Enrollment YR1'!H49</f>
        <v>0</v>
      </c>
      <c r="D57" s="208">
        <f t="shared" si="6"/>
        <v>4242.6000000000004</v>
      </c>
      <c r="E57" s="595">
        <f t="shared" si="15"/>
        <v>0</v>
      </c>
      <c r="G57" s="545">
        <f>'5.2 Budgeted Enrollment YR2'!I49</f>
        <v>0</v>
      </c>
      <c r="H57" s="208">
        <f t="shared" si="8"/>
        <v>3299.7999999999997</v>
      </c>
      <c r="I57" s="595">
        <f t="shared" si="16"/>
        <v>0</v>
      </c>
      <c r="K57" s="545">
        <f>'5.2 Budgeted Enrollment YR2'!J49</f>
        <v>0</v>
      </c>
      <c r="L57" s="208">
        <f t="shared" si="10"/>
        <v>1131.3599999999999</v>
      </c>
      <c r="M57" s="595">
        <f t="shared" si="17"/>
        <v>0</v>
      </c>
    </row>
    <row r="58" spans="1:13" x14ac:dyDescent="0.3">
      <c r="B58" s="143" t="str">
        <f>'5.2 Budgeted Enrollment YR2'!E50</f>
        <v>Elko Institute for Academic Achievement</v>
      </c>
      <c r="C58" s="545">
        <f>'1.2 Budgeted Enrollment YR1'!H50</f>
        <v>2</v>
      </c>
      <c r="D58" s="208">
        <f t="shared" si="6"/>
        <v>4242.6000000000004</v>
      </c>
      <c r="E58" s="595">
        <f t="shared" si="15"/>
        <v>8485.2000000000007</v>
      </c>
      <c r="G58" s="545">
        <f>'5.2 Budgeted Enrollment YR2'!I50</f>
        <v>5</v>
      </c>
      <c r="H58" s="208">
        <f t="shared" si="8"/>
        <v>3299.7999999999997</v>
      </c>
      <c r="I58" s="595">
        <f t="shared" si="16"/>
        <v>16499</v>
      </c>
      <c r="K58" s="545">
        <f>'5.2 Budgeted Enrollment YR2'!J50</f>
        <v>0</v>
      </c>
      <c r="L58" s="208">
        <f t="shared" si="10"/>
        <v>1131.3599999999999</v>
      </c>
      <c r="M58" s="595">
        <f t="shared" si="17"/>
        <v>0</v>
      </c>
    </row>
    <row r="59" spans="1:13" x14ac:dyDescent="0.3">
      <c r="B59" s="143" t="str">
        <f>'5.2 Budgeted Enrollment YR2'!E51</f>
        <v>enCompass Academy</v>
      </c>
      <c r="C59" s="545">
        <f>'1.2 Budgeted Enrollment YR1'!H51</f>
        <v>6</v>
      </c>
      <c r="D59" s="208">
        <f t="shared" si="6"/>
        <v>4242.6000000000004</v>
      </c>
      <c r="E59" s="595">
        <f t="shared" si="15"/>
        <v>25455.600000000002</v>
      </c>
      <c r="G59" s="545">
        <f>'5.2 Budgeted Enrollment YR2'!I51</f>
        <v>20</v>
      </c>
      <c r="H59" s="208">
        <f t="shared" si="8"/>
        <v>3299.7999999999997</v>
      </c>
      <c r="I59" s="595">
        <f t="shared" si="16"/>
        <v>65996</v>
      </c>
      <c r="K59" s="545">
        <f>'5.2 Budgeted Enrollment YR2'!J51</f>
        <v>0</v>
      </c>
      <c r="L59" s="208">
        <f t="shared" si="10"/>
        <v>1131.3599999999999</v>
      </c>
      <c r="M59" s="595">
        <f t="shared" si="17"/>
        <v>0</v>
      </c>
    </row>
    <row r="60" spans="1:13" x14ac:dyDescent="0.3">
      <c r="B60" s="143" t="str">
        <f>'5.2 Budgeted Enrollment YR2'!E52</f>
        <v>Equipo Academy</v>
      </c>
      <c r="C60" s="545">
        <f>'1.2 Budgeted Enrollment YR1'!H52</f>
        <v>168</v>
      </c>
      <c r="D60" s="208">
        <f t="shared" si="6"/>
        <v>4242.6000000000004</v>
      </c>
      <c r="E60" s="595">
        <f t="shared" si="15"/>
        <v>712756.8</v>
      </c>
      <c r="G60" s="545">
        <f>'5.2 Budgeted Enrollment YR2'!I52</f>
        <v>29</v>
      </c>
      <c r="H60" s="208">
        <f t="shared" si="8"/>
        <v>3299.7999999999997</v>
      </c>
      <c r="I60" s="595">
        <f t="shared" si="16"/>
        <v>95694.2</v>
      </c>
      <c r="K60" s="545">
        <f>'5.2 Budgeted Enrollment YR2'!J52</f>
        <v>0</v>
      </c>
      <c r="L60" s="208">
        <f t="shared" si="10"/>
        <v>1131.3599999999999</v>
      </c>
      <c r="M60" s="595">
        <f t="shared" si="17"/>
        <v>0</v>
      </c>
    </row>
    <row r="61" spans="1:13" x14ac:dyDescent="0.3">
      <c r="B61" s="143" t="str">
        <f>'5.2 Budgeted Enrollment YR2'!E53</f>
        <v>Explore Academy</v>
      </c>
      <c r="C61" s="545">
        <f>'1.2 Budgeted Enrollment YR1'!H53</f>
        <v>11</v>
      </c>
      <c r="D61" s="208">
        <f t="shared" si="6"/>
        <v>4242.6000000000004</v>
      </c>
      <c r="E61" s="595">
        <f t="shared" si="15"/>
        <v>46668.600000000006</v>
      </c>
      <c r="G61" s="545">
        <f>'5.2 Budgeted Enrollment YR2'!I53</f>
        <v>2</v>
      </c>
      <c r="H61" s="208">
        <f t="shared" si="8"/>
        <v>3299.7999999999997</v>
      </c>
      <c r="I61" s="595">
        <f t="shared" si="16"/>
        <v>6599.5999999999995</v>
      </c>
      <c r="K61" s="545">
        <f>'5.2 Budgeted Enrollment YR2'!J53</f>
        <v>0</v>
      </c>
      <c r="L61" s="208">
        <f t="shared" si="10"/>
        <v>1131.3599999999999</v>
      </c>
      <c r="M61" s="595">
        <f t="shared" si="17"/>
        <v>0</v>
      </c>
    </row>
    <row r="62" spans="1:13" x14ac:dyDescent="0.3">
      <c r="B62" s="143" t="str">
        <f>'5.2 Budgeted Enrollment YR2'!E54</f>
        <v>Explore Knowledge Academy</v>
      </c>
      <c r="C62" s="545">
        <f>'1.2 Budgeted Enrollment YR1'!H54</f>
        <v>59</v>
      </c>
      <c r="D62" s="208">
        <f t="shared" si="6"/>
        <v>4242.6000000000004</v>
      </c>
      <c r="E62" s="595">
        <f t="shared" si="15"/>
        <v>250313.40000000002</v>
      </c>
      <c r="G62" s="545">
        <f>'5.2 Budgeted Enrollment YR2'!I54</f>
        <v>44</v>
      </c>
      <c r="H62" s="208">
        <f t="shared" si="8"/>
        <v>3299.7999999999997</v>
      </c>
      <c r="I62" s="595">
        <f t="shared" si="16"/>
        <v>145191.19999999998</v>
      </c>
      <c r="K62" s="545">
        <f>'5.2 Budgeted Enrollment YR2'!J54</f>
        <v>0</v>
      </c>
      <c r="L62" s="208">
        <f t="shared" si="10"/>
        <v>1131.3599999999999</v>
      </c>
      <c r="M62" s="595">
        <f t="shared" si="17"/>
        <v>0</v>
      </c>
    </row>
    <row r="63" spans="1:13" x14ac:dyDescent="0.3">
      <c r="B63" s="143" t="str">
        <f>'5.2 Budgeted Enrollment YR2'!E55</f>
        <v>Founders Academy of Las Vegas</v>
      </c>
      <c r="C63" s="545">
        <f>'1.2 Budgeted Enrollment YR1'!H55</f>
        <v>57</v>
      </c>
      <c r="D63" s="208">
        <f t="shared" si="6"/>
        <v>4242.6000000000004</v>
      </c>
      <c r="E63" s="595">
        <f t="shared" si="15"/>
        <v>241828.2</v>
      </c>
      <c r="G63" s="545">
        <f>'5.2 Budgeted Enrollment YR2'!I55</f>
        <v>23</v>
      </c>
      <c r="H63" s="208">
        <f t="shared" si="8"/>
        <v>3299.7999999999997</v>
      </c>
      <c r="I63" s="595">
        <f t="shared" si="16"/>
        <v>75895.399999999994</v>
      </c>
      <c r="K63" s="545">
        <f>'5.2 Budgeted Enrollment YR2'!J55</f>
        <v>0</v>
      </c>
      <c r="L63" s="208">
        <f t="shared" si="10"/>
        <v>1131.3599999999999</v>
      </c>
      <c r="M63" s="595">
        <f t="shared" si="17"/>
        <v>0</v>
      </c>
    </row>
    <row r="64" spans="1:13" x14ac:dyDescent="0.3">
      <c r="B64" s="143" t="str">
        <f>'5.2 Budgeted Enrollment YR2'!E56</f>
        <v>Freedom Classical Academy</v>
      </c>
      <c r="C64" s="545">
        <f>'1.2 Budgeted Enrollment YR1'!H56</f>
        <v>83</v>
      </c>
      <c r="D64" s="208">
        <f t="shared" si="6"/>
        <v>4242.6000000000004</v>
      </c>
      <c r="E64" s="595">
        <f t="shared" si="15"/>
        <v>352135.80000000005</v>
      </c>
      <c r="G64" s="545">
        <f>'5.2 Budgeted Enrollment YR2'!I56</f>
        <v>48</v>
      </c>
      <c r="H64" s="208">
        <f t="shared" si="8"/>
        <v>3299.7999999999997</v>
      </c>
      <c r="I64" s="595">
        <f t="shared" si="16"/>
        <v>158390.39999999999</v>
      </c>
      <c r="K64" s="545">
        <f>'5.2 Budgeted Enrollment YR2'!J56</f>
        <v>0</v>
      </c>
      <c r="L64" s="208">
        <f t="shared" si="10"/>
        <v>1131.3599999999999</v>
      </c>
      <c r="M64" s="595">
        <f t="shared" si="17"/>
        <v>0</v>
      </c>
    </row>
    <row r="65" spans="2:13" x14ac:dyDescent="0.3">
      <c r="B65" s="143" t="str">
        <f>'5.2 Budgeted Enrollment YR2'!E57</f>
        <v>Futuro Academy Elementary</v>
      </c>
      <c r="C65" s="545">
        <f>'1.2 Budgeted Enrollment YR1'!H57</f>
        <v>188</v>
      </c>
      <c r="D65" s="208">
        <f t="shared" si="6"/>
        <v>4242.6000000000004</v>
      </c>
      <c r="E65" s="595">
        <f t="shared" si="15"/>
        <v>797608.8</v>
      </c>
      <c r="G65" s="545">
        <f>'5.2 Budgeted Enrollment YR2'!I57</f>
        <v>40</v>
      </c>
      <c r="H65" s="208">
        <f t="shared" si="8"/>
        <v>3299.7999999999997</v>
      </c>
      <c r="I65" s="595">
        <f t="shared" si="16"/>
        <v>131992</v>
      </c>
      <c r="K65" s="545">
        <f>'5.2 Budgeted Enrollment YR2'!J57</f>
        <v>0</v>
      </c>
      <c r="L65" s="208">
        <f t="shared" si="10"/>
        <v>1131.3599999999999</v>
      </c>
      <c r="M65" s="595">
        <f t="shared" si="17"/>
        <v>0</v>
      </c>
    </row>
    <row r="66" spans="2:13" x14ac:dyDescent="0.3">
      <c r="B66" s="143" t="str">
        <f>'5.2 Budgeted Enrollment YR2'!E58</f>
        <v>Girls Athletic Leadership Schools</v>
      </c>
      <c r="C66" s="545">
        <f>'1.2 Budgeted Enrollment YR1'!H58</f>
        <v>0</v>
      </c>
      <c r="D66" s="208">
        <f t="shared" si="6"/>
        <v>4242.6000000000004</v>
      </c>
      <c r="E66" s="595">
        <f t="shared" si="15"/>
        <v>0</v>
      </c>
      <c r="G66" s="545">
        <f>'5.2 Budgeted Enrollment YR2'!I58</f>
        <v>0</v>
      </c>
      <c r="H66" s="208">
        <f t="shared" si="8"/>
        <v>3299.7999999999997</v>
      </c>
      <c r="I66" s="595">
        <f t="shared" si="16"/>
        <v>0</v>
      </c>
      <c r="K66" s="545">
        <f>'5.2 Budgeted Enrollment YR2'!J58</f>
        <v>0</v>
      </c>
      <c r="L66" s="208">
        <f t="shared" si="10"/>
        <v>1131.3599999999999</v>
      </c>
      <c r="M66" s="595">
        <f t="shared" si="17"/>
        <v>0</v>
      </c>
    </row>
    <row r="67" spans="2:13" x14ac:dyDescent="0.3">
      <c r="B67" s="143" t="str">
        <f>'5.2 Budgeted Enrollment YR2'!E59</f>
        <v>High Desert Montessori</v>
      </c>
      <c r="C67" s="545">
        <f>'1.2 Budgeted Enrollment YR1'!H59</f>
        <v>24</v>
      </c>
      <c r="D67" s="208">
        <f t="shared" si="6"/>
        <v>4242.6000000000004</v>
      </c>
      <c r="E67" s="595">
        <f t="shared" si="15"/>
        <v>101822.40000000001</v>
      </c>
      <c r="G67" s="545">
        <f>'5.2 Budgeted Enrollment YR2'!I59</f>
        <v>11</v>
      </c>
      <c r="H67" s="208">
        <f t="shared" si="8"/>
        <v>3299.7999999999997</v>
      </c>
      <c r="I67" s="595">
        <f t="shared" si="16"/>
        <v>36297.799999999996</v>
      </c>
      <c r="K67" s="545">
        <f>'5.2 Budgeted Enrollment YR2'!J59</f>
        <v>0</v>
      </c>
      <c r="L67" s="208">
        <f t="shared" si="10"/>
        <v>1131.3599999999999</v>
      </c>
      <c r="M67" s="595">
        <f t="shared" si="17"/>
        <v>0</v>
      </c>
    </row>
    <row r="68" spans="2:13" x14ac:dyDescent="0.3">
      <c r="B68" s="143" t="str">
        <f>'5.2 Budgeted Enrollment YR2'!E60</f>
        <v>Honors Academy of Literature</v>
      </c>
      <c r="C68" s="545">
        <f>'1.2 Budgeted Enrollment YR1'!H60</f>
        <v>4</v>
      </c>
      <c r="D68" s="208">
        <f t="shared" si="6"/>
        <v>4242.6000000000004</v>
      </c>
      <c r="E68" s="595">
        <f t="shared" si="15"/>
        <v>16970.400000000001</v>
      </c>
      <c r="G68" s="545">
        <f>'5.2 Budgeted Enrollment YR2'!I60</f>
        <v>3</v>
      </c>
      <c r="H68" s="208">
        <f t="shared" si="8"/>
        <v>3299.7999999999997</v>
      </c>
      <c r="I68" s="595">
        <f t="shared" si="16"/>
        <v>9899.4</v>
      </c>
      <c r="K68" s="545">
        <f>'5.2 Budgeted Enrollment YR2'!J60</f>
        <v>0</v>
      </c>
      <c r="L68" s="208">
        <f t="shared" si="10"/>
        <v>1131.3599999999999</v>
      </c>
      <c r="M68" s="595">
        <f t="shared" si="17"/>
        <v>0</v>
      </c>
    </row>
    <row r="69" spans="2:13" x14ac:dyDescent="0.3">
      <c r="B69" s="143" t="str">
        <f>'5.2 Budgeted Enrollment YR2'!E61</f>
        <v>Imagine School Mountain View</v>
      </c>
      <c r="C69" s="545">
        <f>'1.2 Budgeted Enrollment YR1'!H61</f>
        <v>70</v>
      </c>
      <c r="D69" s="208">
        <f t="shared" si="6"/>
        <v>4242.6000000000004</v>
      </c>
      <c r="E69" s="595">
        <f t="shared" si="15"/>
        <v>296982</v>
      </c>
      <c r="G69" s="545">
        <f>'5.2 Budgeted Enrollment YR2'!I61</f>
        <v>2</v>
      </c>
      <c r="H69" s="208">
        <f t="shared" si="8"/>
        <v>3299.7999999999997</v>
      </c>
      <c r="I69" s="595">
        <f t="shared" si="16"/>
        <v>6599.5999999999995</v>
      </c>
      <c r="K69" s="545">
        <f>'5.2 Budgeted Enrollment YR2'!J61</f>
        <v>0</v>
      </c>
      <c r="L69" s="208">
        <f t="shared" si="10"/>
        <v>1131.3599999999999</v>
      </c>
      <c r="M69" s="595">
        <f t="shared" si="17"/>
        <v>0</v>
      </c>
    </row>
    <row r="70" spans="2:13" x14ac:dyDescent="0.3">
      <c r="B70" s="143" t="str">
        <f>'5.2 Budgeted Enrollment YR2'!E62</f>
        <v>Innovations Int'l Charter</v>
      </c>
      <c r="C70" s="545">
        <f>'1.2 Budgeted Enrollment YR1'!H62</f>
        <v>189</v>
      </c>
      <c r="D70" s="208">
        <f t="shared" si="6"/>
        <v>4242.6000000000004</v>
      </c>
      <c r="E70" s="595">
        <f t="shared" si="15"/>
        <v>801851.4</v>
      </c>
      <c r="G70" s="545">
        <f>'5.2 Budgeted Enrollment YR2'!I62</f>
        <v>175</v>
      </c>
      <c r="H70" s="208">
        <f t="shared" si="8"/>
        <v>3299.7999999999997</v>
      </c>
      <c r="I70" s="595">
        <f t="shared" si="16"/>
        <v>577465</v>
      </c>
      <c r="K70" s="545">
        <f>'5.2 Budgeted Enrollment YR2'!J62</f>
        <v>0</v>
      </c>
      <c r="L70" s="208">
        <f t="shared" si="10"/>
        <v>1131.3599999999999</v>
      </c>
      <c r="M70" s="595">
        <f t="shared" si="17"/>
        <v>0</v>
      </c>
    </row>
    <row r="71" spans="2:13" x14ac:dyDescent="0.3">
      <c r="B71" s="143" t="str">
        <f>'5.2 Budgeted Enrollment YR2'!E63</f>
        <v>Leadership Academy of Nevada</v>
      </c>
      <c r="C71" s="545">
        <f>'1.2 Budgeted Enrollment YR1'!H63</f>
        <v>1</v>
      </c>
      <c r="D71" s="208">
        <f t="shared" si="6"/>
        <v>4242.6000000000004</v>
      </c>
      <c r="E71" s="595">
        <f t="shared" si="15"/>
        <v>4242.6000000000004</v>
      </c>
      <c r="G71" s="545">
        <f>'5.2 Budgeted Enrollment YR2'!I63</f>
        <v>15</v>
      </c>
      <c r="H71" s="208">
        <f t="shared" si="8"/>
        <v>3299.7999999999997</v>
      </c>
      <c r="I71" s="595">
        <f t="shared" si="16"/>
        <v>49496.999999999993</v>
      </c>
      <c r="K71" s="545">
        <f>'5.2 Budgeted Enrollment YR2'!J63</f>
        <v>0</v>
      </c>
      <c r="L71" s="208">
        <f t="shared" si="10"/>
        <v>1131.3599999999999</v>
      </c>
      <c r="M71" s="595">
        <f t="shared" si="17"/>
        <v>0</v>
      </c>
    </row>
    <row r="72" spans="2:13" x14ac:dyDescent="0.3">
      <c r="B72" s="143" t="str">
        <f>'5.2 Budgeted Enrollment YR2'!E64</f>
        <v>Learning Bridge</v>
      </c>
      <c r="C72" s="545">
        <f>'1.2 Budgeted Enrollment YR1'!H64</f>
        <v>2</v>
      </c>
      <c r="D72" s="208">
        <f t="shared" si="6"/>
        <v>4242.6000000000004</v>
      </c>
      <c r="E72" s="595">
        <f t="shared" si="15"/>
        <v>8485.2000000000007</v>
      </c>
      <c r="G72" s="545">
        <f>'5.2 Budgeted Enrollment YR2'!I64</f>
        <v>0</v>
      </c>
      <c r="H72" s="208">
        <f t="shared" si="8"/>
        <v>3299.7999999999997</v>
      </c>
      <c r="I72" s="595">
        <f t="shared" si="16"/>
        <v>0</v>
      </c>
      <c r="K72" s="545">
        <f>'5.2 Budgeted Enrollment YR2'!J64</f>
        <v>0</v>
      </c>
      <c r="L72" s="208">
        <f t="shared" si="10"/>
        <v>1131.3599999999999</v>
      </c>
      <c r="M72" s="595">
        <f t="shared" si="17"/>
        <v>0</v>
      </c>
    </row>
    <row r="73" spans="2:13" x14ac:dyDescent="0.3">
      <c r="B73" s="143" t="str">
        <f>'5.2 Budgeted Enrollment YR2'!E65</f>
        <v>Legacy Traditional Schools</v>
      </c>
      <c r="C73" s="545">
        <f>'1.2 Budgeted Enrollment YR1'!H65</f>
        <v>264</v>
      </c>
      <c r="D73" s="208">
        <f t="shared" si="6"/>
        <v>4242.6000000000004</v>
      </c>
      <c r="E73" s="595">
        <f t="shared" si="15"/>
        <v>1120046.4000000001</v>
      </c>
      <c r="G73" s="545">
        <f>'5.2 Budgeted Enrollment YR2'!I65</f>
        <v>158</v>
      </c>
      <c r="H73" s="208">
        <f t="shared" si="8"/>
        <v>3299.7999999999997</v>
      </c>
      <c r="I73" s="595">
        <f t="shared" si="16"/>
        <v>521368.39999999997</v>
      </c>
      <c r="K73" s="545">
        <f>'5.2 Budgeted Enrollment YR2'!J65</f>
        <v>179</v>
      </c>
      <c r="L73" s="208">
        <f t="shared" si="10"/>
        <v>1131.3599999999999</v>
      </c>
      <c r="M73" s="595">
        <f t="shared" si="17"/>
        <v>202513.43999999997</v>
      </c>
    </row>
    <row r="74" spans="2:13" x14ac:dyDescent="0.3">
      <c r="B74" s="143" t="str">
        <f>'5.2 Budgeted Enrollment YR2'!E66</f>
        <v>Mariposa Dual Language Academy</v>
      </c>
      <c r="C74" s="545">
        <f>'1.2 Budgeted Enrollment YR1'!H66</f>
        <v>35</v>
      </c>
      <c r="D74" s="208">
        <f t="shared" si="6"/>
        <v>4242.6000000000004</v>
      </c>
      <c r="E74" s="595">
        <f t="shared" si="15"/>
        <v>148491</v>
      </c>
      <c r="G74" s="545">
        <f>'5.2 Budgeted Enrollment YR2'!I66</f>
        <v>1</v>
      </c>
      <c r="H74" s="208">
        <f t="shared" si="8"/>
        <v>3299.7999999999997</v>
      </c>
      <c r="I74" s="595">
        <f t="shared" si="16"/>
        <v>3299.7999999999997</v>
      </c>
      <c r="K74" s="545">
        <f>'5.2 Budgeted Enrollment YR2'!J66</f>
        <v>0</v>
      </c>
      <c r="L74" s="208">
        <f t="shared" si="10"/>
        <v>1131.3599999999999</v>
      </c>
      <c r="M74" s="595">
        <f t="shared" si="17"/>
        <v>0</v>
      </c>
    </row>
    <row r="75" spans="2:13" x14ac:dyDescent="0.3">
      <c r="B75" s="143" t="str">
        <f>'5.2 Budgeted Enrollment YR2'!E67</f>
        <v>Mater Academy</v>
      </c>
      <c r="C75" s="545">
        <f>'1.2 Budgeted Enrollment YR1'!H67</f>
        <v>1373</v>
      </c>
      <c r="D75" s="208">
        <f t="shared" si="6"/>
        <v>4242.6000000000004</v>
      </c>
      <c r="E75" s="595">
        <f t="shared" si="15"/>
        <v>5825089.8000000007</v>
      </c>
      <c r="G75" s="545">
        <f>'5.2 Budgeted Enrollment YR2'!I67</f>
        <v>45</v>
      </c>
      <c r="H75" s="208">
        <f t="shared" si="8"/>
        <v>3299.7999999999997</v>
      </c>
      <c r="I75" s="595">
        <f t="shared" si="16"/>
        <v>148491</v>
      </c>
      <c r="K75" s="545">
        <f>'5.2 Budgeted Enrollment YR2'!J67</f>
        <v>0</v>
      </c>
      <c r="L75" s="208">
        <f t="shared" si="10"/>
        <v>1131.3599999999999</v>
      </c>
      <c r="M75" s="595">
        <f t="shared" si="17"/>
        <v>0</v>
      </c>
    </row>
    <row r="76" spans="2:13" x14ac:dyDescent="0.3">
      <c r="B76" s="143" t="str">
        <f>'5.2 Budgeted Enrollment YR2'!E68</f>
        <v>Mater Academy of Northern Nevada</v>
      </c>
      <c r="C76" s="545">
        <f>'1.2 Budgeted Enrollment YR1'!H68</f>
        <v>152</v>
      </c>
      <c r="D76" s="208">
        <f t="shared" si="6"/>
        <v>4242.6000000000004</v>
      </c>
      <c r="E76" s="595">
        <f t="shared" si="15"/>
        <v>644875.20000000007</v>
      </c>
      <c r="G76" s="545">
        <f>'5.2 Budgeted Enrollment YR2'!I68</f>
        <v>4</v>
      </c>
      <c r="H76" s="208">
        <f t="shared" si="8"/>
        <v>3299.7999999999997</v>
      </c>
      <c r="I76" s="595">
        <f t="shared" si="16"/>
        <v>13199.199999999999</v>
      </c>
      <c r="K76" s="545">
        <f>'5.2 Budgeted Enrollment YR2'!J68</f>
        <v>0</v>
      </c>
      <c r="L76" s="208">
        <f t="shared" si="10"/>
        <v>1131.3599999999999</v>
      </c>
      <c r="M76" s="595">
        <f t="shared" si="17"/>
        <v>0</v>
      </c>
    </row>
    <row r="77" spans="2:13" x14ac:dyDescent="0.3">
      <c r="B77" s="143" t="str">
        <f>'5.2 Budgeted Enrollment YR2'!E69</f>
        <v>Nevada Connections Academy</v>
      </c>
      <c r="C77" s="545">
        <f>'1.2 Budgeted Enrollment YR1'!H69</f>
        <v>24</v>
      </c>
      <c r="D77" s="208">
        <f t="shared" si="6"/>
        <v>4242.6000000000004</v>
      </c>
      <c r="E77" s="595">
        <f t="shared" si="15"/>
        <v>101822.40000000001</v>
      </c>
      <c r="G77" s="545">
        <f>'5.2 Budgeted Enrollment YR2'!I69</f>
        <v>28</v>
      </c>
      <c r="H77" s="208">
        <f t="shared" si="8"/>
        <v>3299.7999999999997</v>
      </c>
      <c r="I77" s="595">
        <f t="shared" si="16"/>
        <v>92394.4</v>
      </c>
      <c r="K77" s="545">
        <f>'5.2 Budgeted Enrollment YR2'!J69</f>
        <v>0</v>
      </c>
      <c r="L77" s="208">
        <f t="shared" si="10"/>
        <v>1131.3599999999999</v>
      </c>
      <c r="M77" s="595">
        <f t="shared" si="17"/>
        <v>0</v>
      </c>
    </row>
    <row r="78" spans="2:13" x14ac:dyDescent="0.3">
      <c r="B78" s="143" t="str">
        <f>'5.2 Budgeted Enrollment YR2'!E70</f>
        <v>Nevada Prep</v>
      </c>
      <c r="C78" s="545">
        <f>'1.2 Budgeted Enrollment YR1'!H70</f>
        <v>68</v>
      </c>
      <c r="D78" s="208">
        <f t="shared" si="6"/>
        <v>4242.6000000000004</v>
      </c>
      <c r="E78" s="595">
        <f t="shared" si="15"/>
        <v>288496.80000000005</v>
      </c>
      <c r="G78" s="545">
        <f>'5.2 Budgeted Enrollment YR2'!I70</f>
        <v>12</v>
      </c>
      <c r="H78" s="208">
        <f t="shared" si="8"/>
        <v>3299.7999999999997</v>
      </c>
      <c r="I78" s="595">
        <f t="shared" si="16"/>
        <v>39597.599999999999</v>
      </c>
      <c r="K78" s="545">
        <f>'5.2 Budgeted Enrollment YR2'!J70</f>
        <v>0</v>
      </c>
      <c r="L78" s="208">
        <f t="shared" si="10"/>
        <v>1131.3599999999999</v>
      </c>
      <c r="M78" s="595">
        <f t="shared" si="17"/>
        <v>0</v>
      </c>
    </row>
    <row r="79" spans="2:13" x14ac:dyDescent="0.3">
      <c r="B79" s="143" t="str">
        <f>'5.2 Budgeted Enrollment YR2'!E71</f>
        <v xml:space="preserve">Nevada Rise </v>
      </c>
      <c r="C79" s="545">
        <f>'1.2 Budgeted Enrollment YR1'!H71</f>
        <v>73</v>
      </c>
      <c r="D79" s="208">
        <f t="shared" si="6"/>
        <v>4242.6000000000004</v>
      </c>
      <c r="E79" s="595">
        <f t="shared" si="15"/>
        <v>309709.80000000005</v>
      </c>
      <c r="G79" s="545">
        <f>'5.2 Budgeted Enrollment YR2'!I71</f>
        <v>67</v>
      </c>
      <c r="H79" s="208">
        <f t="shared" si="8"/>
        <v>3299.7999999999997</v>
      </c>
      <c r="I79" s="595">
        <f t="shared" si="16"/>
        <v>221086.59999999998</v>
      </c>
      <c r="K79" s="545">
        <f>'5.2 Budgeted Enrollment YR2'!J71</f>
        <v>0</v>
      </c>
      <c r="L79" s="208">
        <f t="shared" si="10"/>
        <v>1131.3599999999999</v>
      </c>
      <c r="M79" s="595">
        <f t="shared" si="17"/>
        <v>0</v>
      </c>
    </row>
    <row r="80" spans="2:13" x14ac:dyDescent="0.3">
      <c r="B80" s="143" t="str">
        <f>'5.2 Budgeted Enrollment YR2'!E72</f>
        <v>Nevada State High School</v>
      </c>
      <c r="C80" s="545">
        <f>'1.2 Budgeted Enrollment YR1'!H72</f>
        <v>44</v>
      </c>
      <c r="D80" s="208">
        <f t="shared" si="6"/>
        <v>4242.6000000000004</v>
      </c>
      <c r="E80" s="595">
        <f t="shared" si="15"/>
        <v>186674.40000000002</v>
      </c>
      <c r="G80" s="545">
        <f>'5.2 Budgeted Enrollment YR2'!I72</f>
        <v>1</v>
      </c>
      <c r="H80" s="208">
        <f t="shared" si="8"/>
        <v>3299.7999999999997</v>
      </c>
      <c r="I80" s="595">
        <f t="shared" si="16"/>
        <v>3299.7999999999997</v>
      </c>
      <c r="K80" s="545">
        <f>'5.2 Budgeted Enrollment YR2'!J72</f>
        <v>0</v>
      </c>
      <c r="L80" s="208">
        <f t="shared" si="10"/>
        <v>1131.3599999999999</v>
      </c>
      <c r="M80" s="595">
        <f t="shared" si="17"/>
        <v>0</v>
      </c>
    </row>
    <row r="81" spans="2:13" x14ac:dyDescent="0.3">
      <c r="B81" s="143" t="str">
        <f>'5.2 Budgeted Enrollment YR2'!E73</f>
        <v>Nevada State High School-Meadowwood</v>
      </c>
      <c r="C81" s="545">
        <f>'1.2 Budgeted Enrollment YR1'!H73</f>
        <v>0</v>
      </c>
      <c r="D81" s="208">
        <f t="shared" si="6"/>
        <v>4242.6000000000004</v>
      </c>
      <c r="E81" s="595">
        <f t="shared" si="15"/>
        <v>0</v>
      </c>
      <c r="G81" s="545">
        <f>'5.2 Budgeted Enrollment YR2'!I73</f>
        <v>0</v>
      </c>
      <c r="H81" s="208">
        <f t="shared" si="8"/>
        <v>3299.7999999999997</v>
      </c>
      <c r="I81" s="595">
        <f t="shared" si="16"/>
        <v>0</v>
      </c>
      <c r="K81" s="545">
        <f>'5.2 Budgeted Enrollment YR2'!J73</f>
        <v>0</v>
      </c>
      <c r="L81" s="208">
        <f t="shared" si="10"/>
        <v>1131.3599999999999</v>
      </c>
      <c r="M81" s="595">
        <f t="shared" si="17"/>
        <v>0</v>
      </c>
    </row>
    <row r="82" spans="2:13" x14ac:dyDescent="0.3">
      <c r="B82" s="143" t="str">
        <f>'5.2 Budgeted Enrollment YR2'!E74</f>
        <v>Nevada Virtual Academy</v>
      </c>
      <c r="C82" s="545">
        <f>'1.2 Budgeted Enrollment YR1'!H74</f>
        <v>84</v>
      </c>
      <c r="D82" s="208">
        <f t="shared" si="6"/>
        <v>4242.6000000000004</v>
      </c>
      <c r="E82" s="595">
        <f t="shared" si="15"/>
        <v>356378.4</v>
      </c>
      <c r="G82" s="545">
        <f>'5.2 Budgeted Enrollment YR2'!I74</f>
        <v>160</v>
      </c>
      <c r="H82" s="208">
        <f t="shared" si="8"/>
        <v>3299.7999999999997</v>
      </c>
      <c r="I82" s="595">
        <f t="shared" si="16"/>
        <v>527968</v>
      </c>
      <c r="K82" s="545">
        <f>'5.2 Budgeted Enrollment YR2'!J74</f>
        <v>0</v>
      </c>
      <c r="L82" s="208">
        <f t="shared" si="10"/>
        <v>1131.3599999999999</v>
      </c>
      <c r="M82" s="595">
        <f t="shared" si="17"/>
        <v>0</v>
      </c>
    </row>
    <row r="83" spans="2:13" x14ac:dyDescent="0.3">
      <c r="B83" s="143" t="str">
        <f>'5.2 Budgeted Enrollment YR2'!E75</f>
        <v>Oasis Academy</v>
      </c>
      <c r="C83" s="545">
        <f>'1.2 Budgeted Enrollment YR1'!H75</f>
        <v>28</v>
      </c>
      <c r="D83" s="208">
        <f t="shared" si="6"/>
        <v>4242.6000000000004</v>
      </c>
      <c r="E83" s="595">
        <f t="shared" si="15"/>
        <v>118792.80000000002</v>
      </c>
      <c r="G83" s="545">
        <f>'5.2 Budgeted Enrollment YR2'!I75</f>
        <v>3</v>
      </c>
      <c r="H83" s="208">
        <f t="shared" si="8"/>
        <v>3299.7999999999997</v>
      </c>
      <c r="I83" s="595">
        <f t="shared" si="16"/>
        <v>9899.4</v>
      </c>
      <c r="K83" s="545">
        <f>'5.2 Budgeted Enrollment YR2'!J75</f>
        <v>0</v>
      </c>
      <c r="L83" s="208">
        <f t="shared" si="10"/>
        <v>1131.3599999999999</v>
      </c>
      <c r="M83" s="595">
        <f t="shared" si="17"/>
        <v>0</v>
      </c>
    </row>
    <row r="84" spans="2:13" x14ac:dyDescent="0.3">
      <c r="B84" s="143" t="str">
        <f>'5.2 Budgeted Enrollment YR2'!E76</f>
        <v>Odyssey Charter Schools</v>
      </c>
      <c r="C84" s="545">
        <f>'1.2 Budgeted Enrollment YR1'!H76</f>
        <v>100</v>
      </c>
      <c r="D84" s="208">
        <f t="shared" si="6"/>
        <v>4242.6000000000004</v>
      </c>
      <c r="E84" s="595">
        <f t="shared" si="15"/>
        <v>424260.00000000006</v>
      </c>
      <c r="G84" s="545">
        <f>'5.2 Budgeted Enrollment YR2'!I76</f>
        <v>275</v>
      </c>
      <c r="H84" s="208">
        <f t="shared" si="8"/>
        <v>3299.7999999999997</v>
      </c>
      <c r="I84" s="595">
        <f t="shared" si="16"/>
        <v>907444.99999999988</v>
      </c>
      <c r="K84" s="545">
        <f>'5.2 Budgeted Enrollment YR2'!J76</f>
        <v>0</v>
      </c>
      <c r="L84" s="208">
        <f t="shared" si="10"/>
        <v>1131.3599999999999</v>
      </c>
      <c r="M84" s="595">
        <f t="shared" si="17"/>
        <v>0</v>
      </c>
    </row>
    <row r="85" spans="2:13" x14ac:dyDescent="0.3">
      <c r="B85" s="143" t="str">
        <f>'5.2 Budgeted Enrollment YR2'!E77</f>
        <v>Pinecrest Academy of Northern Nevada</v>
      </c>
      <c r="C85" s="545">
        <f>'1.2 Budgeted Enrollment YR1'!H77</f>
        <v>18</v>
      </c>
      <c r="D85" s="208">
        <f t="shared" si="6"/>
        <v>4242.6000000000004</v>
      </c>
      <c r="E85" s="595">
        <f t="shared" si="15"/>
        <v>76366.8</v>
      </c>
      <c r="G85" s="545">
        <f>'5.2 Budgeted Enrollment YR2'!I77</f>
        <v>0</v>
      </c>
      <c r="H85" s="208">
        <f t="shared" si="8"/>
        <v>3299.7999999999997</v>
      </c>
      <c r="I85" s="595">
        <f t="shared" si="16"/>
        <v>0</v>
      </c>
      <c r="K85" s="545">
        <f>'5.2 Budgeted Enrollment YR2'!J77</f>
        <v>34</v>
      </c>
      <c r="L85" s="208">
        <f t="shared" si="10"/>
        <v>1131.3599999999999</v>
      </c>
      <c r="M85" s="595">
        <f t="shared" si="17"/>
        <v>38466.239999999998</v>
      </c>
    </row>
    <row r="86" spans="2:13" x14ac:dyDescent="0.3">
      <c r="B86" s="143" t="str">
        <f>'5.2 Budgeted Enrollment YR2'!E78</f>
        <v>Pinecrest Academy of Nevada</v>
      </c>
      <c r="C86" s="545">
        <f>'1.2 Budgeted Enrollment YR1'!H78</f>
        <v>160</v>
      </c>
      <c r="D86" s="208">
        <f t="shared" si="6"/>
        <v>4242.6000000000004</v>
      </c>
      <c r="E86" s="595">
        <f t="shared" si="15"/>
        <v>678816</v>
      </c>
      <c r="G86" s="545">
        <f>'5.2 Budgeted Enrollment YR2'!I78</f>
        <v>203</v>
      </c>
      <c r="H86" s="208">
        <f t="shared" si="8"/>
        <v>3299.7999999999997</v>
      </c>
      <c r="I86" s="595">
        <f t="shared" si="16"/>
        <v>669859.39999999991</v>
      </c>
      <c r="K86" s="545">
        <f>'5.2 Budgeted Enrollment YR2'!J78</f>
        <v>259</v>
      </c>
      <c r="L86" s="208">
        <f t="shared" si="10"/>
        <v>1131.3599999999999</v>
      </c>
      <c r="M86" s="595">
        <f t="shared" si="17"/>
        <v>293022.24</v>
      </c>
    </row>
    <row r="87" spans="2:13" x14ac:dyDescent="0.3">
      <c r="B87" s="143" t="str">
        <f>'5.2 Budgeted Enrollment YR2'!E79</f>
        <v>Quest Academy</v>
      </c>
      <c r="C87" s="545">
        <f>'1.2 Budgeted Enrollment YR1'!H79</f>
        <v>34</v>
      </c>
      <c r="D87" s="208">
        <f t="shared" si="6"/>
        <v>4242.6000000000004</v>
      </c>
      <c r="E87" s="595">
        <f t="shared" si="15"/>
        <v>144248.40000000002</v>
      </c>
      <c r="G87" s="545">
        <f>'5.2 Budgeted Enrollment YR2'!I79</f>
        <v>42</v>
      </c>
      <c r="H87" s="208">
        <f t="shared" si="8"/>
        <v>3299.7999999999997</v>
      </c>
      <c r="I87" s="595">
        <f t="shared" si="16"/>
        <v>138591.59999999998</v>
      </c>
      <c r="K87" s="545">
        <f>'5.2 Budgeted Enrollment YR2'!J79</f>
        <v>0</v>
      </c>
      <c r="L87" s="208">
        <f t="shared" si="10"/>
        <v>1131.3599999999999</v>
      </c>
      <c r="M87" s="595">
        <f t="shared" si="17"/>
        <v>0</v>
      </c>
    </row>
    <row r="88" spans="2:13" x14ac:dyDescent="0.3">
      <c r="B88" s="143" t="str">
        <f>'5.2 Budgeted Enrollment YR2'!E80</f>
        <v>Rainbow Dreams Academy</v>
      </c>
      <c r="C88" s="545">
        <f>'1.2 Budgeted Enrollment YR1'!H80</f>
        <v>8</v>
      </c>
      <c r="D88" s="208">
        <f t="shared" si="6"/>
        <v>4242.6000000000004</v>
      </c>
      <c r="E88" s="595">
        <f t="shared" si="15"/>
        <v>33940.800000000003</v>
      </c>
      <c r="G88" s="545">
        <f>'5.2 Budgeted Enrollment YR2'!I80</f>
        <v>34</v>
      </c>
      <c r="H88" s="208">
        <f t="shared" si="8"/>
        <v>3299.7999999999997</v>
      </c>
      <c r="I88" s="595">
        <f t="shared" si="16"/>
        <v>112193.2</v>
      </c>
      <c r="K88" s="545">
        <f>'5.2 Budgeted Enrollment YR2'!J80</f>
        <v>0</v>
      </c>
      <c r="L88" s="208">
        <f t="shared" si="10"/>
        <v>1131.3599999999999</v>
      </c>
      <c r="M88" s="595">
        <f t="shared" si="17"/>
        <v>0</v>
      </c>
    </row>
    <row r="89" spans="2:13" x14ac:dyDescent="0.3">
      <c r="B89" s="143" t="str">
        <f>'5.2 Budgeted Enrollment YR2'!E81</f>
        <v>Rooted Charter School</v>
      </c>
      <c r="C89" s="545">
        <f>'1.2 Budgeted Enrollment YR1'!H81</f>
        <v>0</v>
      </c>
      <c r="D89" s="208">
        <f t="shared" si="6"/>
        <v>4242.6000000000004</v>
      </c>
      <c r="E89" s="595">
        <f t="shared" ref="E89" si="18">C89*D89</f>
        <v>0</v>
      </c>
      <c r="G89" s="545">
        <f>'5.2 Budgeted Enrollment YR2'!I81</f>
        <v>0</v>
      </c>
      <c r="H89" s="208">
        <f t="shared" si="8"/>
        <v>3299.7999999999997</v>
      </c>
      <c r="I89" s="595">
        <f t="shared" ref="I89" si="19">G89*H89</f>
        <v>0</v>
      </c>
      <c r="K89" s="545">
        <f>'5.2 Budgeted Enrollment YR2'!J81</f>
        <v>0</v>
      </c>
      <c r="L89" s="208">
        <f t="shared" si="10"/>
        <v>1131.3599999999999</v>
      </c>
      <c r="M89" s="595">
        <f t="shared" ref="M89" si="20">K89*L89</f>
        <v>0</v>
      </c>
    </row>
    <row r="90" spans="2:13" x14ac:dyDescent="0.3">
      <c r="B90" s="143" t="str">
        <f>'5.2 Budgeted Enrollment YR2'!E82</f>
        <v>Sage Collegiate Academy</v>
      </c>
      <c r="C90" s="545">
        <f>'1.2 Budgeted Enrollment YR1'!H82</f>
        <v>18</v>
      </c>
      <c r="D90" s="208">
        <f t="shared" si="6"/>
        <v>4242.6000000000004</v>
      </c>
      <c r="E90" s="595">
        <f t="shared" si="15"/>
        <v>76366.8</v>
      </c>
      <c r="G90" s="545">
        <f>'5.2 Budgeted Enrollment YR2'!I82</f>
        <v>0</v>
      </c>
      <c r="H90" s="208">
        <f t="shared" si="8"/>
        <v>3299.7999999999997</v>
      </c>
      <c r="I90" s="595">
        <f t="shared" si="16"/>
        <v>0</v>
      </c>
      <c r="K90" s="545">
        <f>'5.2 Budgeted Enrollment YR2'!J82</f>
        <v>0</v>
      </c>
      <c r="L90" s="208">
        <f t="shared" si="10"/>
        <v>1131.3599999999999</v>
      </c>
      <c r="M90" s="595">
        <f t="shared" si="17"/>
        <v>0</v>
      </c>
    </row>
    <row r="91" spans="2:13" x14ac:dyDescent="0.3">
      <c r="B91" s="143" t="str">
        <f>'5.2 Budgeted Enrollment YR2'!E83</f>
        <v>Sierra Nevada Academy Charter</v>
      </c>
      <c r="C91" s="545">
        <f>'1.2 Budgeted Enrollment YR1'!H83</f>
        <v>20</v>
      </c>
      <c r="D91" s="208">
        <f t="shared" si="6"/>
        <v>4242.6000000000004</v>
      </c>
      <c r="E91" s="595">
        <f t="shared" si="15"/>
        <v>84852</v>
      </c>
      <c r="G91" s="545">
        <f>'5.2 Budgeted Enrollment YR2'!I83</f>
        <v>32</v>
      </c>
      <c r="H91" s="208">
        <f t="shared" si="8"/>
        <v>3299.7999999999997</v>
      </c>
      <c r="I91" s="595">
        <f t="shared" si="16"/>
        <v>105593.59999999999</v>
      </c>
      <c r="K91" s="545">
        <f>'5.2 Budgeted Enrollment YR2'!J83</f>
        <v>0</v>
      </c>
      <c r="L91" s="208">
        <f t="shared" si="10"/>
        <v>1131.3599999999999</v>
      </c>
      <c r="M91" s="595">
        <f t="shared" si="17"/>
        <v>0</v>
      </c>
    </row>
    <row r="92" spans="2:13" x14ac:dyDescent="0.3">
      <c r="B92" s="143" t="str">
        <f>'5.2 Budgeted Enrollment YR2'!E84</f>
        <v>Signature Preparatory</v>
      </c>
      <c r="C92" s="545">
        <f>'1.2 Budgeted Enrollment YR1'!H84</f>
        <v>75</v>
      </c>
      <c r="D92" s="208">
        <f t="shared" si="6"/>
        <v>4242.6000000000004</v>
      </c>
      <c r="E92" s="595">
        <f t="shared" si="15"/>
        <v>318195</v>
      </c>
      <c r="G92" s="545">
        <f>'5.2 Budgeted Enrollment YR2'!I84</f>
        <v>5</v>
      </c>
      <c r="H92" s="208">
        <f t="shared" si="8"/>
        <v>3299.7999999999997</v>
      </c>
      <c r="I92" s="595">
        <f t="shared" si="16"/>
        <v>16499</v>
      </c>
      <c r="K92" s="545">
        <f>'5.2 Budgeted Enrollment YR2'!J84</f>
        <v>0</v>
      </c>
      <c r="L92" s="208">
        <f t="shared" si="10"/>
        <v>1131.3599999999999</v>
      </c>
      <c r="M92" s="595">
        <f t="shared" si="17"/>
        <v>0</v>
      </c>
    </row>
    <row r="93" spans="2:13" x14ac:dyDescent="0.3">
      <c r="B93" s="143" t="str">
        <f>'5.2 Budgeted Enrollment YR2'!E85</f>
        <v>Silver Sands Montessori</v>
      </c>
      <c r="C93" s="545">
        <f>'1.2 Budgeted Enrollment YR1'!H85</f>
        <v>11</v>
      </c>
      <c r="D93" s="208">
        <f t="shared" si="6"/>
        <v>4242.6000000000004</v>
      </c>
      <c r="E93" s="595">
        <f t="shared" si="15"/>
        <v>46668.600000000006</v>
      </c>
      <c r="G93" s="545">
        <f>'5.2 Budgeted Enrollment YR2'!I85</f>
        <v>12</v>
      </c>
      <c r="H93" s="208">
        <f t="shared" si="8"/>
        <v>3299.7999999999997</v>
      </c>
      <c r="I93" s="595">
        <f t="shared" si="16"/>
        <v>39597.599999999999</v>
      </c>
      <c r="K93" s="545">
        <f>'5.2 Budgeted Enrollment YR2'!J85</f>
        <v>0</v>
      </c>
      <c r="L93" s="208">
        <f t="shared" si="10"/>
        <v>1131.3599999999999</v>
      </c>
      <c r="M93" s="595">
        <f t="shared" si="17"/>
        <v>0</v>
      </c>
    </row>
    <row r="94" spans="2:13" x14ac:dyDescent="0.3">
      <c r="B94" s="143" t="str">
        <f>'5.2 Budgeted Enrollment YR2'!E86</f>
        <v>Somerset Academy</v>
      </c>
      <c r="C94" s="545">
        <f>'1.2 Budgeted Enrollment YR1'!H86</f>
        <v>342</v>
      </c>
      <c r="D94" s="208">
        <f t="shared" si="6"/>
        <v>4242.6000000000004</v>
      </c>
      <c r="E94" s="595">
        <f t="shared" si="15"/>
        <v>1450969.2000000002</v>
      </c>
      <c r="G94" s="545">
        <f>'5.2 Budgeted Enrollment YR2'!I86</f>
        <v>302</v>
      </c>
      <c r="H94" s="208">
        <f t="shared" si="8"/>
        <v>3299.7999999999997</v>
      </c>
      <c r="I94" s="595">
        <f t="shared" si="16"/>
        <v>996539.59999999986</v>
      </c>
      <c r="K94" s="545">
        <f>'5.2 Budgeted Enrollment YR2'!J86</f>
        <v>113</v>
      </c>
      <c r="L94" s="208">
        <f t="shared" si="10"/>
        <v>1131.3599999999999</v>
      </c>
      <c r="M94" s="595">
        <f t="shared" si="17"/>
        <v>127843.68</v>
      </c>
    </row>
    <row r="95" spans="2:13" x14ac:dyDescent="0.3">
      <c r="B95" s="143" t="str">
        <f>'5.2 Budgeted Enrollment YR2'!E87</f>
        <v>Southern Nevada Trade High School</v>
      </c>
      <c r="C95" s="545">
        <f>'1.2 Budgeted Enrollment YR1'!H87</f>
        <v>0</v>
      </c>
      <c r="D95" s="208">
        <f t="shared" si="6"/>
        <v>4242.6000000000004</v>
      </c>
      <c r="E95" s="595">
        <f t="shared" ref="E95" si="21">C95*D95</f>
        <v>0</v>
      </c>
      <c r="G95" s="545">
        <f>'5.2 Budgeted Enrollment YR2'!I87</f>
        <v>0</v>
      </c>
      <c r="H95" s="208">
        <f t="shared" si="8"/>
        <v>3299.7999999999997</v>
      </c>
      <c r="I95" s="595">
        <f t="shared" ref="I95" si="22">G95*H95</f>
        <v>0</v>
      </c>
      <c r="K95" s="545">
        <f>'5.2 Budgeted Enrollment YR2'!J87</f>
        <v>0</v>
      </c>
      <c r="L95" s="208">
        <f t="shared" si="10"/>
        <v>1131.3599999999999</v>
      </c>
      <c r="M95" s="595">
        <f t="shared" ref="M95" si="23">K95*L95</f>
        <v>0</v>
      </c>
    </row>
    <row r="96" spans="2:13" x14ac:dyDescent="0.3">
      <c r="B96" s="143" t="str">
        <f>'5.2 Budgeted Enrollment YR2'!E88</f>
        <v>Sports Leadership and Management Academy</v>
      </c>
      <c r="C96" s="545">
        <f>'1.2 Budgeted Enrollment YR1'!H88</f>
        <v>162</v>
      </c>
      <c r="D96" s="208">
        <f t="shared" si="6"/>
        <v>4242.6000000000004</v>
      </c>
      <c r="E96" s="595">
        <f t="shared" si="15"/>
        <v>687301.20000000007</v>
      </c>
      <c r="G96" s="545">
        <f>'5.2 Budgeted Enrollment YR2'!I88</f>
        <v>124</v>
      </c>
      <c r="H96" s="208">
        <f t="shared" si="8"/>
        <v>3299.7999999999997</v>
      </c>
      <c r="I96" s="595">
        <f t="shared" si="16"/>
        <v>409175.19999999995</v>
      </c>
      <c r="K96" s="545">
        <f>'5.2 Budgeted Enrollment YR2'!J88</f>
        <v>0</v>
      </c>
      <c r="L96" s="208">
        <f t="shared" si="10"/>
        <v>1131.3599999999999</v>
      </c>
      <c r="M96" s="595">
        <f t="shared" si="17"/>
        <v>0</v>
      </c>
    </row>
    <row r="97" spans="1:13" x14ac:dyDescent="0.3">
      <c r="B97" s="143" t="str">
        <f>'5.2 Budgeted Enrollment YR2'!E89</f>
        <v>Strong Start Academy</v>
      </c>
      <c r="C97" s="545">
        <f>'1.2 Budgeted Enrollment YR1'!H89</f>
        <v>16</v>
      </c>
      <c r="D97" s="208">
        <f t="shared" si="6"/>
        <v>4242.6000000000004</v>
      </c>
      <c r="E97" s="595">
        <f t="shared" si="15"/>
        <v>67881.600000000006</v>
      </c>
      <c r="G97" s="545">
        <f>'5.2 Budgeted Enrollment YR2'!I89</f>
        <v>0</v>
      </c>
      <c r="H97" s="208">
        <f t="shared" si="8"/>
        <v>3299.7999999999997</v>
      </c>
      <c r="I97" s="595">
        <f t="shared" si="16"/>
        <v>0</v>
      </c>
      <c r="K97" s="545">
        <f>'5.2 Budgeted Enrollment YR2'!J89</f>
        <v>0</v>
      </c>
      <c r="L97" s="208">
        <f t="shared" si="10"/>
        <v>1131.3599999999999</v>
      </c>
      <c r="M97" s="595">
        <f t="shared" si="17"/>
        <v>0</v>
      </c>
    </row>
    <row r="98" spans="1:13" x14ac:dyDescent="0.3">
      <c r="B98" s="143" t="str">
        <f>'5.2 Budgeted Enrollment YR2'!E90</f>
        <v>TEACH Las Vegas</v>
      </c>
      <c r="C98" s="545">
        <f>'1.2 Budgeted Enrollment YR1'!H90</f>
        <v>45</v>
      </c>
      <c r="D98" s="208">
        <f t="shared" si="6"/>
        <v>4242.6000000000004</v>
      </c>
      <c r="E98" s="595">
        <f t="shared" si="15"/>
        <v>190917.00000000003</v>
      </c>
      <c r="G98" s="545">
        <f>'5.2 Budgeted Enrollment YR2'!I90</f>
        <v>18</v>
      </c>
      <c r="H98" s="208">
        <f t="shared" si="8"/>
        <v>3299.7999999999997</v>
      </c>
      <c r="I98" s="595">
        <f t="shared" si="16"/>
        <v>59396.399999999994</v>
      </c>
      <c r="K98" s="545">
        <f>'5.2 Budgeted Enrollment YR2'!J90</f>
        <v>0</v>
      </c>
      <c r="L98" s="208">
        <f t="shared" si="10"/>
        <v>1131.3599999999999</v>
      </c>
      <c r="M98" s="595">
        <f t="shared" si="17"/>
        <v>0</v>
      </c>
    </row>
    <row r="99" spans="1:13" s="4" customFormat="1" x14ac:dyDescent="0.3">
      <c r="A99" s="10"/>
      <c r="B99" s="168" t="str">
        <f>'5.2 Budgeted Enrollment YR2'!E91</f>
        <v>Young Women's Leadership Academy</v>
      </c>
      <c r="C99" s="546">
        <f>'1.2 Budgeted Enrollment YR1'!H91</f>
        <v>5</v>
      </c>
      <c r="D99" s="208">
        <f t="shared" si="6"/>
        <v>4242.6000000000004</v>
      </c>
      <c r="E99" s="596">
        <f>C99*D99</f>
        <v>21213</v>
      </c>
      <c r="F99" s="10"/>
      <c r="G99" s="546">
        <f>'5.2 Budgeted Enrollment YR2'!I91</f>
        <v>0</v>
      </c>
      <c r="H99" s="208">
        <f t="shared" si="8"/>
        <v>3299.7999999999997</v>
      </c>
      <c r="I99" s="596">
        <f>G99*H99</f>
        <v>0</v>
      </c>
      <c r="J99" s="10"/>
      <c r="K99" s="546">
        <f>'5.2 Budgeted Enrollment YR2'!J91</f>
        <v>0</v>
      </c>
      <c r="L99" s="201">
        <f t="shared" si="10"/>
        <v>1131.3599999999999</v>
      </c>
      <c r="M99" s="596">
        <f>K99*L99</f>
        <v>0</v>
      </c>
    </row>
    <row r="100" spans="1:13" x14ac:dyDescent="0.3">
      <c r="A100" s="4"/>
      <c r="B100" s="181" t="s">
        <v>63</v>
      </c>
      <c r="C100" s="600">
        <f>SUM(C40:C99)</f>
        <v>5510</v>
      </c>
      <c r="D100" s="456"/>
      <c r="E100" s="602">
        <f>SUM(E40:E99)</f>
        <v>23376726</v>
      </c>
      <c r="F100" s="4"/>
      <c r="G100" s="600">
        <f>SUM(G40:G99)</f>
        <v>3050</v>
      </c>
      <c r="H100" s="456"/>
      <c r="I100" s="602">
        <f>SUM(I40:I99)</f>
        <v>10064389.999999998</v>
      </c>
      <c r="J100" s="4"/>
      <c r="K100" s="600">
        <f>SUM(K40:K99)</f>
        <v>1097</v>
      </c>
      <c r="L100" s="122"/>
      <c r="M100" s="594">
        <f>SUM(M40:M99)</f>
        <v>1241101.9199999997</v>
      </c>
    </row>
    <row r="101" spans="1:13" x14ac:dyDescent="0.3">
      <c r="C101" s="22">
        <f>C100-C35</f>
        <v>0</v>
      </c>
      <c r="G101" s="144">
        <f>G100-G35</f>
        <v>0</v>
      </c>
      <c r="I101" s="143"/>
      <c r="K101" s="27">
        <f>K100-K35</f>
        <v>0</v>
      </c>
    </row>
    <row r="102" spans="1:13" s="4" customFormat="1" x14ac:dyDescent="0.3">
      <c r="A102" s="4" t="s">
        <v>1256</v>
      </c>
      <c r="C102" s="25"/>
      <c r="F102" s="10"/>
      <c r="G102" s="670"/>
      <c r="I102" s="684"/>
      <c r="K102" s="744"/>
      <c r="L102" s="7"/>
    </row>
    <row r="103" spans="1:13" x14ac:dyDescent="0.3">
      <c r="B103" s="748" t="str">
        <f>'5.2 Budgeted Enrollment YR2'!E96</f>
        <v>Davidson Academy</v>
      </c>
      <c r="C103" s="665">
        <f>'5.2 Budgeted Enrollment YR2'!H96</f>
        <v>0</v>
      </c>
      <c r="D103" s="745">
        <f>$D$10</f>
        <v>4242.6000000000004</v>
      </c>
      <c r="E103" s="746">
        <f>C103*D103</f>
        <v>0</v>
      </c>
      <c r="G103" s="742">
        <f>'5.2 Budgeted Enrollment YR2'!I96</f>
        <v>0</v>
      </c>
      <c r="H103" s="745">
        <f>$H$10</f>
        <v>3299.7999999999997</v>
      </c>
      <c r="I103" s="746">
        <f>G103*H103</f>
        <v>0</v>
      </c>
      <c r="J103" s="4"/>
      <c r="K103" s="742">
        <f>'5.2 Budgeted Enrollment YR2'!J96</f>
        <v>0</v>
      </c>
      <c r="L103" s="745">
        <f>$L$10</f>
        <v>1131.3599999999999</v>
      </c>
      <c r="M103" s="746">
        <f>K103*L103</f>
        <v>0</v>
      </c>
    </row>
    <row r="104" spans="1:13" s="4" customFormat="1" x14ac:dyDescent="0.3">
      <c r="A104" s="10"/>
      <c r="B104" s="196">
        <f>'5.2 Budgeted Enrollment YR2'!E97</f>
        <v>0</v>
      </c>
      <c r="C104" s="538">
        <f>'5.2 Budgeted Enrollment YR2'!H97</f>
        <v>0</v>
      </c>
      <c r="D104" s="201">
        <f>$D$10</f>
        <v>4242.6000000000004</v>
      </c>
      <c r="E104" s="596">
        <f>C104*D104</f>
        <v>0</v>
      </c>
      <c r="F104" s="10"/>
      <c r="G104" s="546">
        <f>'5.2 Budgeted Enrollment YR2'!I97</f>
        <v>0</v>
      </c>
      <c r="H104" s="201">
        <f>$H$10</f>
        <v>3299.7999999999997</v>
      </c>
      <c r="I104" s="596">
        <f>G104*H104</f>
        <v>0</v>
      </c>
      <c r="K104" s="546">
        <f>'5.2 Budgeted Enrollment YR2'!J97</f>
        <v>0</v>
      </c>
      <c r="L104" s="201">
        <f>$L$10</f>
        <v>1131.3599999999999</v>
      </c>
      <c r="M104" s="596">
        <f>K104*L104</f>
        <v>0</v>
      </c>
    </row>
    <row r="105" spans="1:13" x14ac:dyDescent="0.3">
      <c r="A105" s="4"/>
      <c r="B105" s="749" t="s">
        <v>63</v>
      </c>
      <c r="C105" s="601">
        <f>SUM(C103:C104)</f>
        <v>0</v>
      </c>
      <c r="D105" s="743"/>
      <c r="E105" s="602">
        <f>SUM(E103:E104)</f>
        <v>0</v>
      </c>
      <c r="G105" s="600">
        <f>SUM(G103:G104)</f>
        <v>0</v>
      </c>
      <c r="H105" s="743"/>
      <c r="I105" s="602">
        <f>SUM(I103:I104)</f>
        <v>0</v>
      </c>
      <c r="J105" s="4"/>
      <c r="K105" s="600">
        <f>SUM(K103:K104)</f>
        <v>0</v>
      </c>
      <c r="L105" s="122"/>
      <c r="M105" s="594">
        <f>SUM(M103:M104)</f>
        <v>0</v>
      </c>
    </row>
    <row r="106" spans="1:13" x14ac:dyDescent="0.3">
      <c r="J106" s="4"/>
    </row>
    <row r="107" spans="1:13" x14ac:dyDescent="0.3">
      <c r="J107" s="4"/>
    </row>
  </sheetData>
  <sheetProtection algorithmName="SHA-512" hashValue="gpE4dGkPtKhtGeVetPneQv3rzQiM4I/FJbkt0DU+JR8WkQQwXHGbanIz7a0uL9eqUpsU1ebf9B164YiOvJv9zw==" saltValue="SRBZtTMaiNe0wHN8yS7GCQ==" spinCount="100000" sheet="1" objects="1" scenarios="1"/>
  <phoneticPr fontId="79" type="noConversion"/>
  <pageMargins left="0.45" right="0" top="0.75" bottom="0.75" header="0.3" footer="0.3"/>
  <pageSetup paperSize="3" scale="75" fitToWidth="0" fitToHeight="2" orientation="portrait" r:id="rId1"/>
  <headerFooter>
    <oddHeader>&amp;R&amp;"Arial Narrow,Regular"&amp;10&amp;A
&amp;P</oddHeader>
  </headerFooter>
  <rowBreaks count="1" manualBreakCount="1">
    <brk id="35" max="17" man="1"/>
  </rowBreaks>
  <colBreaks count="3" manualBreakCount="3">
    <brk id="5" max="86" man="1"/>
    <brk id="9" max="86" man="1"/>
    <brk id="13" max="86"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D9BED-7CAC-407A-80B7-B0EF4D847BCF}">
  <sheetPr>
    <tabColor theme="6" tint="-0.499984740745262"/>
    <pageSetUpPr autoPageBreaks="0"/>
  </sheetPr>
  <dimension ref="A1:N101"/>
  <sheetViews>
    <sheetView zoomScale="85" zoomScaleNormal="85" workbookViewId="0"/>
  </sheetViews>
  <sheetFormatPr defaultColWidth="8.85546875" defaultRowHeight="16.5" x14ac:dyDescent="0.3"/>
  <cols>
    <col min="1" max="1" width="7.42578125" style="10" customWidth="1"/>
    <col min="2" max="2" width="38.42578125" style="10" bestFit="1" customWidth="1"/>
    <col min="3" max="3" width="14.85546875" style="11" bestFit="1" customWidth="1"/>
    <col min="4" max="4" width="17" style="11" bestFit="1" customWidth="1"/>
    <col min="5" max="5" width="14.85546875" style="11" bestFit="1" customWidth="1"/>
    <col min="6" max="6" width="7.85546875" style="11" customWidth="1"/>
    <col min="7" max="7" width="16.28515625" style="11" customWidth="1"/>
    <col min="8" max="8" width="13.140625" style="11" bestFit="1" customWidth="1"/>
    <col min="9" max="9" width="14.85546875" style="11" customWidth="1"/>
    <col min="10" max="10" width="13.140625" style="10" bestFit="1" customWidth="1"/>
    <col min="11" max="11" width="13.5703125" style="10" bestFit="1" customWidth="1"/>
    <col min="12" max="12" width="14.85546875" style="11" bestFit="1" customWidth="1"/>
    <col min="13" max="13" width="17" style="11" bestFit="1" customWidth="1"/>
    <col min="14" max="14" width="14.5703125" style="11" bestFit="1" customWidth="1"/>
    <col min="15" max="15" width="3.140625" style="10" customWidth="1"/>
    <col min="16" max="16" width="1.7109375" style="10" customWidth="1"/>
    <col min="17" max="16384" width="8.85546875" style="10"/>
  </cols>
  <sheetData>
    <row r="1" spans="1:14" s="4" customFormat="1" x14ac:dyDescent="0.3">
      <c r="A1" s="4" t="s">
        <v>602</v>
      </c>
    </row>
    <row r="2" spans="1:14" x14ac:dyDescent="0.3">
      <c r="A2" s="10" t="str">
        <f>CONCATENATE("Pupil Center Funding Plan | FY",'5.1 Assumption Control YR2'!D5)</f>
        <v>Pupil Center Funding Plan | FY2025</v>
      </c>
      <c r="C2" s="10"/>
      <c r="D2" s="10"/>
      <c r="E2" s="10"/>
      <c r="F2" s="10"/>
      <c r="G2" s="10"/>
      <c r="H2" s="10"/>
      <c r="I2" s="10"/>
      <c r="L2" s="10"/>
      <c r="M2" s="10"/>
      <c r="N2" s="10"/>
    </row>
    <row r="3" spans="1:14" x14ac:dyDescent="0.3">
      <c r="A3" s="10" t="s">
        <v>1422</v>
      </c>
      <c r="C3" s="10"/>
      <c r="D3" s="10"/>
      <c r="E3" s="10"/>
      <c r="F3" s="10"/>
      <c r="I3" s="10"/>
      <c r="L3" s="10"/>
      <c r="M3" s="10"/>
      <c r="N3" s="10"/>
    </row>
    <row r="4" spans="1:14" x14ac:dyDescent="0.3">
      <c r="C4" s="10"/>
      <c r="D4" s="10"/>
      <c r="E4" s="10"/>
      <c r="F4" s="10"/>
      <c r="I4" s="10"/>
      <c r="L4" s="10"/>
      <c r="M4" s="10"/>
      <c r="N4" s="10"/>
    </row>
    <row r="5" spans="1:14" s="4" customFormat="1" ht="17.25" thickBot="1" x14ac:dyDescent="0.35">
      <c r="C5" s="17" t="s">
        <v>92</v>
      </c>
      <c r="D5" s="17" t="s">
        <v>93</v>
      </c>
      <c r="E5" s="18" t="s">
        <v>94</v>
      </c>
      <c r="F5" s="7"/>
      <c r="G5" s="4" t="str">
        <f>'2.8 Alloc of Residual Rev. YR1'!G4</f>
        <v>Manual redistribution of residual revenue back into the Statewide Base (SWB).</v>
      </c>
      <c r="H5" s="10"/>
      <c r="I5" s="7"/>
      <c r="L5" s="7"/>
      <c r="M5" s="7"/>
      <c r="N5" s="7"/>
    </row>
    <row r="6" spans="1:14" ht="15.75" customHeight="1" thickTop="1" thickBot="1" x14ac:dyDescent="0.35">
      <c r="B6" s="17" t="s">
        <v>597</v>
      </c>
      <c r="C6" s="50">
        <f>'6.7 Weighted Funding YR2'!E6</f>
        <v>92651.12887275219</v>
      </c>
      <c r="D6" s="51">
        <f>E33</f>
        <v>92651.12887275219</v>
      </c>
      <c r="E6" s="52">
        <f>MAX(C6-D6,0)</f>
        <v>0</v>
      </c>
      <c r="F6" s="10"/>
      <c r="G6" s="4" t="str">
        <f>'2.8 Alloc of Residual Rev. YR1'!G6</f>
        <v>Increase SWB by:</v>
      </c>
      <c r="H6" s="1239">
        <f>'2.8 Alloc of Residual Rev. YR1'!N6</f>
        <v>57</v>
      </c>
      <c r="I6" s="7"/>
      <c r="L6" s="7"/>
      <c r="M6" s="10"/>
      <c r="N6" s="10"/>
    </row>
    <row r="7" spans="1:14" ht="14.45" customHeight="1" thickTop="1" x14ac:dyDescent="0.3">
      <c r="B7" s="17"/>
      <c r="F7" s="10"/>
      <c r="K7" s="11"/>
      <c r="N7" s="10"/>
    </row>
    <row r="8" spans="1:14" x14ac:dyDescent="0.3">
      <c r="B8" s="17"/>
      <c r="C8" s="423"/>
      <c r="D8" s="423"/>
      <c r="E8" s="424" t="s">
        <v>1103</v>
      </c>
      <c r="F8" s="10"/>
      <c r="G8" s="402" t="s">
        <v>1117</v>
      </c>
      <c r="H8" s="403"/>
      <c r="I8" s="403"/>
      <c r="J8" s="341"/>
      <c r="K8" s="403"/>
      <c r="L8" s="403"/>
      <c r="M8" s="404"/>
      <c r="N8" s="10"/>
    </row>
    <row r="9" spans="1:14" x14ac:dyDescent="0.3">
      <c r="C9" s="150" t="s">
        <v>742</v>
      </c>
      <c r="D9" s="150" t="s">
        <v>1102</v>
      </c>
      <c r="E9" s="150" t="s">
        <v>742</v>
      </c>
      <c r="F9" s="10"/>
      <c r="G9" s="123" t="s">
        <v>742</v>
      </c>
      <c r="H9" s="300"/>
      <c r="I9" s="17" t="s">
        <v>1105</v>
      </c>
      <c r="J9" s="300"/>
      <c r="K9" s="300"/>
      <c r="L9" s="300"/>
      <c r="M9" s="143"/>
      <c r="N9" s="10"/>
    </row>
    <row r="10" spans="1:14" x14ac:dyDescent="0.3">
      <c r="C10" s="127" t="s">
        <v>743</v>
      </c>
      <c r="D10" s="127" t="s">
        <v>743</v>
      </c>
      <c r="E10" s="127" t="s">
        <v>743</v>
      </c>
      <c r="F10" s="10"/>
      <c r="G10" s="116" t="s">
        <v>743</v>
      </c>
      <c r="H10" s="117" t="s">
        <v>1104</v>
      </c>
      <c r="I10" s="117" t="s">
        <v>1106</v>
      </c>
      <c r="J10" s="117" t="s">
        <v>101</v>
      </c>
      <c r="K10" s="117"/>
      <c r="L10" s="117" t="s">
        <v>104</v>
      </c>
      <c r="M10" s="118" t="s">
        <v>0</v>
      </c>
      <c r="N10" s="10"/>
    </row>
    <row r="11" spans="1:14" x14ac:dyDescent="0.3">
      <c r="A11" s="4"/>
      <c r="C11" s="127" t="s">
        <v>88</v>
      </c>
      <c r="D11" s="127" t="s">
        <v>88</v>
      </c>
      <c r="E11" s="127" t="s">
        <v>88</v>
      </c>
      <c r="F11" s="10"/>
      <c r="G11" s="116" t="s">
        <v>88</v>
      </c>
      <c r="H11" s="117" t="s">
        <v>1182</v>
      </c>
      <c r="I11" s="117" t="s">
        <v>1107</v>
      </c>
      <c r="J11" s="117" t="s">
        <v>103</v>
      </c>
      <c r="K11" s="117" t="s">
        <v>20</v>
      </c>
      <c r="L11" s="117" t="s">
        <v>102</v>
      </c>
      <c r="M11" s="118" t="s">
        <v>88</v>
      </c>
      <c r="N11" s="10"/>
    </row>
    <row r="12" spans="1:14" s="101" customFormat="1" ht="14.45" customHeight="1" x14ac:dyDescent="0.25">
      <c r="A12" s="505"/>
      <c r="B12" s="303" t="s">
        <v>879</v>
      </c>
      <c r="C12" s="506" t="s">
        <v>1430</v>
      </c>
      <c r="D12" s="507" t="s">
        <v>1880</v>
      </c>
      <c r="E12" s="507" t="s">
        <v>1881</v>
      </c>
      <c r="G12" s="508" t="s">
        <v>1882</v>
      </c>
      <c r="H12" s="509" t="s">
        <v>1431</v>
      </c>
      <c r="I12" s="509" t="s">
        <v>1432</v>
      </c>
      <c r="J12" s="509" t="s">
        <v>1417</v>
      </c>
      <c r="K12" s="509" t="s">
        <v>1417</v>
      </c>
      <c r="L12" s="509" t="s">
        <v>1417</v>
      </c>
      <c r="M12" s="510" t="s">
        <v>1118</v>
      </c>
    </row>
    <row r="13" spans="1:14" x14ac:dyDescent="0.3">
      <c r="A13" s="4" t="s">
        <v>87</v>
      </c>
      <c r="C13" s="130"/>
      <c r="D13" s="130"/>
      <c r="E13" s="130"/>
      <c r="F13" s="10"/>
      <c r="G13" s="1535"/>
      <c r="H13" s="1477"/>
      <c r="I13" s="1477"/>
      <c r="J13" s="1477"/>
      <c r="K13" s="1477"/>
      <c r="L13" s="1477"/>
      <c r="M13" s="974"/>
      <c r="N13" s="10"/>
    </row>
    <row r="14" spans="1:14" x14ac:dyDescent="0.3">
      <c r="B14" s="143" t="str">
        <f>'5.2 Budgeted Enrollment YR2'!E9</f>
        <v>Carson City</v>
      </c>
      <c r="C14" s="530">
        <f>'6.6 Adj. Base Summary YR2'!G15</f>
        <v>73000813.633350536</v>
      </c>
      <c r="D14" s="751">
        <f>C14/SUM($C$14:$C$32)</f>
        <v>1.587431808828705E-2</v>
      </c>
      <c r="E14" s="559">
        <f>D14*$C$6</f>
        <v>1470.7734909649446</v>
      </c>
      <c r="F14" s="10"/>
      <c r="G14" s="565">
        <f>ROUND(C14+E14,2)</f>
        <v>73002284.409999996</v>
      </c>
      <c r="H14" s="208">
        <f>ROUND('6.1 Auxiliary Services YR2'!I12,2)</f>
        <v>3003280.14</v>
      </c>
      <c r="I14" s="208">
        <f>ROUND('6.2 Spec Ed Local YR2'!J9,2)</f>
        <v>6423599</v>
      </c>
      <c r="J14" s="208">
        <f>ROUND('6.7 Weighted Funding YR2'!E18,2)</f>
        <v>3050429.4</v>
      </c>
      <c r="K14" s="208">
        <f>ROUND('6.7 Weighted Funding YR2'!I18,2)</f>
        <v>953642.2</v>
      </c>
      <c r="L14" s="208">
        <f>ROUND('6.7 Weighted Funding YR2'!M18,2)</f>
        <v>435573.6</v>
      </c>
      <c r="M14" s="595">
        <f>ROUND(SUM(G14:L14),2)</f>
        <v>86868808.75</v>
      </c>
      <c r="N14" s="10"/>
    </row>
    <row r="15" spans="1:14" x14ac:dyDescent="0.3">
      <c r="B15" s="143" t="str">
        <f>'5.2 Budgeted Enrollment YR2'!E10</f>
        <v>Churchill</v>
      </c>
      <c r="C15" s="530">
        <f>'6.6 Adj. Base Summary YR2'!G16</f>
        <v>34108654.260373369</v>
      </c>
      <c r="D15" s="751">
        <f t="shared" ref="D15:D30" si="0">C15/SUM($C$14:$C$32)</f>
        <v>7.4170629112715958E-3</v>
      </c>
      <c r="E15" s="559">
        <f>D15*$C$6</f>
        <v>687.1992516495352</v>
      </c>
      <c r="F15" s="10"/>
      <c r="G15" s="565">
        <f t="shared" ref="G15:G30" si="1">ROUND(C15+E15,2)</f>
        <v>34109341.460000001</v>
      </c>
      <c r="H15" s="208">
        <f>ROUND('6.1 Auxiliary Services YR2'!I13,2)</f>
        <v>1667139.62</v>
      </c>
      <c r="I15" s="208">
        <f>ROUND('6.2 Spec Ed Local YR2'!J10,2)</f>
        <v>1639107.16</v>
      </c>
      <c r="J15" s="208">
        <f>ROUND('6.7 Weighted Funding YR2'!E19,2)</f>
        <v>470928.6</v>
      </c>
      <c r="K15" s="208">
        <f>ROUND('6.7 Weighted Funding YR2'!I19,2)</f>
        <v>584064.6</v>
      </c>
      <c r="L15" s="208">
        <f>ROUND('6.7 Weighted Funding YR2'!M19,2)</f>
        <v>0</v>
      </c>
      <c r="M15" s="595">
        <f t="shared" ref="M15:M30" si="2">ROUND(SUM(G15:L15),2)</f>
        <v>38470581.439999998</v>
      </c>
      <c r="N15" s="10"/>
    </row>
    <row r="16" spans="1:14" x14ac:dyDescent="0.3">
      <c r="B16" s="143" t="str">
        <f>'5.2 Budgeted Enrollment YR2'!E11</f>
        <v>Clark</v>
      </c>
      <c r="C16" s="530">
        <f>'6.6 Adj. Base Summary YR2'!G17</f>
        <v>2791599412.1203518</v>
      </c>
      <c r="D16" s="751">
        <f t="shared" si="0"/>
        <v>0.60704442645867085</v>
      </c>
      <c r="E16" s="559">
        <f t="shared" ref="E16:E30" si="3">D16*$C$6</f>
        <v>56243.351387308248</v>
      </c>
      <c r="F16" s="10"/>
      <c r="G16" s="565">
        <f t="shared" si="1"/>
        <v>2791655655.4699998</v>
      </c>
      <c r="H16" s="208">
        <f>ROUND('6.1 Auxiliary Services YR2'!I14,2)</f>
        <v>140911845.43000001</v>
      </c>
      <c r="I16" s="208">
        <f>ROUND('6.2 Spec Ed Local YR2'!J11,2)</f>
        <v>384538138</v>
      </c>
      <c r="J16" s="208">
        <f>ROUND('6.7 Weighted Funding YR2'!E20,2)</f>
        <v>159657523.19999999</v>
      </c>
      <c r="K16" s="208">
        <f>ROUND('6.7 Weighted Funding YR2'!I20,2)</f>
        <v>173813665.19999999</v>
      </c>
      <c r="L16" s="208">
        <f>ROUND('6.7 Weighted Funding YR2'!M20,2)</f>
        <v>5142031.2</v>
      </c>
      <c r="M16" s="595">
        <f t="shared" si="2"/>
        <v>3655718858.5</v>
      </c>
      <c r="N16" s="10"/>
    </row>
    <row r="17" spans="1:14" x14ac:dyDescent="0.3">
      <c r="B17" s="143" t="str">
        <f>'5.2 Budgeted Enrollment YR2'!E12</f>
        <v>Douglas</v>
      </c>
      <c r="C17" s="530">
        <f>'6.6 Adj. Base Summary YR2'!G18</f>
        <v>54881257.075043507</v>
      </c>
      <c r="D17" s="751">
        <f t="shared" si="0"/>
        <v>1.1934148244839351E-2</v>
      </c>
      <c r="E17" s="559">
        <f t="shared" si="3"/>
        <v>1105.7123070191401</v>
      </c>
      <c r="F17" s="10"/>
      <c r="G17" s="565">
        <f t="shared" si="1"/>
        <v>54882362.789999999</v>
      </c>
      <c r="H17" s="208">
        <f>ROUND('6.1 Auxiliary Services YR2'!I15,2)</f>
        <v>3889783.55</v>
      </c>
      <c r="I17" s="208">
        <f>ROUND('6.2 Spec Ed Local YR2'!J12,2)</f>
        <v>4013804</v>
      </c>
      <c r="J17" s="208">
        <f>ROUND('6.7 Weighted Funding YR2'!E21,2)</f>
        <v>716999.4</v>
      </c>
      <c r="K17" s="208">
        <f>ROUND('6.7 Weighted Funding YR2'!I21,2)</f>
        <v>564265.80000000005</v>
      </c>
      <c r="L17" s="208">
        <f>ROUND('6.7 Weighted Funding YR2'!M21,2)</f>
        <v>52042.559999999998</v>
      </c>
      <c r="M17" s="595">
        <f t="shared" si="2"/>
        <v>64119258.100000001</v>
      </c>
      <c r="N17" s="10"/>
    </row>
    <row r="18" spans="1:14" x14ac:dyDescent="0.3">
      <c r="B18" s="143" t="str">
        <f>'5.2 Budgeted Enrollment YR2'!E13</f>
        <v>Elko</v>
      </c>
      <c r="C18" s="530">
        <f>'6.6 Adj. Base Summary YR2'!G19</f>
        <v>113734521.88652387</v>
      </c>
      <c r="D18" s="751">
        <f t="shared" si="0"/>
        <v>2.4732025414318109E-2</v>
      </c>
      <c r="E18" s="559">
        <f t="shared" si="3"/>
        <v>2291.4500739461696</v>
      </c>
      <c r="F18" s="10"/>
      <c r="G18" s="565">
        <f t="shared" si="1"/>
        <v>113736813.34</v>
      </c>
      <c r="H18" s="208">
        <f>ROUND('6.1 Auxiliary Services YR2'!I16,2)</f>
        <v>5091921.79</v>
      </c>
      <c r="I18" s="208">
        <f>ROUND('6.2 Spec Ed Local YR2'!J13,2)</f>
        <v>5053547</v>
      </c>
      <c r="J18" s="208">
        <f>ROUND('6.7 Weighted Funding YR2'!E22,2)</f>
        <v>2872240.2</v>
      </c>
      <c r="K18" s="208">
        <f>ROUND('6.7 Weighted Funding YR2'!I22,2)</f>
        <v>2082173.8</v>
      </c>
      <c r="L18" s="208">
        <f>ROUND('6.7 Weighted Funding YR2'!M22,2)</f>
        <v>109741.92</v>
      </c>
      <c r="M18" s="595">
        <f t="shared" si="2"/>
        <v>128946438.05</v>
      </c>
      <c r="N18" s="10"/>
    </row>
    <row r="19" spans="1:14" x14ac:dyDescent="0.3">
      <c r="B19" s="143" t="str">
        <f>'5.2 Budgeted Enrollment YR2'!E14</f>
        <v>Esmeralda</v>
      </c>
      <c r="C19" s="530">
        <f>'6.6 Adj. Base Summary YR2'!G20</f>
        <v>1940565.2561658623</v>
      </c>
      <c r="D19" s="751">
        <f t="shared" si="0"/>
        <v>4.2198365489698816E-4</v>
      </c>
      <c r="E19" s="559">
        <f t="shared" si="3"/>
        <v>39.097261992055834</v>
      </c>
      <c r="F19" s="10"/>
      <c r="G19" s="565">
        <f t="shared" si="1"/>
        <v>1940604.35</v>
      </c>
      <c r="H19" s="208">
        <f>ROUND('6.1 Auxiliary Services YR2'!I17,2)</f>
        <v>423197.63</v>
      </c>
      <c r="I19" s="208">
        <f>ROUND('6.2 Spec Ed Local YR2'!J14,2)</f>
        <v>46943</v>
      </c>
      <c r="J19" s="208">
        <f>ROUND('6.7 Weighted Funding YR2'!E23,2)</f>
        <v>29698.2</v>
      </c>
      <c r="K19" s="208">
        <f>ROUND('6.7 Weighted Funding YR2'!I23,2)</f>
        <v>26398.400000000001</v>
      </c>
      <c r="L19" s="208">
        <f>ROUND('6.7 Weighted Funding YR2'!M23,2)</f>
        <v>0</v>
      </c>
      <c r="M19" s="595">
        <f t="shared" si="2"/>
        <v>2466841.58</v>
      </c>
      <c r="N19" s="10"/>
    </row>
    <row r="20" spans="1:14" x14ac:dyDescent="0.3">
      <c r="B20" s="143" t="str">
        <f>'5.2 Budgeted Enrollment YR2'!E15</f>
        <v>Eureka</v>
      </c>
      <c r="C20" s="530">
        <f>'6.6 Adj. Base Summary YR2'!G21</f>
        <v>5719724.9502476454</v>
      </c>
      <c r="D20" s="751">
        <f t="shared" si="0"/>
        <v>1.2437770035519484E-3</v>
      </c>
      <c r="E20" s="559">
        <f t="shared" si="3"/>
        <v>115.23734344505714</v>
      </c>
      <c r="F20" s="10"/>
      <c r="G20" s="565">
        <f t="shared" si="1"/>
        <v>5719840.1900000004</v>
      </c>
      <c r="H20" s="208">
        <f>ROUND('6.1 Auxiliary Services YR2'!I18,2)</f>
        <v>1002309.61</v>
      </c>
      <c r="I20" s="208">
        <f>ROUND('6.2 Spec Ed Local YR2'!J15,2)</f>
        <v>948961.5</v>
      </c>
      <c r="J20" s="208">
        <f>ROUND('6.7 Weighted Funding YR2'!E24,2)</f>
        <v>12727.8</v>
      </c>
      <c r="K20" s="208">
        <f>ROUND('6.7 Weighted Funding YR2'!I24,2)</f>
        <v>13199.2</v>
      </c>
      <c r="L20" s="208">
        <f>ROUND('6.7 Weighted Funding YR2'!M24,2)</f>
        <v>0</v>
      </c>
      <c r="M20" s="595">
        <f t="shared" si="2"/>
        <v>7697038.2999999998</v>
      </c>
      <c r="N20" s="10"/>
    </row>
    <row r="21" spans="1:14" x14ac:dyDescent="0.3">
      <c r="B21" s="143" t="str">
        <f>'5.2 Budgeted Enrollment YR2'!E16</f>
        <v>Humboldt</v>
      </c>
      <c r="C21" s="530">
        <f>'6.6 Adj. Base Summary YR2'!G22</f>
        <v>36770568.505131088</v>
      </c>
      <c r="D21" s="751">
        <f t="shared" si="0"/>
        <v>7.9959067808380267E-3</v>
      </c>
      <c r="E21" s="559">
        <f t="shared" si="3"/>
        <v>740.82978960593709</v>
      </c>
      <c r="F21" s="10"/>
      <c r="G21" s="565">
        <f t="shared" si="1"/>
        <v>36771309.329999998</v>
      </c>
      <c r="H21" s="208">
        <f>ROUND('6.1 Auxiliary Services YR2'!I19,2)</f>
        <v>2037056.22</v>
      </c>
      <c r="I21" s="208">
        <f>ROUND('6.2 Spec Ed Local YR2'!J16,2)</f>
        <v>2358470</v>
      </c>
      <c r="J21" s="208">
        <f>ROUND('6.7 Weighted Funding YR2'!E25,2)</f>
        <v>861247.8</v>
      </c>
      <c r="K21" s="208">
        <f>ROUND('6.7 Weighted Funding YR2'!I25,2)</f>
        <v>267283.8</v>
      </c>
      <c r="L21" s="208">
        <f>ROUND('6.7 Weighted Funding YR2'!M25,2)</f>
        <v>0</v>
      </c>
      <c r="M21" s="595">
        <f t="shared" si="2"/>
        <v>42295367.149999999</v>
      </c>
      <c r="N21" s="10"/>
    </row>
    <row r="22" spans="1:14" x14ac:dyDescent="0.3">
      <c r="B22" s="143" t="str">
        <f>'5.2 Budgeted Enrollment YR2'!E17</f>
        <v>Lander</v>
      </c>
      <c r="C22" s="530">
        <f>'6.6 Adj. Base Summary YR2'!G23</f>
        <v>14069924.426697226</v>
      </c>
      <c r="D22" s="751">
        <f t="shared" si="0"/>
        <v>3.0595611844730672E-3</v>
      </c>
      <c r="E22" s="559">
        <f t="shared" si="3"/>
        <v>283.4717975966845</v>
      </c>
      <c r="F22" s="10"/>
      <c r="G22" s="565">
        <f t="shared" si="1"/>
        <v>14070207.9</v>
      </c>
      <c r="H22" s="208">
        <f>ROUND('6.1 Auxiliary Services YR2'!I20,2)</f>
        <v>438952.86</v>
      </c>
      <c r="I22" s="208">
        <f>ROUND('6.2 Spec Ed Local YR2'!J17,2)</f>
        <v>1052995</v>
      </c>
      <c r="J22" s="208">
        <f>ROUND('6.7 Weighted Funding YR2'!E26,2)</f>
        <v>140005.79999999999</v>
      </c>
      <c r="K22" s="208">
        <f>ROUND('6.7 Weighted Funding YR2'!I26,2)</f>
        <v>323380.40000000002</v>
      </c>
      <c r="L22" s="208">
        <f>ROUND('6.7 Weighted Funding YR2'!M26,2)</f>
        <v>0</v>
      </c>
      <c r="M22" s="595">
        <f t="shared" si="2"/>
        <v>16025541.960000001</v>
      </c>
      <c r="N22" s="10"/>
    </row>
    <row r="23" spans="1:14" x14ac:dyDescent="0.3">
      <c r="B23" s="143" t="str">
        <f>'5.2 Budgeted Enrollment YR2'!E18</f>
        <v>Lincoln</v>
      </c>
      <c r="C23" s="530">
        <f>'6.6 Adj. Base Summary YR2'!G24</f>
        <v>15165200.944629304</v>
      </c>
      <c r="D23" s="751">
        <f t="shared" si="0"/>
        <v>3.2977334318073362E-3</v>
      </c>
      <c r="E23" s="559">
        <f t="shared" si="3"/>
        <v>305.53872517836487</v>
      </c>
      <c r="F23" s="10"/>
      <c r="G23" s="565">
        <f t="shared" si="1"/>
        <v>15165506.48</v>
      </c>
      <c r="H23" s="208">
        <f>ROUND('6.1 Auxiliary Services YR2'!I21,2)</f>
        <v>683339.41</v>
      </c>
      <c r="I23" s="208">
        <f>ROUND('6.2 Spec Ed Local YR2'!J18,2)</f>
        <v>327715</v>
      </c>
      <c r="J23" s="208">
        <f>ROUND('6.7 Weighted Funding YR2'!E27,2)</f>
        <v>25455.599999999999</v>
      </c>
      <c r="K23" s="208">
        <f>ROUND('6.7 Weighted Funding YR2'!I27,2)</f>
        <v>141891.4</v>
      </c>
      <c r="L23" s="208">
        <f>ROUND('6.7 Weighted Funding YR2'!M27,2)</f>
        <v>0</v>
      </c>
      <c r="M23" s="595">
        <f t="shared" si="2"/>
        <v>16343907.890000001</v>
      </c>
      <c r="N23" s="10"/>
    </row>
    <row r="24" spans="1:14" x14ac:dyDescent="0.3">
      <c r="B24" s="143" t="str">
        <f>'5.2 Budgeted Enrollment YR2'!E19</f>
        <v>Lyon</v>
      </c>
      <c r="C24" s="530">
        <f>'6.6 Adj. Base Summary YR2'!G25</f>
        <v>104065419.00926241</v>
      </c>
      <c r="D24" s="751">
        <f t="shared" si="0"/>
        <v>2.2629440428444777E-2</v>
      </c>
      <c r="E24" s="559">
        <f t="shared" si="3"/>
        <v>2096.6432014541056</v>
      </c>
      <c r="F24" s="10"/>
      <c r="G24" s="565">
        <f t="shared" si="1"/>
        <v>104067515.65000001</v>
      </c>
      <c r="H24" s="208">
        <f>ROUND('6.1 Auxiliary Services YR2'!I22,2)</f>
        <v>5015867.67</v>
      </c>
      <c r="I24" s="208">
        <f>ROUND('6.2 Spec Ed Local YR2'!J19,2)</f>
        <v>9582952</v>
      </c>
      <c r="J24" s="208">
        <f>ROUND('6.7 Weighted Funding YR2'!E28,2)</f>
        <v>2057661</v>
      </c>
      <c r="K24" s="208">
        <f>ROUND('6.7 Weighted Funding YR2'!I28,2)</f>
        <v>1735694.8</v>
      </c>
      <c r="L24" s="208">
        <f>ROUND('6.7 Weighted Funding YR2'!M28,2)</f>
        <v>0</v>
      </c>
      <c r="M24" s="595">
        <f t="shared" si="2"/>
        <v>122459691.12</v>
      </c>
      <c r="N24" s="10"/>
    </row>
    <row r="25" spans="1:14" x14ac:dyDescent="0.3">
      <c r="B25" s="143" t="str">
        <f>'5.2 Budgeted Enrollment YR2'!E20</f>
        <v>Mineral</v>
      </c>
      <c r="C25" s="530">
        <f>'6.6 Adj. Base Summary YR2'!G26</f>
        <v>9222043.4223917667</v>
      </c>
      <c r="D25" s="751">
        <f t="shared" si="0"/>
        <v>2.0053701243154648E-3</v>
      </c>
      <c r="E25" s="559">
        <f t="shared" si="3"/>
        <v>185.7998058255192</v>
      </c>
      <c r="F25" s="10"/>
      <c r="G25" s="565">
        <f t="shared" si="1"/>
        <v>9222229.2200000007</v>
      </c>
      <c r="H25" s="208">
        <f>ROUND('6.1 Auxiliary Services YR2'!I23,2)</f>
        <v>475073.27</v>
      </c>
      <c r="I25" s="208">
        <f>ROUND('6.2 Spec Ed Local YR2'!J20,2)</f>
        <v>215665</v>
      </c>
      <c r="J25" s="208">
        <f>ROUND('6.7 Weighted Funding YR2'!E29,2)</f>
        <v>144248.4</v>
      </c>
      <c r="K25" s="208">
        <f>ROUND('6.7 Weighted Funding YR2'!I29,2)</f>
        <v>171589.6</v>
      </c>
      <c r="L25" s="208">
        <f>ROUND('6.7 Weighted Funding YR2'!M29,2)</f>
        <v>0</v>
      </c>
      <c r="M25" s="595">
        <f t="shared" si="2"/>
        <v>10228805.49</v>
      </c>
      <c r="N25" s="10"/>
    </row>
    <row r="26" spans="1:14" x14ac:dyDescent="0.3">
      <c r="B26" s="143" t="str">
        <f>'5.2 Budgeted Enrollment YR2'!E21</f>
        <v>Nye</v>
      </c>
      <c r="C26" s="530">
        <f>'6.6 Adj. Base Summary YR2'!G27</f>
        <v>64458016.500794366</v>
      </c>
      <c r="D26" s="751">
        <f t="shared" si="0"/>
        <v>1.4016652778869883E-2</v>
      </c>
      <c r="E26" s="559">
        <f t="shared" si="3"/>
        <v>1298.6587029796935</v>
      </c>
      <c r="F26" s="10"/>
      <c r="G26" s="565">
        <f t="shared" si="1"/>
        <v>64459315.159999996</v>
      </c>
      <c r="H26" s="208">
        <f>ROUND('6.1 Auxiliary Services YR2'!I24,2)</f>
        <v>4268308.3</v>
      </c>
      <c r="I26" s="208">
        <f>ROUND('6.2 Spec Ed Local YR2'!J21,2)</f>
        <v>8314944</v>
      </c>
      <c r="J26" s="208">
        <f>ROUND('6.7 Weighted Funding YR2'!E30,2)</f>
        <v>1374602.4</v>
      </c>
      <c r="K26" s="208">
        <f>ROUND('6.7 Weighted Funding YR2'!I30,2)</f>
        <v>1481610.2</v>
      </c>
      <c r="L26" s="208">
        <f>ROUND('6.7 Weighted Funding YR2'!M30,2)</f>
        <v>0</v>
      </c>
      <c r="M26" s="595">
        <f t="shared" si="2"/>
        <v>79898780.060000002</v>
      </c>
      <c r="N26" s="10"/>
    </row>
    <row r="27" spans="1:14" x14ac:dyDescent="0.3">
      <c r="B27" s="143" t="str">
        <f>'5.2 Budgeted Enrollment YR2'!E22</f>
        <v>Pershing</v>
      </c>
      <c r="C27" s="530">
        <f>'6.6 Adj. Base Summary YR2'!G28</f>
        <v>10034529.869065426</v>
      </c>
      <c r="D27" s="751">
        <f t="shared" si="0"/>
        <v>2.1820485427465086E-3</v>
      </c>
      <c r="E27" s="559">
        <f t="shared" si="3"/>
        <v>202.16926074060788</v>
      </c>
      <c r="F27" s="10"/>
      <c r="G27" s="565">
        <f t="shared" si="1"/>
        <v>10034732.039999999</v>
      </c>
      <c r="H27" s="208">
        <f>ROUND('6.1 Auxiliary Services YR2'!I25,2)</f>
        <v>825645.34</v>
      </c>
      <c r="I27" s="208">
        <f>ROUND('6.2 Spec Ed Local YR2'!J22,2)</f>
        <v>456815</v>
      </c>
      <c r="J27" s="208">
        <f>ROUND('6.7 Weighted Funding YR2'!E31,2)</f>
        <v>97579.8</v>
      </c>
      <c r="K27" s="208">
        <f>ROUND('6.7 Weighted Funding YR2'!I31,2)</f>
        <v>128692.2</v>
      </c>
      <c r="L27" s="208">
        <f>ROUND('6.7 Weighted Funding YR2'!M31,2)</f>
        <v>0</v>
      </c>
      <c r="M27" s="595">
        <f t="shared" si="2"/>
        <v>11543464.380000001</v>
      </c>
      <c r="N27" s="10"/>
    </row>
    <row r="28" spans="1:14" x14ac:dyDescent="0.3">
      <c r="B28" s="143" t="str">
        <f>'5.2 Budgeted Enrollment YR2'!E23</f>
        <v>Storey</v>
      </c>
      <c r="C28" s="530">
        <f>'6.6 Adj. Base Summary YR2'!G29</f>
        <v>7052842.2814482041</v>
      </c>
      <c r="D28" s="751">
        <f t="shared" si="0"/>
        <v>1.5336686843594339E-3</v>
      </c>
      <c r="E28" s="559">
        <f t="shared" si="3"/>
        <v>142.0961349226902</v>
      </c>
      <c r="F28" s="10"/>
      <c r="G28" s="565">
        <f t="shared" si="1"/>
        <v>7052984.3799999999</v>
      </c>
      <c r="H28" s="208">
        <f>ROUND('6.1 Auxiliary Services YR2'!I26,2)</f>
        <v>513415.75</v>
      </c>
      <c r="I28" s="208">
        <f>ROUND('6.2 Spec Ed Local YR2'!J23,2)</f>
        <v>54667</v>
      </c>
      <c r="J28" s="208">
        <f>ROUND('6.7 Weighted Funding YR2'!E32,2)</f>
        <v>4242.6000000000004</v>
      </c>
      <c r="K28" s="208">
        <f>ROUND('6.7 Weighted Funding YR2'!I32,2)</f>
        <v>39597.599999999999</v>
      </c>
      <c r="L28" s="208">
        <f>ROUND('6.7 Weighted Funding YR2'!M32,2)</f>
        <v>5656.8</v>
      </c>
      <c r="M28" s="595">
        <f t="shared" si="2"/>
        <v>7670564.1299999999</v>
      </c>
      <c r="N28" s="10"/>
    </row>
    <row r="29" spans="1:14" x14ac:dyDescent="0.3">
      <c r="B29" s="143" t="str">
        <f>'5.2 Budgeted Enrollment YR2'!E24</f>
        <v>Washoe</v>
      </c>
      <c r="C29" s="530">
        <f>'6.6 Adj. Base Summary YR2'!G30</f>
        <v>589096311.82995152</v>
      </c>
      <c r="D29" s="751">
        <f t="shared" si="0"/>
        <v>0.128101342617819</v>
      </c>
      <c r="E29" s="559">
        <f t="shared" si="3"/>
        <v>11868.734003656131</v>
      </c>
      <c r="F29" s="10"/>
      <c r="G29" s="565">
        <f t="shared" si="1"/>
        <v>589108180.55999994</v>
      </c>
      <c r="H29" s="208">
        <f>ROUND('6.1 Auxiliary Services YR2'!I27,2)</f>
        <v>23740800.77</v>
      </c>
      <c r="I29" s="208">
        <f>ROUND('6.2 Spec Ed Local YR2'!J24,2)</f>
        <v>44935310</v>
      </c>
      <c r="J29" s="208">
        <f>ROUND('6.7 Weighted Funding YR2'!E33,2)</f>
        <v>28535727.600000001</v>
      </c>
      <c r="K29" s="208">
        <f>ROUND('6.7 Weighted Funding YR2'!I33,2)</f>
        <v>16208617.6</v>
      </c>
      <c r="L29" s="208">
        <f>ROUND('6.7 Weighted Funding YR2'!M33,2)</f>
        <v>1424382.24</v>
      </c>
      <c r="M29" s="595">
        <f t="shared" si="2"/>
        <v>703953018.76999998</v>
      </c>
      <c r="N29" s="10"/>
    </row>
    <row r="30" spans="1:14" x14ac:dyDescent="0.3">
      <c r="B30" s="143" t="str">
        <f>'5.2 Budgeted Enrollment YR2'!E25</f>
        <v>White Pine</v>
      </c>
      <c r="C30" s="530">
        <f>'6.6 Adj. Base Summary YR2'!G31</f>
        <v>18762319.048622549</v>
      </c>
      <c r="D30" s="751">
        <f t="shared" si="0"/>
        <v>4.0799411106247369E-3</v>
      </c>
      <c r="E30" s="559">
        <f t="shared" si="3"/>
        <v>378.0111496337322</v>
      </c>
      <c r="F30" s="10"/>
      <c r="G30" s="565">
        <f t="shared" si="1"/>
        <v>18762697.059999999</v>
      </c>
      <c r="H30" s="208">
        <f>ROUND('6.1 Auxiliary Services YR2'!I28,2)</f>
        <v>1267543.17</v>
      </c>
      <c r="I30" s="208">
        <f>ROUND('6.2 Spec Ed Local YR2'!J25,2)</f>
        <v>599616</v>
      </c>
      <c r="J30" s="208">
        <f>ROUND('6.7 Weighted Funding YR2'!E34,2)</f>
        <v>63639</v>
      </c>
      <c r="K30" s="208">
        <f>ROUND('6.7 Weighted Funding YR2'!I34,2)</f>
        <v>359678.2</v>
      </c>
      <c r="L30" s="208">
        <f>ROUND('6.7 Weighted Funding YR2'!M34,2)</f>
        <v>0</v>
      </c>
      <c r="M30" s="595">
        <f t="shared" si="2"/>
        <v>21053173.43</v>
      </c>
      <c r="N30" s="10"/>
    </row>
    <row r="31" spans="1:14" x14ac:dyDescent="0.3">
      <c r="B31" s="143" t="str">
        <f>'5.2 Budgeted Enrollment YR2'!E26</f>
        <v>Charter Schools (Combined)</v>
      </c>
      <c r="C31" s="530">
        <f>'6.6 Adj. Base Summary YR2'!G32</f>
        <v>653462581.30123329</v>
      </c>
      <c r="D31" s="751">
        <f>C31/$C$33</f>
        <v>0.14209804463918838</v>
      </c>
      <c r="E31" s="559">
        <f>D31*$C$6</f>
        <v>13165.544246431535</v>
      </c>
      <c r="F31" s="10"/>
      <c r="G31" s="565">
        <f>G96</f>
        <v>653475746.86999989</v>
      </c>
      <c r="H31" s="570">
        <f t="shared" ref="H31:M31" si="4">H96</f>
        <v>0</v>
      </c>
      <c r="I31" s="570">
        <f t="shared" si="4"/>
        <v>14783450.18</v>
      </c>
      <c r="J31" s="570">
        <f t="shared" si="4"/>
        <v>23376726</v>
      </c>
      <c r="K31" s="570">
        <f t="shared" si="4"/>
        <v>10064389.999999998</v>
      </c>
      <c r="L31" s="570">
        <f t="shared" si="4"/>
        <v>1241101.92</v>
      </c>
      <c r="M31" s="595">
        <f t="shared" si="4"/>
        <v>702941414.97000003</v>
      </c>
      <c r="N31" s="10"/>
    </row>
    <row r="32" spans="1:14" x14ac:dyDescent="0.3">
      <c r="A32" s="183"/>
      <c r="B32" s="168" t="str">
        <f>'5.2 Budgeted Enrollment YR2'!E27</f>
        <v>University Schools</v>
      </c>
      <c r="C32" s="547">
        <f>'6.6 Adj. Base Summary YR2'!G33</f>
        <v>1529279.379844029</v>
      </c>
      <c r="D32" s="752">
        <f>C32/$C$33</f>
        <v>3.3254790067725797E-4</v>
      </c>
      <c r="E32" s="561">
        <f>D32*$C$6</f>
        <v>30.810938402011825</v>
      </c>
      <c r="F32" s="10"/>
      <c r="G32" s="566">
        <f>G101</f>
        <v>1529310</v>
      </c>
      <c r="H32" s="577">
        <f t="shared" ref="H32:M32" si="5">H101</f>
        <v>0</v>
      </c>
      <c r="I32" s="577">
        <f t="shared" si="5"/>
        <v>0</v>
      </c>
      <c r="J32" s="577">
        <f t="shared" si="5"/>
        <v>0</v>
      </c>
      <c r="K32" s="577">
        <f t="shared" si="5"/>
        <v>0</v>
      </c>
      <c r="L32" s="577">
        <f t="shared" si="5"/>
        <v>0</v>
      </c>
      <c r="M32" s="596">
        <f t="shared" si="5"/>
        <v>1529310</v>
      </c>
      <c r="N32" s="10"/>
    </row>
    <row r="33" spans="1:14" s="4" customFormat="1" x14ac:dyDescent="0.3">
      <c r="A33" s="304"/>
      <c r="B33" s="181" t="s">
        <v>89</v>
      </c>
      <c r="C33" s="1012">
        <f>'6.6 Adj. Base Summary YR2'!G34</f>
        <v>4598673985.701129</v>
      </c>
      <c r="D33" s="592">
        <f>C33/$C$33</f>
        <v>1</v>
      </c>
      <c r="E33" s="750">
        <f>D33*$C$6</f>
        <v>92651.12887275219</v>
      </c>
      <c r="G33" s="591">
        <f t="shared" ref="G33:M33" si="6">SUM(G14:G32)</f>
        <v>4598766636.6599998</v>
      </c>
      <c r="H33" s="591">
        <f t="shared" si="6"/>
        <v>195255480.53000003</v>
      </c>
      <c r="I33" s="591">
        <f t="shared" si="6"/>
        <v>485346698.84000003</v>
      </c>
      <c r="J33" s="591">
        <f t="shared" si="6"/>
        <v>223491682.80000001</v>
      </c>
      <c r="K33" s="591">
        <f t="shared" si="6"/>
        <v>208959835</v>
      </c>
      <c r="L33" s="591">
        <f t="shared" si="6"/>
        <v>8410530.2399999984</v>
      </c>
      <c r="M33" s="573">
        <f t="shared" si="6"/>
        <v>5720230864.0700006</v>
      </c>
    </row>
    <row r="34" spans="1:14" x14ac:dyDescent="0.3">
      <c r="C34" s="125"/>
      <c r="D34" s="125"/>
      <c r="E34" s="130"/>
      <c r="F34" s="10"/>
      <c r="G34" s="125"/>
      <c r="H34" s="115"/>
      <c r="I34" s="115"/>
      <c r="J34" s="115"/>
      <c r="K34" s="115"/>
      <c r="L34" s="115"/>
      <c r="M34" s="126"/>
      <c r="N34" s="10"/>
    </row>
    <row r="35" spans="1:14" x14ac:dyDescent="0.3">
      <c r="A35" s="4" t="s">
        <v>84</v>
      </c>
      <c r="C35" s="125"/>
      <c r="D35" s="125"/>
      <c r="E35" s="130"/>
      <c r="F35" s="10"/>
      <c r="G35" s="125"/>
      <c r="H35" s="115"/>
      <c r="I35" s="115"/>
      <c r="J35" s="115"/>
      <c r="K35" s="115"/>
      <c r="L35" s="115"/>
      <c r="M35" s="126"/>
      <c r="N35" s="10"/>
    </row>
    <row r="36" spans="1:14" x14ac:dyDescent="0.3">
      <c r="B36" s="143" t="str">
        <f>'5.2 Budgeted Enrollment YR2'!E32</f>
        <v>100 Academy Of Excellence</v>
      </c>
      <c r="C36" s="530">
        <f>'6.6 Adj. Base Summary YR2'!G37</f>
        <v>2994613.0350635471</v>
      </c>
      <c r="D36" s="981">
        <f>C36/$C$33</f>
        <v>6.5119054848741982E-4</v>
      </c>
      <c r="E36" s="559">
        <f>D36*$C$6</f>
        <v>60.333539428626118</v>
      </c>
      <c r="F36" s="10"/>
      <c r="G36" s="565">
        <f>ROUND(C36+E36,2)</f>
        <v>2994673.37</v>
      </c>
      <c r="H36" s="208">
        <v>0</v>
      </c>
      <c r="I36" s="208">
        <f>ROUND('6.2 Spec Ed Local YR2'!J30,2)</f>
        <v>129964</v>
      </c>
      <c r="J36" s="208">
        <f>ROUND('6.7 Weighted Funding YR2'!E40,2)</f>
        <v>127278</v>
      </c>
      <c r="K36" s="208">
        <f>ROUND('6.7 Weighted Funding YR2'!I40,2)</f>
        <v>531267.80000000005</v>
      </c>
      <c r="L36" s="208">
        <f>ROUND('6.7 Weighted Funding YR2'!M40,2)</f>
        <v>0</v>
      </c>
      <c r="M36" s="595">
        <f>SUM(G36:L36)</f>
        <v>3783183.17</v>
      </c>
      <c r="N36" s="10"/>
    </row>
    <row r="37" spans="1:14" x14ac:dyDescent="0.3">
      <c r="B37" s="143" t="str">
        <f>'5.2 Budgeted Enrollment YR2'!E33</f>
        <v>Academy For Career Education</v>
      </c>
      <c r="C37" s="530">
        <f>'6.6 Adj. Base Summary YR2'!G38</f>
        <v>2200493.6331588123</v>
      </c>
      <c r="D37" s="981">
        <f>C37/$C$33</f>
        <v>4.7850611719832924E-4</v>
      </c>
      <c r="E37" s="559">
        <f>D37*$C$6</f>
        <v>44.334131930942668</v>
      </c>
      <c r="F37" s="10"/>
      <c r="G37" s="565">
        <f t="shared" ref="G37:G95" si="7">ROUND(C37+E37,2)</f>
        <v>2200537.9700000002</v>
      </c>
      <c r="H37" s="208">
        <v>0</v>
      </c>
      <c r="I37" s="208">
        <f>ROUND('6.2 Spec Ed Local YR2'!J31,2)</f>
        <v>95195</v>
      </c>
      <c r="J37" s="208">
        <f>ROUND('6.7 Weighted Funding YR2'!E41,2)</f>
        <v>93337.2</v>
      </c>
      <c r="K37" s="208">
        <f>ROUND('6.7 Weighted Funding YR2'!I41,2)</f>
        <v>6599.6</v>
      </c>
      <c r="L37" s="208">
        <f>ROUND('6.7 Weighted Funding YR2'!M41,2)</f>
        <v>0</v>
      </c>
      <c r="M37" s="595">
        <f>SUM(G37:L37)</f>
        <v>2395669.7700000005</v>
      </c>
      <c r="N37" s="10"/>
    </row>
    <row r="38" spans="1:14" x14ac:dyDescent="0.3">
      <c r="B38" s="143" t="str">
        <f>'5.2 Budgeted Enrollment YR2'!E34</f>
        <v xml:space="preserve">Alpine Academy </v>
      </c>
      <c r="C38" s="530">
        <f>'6.6 Adj. Base Summary YR2'!G39</f>
        <v>1394994.2218665963</v>
      </c>
      <c r="D38" s="981">
        <f t="shared" ref="D38:D94" si="8">C38/$C$33</f>
        <v>3.0334705747876815E-4</v>
      </c>
      <c r="E38" s="559">
        <f t="shared" ref="E38:E94" si="9">D38*$C$6</f>
        <v>28.105447315635512</v>
      </c>
      <c r="F38" s="10"/>
      <c r="G38" s="565">
        <f t="shared" si="7"/>
        <v>1395022.33</v>
      </c>
      <c r="H38" s="208">
        <v>0</v>
      </c>
      <c r="I38" s="208">
        <f>ROUND('6.2 Spec Ed Local YR2'!J32,2)</f>
        <v>79475</v>
      </c>
      <c r="J38" s="208">
        <f>ROUND('6.7 Weighted Funding YR2'!E42,2)</f>
        <v>0</v>
      </c>
      <c r="K38" s="208">
        <f>ROUND('6.7 Weighted Funding YR2'!I42,2)</f>
        <v>16499</v>
      </c>
      <c r="L38" s="208">
        <f>ROUND('6.7 Weighted Funding YR2'!M42,2)</f>
        <v>0</v>
      </c>
      <c r="M38" s="595">
        <f t="shared" ref="M38:M94" si="10">SUM(G38:L38)</f>
        <v>1490996.33</v>
      </c>
      <c r="N38" s="10"/>
    </row>
    <row r="39" spans="1:14" x14ac:dyDescent="0.3">
      <c r="B39" s="143" t="str">
        <f>'5.2 Budgeted Enrollment YR2'!E35</f>
        <v xml:space="preserve">Amplus (Formerly American Preparatory Academy) </v>
      </c>
      <c r="C39" s="530">
        <f>'6.6 Adj. Base Summary YR2'!G40</f>
        <v>21401337.153289977</v>
      </c>
      <c r="D39" s="981">
        <f t="shared" si="8"/>
        <v>4.653806123207288E-3</v>
      </c>
      <c r="E39" s="559">
        <f t="shared" si="9"/>
        <v>431.18039087008168</v>
      </c>
      <c r="F39" s="10"/>
      <c r="G39" s="565">
        <f t="shared" si="7"/>
        <v>21401768.329999998</v>
      </c>
      <c r="H39" s="208">
        <v>0</v>
      </c>
      <c r="I39" s="208">
        <f>ROUND('6.2 Spec Ed Local YR2'!J33,2)</f>
        <v>23584</v>
      </c>
      <c r="J39" s="208">
        <f>ROUND('6.7 Weighted Funding YR2'!E43,2)</f>
        <v>738212.4</v>
      </c>
      <c r="K39" s="208">
        <f>ROUND('6.7 Weighted Funding YR2'!I43,2)</f>
        <v>128692.2</v>
      </c>
      <c r="L39" s="208">
        <f>ROUND('6.7 Weighted Funding YR2'!M43,2)</f>
        <v>45254.400000000001</v>
      </c>
      <c r="M39" s="595">
        <f t="shared" si="10"/>
        <v>22337511.329999994</v>
      </c>
      <c r="N39" s="10"/>
    </row>
    <row r="40" spans="1:14" x14ac:dyDescent="0.3">
      <c r="B40" s="143" t="str">
        <f>'5.2 Budgeted Enrollment YR2'!E36</f>
        <v>Bailey Charter School</v>
      </c>
      <c r="C40" s="530">
        <f>'6.6 Adj. Base Summary YR2'!G41</f>
        <v>1654659.0005423464</v>
      </c>
      <c r="D40" s="981">
        <f t="shared" si="8"/>
        <v>3.5981219927467238E-4</v>
      </c>
      <c r="E40" s="559">
        <f t="shared" si="9"/>
        <v>33.337006444986066</v>
      </c>
      <c r="F40" s="10"/>
      <c r="G40" s="565">
        <f t="shared" si="7"/>
        <v>1654692.34</v>
      </c>
      <c r="H40" s="208">
        <v>0</v>
      </c>
      <c r="I40" s="208">
        <f>ROUND('6.2 Spec Ed Local YR2'!J34,2)</f>
        <v>67769</v>
      </c>
      <c r="J40" s="208">
        <f>ROUND('6.7 Weighted Funding YR2'!E44,2)</f>
        <v>318195</v>
      </c>
      <c r="K40" s="208">
        <f>ROUND('6.7 Weighted Funding YR2'!I44,2)</f>
        <v>122092.6</v>
      </c>
      <c r="L40" s="208">
        <f>ROUND('6.7 Weighted Funding YR2'!M44,2)</f>
        <v>0</v>
      </c>
      <c r="M40" s="595">
        <f t="shared" si="10"/>
        <v>2162748.94</v>
      </c>
      <c r="N40" s="10"/>
    </row>
    <row r="41" spans="1:14" x14ac:dyDescent="0.3">
      <c r="B41" s="143" t="str">
        <f>'5.2 Budgeted Enrollment YR2'!E37</f>
        <v>Battle Born Academy</v>
      </c>
      <c r="C41" s="530">
        <f>'6.6 Adj. Base Summary YR2'!G42</f>
        <v>1247353.3629419794</v>
      </c>
      <c r="D41" s="981">
        <f t="shared" si="8"/>
        <v>2.7124196384010552E-4</v>
      </c>
      <c r="E41" s="559">
        <f t="shared" si="9"/>
        <v>25.130874147448004</v>
      </c>
      <c r="F41" s="10"/>
      <c r="G41" s="565">
        <f t="shared" si="7"/>
        <v>1247378.49</v>
      </c>
      <c r="H41" s="208">
        <v>0</v>
      </c>
      <c r="I41" s="208">
        <f>ROUND('6.2 Spec Ed Local YR2'!J35,2)</f>
        <v>0</v>
      </c>
      <c r="J41" s="208">
        <f>ROUND('6.7 Weighted Funding YR2'!E45,2)</f>
        <v>237585.6</v>
      </c>
      <c r="K41" s="208">
        <f>ROUND('6.7 Weighted Funding YR2'!I45,2)</f>
        <v>0</v>
      </c>
      <c r="L41" s="208">
        <f>ROUND('6.7 Weighted Funding YR2'!M45,2)</f>
        <v>0</v>
      </c>
      <c r="M41" s="595">
        <f t="shared" si="10"/>
        <v>1484964.09</v>
      </c>
      <c r="N41" s="10"/>
    </row>
    <row r="42" spans="1:14" x14ac:dyDescent="0.3">
      <c r="B42" s="143" t="str">
        <f>'5.2 Budgeted Enrollment YR2'!E38</f>
        <v>Beacon Academy</v>
      </c>
      <c r="C42" s="530">
        <f>'6.6 Adj. Base Summary YR2'!G43</f>
        <v>5673863.9145600237</v>
      </c>
      <c r="D42" s="981">
        <f t="shared" si="8"/>
        <v>1.233804338424953E-3</v>
      </c>
      <c r="E42" s="559">
        <f t="shared" si="9"/>
        <v>114.31336476317108</v>
      </c>
      <c r="F42" s="10"/>
      <c r="G42" s="565">
        <f t="shared" si="7"/>
        <v>5673978.2300000004</v>
      </c>
      <c r="H42" s="208">
        <v>0</v>
      </c>
      <c r="I42" s="208">
        <f>ROUND('6.2 Spec Ed Local YR2'!J36,2)</f>
        <v>275857</v>
      </c>
      <c r="J42" s="208">
        <f>ROUND('6.7 Weighted Funding YR2'!E46,2)</f>
        <v>237585.6</v>
      </c>
      <c r="K42" s="208">
        <f>ROUND('6.7 Weighted Funding YR2'!I46,2)</f>
        <v>554366.4</v>
      </c>
      <c r="L42" s="208">
        <f>ROUND('6.7 Weighted Funding YR2'!M46,2)</f>
        <v>0</v>
      </c>
      <c r="M42" s="595">
        <f t="shared" si="10"/>
        <v>6741787.2300000004</v>
      </c>
      <c r="N42" s="10"/>
    </row>
    <row r="43" spans="1:14" x14ac:dyDescent="0.3">
      <c r="B43" s="143" t="str">
        <f>'5.2 Budgeted Enrollment YR2'!E39</f>
        <v>Cactus Park</v>
      </c>
      <c r="C43" s="530">
        <f>'6.6 Adj. Base Summary YR2'!G44</f>
        <v>1024240.4032845626</v>
      </c>
      <c r="D43" s="981">
        <f t="shared" si="8"/>
        <v>2.2272516087665291E-4</v>
      </c>
      <c r="E43" s="559">
        <f t="shared" si="9"/>
        <v>20.635737583587233</v>
      </c>
      <c r="F43" s="10"/>
      <c r="G43" s="565">
        <f t="shared" si="7"/>
        <v>1024261.04</v>
      </c>
      <c r="H43" s="208">
        <v>0</v>
      </c>
      <c r="I43" s="208">
        <f>ROUND('6.2 Spec Ed Local YR2'!J37,2)</f>
        <v>0</v>
      </c>
      <c r="J43" s="208">
        <f>ROUND('6.7 Weighted Funding YR2'!E47,2)</f>
        <v>93337.2</v>
      </c>
      <c r="K43" s="208">
        <f>ROUND('6.7 Weighted Funding YR2'!I47,2)</f>
        <v>0</v>
      </c>
      <c r="L43" s="208">
        <f>ROUND('6.7 Weighted Funding YR2'!M47,2)</f>
        <v>0</v>
      </c>
      <c r="M43" s="595">
        <f t="shared" si="10"/>
        <v>1117598.24</v>
      </c>
      <c r="N43" s="10"/>
    </row>
    <row r="44" spans="1:14" x14ac:dyDescent="0.3">
      <c r="B44" s="143" t="str">
        <f>'5.2 Budgeted Enrollment YR2'!E40</f>
        <v>Carson Montessori</v>
      </c>
      <c r="C44" s="530">
        <f>'6.6 Adj. Base Summary YR2'!G45</f>
        <v>2902434.3175576404</v>
      </c>
      <c r="D44" s="981">
        <f t="shared" si="8"/>
        <v>6.3114591871098376E-4</v>
      </c>
      <c r="E44" s="559">
        <f t="shared" si="9"/>
        <v>58.47638185200293</v>
      </c>
      <c r="F44" s="10"/>
      <c r="G44" s="565">
        <f t="shared" si="7"/>
        <v>2902492.79</v>
      </c>
      <c r="H44" s="208">
        <v>0</v>
      </c>
      <c r="I44" s="208">
        <f>ROUND('6.2 Spec Ed Local YR2'!J38,2)</f>
        <v>144597</v>
      </c>
      <c r="J44" s="208">
        <f>ROUND('6.7 Weighted Funding YR2'!E48,2)</f>
        <v>38183.4</v>
      </c>
      <c r="K44" s="208">
        <f>ROUND('6.7 Weighted Funding YR2'!I48,2)</f>
        <v>9899.4</v>
      </c>
      <c r="L44" s="208">
        <f>ROUND('6.7 Weighted Funding YR2'!M48,2)</f>
        <v>0</v>
      </c>
      <c r="M44" s="595">
        <f t="shared" si="10"/>
        <v>3095172.59</v>
      </c>
      <c r="N44" s="10"/>
    </row>
    <row r="45" spans="1:14" x14ac:dyDescent="0.3">
      <c r="B45" s="143" t="str">
        <f>'5.2 Budgeted Enrollment YR2'!E41</f>
        <v>CIVICA Nevada Career &amp; Collegiate Academy</v>
      </c>
      <c r="C45" s="530">
        <f>'6.6 Adj. Base Summary YR2'!G46</f>
        <v>7229615.0009568827</v>
      </c>
      <c r="D45" s="981">
        <f t="shared" si="8"/>
        <v>1.5721086172745145E-3</v>
      </c>
      <c r="E45" s="559">
        <f t="shared" si="9"/>
        <v>145.65763810106529</v>
      </c>
      <c r="F45" s="10"/>
      <c r="G45" s="565">
        <f t="shared" si="7"/>
        <v>7229760.6600000001</v>
      </c>
      <c r="H45" s="208">
        <v>0</v>
      </c>
      <c r="I45" s="208">
        <f>ROUND('6.2 Spec Ed Local YR2'!J39,2)</f>
        <v>258073</v>
      </c>
      <c r="J45" s="208">
        <f>ROUND('6.7 Weighted Funding YR2'!E49,2)</f>
        <v>1022466.6</v>
      </c>
      <c r="K45" s="208">
        <f>ROUND('6.7 Weighted Funding YR2'!I49,2)</f>
        <v>161690.20000000001</v>
      </c>
      <c r="L45" s="208">
        <f>ROUND('6.7 Weighted Funding YR2'!M49,2)</f>
        <v>0</v>
      </c>
      <c r="M45" s="595">
        <f t="shared" si="10"/>
        <v>8671990.459999999</v>
      </c>
      <c r="N45" s="10"/>
    </row>
    <row r="46" spans="1:14" x14ac:dyDescent="0.3">
      <c r="B46" s="143" t="str">
        <f>'5.2 Budgeted Enrollment YR2'!E42</f>
        <v>Coral Academy of Science Las Vegas</v>
      </c>
      <c r="C46" s="530">
        <f>'6.6 Adj. Base Summary YR2'!G47</f>
        <v>48852620.757047795</v>
      </c>
      <c r="D46" s="981">
        <f t="shared" si="8"/>
        <v>1.0623197232277722E-2</v>
      </c>
      <c r="E46" s="559">
        <f t="shared" si="9"/>
        <v>984.25121580842767</v>
      </c>
      <c r="F46" s="10"/>
      <c r="G46" s="565">
        <f t="shared" si="7"/>
        <v>48853605.009999998</v>
      </c>
      <c r="H46" s="208">
        <v>0</v>
      </c>
      <c r="I46" s="208">
        <f>ROUND('6.2 Spec Ed Local YR2'!J40,2)</f>
        <v>621925</v>
      </c>
      <c r="J46" s="208">
        <f>ROUND('6.7 Weighted Funding YR2'!E50,2)</f>
        <v>920644.2</v>
      </c>
      <c r="K46" s="208">
        <f>ROUND('6.7 Weighted Funding YR2'!I50,2)</f>
        <v>95694.2</v>
      </c>
      <c r="L46" s="208">
        <f>ROUND('6.7 Weighted Funding YR2'!M50,2)</f>
        <v>26021.279999999999</v>
      </c>
      <c r="M46" s="595">
        <f t="shared" si="10"/>
        <v>50517889.690000005</v>
      </c>
      <c r="N46" s="10"/>
    </row>
    <row r="47" spans="1:14" x14ac:dyDescent="0.3">
      <c r="B47" s="143" t="str">
        <f>'5.2 Budgeted Enrollment YR2'!E43</f>
        <v>Coral Academy Washoe</v>
      </c>
      <c r="C47" s="530">
        <f>'6.6 Adj. Base Summary YR2'!G48</f>
        <v>16638790.251465846</v>
      </c>
      <c r="D47" s="981">
        <f t="shared" si="8"/>
        <v>3.6181713039892829E-3</v>
      </c>
      <c r="E47" s="559">
        <f t="shared" si="9"/>
        <v>335.22765576960489</v>
      </c>
      <c r="F47" s="10"/>
      <c r="G47" s="565">
        <f t="shared" si="7"/>
        <v>16639125.48</v>
      </c>
      <c r="H47" s="208">
        <v>0</v>
      </c>
      <c r="I47" s="208">
        <f>ROUND('6.2 Spec Ed Local YR2'!J41,2)</f>
        <v>230064</v>
      </c>
      <c r="J47" s="208">
        <f>ROUND('6.7 Weighted Funding YR2'!E51,2)</f>
        <v>543052.80000000005</v>
      </c>
      <c r="K47" s="208">
        <f>ROUND('6.7 Weighted Funding YR2'!I51,2)</f>
        <v>138591.6</v>
      </c>
      <c r="L47" s="208">
        <f>ROUND('6.7 Weighted Funding YR2'!M51,2)</f>
        <v>4525.4399999999996</v>
      </c>
      <c r="M47" s="595">
        <f t="shared" si="10"/>
        <v>17555359.320000004</v>
      </c>
      <c r="N47" s="10"/>
    </row>
    <row r="48" spans="1:14" x14ac:dyDescent="0.3">
      <c r="B48" s="143" t="str">
        <f>'5.2 Budgeted Enrollment YR2'!E44</f>
        <v>Delta Academy</v>
      </c>
      <c r="C48" s="530">
        <f>'6.6 Adj. Base Summary YR2'!G49</f>
        <v>11883280.811592584</v>
      </c>
      <c r="D48" s="981">
        <f t="shared" si="8"/>
        <v>2.5840668089414085E-3</v>
      </c>
      <c r="E48" s="559">
        <f t="shared" si="9"/>
        <v>239.41670693103194</v>
      </c>
      <c r="F48" s="10"/>
      <c r="G48" s="565">
        <f t="shared" si="7"/>
        <v>11883520.23</v>
      </c>
      <c r="H48" s="208">
        <v>0</v>
      </c>
      <c r="I48" s="208">
        <f>ROUND('6.2 Spec Ed Local YR2'!J42,2)</f>
        <v>315441</v>
      </c>
      <c r="J48" s="208">
        <f>ROUND('6.7 Weighted Funding YR2'!E52,2)</f>
        <v>428502.6</v>
      </c>
      <c r="K48" s="208">
        <f>ROUND('6.7 Weighted Funding YR2'!I52,2)</f>
        <v>1095533.6000000001</v>
      </c>
      <c r="L48" s="208">
        <f>ROUND('6.7 Weighted Funding YR2'!M52,2)</f>
        <v>0</v>
      </c>
      <c r="M48" s="595">
        <f t="shared" si="10"/>
        <v>13722997.43</v>
      </c>
      <c r="N48" s="10"/>
    </row>
    <row r="49" spans="2:14" x14ac:dyDescent="0.3">
      <c r="B49" s="143" t="str">
        <f>'5.2 Budgeted Enrollment YR2'!E45</f>
        <v>Democracy Prep</v>
      </c>
      <c r="C49" s="530">
        <f>'6.6 Adj. Base Summary YR2'!G50</f>
        <v>11356236.217041392</v>
      </c>
      <c r="D49" s="981">
        <f t="shared" si="8"/>
        <v>2.4694588597391045E-3</v>
      </c>
      <c r="E49" s="559">
        <f t="shared" si="9"/>
        <v>228.79815105964744</v>
      </c>
      <c r="F49" s="10"/>
      <c r="G49" s="565">
        <f t="shared" si="7"/>
        <v>11356465.02</v>
      </c>
      <c r="H49" s="208">
        <v>0</v>
      </c>
      <c r="I49" s="208">
        <f>ROUND('6.2 Spec Ed Local YR2'!J43,2)</f>
        <v>0</v>
      </c>
      <c r="J49" s="208">
        <f>ROUND('6.7 Weighted Funding YR2'!E53,2)</f>
        <v>458200.8</v>
      </c>
      <c r="K49" s="208">
        <f>ROUND('6.7 Weighted Funding YR2'!I53,2)</f>
        <v>640161.19999999995</v>
      </c>
      <c r="L49" s="208">
        <f>ROUND('6.7 Weighted Funding YR2'!M53,2)</f>
        <v>0</v>
      </c>
      <c r="M49" s="595">
        <f t="shared" si="10"/>
        <v>12454827.02</v>
      </c>
      <c r="N49" s="10"/>
    </row>
    <row r="50" spans="2:14" x14ac:dyDescent="0.3">
      <c r="B50" s="143" t="str">
        <f>'5.2 Budgeted Enrollment YR2'!E46</f>
        <v>Discovery Charter</v>
      </c>
      <c r="C50" s="530">
        <f>'6.6 Adj. Base Summary YR2'!G51</f>
        <v>4645197.5102421837</v>
      </c>
      <c r="D50" s="981">
        <f t="shared" si="8"/>
        <v>1.0101167259705108E-3</v>
      </c>
      <c r="E50" s="559">
        <f t="shared" si="9"/>
        <v>93.588454954416306</v>
      </c>
      <c r="F50" s="10"/>
      <c r="G50" s="565">
        <f t="shared" si="7"/>
        <v>4645291.0999999996</v>
      </c>
      <c r="H50" s="208">
        <v>0</v>
      </c>
      <c r="I50" s="208">
        <f>ROUND('6.2 Spec Ed Local YR2'!J44,2)</f>
        <v>18495</v>
      </c>
      <c r="J50" s="208">
        <f>ROUND('6.7 Weighted Funding YR2'!E54,2)</f>
        <v>97579.8</v>
      </c>
      <c r="K50" s="208">
        <f>ROUND('6.7 Weighted Funding YR2'!I54,2)</f>
        <v>29698.2</v>
      </c>
      <c r="L50" s="208">
        <f>ROUND('6.7 Weighted Funding YR2'!M54,2)</f>
        <v>48648.480000000003</v>
      </c>
      <c r="M50" s="595">
        <f t="shared" si="10"/>
        <v>4839712.58</v>
      </c>
      <c r="N50" s="10"/>
    </row>
    <row r="51" spans="2:14" x14ac:dyDescent="0.3">
      <c r="B51" s="143" t="str">
        <f>'5.2 Budgeted Enrollment YR2'!E47</f>
        <v>Doral Academy</v>
      </c>
      <c r="C51" s="530">
        <f>'6.6 Adj. Base Summary YR2'!G52</f>
        <v>59268334.708438136</v>
      </c>
      <c r="D51" s="981">
        <f t="shared" si="8"/>
        <v>1.2888135774078338E-2</v>
      </c>
      <c r="E51" s="559">
        <f t="shared" si="9"/>
        <v>1194.1003285336599</v>
      </c>
      <c r="F51" s="10"/>
      <c r="G51" s="565">
        <f t="shared" si="7"/>
        <v>59269528.810000002</v>
      </c>
      <c r="H51" s="208">
        <v>0</v>
      </c>
      <c r="I51" s="208">
        <f>ROUND('6.2 Spec Ed Local YR2'!J45,2)</f>
        <v>1947565</v>
      </c>
      <c r="J51" s="208">
        <f>ROUND('6.7 Weighted Funding YR2'!E55,2)</f>
        <v>946099.8</v>
      </c>
      <c r="K51" s="208">
        <f>ROUND('6.7 Weighted Funding YR2'!I55,2)</f>
        <v>122092.6</v>
      </c>
      <c r="L51" s="208">
        <f>ROUND('6.7 Weighted Funding YR2'!M55,2)</f>
        <v>381268.32</v>
      </c>
      <c r="M51" s="595">
        <f t="shared" si="10"/>
        <v>62666554.530000001</v>
      </c>
      <c r="N51" s="10"/>
    </row>
    <row r="52" spans="2:14" x14ac:dyDescent="0.3">
      <c r="B52" s="143" t="str">
        <f>'5.2 Budgeted Enrollment YR2'!E48</f>
        <v>Doral Academy of Northern Nevada</v>
      </c>
      <c r="C52" s="530">
        <f>'6.6 Adj. Base Summary YR2'!G53</f>
        <v>9035571.2116398364</v>
      </c>
      <c r="D52" s="981">
        <f t="shared" si="8"/>
        <v>1.9648209983431221E-3</v>
      </c>
      <c r="E52" s="559">
        <f t="shared" si="9"/>
        <v>182.04288352937823</v>
      </c>
      <c r="F52" s="10"/>
      <c r="G52" s="565">
        <f t="shared" si="7"/>
        <v>9035753.25</v>
      </c>
      <c r="H52" s="208">
        <v>0</v>
      </c>
      <c r="I52" s="208">
        <f>ROUND('6.2 Spec Ed Local YR2'!J46,2)</f>
        <v>85193</v>
      </c>
      <c r="J52" s="208">
        <f>ROUND('6.7 Weighted Funding YR2'!E56,2)</f>
        <v>8485.2000000000007</v>
      </c>
      <c r="K52" s="208">
        <f>ROUND('6.7 Weighted Funding YR2'!I56,2)</f>
        <v>0</v>
      </c>
      <c r="L52" s="208">
        <f>ROUND('6.7 Weighted Funding YR2'!M56,2)</f>
        <v>73538.399999999994</v>
      </c>
      <c r="M52" s="595">
        <f t="shared" si="10"/>
        <v>9202969.8499999996</v>
      </c>
      <c r="N52" s="10"/>
    </row>
    <row r="53" spans="2:14" x14ac:dyDescent="0.3">
      <c r="B53" s="143" t="str">
        <f>'5.2 Budgeted Enrollment YR2'!E49</f>
        <v>Eagle Charter School</v>
      </c>
      <c r="C53" s="530">
        <f>'6.6 Adj. Base Summary YR2'!G54</f>
        <v>5096211.12</v>
      </c>
      <c r="D53" s="981">
        <f t="shared" si="8"/>
        <v>1.1081914342799439E-3</v>
      </c>
      <c r="E53" s="559">
        <f t="shared" si="9"/>
        <v>102.67518739315118</v>
      </c>
      <c r="F53" s="10"/>
      <c r="G53" s="565">
        <f t="shared" si="7"/>
        <v>5096313.8</v>
      </c>
      <c r="H53" s="208">
        <v>0</v>
      </c>
      <c r="I53" s="208">
        <f>ROUND('6.2 Spec Ed Local YR2'!J47,2)</f>
        <v>0</v>
      </c>
      <c r="J53" s="208">
        <f>ROUND('6.7 Weighted Funding YR2'!E57,2)</f>
        <v>0</v>
      </c>
      <c r="K53" s="208">
        <f>ROUND('6.7 Weighted Funding YR2'!I57,2)</f>
        <v>0</v>
      </c>
      <c r="L53" s="208">
        <f>ROUND('6.7 Weighted Funding YR2'!M57,2)</f>
        <v>0</v>
      </c>
      <c r="M53" s="595">
        <f t="shared" si="10"/>
        <v>5096313.8</v>
      </c>
      <c r="N53" s="10"/>
    </row>
    <row r="54" spans="2:14" x14ac:dyDescent="0.3">
      <c r="B54" s="143" t="str">
        <f>'5.2 Budgeted Enrollment YR2'!E50</f>
        <v>Elko Institute for Academic Achievement</v>
      </c>
      <c r="C54" s="530">
        <f>'6.6 Adj. Base Summary YR2'!G55</f>
        <v>2007574.0874779301</v>
      </c>
      <c r="D54" s="981">
        <f t="shared" si="8"/>
        <v>4.3655499253049331E-4</v>
      </c>
      <c r="E54" s="559">
        <f t="shared" si="9"/>
        <v>40.447312872986103</v>
      </c>
      <c r="F54" s="10"/>
      <c r="G54" s="565">
        <f t="shared" si="7"/>
        <v>2007614.53</v>
      </c>
      <c r="H54" s="208">
        <v>0</v>
      </c>
      <c r="I54" s="208">
        <f>ROUND('6.2 Spec Ed Local YR2'!J48,2)</f>
        <v>38988</v>
      </c>
      <c r="J54" s="208">
        <f>ROUND('6.7 Weighted Funding YR2'!E58,2)</f>
        <v>8485.2000000000007</v>
      </c>
      <c r="K54" s="208">
        <f>ROUND('6.7 Weighted Funding YR2'!I58,2)</f>
        <v>16499</v>
      </c>
      <c r="L54" s="208">
        <f>ROUND('6.7 Weighted Funding YR2'!M58,2)</f>
        <v>0</v>
      </c>
      <c r="M54" s="595">
        <f t="shared" si="10"/>
        <v>2071586.73</v>
      </c>
      <c r="N54" s="10"/>
    </row>
    <row r="55" spans="2:14" x14ac:dyDescent="0.3">
      <c r="B55" s="143" t="str">
        <f>'5.2 Budgeted Enrollment YR2'!E51</f>
        <v>enCompass Academy</v>
      </c>
      <c r="C55" s="530">
        <f>'6.6 Adj. Base Summary YR2'!G56</f>
        <v>1084113.3630055781</v>
      </c>
      <c r="D55" s="981">
        <f t="shared" si="8"/>
        <v>2.357447747712628E-4</v>
      </c>
      <c r="E55" s="559">
        <f t="shared" si="9"/>
        <v>21.842019508410207</v>
      </c>
      <c r="F55" s="10"/>
      <c r="G55" s="565">
        <f t="shared" si="7"/>
        <v>1084135.21</v>
      </c>
      <c r="H55" s="208">
        <v>0</v>
      </c>
      <c r="I55" s="208">
        <f>ROUND('6.2 Spec Ed Local YR2'!J49,2)</f>
        <v>72695</v>
      </c>
      <c r="J55" s="208">
        <f>ROUND('6.7 Weighted Funding YR2'!E59,2)</f>
        <v>25455.599999999999</v>
      </c>
      <c r="K55" s="208">
        <f>ROUND('6.7 Weighted Funding YR2'!I59,2)</f>
        <v>65996</v>
      </c>
      <c r="L55" s="208">
        <f>ROUND('6.7 Weighted Funding YR2'!M59,2)</f>
        <v>0</v>
      </c>
      <c r="M55" s="595">
        <f t="shared" si="10"/>
        <v>1248281.81</v>
      </c>
      <c r="N55" s="10"/>
    </row>
    <row r="56" spans="2:14" x14ac:dyDescent="0.3">
      <c r="B56" s="143" t="str">
        <f>'5.2 Budgeted Enrollment YR2'!E52</f>
        <v>Equipo Academy</v>
      </c>
      <c r="C56" s="530">
        <f>'6.6 Adj. Base Summary YR2'!G57</f>
        <v>7541642.1725357082</v>
      </c>
      <c r="D56" s="981">
        <f t="shared" si="8"/>
        <v>1.639960170254575E-3</v>
      </c>
      <c r="E56" s="559">
        <f t="shared" si="9"/>
        <v>151.94416108043725</v>
      </c>
      <c r="F56" s="10"/>
      <c r="G56" s="565">
        <f t="shared" si="7"/>
        <v>7541794.1200000001</v>
      </c>
      <c r="H56" s="208">
        <v>0</v>
      </c>
      <c r="I56" s="208">
        <f>ROUND('6.2 Spec Ed Local YR2'!J50,2)</f>
        <v>97416.04</v>
      </c>
      <c r="J56" s="208">
        <f>ROUND('6.7 Weighted Funding YR2'!E60,2)</f>
        <v>712756.8</v>
      </c>
      <c r="K56" s="208">
        <f>ROUND('6.7 Weighted Funding YR2'!I60,2)</f>
        <v>95694.2</v>
      </c>
      <c r="L56" s="208">
        <f>ROUND('6.7 Weighted Funding YR2'!M60,2)</f>
        <v>0</v>
      </c>
      <c r="M56" s="595">
        <f t="shared" si="10"/>
        <v>8447661.1600000001</v>
      </c>
      <c r="N56" s="10"/>
    </row>
    <row r="57" spans="2:14" x14ac:dyDescent="0.3">
      <c r="B57" s="143" t="str">
        <f>'5.2 Budgeted Enrollment YR2'!E53</f>
        <v>Explore Academy</v>
      </c>
      <c r="C57" s="530">
        <f>'6.6 Adj. Base Summary YR2'!G58</f>
        <v>2592775.3306837082</v>
      </c>
      <c r="D57" s="981">
        <f t="shared" si="8"/>
        <v>5.6380933694050617E-4</v>
      </c>
      <c r="E57" s="559">
        <f t="shared" si="9"/>
        <v>52.237571536535796</v>
      </c>
      <c r="F57" s="10"/>
      <c r="G57" s="565">
        <f t="shared" si="7"/>
        <v>2592827.5699999998</v>
      </c>
      <c r="H57" s="208">
        <v>0</v>
      </c>
      <c r="I57" s="208">
        <f>ROUND('6.2 Spec Ed Local YR2'!J51,2)</f>
        <v>0</v>
      </c>
      <c r="J57" s="208">
        <f>ROUND('6.7 Weighted Funding YR2'!E61,2)</f>
        <v>46668.6</v>
      </c>
      <c r="K57" s="208">
        <f>ROUND('6.7 Weighted Funding YR2'!I61,2)</f>
        <v>6599.6</v>
      </c>
      <c r="L57" s="208">
        <f>ROUND('6.7 Weighted Funding YR2'!M61,2)</f>
        <v>0</v>
      </c>
      <c r="M57" s="595">
        <f t="shared" si="10"/>
        <v>2646095.77</v>
      </c>
      <c r="N57" s="10"/>
    </row>
    <row r="58" spans="2:14" x14ac:dyDescent="0.3">
      <c r="B58" s="143" t="str">
        <f>'5.2 Budgeted Enrollment YR2'!E54</f>
        <v>Explore Knowledge Academy</v>
      </c>
      <c r="C58" s="530">
        <f>'6.6 Adj. Base Summary YR2'!G59</f>
        <v>6340238.6434926465</v>
      </c>
      <c r="D58" s="981">
        <f t="shared" si="8"/>
        <v>1.3787101810666827E-3</v>
      </c>
      <c r="E58" s="559">
        <f t="shared" si="9"/>
        <v>127.73905466418472</v>
      </c>
      <c r="F58" s="10"/>
      <c r="G58" s="565">
        <f t="shared" si="7"/>
        <v>6340366.3799999999</v>
      </c>
      <c r="H58" s="208">
        <v>0</v>
      </c>
      <c r="I58" s="208">
        <f>ROUND('6.2 Spec Ed Local YR2'!J52,2)</f>
        <v>179352</v>
      </c>
      <c r="J58" s="208">
        <f>ROUND('6.7 Weighted Funding YR2'!E62,2)</f>
        <v>250313.4</v>
      </c>
      <c r="K58" s="208">
        <f>ROUND('6.7 Weighted Funding YR2'!I62,2)</f>
        <v>145191.20000000001</v>
      </c>
      <c r="L58" s="208">
        <f>ROUND('6.7 Weighted Funding YR2'!M62,2)</f>
        <v>0</v>
      </c>
      <c r="M58" s="595">
        <f t="shared" si="10"/>
        <v>6915222.9800000004</v>
      </c>
      <c r="N58" s="10"/>
    </row>
    <row r="59" spans="2:14" x14ac:dyDescent="0.3">
      <c r="B59" s="143" t="str">
        <f>'5.2 Budgeted Enrollment YR2'!E55</f>
        <v>Founders Academy of Las Vegas</v>
      </c>
      <c r="C59" s="530">
        <f>'6.6 Adj. Base Summary YR2'!G60</f>
        <v>8893030.0496739056</v>
      </c>
      <c r="D59" s="981">
        <f t="shared" si="8"/>
        <v>1.9338248541482649E-3</v>
      </c>
      <c r="E59" s="559">
        <f t="shared" si="9"/>
        <v>179.17105577902211</v>
      </c>
      <c r="F59" s="10"/>
      <c r="G59" s="565">
        <f t="shared" si="7"/>
        <v>8893209.2200000007</v>
      </c>
      <c r="H59" s="208">
        <v>0</v>
      </c>
      <c r="I59" s="208">
        <f>ROUND('6.2 Spec Ed Local YR2'!J53,2)</f>
        <v>111805</v>
      </c>
      <c r="J59" s="208">
        <f>ROUND('6.7 Weighted Funding YR2'!E63,2)</f>
        <v>241828.2</v>
      </c>
      <c r="K59" s="208">
        <f>ROUND('6.7 Weighted Funding YR2'!I63,2)</f>
        <v>75895.399999999994</v>
      </c>
      <c r="L59" s="208">
        <f>ROUND('6.7 Weighted Funding YR2'!M63,2)</f>
        <v>0</v>
      </c>
      <c r="M59" s="595">
        <f t="shared" si="10"/>
        <v>9322737.8200000003</v>
      </c>
      <c r="N59" s="10"/>
    </row>
    <row r="60" spans="2:14" s="19" customFormat="1" x14ac:dyDescent="0.3">
      <c r="B60" s="143" t="str">
        <f>'5.2 Budgeted Enrollment YR2'!E56</f>
        <v>Freedom Classical Academy</v>
      </c>
      <c r="C60" s="530">
        <f>'6.6 Adj. Base Summary YR2'!G61</f>
        <v>9861670.903719753</v>
      </c>
      <c r="D60" s="981">
        <f t="shared" si="8"/>
        <v>2.1444596712841802E-3</v>
      </c>
      <c r="E60" s="559">
        <f t="shared" si="9"/>
        <v>198.68660936657037</v>
      </c>
      <c r="F60" s="10"/>
      <c r="G60" s="565">
        <f t="shared" si="7"/>
        <v>9861869.5899999999</v>
      </c>
      <c r="H60" s="208">
        <v>0</v>
      </c>
      <c r="I60" s="208">
        <f>ROUND('6.2 Spec Ed Local YR2'!J54,2)</f>
        <v>301886</v>
      </c>
      <c r="J60" s="208">
        <f>ROUND('6.7 Weighted Funding YR2'!E64,2)</f>
        <v>352135.8</v>
      </c>
      <c r="K60" s="208">
        <f>ROUND('6.7 Weighted Funding YR2'!I64,2)</f>
        <v>158390.39999999999</v>
      </c>
      <c r="L60" s="208">
        <f>ROUND('6.7 Weighted Funding YR2'!M64,2)</f>
        <v>0</v>
      </c>
      <c r="M60" s="595">
        <f t="shared" si="10"/>
        <v>10674281.790000001</v>
      </c>
    </row>
    <row r="61" spans="2:14" x14ac:dyDescent="0.3">
      <c r="B61" s="143" t="str">
        <f>'5.2 Budgeted Enrollment YR2'!E57</f>
        <v>Futuro Academy Elementary</v>
      </c>
      <c r="C61" s="530">
        <f>'6.6 Adj. Base Summary YR2'!G62</f>
        <v>4376203.8319839267</v>
      </c>
      <c r="D61" s="981">
        <f t="shared" si="8"/>
        <v>9.5162297775207825E-4</v>
      </c>
      <c r="E61" s="559">
        <f t="shared" si="9"/>
        <v>88.168943149979995</v>
      </c>
      <c r="F61" s="10"/>
      <c r="G61" s="565">
        <f t="shared" si="7"/>
        <v>4376292</v>
      </c>
      <c r="H61" s="208">
        <v>0</v>
      </c>
      <c r="I61" s="208">
        <f>ROUND('6.2 Spec Ed Local YR2'!J55,2)</f>
        <v>252643</v>
      </c>
      <c r="J61" s="208">
        <f>ROUND('6.7 Weighted Funding YR2'!E65,2)</f>
        <v>797608.8</v>
      </c>
      <c r="K61" s="208">
        <f>ROUND('6.7 Weighted Funding YR2'!I65,2)</f>
        <v>131992</v>
      </c>
      <c r="L61" s="208">
        <f>ROUND('6.7 Weighted Funding YR2'!M65,2)</f>
        <v>0</v>
      </c>
      <c r="M61" s="595">
        <f t="shared" si="10"/>
        <v>5558535.7999999998</v>
      </c>
      <c r="N61" s="10"/>
    </row>
    <row r="62" spans="2:14" x14ac:dyDescent="0.3">
      <c r="B62" s="143" t="str">
        <f>'5.2 Budgeted Enrollment YR2'!E58</f>
        <v>Girls Athletic Leadership Schools</v>
      </c>
      <c r="C62" s="530">
        <f>'6.6 Adj. Base Summary YR2'!G63</f>
        <v>0</v>
      </c>
      <c r="D62" s="981">
        <f t="shared" si="8"/>
        <v>0</v>
      </c>
      <c r="E62" s="559">
        <f t="shared" si="9"/>
        <v>0</v>
      </c>
      <c r="F62" s="10"/>
      <c r="G62" s="565">
        <f t="shared" si="7"/>
        <v>0</v>
      </c>
      <c r="H62" s="208">
        <v>0</v>
      </c>
      <c r="I62" s="208">
        <f>ROUND('6.2 Spec Ed Local YR2'!J56,2)</f>
        <v>0</v>
      </c>
      <c r="J62" s="208">
        <f>ROUND('6.7 Weighted Funding YR2'!E66,2)</f>
        <v>0</v>
      </c>
      <c r="K62" s="208">
        <f>ROUND('6.7 Weighted Funding YR2'!I66,2)</f>
        <v>0</v>
      </c>
      <c r="L62" s="208">
        <f>ROUND('6.7 Weighted Funding YR2'!M66,2)</f>
        <v>0</v>
      </c>
      <c r="M62" s="595">
        <f t="shared" si="10"/>
        <v>0</v>
      </c>
      <c r="N62" s="10"/>
    </row>
    <row r="63" spans="2:14" x14ac:dyDescent="0.3">
      <c r="B63" s="143" t="str">
        <f>'5.2 Budgeted Enrollment YR2'!E59</f>
        <v>High Desert Montessori</v>
      </c>
      <c r="C63" s="530">
        <f>'6.6 Adj. Base Summary YR2'!G64</f>
        <v>3702588.6891081631</v>
      </c>
      <c r="D63" s="981">
        <f t="shared" si="8"/>
        <v>8.0514267822002486E-4</v>
      </c>
      <c r="E63" s="559">
        <f t="shared" si="9"/>
        <v>74.597378040716364</v>
      </c>
      <c r="F63" s="10"/>
      <c r="G63" s="565">
        <f t="shared" si="7"/>
        <v>3702663.29</v>
      </c>
      <c r="H63" s="208">
        <v>0</v>
      </c>
      <c r="I63" s="208">
        <f>ROUND('6.2 Spec Ed Local YR2'!J57,2)</f>
        <v>164199</v>
      </c>
      <c r="J63" s="208">
        <f>ROUND('6.7 Weighted Funding YR2'!E67,2)</f>
        <v>101822.39999999999</v>
      </c>
      <c r="K63" s="208">
        <f>ROUND('6.7 Weighted Funding YR2'!I67,2)</f>
        <v>36297.800000000003</v>
      </c>
      <c r="L63" s="208">
        <f>ROUND('6.7 Weighted Funding YR2'!M67,2)</f>
        <v>0</v>
      </c>
      <c r="M63" s="595">
        <f t="shared" si="10"/>
        <v>4004982.4899999998</v>
      </c>
      <c r="N63" s="10"/>
    </row>
    <row r="64" spans="2:14" x14ac:dyDescent="0.3">
      <c r="B64" s="143" t="str">
        <f>'5.2 Budgeted Enrollment YR2'!E60</f>
        <v>Honors Academy of Literature</v>
      </c>
      <c r="C64" s="530">
        <f>'6.6 Adj. Base Summary YR2'!G65</f>
        <v>2043810.5434229786</v>
      </c>
      <c r="D64" s="981">
        <f t="shared" si="8"/>
        <v>4.4443475440483364E-4</v>
      </c>
      <c r="E64" s="559">
        <f t="shared" si="9"/>
        <v>41.177381705892209</v>
      </c>
      <c r="F64" s="10"/>
      <c r="G64" s="565">
        <f t="shared" si="7"/>
        <v>2043851.72</v>
      </c>
      <c r="H64" s="208">
        <v>0</v>
      </c>
      <c r="I64" s="208">
        <f>ROUND('6.2 Spec Ed Local YR2'!J58,2)</f>
        <v>27349</v>
      </c>
      <c r="J64" s="208">
        <f>ROUND('6.7 Weighted Funding YR2'!E68,2)</f>
        <v>16970.400000000001</v>
      </c>
      <c r="K64" s="208">
        <f>ROUND('6.7 Weighted Funding YR2'!I68,2)</f>
        <v>9899.4</v>
      </c>
      <c r="L64" s="208">
        <f>ROUND('6.7 Weighted Funding YR2'!M68,2)</f>
        <v>0</v>
      </c>
      <c r="M64" s="595">
        <f t="shared" si="10"/>
        <v>2098070.52</v>
      </c>
      <c r="N64" s="10"/>
    </row>
    <row r="65" spans="2:14" x14ac:dyDescent="0.3">
      <c r="B65" s="143" t="str">
        <f>'5.2 Budgeted Enrollment YR2'!E61</f>
        <v>Imagine School Mountain View</v>
      </c>
      <c r="C65" s="530">
        <f>'6.6 Adj. Base Summary YR2'!G66</f>
        <v>6336083.4869651617</v>
      </c>
      <c r="D65" s="981">
        <f t="shared" si="8"/>
        <v>1.377806625706941E-3</v>
      </c>
      <c r="E65" s="559">
        <f t="shared" si="9"/>
        <v>127.65533924010563</v>
      </c>
      <c r="F65" s="10"/>
      <c r="G65" s="565">
        <f t="shared" si="7"/>
        <v>6336211.1399999997</v>
      </c>
      <c r="H65" s="208">
        <v>0</v>
      </c>
      <c r="I65" s="208">
        <f>ROUND('6.2 Spec Ed Local YR2'!J59,2)</f>
        <v>170299.9</v>
      </c>
      <c r="J65" s="208">
        <f>ROUND('6.7 Weighted Funding YR2'!E69,2)</f>
        <v>296982</v>
      </c>
      <c r="K65" s="208">
        <f>ROUND('6.7 Weighted Funding YR2'!I69,2)</f>
        <v>6599.6</v>
      </c>
      <c r="L65" s="208">
        <f>ROUND('6.7 Weighted Funding YR2'!M69,2)</f>
        <v>0</v>
      </c>
      <c r="M65" s="595">
        <f t="shared" si="10"/>
        <v>6810092.6399999997</v>
      </c>
      <c r="N65" s="10"/>
    </row>
    <row r="66" spans="2:14" x14ac:dyDescent="0.3">
      <c r="B66" s="143" t="str">
        <f>'5.2 Budgeted Enrollment YR2'!E62</f>
        <v>Innovations Int'l Charter</v>
      </c>
      <c r="C66" s="530">
        <f>'6.6 Adj. Base Summary YR2'!G67</f>
        <v>6956259.3726816643</v>
      </c>
      <c r="D66" s="981">
        <f t="shared" si="8"/>
        <v>1.5126663456272581E-3</v>
      </c>
      <c r="E66" s="559">
        <f t="shared" si="9"/>
        <v>140.1502445301862</v>
      </c>
      <c r="F66" s="10"/>
      <c r="G66" s="565">
        <f t="shared" si="7"/>
        <v>6956399.5199999996</v>
      </c>
      <c r="H66" s="208">
        <v>0</v>
      </c>
      <c r="I66" s="208">
        <f>ROUND('6.2 Spec Ed Local YR2'!J60,2)</f>
        <v>0</v>
      </c>
      <c r="J66" s="208">
        <f>ROUND('6.7 Weighted Funding YR2'!E70,2)</f>
        <v>801851.4</v>
      </c>
      <c r="K66" s="208">
        <f>ROUND('6.7 Weighted Funding YR2'!I70,2)</f>
        <v>577465</v>
      </c>
      <c r="L66" s="208">
        <f>ROUND('6.7 Weighted Funding YR2'!M70,2)</f>
        <v>0</v>
      </c>
      <c r="M66" s="595">
        <f t="shared" si="10"/>
        <v>8335715.9199999999</v>
      </c>
      <c r="N66" s="10"/>
    </row>
    <row r="67" spans="2:14" x14ac:dyDescent="0.3">
      <c r="B67" s="143" t="str">
        <f>'5.2 Budgeted Enrollment YR2'!E63</f>
        <v>Leadership Academy of Nevada</v>
      </c>
      <c r="C67" s="530">
        <f>'6.6 Adj. Base Summary YR2'!G68</f>
        <v>2525830.1792883612</v>
      </c>
      <c r="D67" s="981">
        <f t="shared" si="8"/>
        <v>5.4925184675887933E-4</v>
      </c>
      <c r="E67" s="559">
        <f t="shared" si="9"/>
        <v>50.888803637654064</v>
      </c>
      <c r="F67" s="10"/>
      <c r="G67" s="565">
        <f t="shared" si="7"/>
        <v>2525881.0699999998</v>
      </c>
      <c r="H67" s="208">
        <v>0</v>
      </c>
      <c r="I67" s="208">
        <f>ROUND('6.2 Spec Ed Local YR2'!J61,2)</f>
        <v>0</v>
      </c>
      <c r="J67" s="208">
        <f>ROUND('6.7 Weighted Funding YR2'!E71,2)</f>
        <v>4242.6000000000004</v>
      </c>
      <c r="K67" s="208">
        <f>ROUND('6.7 Weighted Funding YR2'!I71,2)</f>
        <v>49497</v>
      </c>
      <c r="L67" s="208">
        <f>ROUND('6.7 Weighted Funding YR2'!M71,2)</f>
        <v>0</v>
      </c>
      <c r="M67" s="595">
        <f t="shared" si="10"/>
        <v>2579620.67</v>
      </c>
      <c r="N67" s="10"/>
    </row>
    <row r="68" spans="2:14" x14ac:dyDescent="0.3">
      <c r="B68" s="143" t="str">
        <f>'5.2 Budgeted Enrollment YR2'!E64</f>
        <v>Learning Bridge</v>
      </c>
      <c r="C68" s="530">
        <f>'6.6 Adj. Base Summary YR2'!G69</f>
        <v>2393612.2137268423</v>
      </c>
      <c r="D68" s="981">
        <f t="shared" si="8"/>
        <v>5.2050052279622604E-4</v>
      </c>
      <c r="E68" s="559">
        <f t="shared" si="9"/>
        <v>48.224961015928031</v>
      </c>
      <c r="F68" s="10"/>
      <c r="G68" s="565">
        <f t="shared" si="7"/>
        <v>2393660.44</v>
      </c>
      <c r="H68" s="208">
        <v>0</v>
      </c>
      <c r="I68" s="208">
        <f>ROUND('6.2 Spec Ed Local YR2'!J62,2)</f>
        <v>0</v>
      </c>
      <c r="J68" s="208">
        <f>ROUND('6.7 Weighted Funding YR2'!E72,2)</f>
        <v>8485.2000000000007</v>
      </c>
      <c r="K68" s="208">
        <f>ROUND('6.7 Weighted Funding YR2'!I72,2)</f>
        <v>0</v>
      </c>
      <c r="L68" s="208">
        <f>ROUND('6.7 Weighted Funding YR2'!M72,2)</f>
        <v>0</v>
      </c>
      <c r="M68" s="595">
        <f t="shared" si="10"/>
        <v>2402145.64</v>
      </c>
      <c r="N68" s="10"/>
    </row>
    <row r="69" spans="2:14" x14ac:dyDescent="0.3">
      <c r="B69" s="143" t="str">
        <f>'5.2 Budgeted Enrollment YR2'!E65</f>
        <v>Legacy Traditional Schools</v>
      </c>
      <c r="C69" s="530">
        <f>'6.6 Adj. Base Summary YR2'!G70</f>
        <v>37885274.263441987</v>
      </c>
      <c r="D69" s="981">
        <f t="shared" si="8"/>
        <v>8.2383039939861874E-3</v>
      </c>
      <c r="E69" s="559">
        <f t="shared" si="9"/>
        <v>763.28816503972337</v>
      </c>
      <c r="F69" s="10"/>
      <c r="G69" s="565">
        <f t="shared" si="7"/>
        <v>37886037.549999997</v>
      </c>
      <c r="H69" s="208">
        <v>0</v>
      </c>
      <c r="I69" s="208">
        <f>ROUND('6.2 Spec Ed Local YR2'!J63,2)</f>
        <v>0</v>
      </c>
      <c r="J69" s="208">
        <f>ROUND('6.7 Weighted Funding YR2'!E73,2)</f>
        <v>1120046.3999999999</v>
      </c>
      <c r="K69" s="208">
        <f>ROUND('6.7 Weighted Funding YR2'!I73,2)</f>
        <v>521368.4</v>
      </c>
      <c r="L69" s="208">
        <f>ROUND('6.7 Weighted Funding YR2'!M73,2)</f>
        <v>202513.44</v>
      </c>
      <c r="M69" s="595">
        <f t="shared" si="10"/>
        <v>39729965.789999992</v>
      </c>
      <c r="N69" s="10"/>
    </row>
    <row r="70" spans="2:14" x14ac:dyDescent="0.3">
      <c r="B70" s="143" t="str">
        <f>'5.2 Budgeted Enrollment YR2'!E66</f>
        <v>Mariposa Dual Language Academy</v>
      </c>
      <c r="C70" s="530">
        <f>'6.6 Adj. Base Summary YR2'!G71</f>
        <v>1511520.2246110807</v>
      </c>
      <c r="D70" s="981">
        <f t="shared" si="8"/>
        <v>3.2868610153947005E-4</v>
      </c>
      <c r="E70" s="559">
        <f t="shared" si="9"/>
        <v>30.453138352415952</v>
      </c>
      <c r="F70" s="10"/>
      <c r="G70" s="565">
        <f t="shared" si="7"/>
        <v>1511550.68</v>
      </c>
      <c r="H70" s="208">
        <v>0</v>
      </c>
      <c r="I70" s="208">
        <f>ROUND('6.2 Spec Ed Local YR2'!J64,2)</f>
        <v>128848</v>
      </c>
      <c r="J70" s="208">
        <f>ROUND('6.7 Weighted Funding YR2'!E74,2)</f>
        <v>148491</v>
      </c>
      <c r="K70" s="208">
        <f>ROUND('6.7 Weighted Funding YR2'!I74,2)</f>
        <v>3299.8</v>
      </c>
      <c r="L70" s="208">
        <f>ROUND('6.7 Weighted Funding YR2'!M74,2)</f>
        <v>0</v>
      </c>
      <c r="M70" s="595">
        <f t="shared" si="10"/>
        <v>1792189.48</v>
      </c>
      <c r="N70" s="10"/>
    </row>
    <row r="71" spans="2:14" x14ac:dyDescent="0.3">
      <c r="B71" s="143" t="str">
        <f>'5.2 Budgeted Enrollment YR2'!E67</f>
        <v>Mater Academy</v>
      </c>
      <c r="C71" s="530">
        <f>'6.6 Adj. Base Summary YR2'!G72</f>
        <v>37348130.803065874</v>
      </c>
      <c r="D71" s="981">
        <f t="shared" si="8"/>
        <v>8.1215000061309311E-3</v>
      </c>
      <c r="E71" s="559">
        <f t="shared" si="9"/>
        <v>752.46614370809459</v>
      </c>
      <c r="F71" s="10"/>
      <c r="G71" s="565">
        <f t="shared" si="7"/>
        <v>37348883.270000003</v>
      </c>
      <c r="H71" s="208">
        <v>0</v>
      </c>
      <c r="I71" s="208">
        <f>ROUND('6.2 Spec Ed Local YR2'!J65,2)</f>
        <v>681469.72</v>
      </c>
      <c r="J71" s="208">
        <f>ROUND('6.7 Weighted Funding YR2'!E75,2)</f>
        <v>5825089.7999999998</v>
      </c>
      <c r="K71" s="208">
        <f>ROUND('6.7 Weighted Funding YR2'!I75,2)</f>
        <v>148491</v>
      </c>
      <c r="L71" s="208">
        <f>ROUND('6.7 Weighted Funding YR2'!M75,2)</f>
        <v>0</v>
      </c>
      <c r="M71" s="595">
        <f t="shared" si="10"/>
        <v>44003933.789999999</v>
      </c>
      <c r="N71" s="10"/>
    </row>
    <row r="72" spans="2:14" x14ac:dyDescent="0.3">
      <c r="B72" s="143" t="str">
        <f>'5.2 Budgeted Enrollment YR2'!E68</f>
        <v>Mater Academy of Northern Nevada</v>
      </c>
      <c r="C72" s="530">
        <f>'6.6 Adj. Base Summary YR2'!G73</f>
        <v>4638262.6388149261</v>
      </c>
      <c r="D72" s="981">
        <f t="shared" si="8"/>
        <v>1.0086087105189217E-3</v>
      </c>
      <c r="E72" s="559">
        <f t="shared" si="9"/>
        <v>93.448735620469023</v>
      </c>
      <c r="F72" s="10"/>
      <c r="G72" s="565">
        <f t="shared" si="7"/>
        <v>4638356.09</v>
      </c>
      <c r="H72" s="208">
        <v>0</v>
      </c>
      <c r="I72" s="208">
        <f>ROUND('6.2 Spec Ed Local YR2'!J66,2)</f>
        <v>53953</v>
      </c>
      <c r="J72" s="208">
        <f>ROUND('6.7 Weighted Funding YR2'!E76,2)</f>
        <v>644875.19999999995</v>
      </c>
      <c r="K72" s="208">
        <f>ROUND('6.7 Weighted Funding YR2'!I76,2)</f>
        <v>13199.2</v>
      </c>
      <c r="L72" s="208">
        <f>ROUND('6.7 Weighted Funding YR2'!M76,2)</f>
        <v>0</v>
      </c>
      <c r="M72" s="595">
        <f t="shared" si="10"/>
        <v>5350383.49</v>
      </c>
      <c r="N72" s="10"/>
    </row>
    <row r="73" spans="2:14" x14ac:dyDescent="0.3">
      <c r="B73" s="143" t="str">
        <f>'5.2 Budgeted Enrollment YR2'!E69</f>
        <v>Nevada Connections Academy</v>
      </c>
      <c r="C73" s="530">
        <f>'6.6 Adj. Base Summary YR2'!G74</f>
        <v>10059741.756455593</v>
      </c>
      <c r="D73" s="981">
        <f t="shared" si="8"/>
        <v>2.1875309682171024E-3</v>
      </c>
      <c r="E73" s="559">
        <f t="shared" si="9"/>
        <v>202.67721364941914</v>
      </c>
      <c r="F73" s="10"/>
      <c r="G73" s="565">
        <f t="shared" si="7"/>
        <v>10059944.43</v>
      </c>
      <c r="H73" s="208">
        <v>0</v>
      </c>
      <c r="I73" s="208">
        <f>ROUND('6.2 Spec Ed Local YR2'!J67,2)</f>
        <v>0</v>
      </c>
      <c r="J73" s="208">
        <f>ROUND('6.7 Weighted Funding YR2'!E77,2)</f>
        <v>101822.39999999999</v>
      </c>
      <c r="K73" s="208">
        <f>ROUND('6.7 Weighted Funding YR2'!I77,2)</f>
        <v>92394.4</v>
      </c>
      <c r="L73" s="208">
        <f>ROUND('6.7 Weighted Funding YR2'!M77,2)</f>
        <v>0</v>
      </c>
      <c r="M73" s="595">
        <f t="shared" si="10"/>
        <v>10254161.23</v>
      </c>
      <c r="N73" s="10"/>
    </row>
    <row r="74" spans="2:14" x14ac:dyDescent="0.3">
      <c r="B74" s="143" t="str">
        <f>'5.2 Budgeted Enrollment YR2'!E70</f>
        <v>Nevada Prep</v>
      </c>
      <c r="C74" s="530">
        <f>'6.6 Adj. Base Summary YR2'!G75</f>
        <v>2655092.3718308117</v>
      </c>
      <c r="D74" s="981">
        <f t="shared" si="8"/>
        <v>5.773604260894367E-4</v>
      </c>
      <c r="E74" s="559">
        <f t="shared" si="9"/>
        <v>53.493095243639516</v>
      </c>
      <c r="F74" s="10"/>
      <c r="G74" s="565">
        <f t="shared" si="7"/>
        <v>2655145.86</v>
      </c>
      <c r="H74" s="208">
        <v>0</v>
      </c>
      <c r="I74" s="208">
        <f>ROUND('6.2 Spec Ed Local YR2'!J68,2)</f>
        <v>106176</v>
      </c>
      <c r="J74" s="208">
        <f>ROUND('6.7 Weighted Funding YR2'!E78,2)</f>
        <v>288496.8</v>
      </c>
      <c r="K74" s="208">
        <f>ROUND('6.7 Weighted Funding YR2'!I78,2)</f>
        <v>39597.599999999999</v>
      </c>
      <c r="L74" s="208">
        <f>ROUND('6.7 Weighted Funding YR2'!M78,2)</f>
        <v>0</v>
      </c>
      <c r="M74" s="595">
        <f t="shared" si="10"/>
        <v>3089416.26</v>
      </c>
      <c r="N74" s="10"/>
    </row>
    <row r="75" spans="2:14" x14ac:dyDescent="0.3">
      <c r="B75" s="143" t="str">
        <f>'5.2 Budgeted Enrollment YR2'!E71</f>
        <v xml:space="preserve">Nevada Rise </v>
      </c>
      <c r="C75" s="530">
        <f>'6.6 Adj. Base Summary YR2'!G76</f>
        <v>4321480.489007757</v>
      </c>
      <c r="D75" s="981">
        <f t="shared" si="8"/>
        <v>9.3972316855787941E-4</v>
      </c>
      <c r="E75" s="559">
        <f t="shared" si="9"/>
        <v>87.066412394767113</v>
      </c>
      <c r="F75" s="10"/>
      <c r="G75" s="565">
        <f t="shared" si="7"/>
        <v>4321567.5599999996</v>
      </c>
      <c r="H75" s="208">
        <v>0</v>
      </c>
      <c r="I75" s="208">
        <f>ROUND('6.2 Spec Ed Local YR2'!J69,2)</f>
        <v>164728</v>
      </c>
      <c r="J75" s="208">
        <f>ROUND('6.7 Weighted Funding YR2'!E79,2)</f>
        <v>309709.8</v>
      </c>
      <c r="K75" s="208">
        <f>ROUND('6.7 Weighted Funding YR2'!I79,2)</f>
        <v>221086.6</v>
      </c>
      <c r="L75" s="208">
        <f>ROUND('6.7 Weighted Funding YR2'!M79,2)</f>
        <v>0</v>
      </c>
      <c r="M75" s="595">
        <f t="shared" si="10"/>
        <v>5017091.959999999</v>
      </c>
      <c r="N75" s="10"/>
    </row>
    <row r="76" spans="2:14" x14ac:dyDescent="0.3">
      <c r="B76" s="143" t="str">
        <f>'5.2 Budgeted Enrollment YR2'!E72</f>
        <v>Nevada State High School</v>
      </c>
      <c r="C76" s="530">
        <f>'6.6 Adj. Base Summary YR2'!G77</f>
        <v>9279983.7149963286</v>
      </c>
      <c r="D76" s="981">
        <f t="shared" si="8"/>
        <v>2.0179694720371599E-3</v>
      </c>
      <c r="E76" s="559">
        <f t="shared" si="9"/>
        <v>186.96714961499461</v>
      </c>
      <c r="F76" s="10"/>
      <c r="G76" s="565">
        <f t="shared" si="7"/>
        <v>9280170.6799999997</v>
      </c>
      <c r="H76" s="208">
        <v>0</v>
      </c>
      <c r="I76" s="208">
        <f>ROUND('6.2 Spec Ed Local YR2'!J70,2)</f>
        <v>0</v>
      </c>
      <c r="J76" s="208">
        <f>ROUND('6.7 Weighted Funding YR2'!E80,2)</f>
        <v>186674.4</v>
      </c>
      <c r="K76" s="208">
        <f>ROUND('6.7 Weighted Funding YR2'!I80,2)</f>
        <v>3299.8</v>
      </c>
      <c r="L76" s="208">
        <f>ROUND('6.7 Weighted Funding YR2'!M80,2)</f>
        <v>0</v>
      </c>
      <c r="M76" s="595">
        <f t="shared" si="10"/>
        <v>9470144.8800000008</v>
      </c>
      <c r="N76" s="10"/>
    </row>
    <row r="77" spans="2:14" x14ac:dyDescent="0.3">
      <c r="B77" s="143" t="str">
        <f>'5.2 Budgeted Enrollment YR2'!E73</f>
        <v>Nevada State High School-Meadowwood</v>
      </c>
      <c r="C77" s="530">
        <f>'6.6 Adj. Base Summary YR2'!G78</f>
        <v>300312.27867927187</v>
      </c>
      <c r="D77" s="981">
        <f t="shared" si="8"/>
        <v>6.530410279420694E-5</v>
      </c>
      <c r="E77" s="559">
        <f t="shared" si="9"/>
        <v>6.0504988439055234</v>
      </c>
      <c r="F77" s="10"/>
      <c r="G77" s="565">
        <f t="shared" si="7"/>
        <v>300318.33</v>
      </c>
      <c r="H77" s="208">
        <v>0</v>
      </c>
      <c r="I77" s="208">
        <f>ROUND('6.2 Spec Ed Local YR2'!J71,2)</f>
        <v>0</v>
      </c>
      <c r="J77" s="208">
        <f>ROUND('6.7 Weighted Funding YR2'!E81,2)</f>
        <v>0</v>
      </c>
      <c r="K77" s="208">
        <f>ROUND('6.7 Weighted Funding YR2'!I81,2)</f>
        <v>0</v>
      </c>
      <c r="L77" s="208">
        <f>ROUND('6.7 Weighted Funding YR2'!M81,2)</f>
        <v>0</v>
      </c>
      <c r="M77" s="595">
        <f t="shared" si="10"/>
        <v>300318.33</v>
      </c>
      <c r="N77" s="10"/>
    </row>
    <row r="78" spans="2:14" x14ac:dyDescent="0.3">
      <c r="B78" s="143" t="str">
        <f>'5.2 Budgeted Enrollment YR2'!E74</f>
        <v>Nevada Virtual Academy</v>
      </c>
      <c r="C78" s="530">
        <f>'6.6 Adj. Base Summary YR2'!G79</f>
        <v>20369704.618858419</v>
      </c>
      <c r="D78" s="981">
        <f t="shared" si="8"/>
        <v>4.4294735139292088E-3</v>
      </c>
      <c r="E78" s="559">
        <f t="shared" si="9"/>
        <v>410.39572137749764</v>
      </c>
      <c r="F78" s="10"/>
      <c r="G78" s="565">
        <f t="shared" si="7"/>
        <v>20370115.010000002</v>
      </c>
      <c r="H78" s="208">
        <v>0</v>
      </c>
      <c r="I78" s="208">
        <f>ROUND('6.2 Spec Ed Local YR2'!J72,2)</f>
        <v>0</v>
      </c>
      <c r="J78" s="208">
        <f>ROUND('6.7 Weighted Funding YR2'!E82,2)</f>
        <v>356378.4</v>
      </c>
      <c r="K78" s="208">
        <f>ROUND('6.7 Weighted Funding YR2'!I82,2)</f>
        <v>527968</v>
      </c>
      <c r="L78" s="208">
        <f>ROUND('6.7 Weighted Funding YR2'!M82,2)</f>
        <v>0</v>
      </c>
      <c r="M78" s="595">
        <f t="shared" si="10"/>
        <v>21254461.41</v>
      </c>
      <c r="N78" s="10"/>
    </row>
    <row r="79" spans="2:14" x14ac:dyDescent="0.3">
      <c r="B79" s="143" t="str">
        <f>'5.2 Budgeted Enrollment YR2'!E75</f>
        <v>Oasis Academy</v>
      </c>
      <c r="C79" s="530">
        <f>'6.6 Adj. Base Summary YR2'!G80</f>
        <v>7847614.7350143902</v>
      </c>
      <c r="D79" s="981">
        <f t="shared" si="8"/>
        <v>1.7064951243370033E-3</v>
      </c>
      <c r="E79" s="559">
        <f t="shared" si="9"/>
        <v>158.10869968567096</v>
      </c>
      <c r="F79" s="10"/>
      <c r="G79" s="565">
        <f t="shared" si="7"/>
        <v>7847772.8399999999</v>
      </c>
      <c r="H79" s="208">
        <v>0</v>
      </c>
      <c r="I79" s="208">
        <f>ROUND('6.2 Spec Ed Local YR2'!J73,2)</f>
        <v>303879</v>
      </c>
      <c r="J79" s="208">
        <f>ROUND('6.7 Weighted Funding YR2'!E83,2)</f>
        <v>118792.8</v>
      </c>
      <c r="K79" s="208">
        <f>ROUND('6.7 Weighted Funding YR2'!I83,2)</f>
        <v>9899.4</v>
      </c>
      <c r="L79" s="208">
        <f>ROUND('6.7 Weighted Funding YR2'!M83,2)</f>
        <v>0</v>
      </c>
      <c r="M79" s="595">
        <f t="shared" si="10"/>
        <v>8280344.04</v>
      </c>
      <c r="N79" s="10"/>
    </row>
    <row r="80" spans="2:14" x14ac:dyDescent="0.3">
      <c r="B80" s="143" t="str">
        <f>'5.2 Budgeted Enrollment YR2'!E76</f>
        <v>Odyssey Charter Schools</v>
      </c>
      <c r="C80" s="530">
        <f>'6.6 Adj. Base Summary YR2'!G81</f>
        <v>21944190.207554504</v>
      </c>
      <c r="D80" s="981">
        <f t="shared" si="8"/>
        <v>4.7718516850262915E-3</v>
      </c>
      <c r="E80" s="559">
        <f t="shared" si="9"/>
        <v>442.1174454310306</v>
      </c>
      <c r="F80" s="10"/>
      <c r="G80" s="565">
        <f t="shared" si="7"/>
        <v>21944632.32</v>
      </c>
      <c r="H80" s="208">
        <v>0</v>
      </c>
      <c r="I80" s="208">
        <f>ROUND('6.2 Spec Ed Local YR2'!J74,2)</f>
        <v>2209616</v>
      </c>
      <c r="J80" s="208">
        <f>ROUND('6.7 Weighted Funding YR2'!E84,2)</f>
        <v>424260</v>
      </c>
      <c r="K80" s="208">
        <f>ROUND('6.7 Weighted Funding YR2'!I84,2)</f>
        <v>907445</v>
      </c>
      <c r="L80" s="208">
        <f>ROUND('6.7 Weighted Funding YR2'!M84,2)</f>
        <v>0</v>
      </c>
      <c r="M80" s="595">
        <f t="shared" si="10"/>
        <v>25485953.32</v>
      </c>
      <c r="N80" s="10"/>
    </row>
    <row r="81" spans="1:14" x14ac:dyDescent="0.3">
      <c r="B81" s="143" t="str">
        <f>'5.2 Budgeted Enrollment YR2'!E77</f>
        <v>Pinecrest Academy of Northern Nevada</v>
      </c>
      <c r="C81" s="530">
        <f>'6.6 Adj. Base Summary YR2'!G82</f>
        <v>8748255.4524007645</v>
      </c>
      <c r="D81" s="981">
        <f t="shared" si="8"/>
        <v>1.9023430405377989E-3</v>
      </c>
      <c r="E81" s="559">
        <f t="shared" si="9"/>
        <v>176.25423020905086</v>
      </c>
      <c r="F81" s="10"/>
      <c r="G81" s="565">
        <f t="shared" si="7"/>
        <v>8748431.7100000009</v>
      </c>
      <c r="H81" s="208">
        <v>0</v>
      </c>
      <c r="I81" s="208">
        <f>ROUND('6.2 Spec Ed Local YR2'!J75,2)</f>
        <v>144137</v>
      </c>
      <c r="J81" s="208">
        <f>ROUND('6.7 Weighted Funding YR2'!E85,2)</f>
        <v>76366.8</v>
      </c>
      <c r="K81" s="208">
        <f>ROUND('6.7 Weighted Funding YR2'!I85,2)</f>
        <v>0</v>
      </c>
      <c r="L81" s="208">
        <f>ROUND('6.7 Weighted Funding YR2'!M85,2)</f>
        <v>38466.239999999998</v>
      </c>
      <c r="M81" s="595">
        <f t="shared" si="10"/>
        <v>9007401.7500000019</v>
      </c>
      <c r="N81" s="10"/>
    </row>
    <row r="82" spans="1:14" x14ac:dyDescent="0.3">
      <c r="B82" s="143" t="str">
        <f>'5.2 Budgeted Enrollment YR2'!E78</f>
        <v>Pinecrest Academy of Nevada</v>
      </c>
      <c r="C82" s="530">
        <f>'6.6 Adj. Base Summary YR2'!G83</f>
        <v>69897790.70208481</v>
      </c>
      <c r="D82" s="981">
        <f t="shared" si="8"/>
        <v>1.5199553375477641E-2</v>
      </c>
      <c r="E82" s="559">
        <f t="shared" si="9"/>
        <v>1408.2557785996546</v>
      </c>
      <c r="F82" s="10"/>
      <c r="G82" s="565">
        <f t="shared" si="7"/>
        <v>69899198.959999993</v>
      </c>
      <c r="H82" s="208">
        <v>0</v>
      </c>
      <c r="I82" s="208">
        <f>ROUND('6.2 Spec Ed Local YR2'!J76,2)</f>
        <v>1251037</v>
      </c>
      <c r="J82" s="208">
        <f>ROUND('6.7 Weighted Funding YR2'!E86,2)</f>
        <v>678816</v>
      </c>
      <c r="K82" s="208">
        <f>ROUND('6.7 Weighted Funding YR2'!I86,2)</f>
        <v>669859.4</v>
      </c>
      <c r="L82" s="208">
        <f>ROUND('6.7 Weighted Funding YR2'!M86,2)</f>
        <v>293022.24</v>
      </c>
      <c r="M82" s="595">
        <f t="shared" si="10"/>
        <v>72791933.599999994</v>
      </c>
      <c r="N82" s="10"/>
    </row>
    <row r="83" spans="1:14" x14ac:dyDescent="0.3">
      <c r="B83" s="143" t="str">
        <f>'5.2 Budgeted Enrollment YR2'!E79</f>
        <v>Quest Academy</v>
      </c>
      <c r="C83" s="530">
        <f>'6.6 Adj. Base Summary YR2'!G84</f>
        <v>4104049.9811379565</v>
      </c>
      <c r="D83" s="981">
        <f t="shared" si="8"/>
        <v>8.9244203740010061E-4</v>
      </c>
      <c r="E83" s="559">
        <f t="shared" si="9"/>
        <v>82.685762218618251</v>
      </c>
      <c r="F83" s="10"/>
      <c r="G83" s="565">
        <f t="shared" si="7"/>
        <v>4104132.67</v>
      </c>
      <c r="H83" s="208">
        <v>0</v>
      </c>
      <c r="I83" s="208">
        <f>ROUND('6.2 Spec Ed Local YR2'!J77,2)</f>
        <v>46281</v>
      </c>
      <c r="J83" s="208">
        <f>ROUND('6.7 Weighted Funding YR2'!E87,2)</f>
        <v>144248.4</v>
      </c>
      <c r="K83" s="208">
        <f>ROUND('6.7 Weighted Funding YR2'!I87,2)</f>
        <v>138591.6</v>
      </c>
      <c r="L83" s="208">
        <f>ROUND('6.7 Weighted Funding YR2'!M87,2)</f>
        <v>0</v>
      </c>
      <c r="M83" s="595">
        <f t="shared" si="10"/>
        <v>4433253.67</v>
      </c>
      <c r="N83" s="10"/>
    </row>
    <row r="84" spans="1:14" x14ac:dyDescent="0.3">
      <c r="B84" s="143" t="str">
        <f>'5.2 Budgeted Enrollment YR2'!E80</f>
        <v>Rainbow Dreams Academy</v>
      </c>
      <c r="C84" s="530">
        <f>'6.6 Adj. Base Summary YR2'!G85</f>
        <v>662840.6079208703</v>
      </c>
      <c r="D84" s="981">
        <f t="shared" si="8"/>
        <v>1.4413733393188371E-4</v>
      </c>
      <c r="E84" s="559">
        <f t="shared" si="9"/>
        <v>13.354486701497875</v>
      </c>
      <c r="F84" s="10"/>
      <c r="G84" s="565">
        <f t="shared" si="7"/>
        <v>662853.96</v>
      </c>
      <c r="H84" s="208">
        <v>0</v>
      </c>
      <c r="I84" s="208">
        <f>ROUND('6.2 Spec Ed Local YR2'!J78,2)</f>
        <v>40702</v>
      </c>
      <c r="J84" s="208">
        <f>ROUND('6.7 Weighted Funding YR2'!E88,2)</f>
        <v>33940.800000000003</v>
      </c>
      <c r="K84" s="208">
        <f>ROUND('6.7 Weighted Funding YR2'!I88,2)</f>
        <v>112193.2</v>
      </c>
      <c r="L84" s="208">
        <f>ROUND('6.7 Weighted Funding YR2'!M88,2)</f>
        <v>0</v>
      </c>
      <c r="M84" s="595">
        <f t="shared" si="10"/>
        <v>849689.96</v>
      </c>
      <c r="N84" s="10"/>
    </row>
    <row r="85" spans="1:14" x14ac:dyDescent="0.3">
      <c r="B85" s="143" t="str">
        <f>'5.2 Budgeted Enrollment YR2'!E81</f>
        <v>Rooted Charter School</v>
      </c>
      <c r="C85" s="530">
        <f>'6.6 Adj. Base Summary YR2'!G86</f>
        <v>1698737.04</v>
      </c>
      <c r="D85" s="981">
        <f t="shared" ref="D85" si="11">C85/$C$33</f>
        <v>3.6939714475998128E-4</v>
      </c>
      <c r="E85" s="559">
        <f t="shared" ref="E85" si="12">D85*$C$6</f>
        <v>34.225062464383718</v>
      </c>
      <c r="F85" s="10"/>
      <c r="G85" s="565">
        <f t="shared" si="7"/>
        <v>1698771.27</v>
      </c>
      <c r="H85" s="208">
        <v>0</v>
      </c>
      <c r="I85" s="208">
        <f>ROUND('6.2 Spec Ed Local YR2'!J79,2)</f>
        <v>0</v>
      </c>
      <c r="J85" s="208">
        <f>ROUND('6.7 Weighted Funding YR2'!E89,2)</f>
        <v>0</v>
      </c>
      <c r="K85" s="208">
        <f>ROUND('6.7 Weighted Funding YR2'!I89,2)</f>
        <v>0</v>
      </c>
      <c r="L85" s="208">
        <f>ROUND('6.7 Weighted Funding YR2'!M89,2)</f>
        <v>0</v>
      </c>
      <c r="M85" s="595">
        <f t="shared" ref="M85" si="13">SUM(G85:L85)</f>
        <v>1698771.27</v>
      </c>
      <c r="N85" s="10"/>
    </row>
    <row r="86" spans="1:14" x14ac:dyDescent="0.3">
      <c r="B86" s="143" t="str">
        <f>'5.2 Budgeted Enrollment YR2'!E82</f>
        <v>Sage Collegiate Academy</v>
      </c>
      <c r="C86" s="530">
        <f>'6.6 Adj. Base Summary YR2'!G87</f>
        <v>1876897.3593084777</v>
      </c>
      <c r="D86" s="981">
        <f t="shared" si="8"/>
        <v>4.0813881678596959E-4</v>
      </c>
      <c r="E86" s="559">
        <f t="shared" si="9"/>
        <v>37.814522112009463</v>
      </c>
      <c r="F86" s="10"/>
      <c r="G86" s="565">
        <f t="shared" si="7"/>
        <v>1876935.17</v>
      </c>
      <c r="H86" s="208">
        <v>0</v>
      </c>
      <c r="I86" s="208">
        <f>ROUND('6.2 Spec Ed Local YR2'!J80,2)</f>
        <v>0</v>
      </c>
      <c r="J86" s="208">
        <f>ROUND('6.7 Weighted Funding YR2'!E90,2)</f>
        <v>76366.8</v>
      </c>
      <c r="K86" s="208">
        <f>ROUND('6.7 Weighted Funding YR2'!I90,2)</f>
        <v>0</v>
      </c>
      <c r="L86" s="208">
        <f>ROUND('6.7 Weighted Funding YR2'!M90,2)</f>
        <v>0</v>
      </c>
      <c r="M86" s="595">
        <f t="shared" si="10"/>
        <v>1953301.97</v>
      </c>
      <c r="N86" s="10"/>
    </row>
    <row r="87" spans="1:14" x14ac:dyDescent="0.3">
      <c r="B87" s="143" t="str">
        <f>'5.2 Budgeted Enrollment YR2'!E83</f>
        <v>Sierra Nevada Academy Charter</v>
      </c>
      <c r="C87" s="530">
        <f>'6.6 Adj. Base Summary YR2'!G88</f>
        <v>3298823.9047265262</v>
      </c>
      <c r="D87" s="981">
        <f t="shared" si="8"/>
        <v>7.1734241544056242E-4</v>
      </c>
      <c r="E87" s="559">
        <f t="shared" si="9"/>
        <v>66.462584578874896</v>
      </c>
      <c r="F87" s="10"/>
      <c r="G87" s="565">
        <f t="shared" si="7"/>
        <v>3298890.37</v>
      </c>
      <c r="H87" s="208">
        <v>0</v>
      </c>
      <c r="I87" s="208">
        <f>ROUND('6.2 Spec Ed Local YR2'!J81,2)</f>
        <v>119278</v>
      </c>
      <c r="J87" s="208">
        <f>ROUND('6.7 Weighted Funding YR2'!E91,2)</f>
        <v>84852</v>
      </c>
      <c r="K87" s="208">
        <f>ROUND('6.7 Weighted Funding YR2'!I91,2)</f>
        <v>105593.60000000001</v>
      </c>
      <c r="L87" s="208">
        <f>ROUND('6.7 Weighted Funding YR2'!M91,2)</f>
        <v>0</v>
      </c>
      <c r="M87" s="595">
        <f t="shared" si="10"/>
        <v>3608613.97</v>
      </c>
      <c r="N87" s="10"/>
    </row>
    <row r="88" spans="1:14" x14ac:dyDescent="0.3">
      <c r="B88" s="143" t="str">
        <f>'5.2 Budgeted Enrollment YR2'!E84</f>
        <v>Signature Preparatory</v>
      </c>
      <c r="C88" s="530">
        <f>'6.6 Adj. Base Summary YR2'!G89</f>
        <v>9188991.9718924668</v>
      </c>
      <c r="D88" s="981">
        <f t="shared" si="8"/>
        <v>1.9981829545786954E-3</v>
      </c>
      <c r="E88" s="559">
        <f t="shared" si="9"/>
        <v>185.13390643600744</v>
      </c>
      <c r="F88" s="10"/>
      <c r="G88" s="565">
        <f t="shared" si="7"/>
        <v>9189177.1099999994</v>
      </c>
      <c r="H88" s="208">
        <v>0</v>
      </c>
      <c r="I88" s="208">
        <f>ROUND('6.2 Spec Ed Local YR2'!J82,2)</f>
        <v>291137.52</v>
      </c>
      <c r="J88" s="208">
        <f>ROUND('6.7 Weighted Funding YR2'!E92,2)</f>
        <v>318195</v>
      </c>
      <c r="K88" s="208">
        <f>ROUND('6.7 Weighted Funding YR2'!I92,2)</f>
        <v>16499</v>
      </c>
      <c r="L88" s="208">
        <f>ROUND('6.7 Weighted Funding YR2'!M92,2)</f>
        <v>0</v>
      </c>
      <c r="M88" s="595">
        <f t="shared" si="10"/>
        <v>9815008.629999999</v>
      </c>
      <c r="N88" s="10"/>
    </row>
    <row r="89" spans="1:14" x14ac:dyDescent="0.3">
      <c r="B89" s="143" t="str">
        <f>'5.2 Budgeted Enrollment YR2'!E85</f>
        <v>Silver Sands Montessori</v>
      </c>
      <c r="C89" s="530">
        <f>'6.6 Adj. Base Summary YR2'!G90</f>
        <v>2266374.6895452025</v>
      </c>
      <c r="D89" s="981">
        <f t="shared" si="8"/>
        <v>4.9283221567611598E-4</v>
      </c>
      <c r="E89" s="559">
        <f t="shared" si="9"/>
        <v>45.661461127251826</v>
      </c>
      <c r="F89" s="10"/>
      <c r="G89" s="565">
        <f t="shared" si="7"/>
        <v>2266420.35</v>
      </c>
      <c r="H89" s="208">
        <v>0</v>
      </c>
      <c r="I89" s="208">
        <f>ROUND('6.2 Spec Ed Local YR2'!J83,2)</f>
        <v>0</v>
      </c>
      <c r="J89" s="208">
        <f>ROUND('6.7 Weighted Funding YR2'!E93,2)</f>
        <v>46668.6</v>
      </c>
      <c r="K89" s="208">
        <f>ROUND('6.7 Weighted Funding YR2'!I93,2)</f>
        <v>39597.599999999999</v>
      </c>
      <c r="L89" s="208">
        <f>ROUND('6.7 Weighted Funding YR2'!M93,2)</f>
        <v>0</v>
      </c>
      <c r="M89" s="595">
        <f t="shared" si="10"/>
        <v>2352686.5500000003</v>
      </c>
      <c r="N89" s="10"/>
    </row>
    <row r="90" spans="1:14" x14ac:dyDescent="0.3">
      <c r="B90" s="143" t="str">
        <f>'5.2 Budgeted Enrollment YR2'!E86</f>
        <v>Somerset Academy</v>
      </c>
      <c r="C90" s="530">
        <f>'6.6 Adj. Base Summary YR2'!G91</f>
        <v>89336298.292686775</v>
      </c>
      <c r="D90" s="981">
        <f t="shared" si="8"/>
        <v>1.9426534381533522E-2</v>
      </c>
      <c r="E90" s="559">
        <f t="shared" si="9"/>
        <v>1799.8903405344136</v>
      </c>
      <c r="F90" s="10"/>
      <c r="G90" s="565">
        <f t="shared" si="7"/>
        <v>89338098.180000007</v>
      </c>
      <c r="H90" s="208">
        <v>0</v>
      </c>
      <c r="I90" s="208">
        <f>ROUND('6.2 Spec Ed Local YR2'!J84,2)</f>
        <v>2722399</v>
      </c>
      <c r="J90" s="208">
        <f>ROUND('6.7 Weighted Funding YR2'!E94,2)</f>
        <v>1450969.2</v>
      </c>
      <c r="K90" s="208">
        <f>ROUND('6.7 Weighted Funding YR2'!I94,2)</f>
        <v>996539.6</v>
      </c>
      <c r="L90" s="208">
        <f>ROUND('6.7 Weighted Funding YR2'!M94,2)</f>
        <v>127843.68</v>
      </c>
      <c r="M90" s="595">
        <f t="shared" si="10"/>
        <v>94635849.660000011</v>
      </c>
      <c r="N90" s="10"/>
    </row>
    <row r="91" spans="1:14" x14ac:dyDescent="0.3">
      <c r="B91" s="143" t="str">
        <f>'5.2 Budgeted Enrollment YR2'!E87</f>
        <v>Southern Nevada Trade High School</v>
      </c>
      <c r="C91" s="530">
        <f>'6.6 Adj. Base Summary YR2'!G92</f>
        <v>1887485.5999999999</v>
      </c>
      <c r="D91" s="981">
        <f t="shared" ref="D91" si="14">C91/$C$33</f>
        <v>4.1044127195553475E-4</v>
      </c>
      <c r="E91" s="559">
        <f t="shared" ref="E91" si="15">D91*$C$6</f>
        <v>38.027847182648578</v>
      </c>
      <c r="F91" s="10"/>
      <c r="G91" s="565">
        <f t="shared" si="7"/>
        <v>1887523.63</v>
      </c>
      <c r="H91" s="208">
        <v>0</v>
      </c>
      <c r="I91" s="208">
        <f>ROUND('6.2 Spec Ed Local YR2'!J85,2)</f>
        <v>0</v>
      </c>
      <c r="J91" s="208">
        <f>ROUND('6.7 Weighted Funding YR2'!E95,2)</f>
        <v>0</v>
      </c>
      <c r="K91" s="208">
        <f>ROUND('6.7 Weighted Funding YR2'!I95,2)</f>
        <v>0</v>
      </c>
      <c r="L91" s="208">
        <f>ROUND('6.7 Weighted Funding YR2'!M95,2)</f>
        <v>0</v>
      </c>
      <c r="M91" s="595">
        <f t="shared" ref="M91" si="16">SUM(G91:L91)</f>
        <v>1887523.63</v>
      </c>
      <c r="N91" s="10"/>
    </row>
    <row r="92" spans="1:14" x14ac:dyDescent="0.3">
      <c r="B92" s="143" t="str">
        <f>'5.2 Budgeted Enrollment YR2'!E88</f>
        <v>Sports Leadership and Management Academy</v>
      </c>
      <c r="C92" s="530">
        <f>'6.6 Adj. Base Summary YR2'!G93</f>
        <v>16857379.683606993</v>
      </c>
      <c r="D92" s="981">
        <f t="shared" si="8"/>
        <v>3.665704447852235E-3</v>
      </c>
      <c r="E92" s="559">
        <f t="shared" si="9"/>
        <v>339.63165520737834</v>
      </c>
      <c r="F92" s="10"/>
      <c r="G92" s="565">
        <f t="shared" si="7"/>
        <v>16857719.32</v>
      </c>
      <c r="H92" s="208">
        <v>0</v>
      </c>
      <c r="I92" s="208">
        <f>ROUND('6.2 Spec Ed Local YR2'!J86,2)</f>
        <v>761730</v>
      </c>
      <c r="J92" s="208">
        <f>ROUND('6.7 Weighted Funding YR2'!E96,2)</f>
        <v>687301.2</v>
      </c>
      <c r="K92" s="208">
        <f>ROUND('6.7 Weighted Funding YR2'!I96,2)</f>
        <v>409175.2</v>
      </c>
      <c r="L92" s="208">
        <f>ROUND('6.7 Weighted Funding YR2'!M96,2)</f>
        <v>0</v>
      </c>
      <c r="M92" s="595">
        <f t="shared" si="10"/>
        <v>18715925.719999999</v>
      </c>
      <c r="N92" s="10"/>
    </row>
    <row r="93" spans="1:14" x14ac:dyDescent="0.3">
      <c r="B93" s="143" t="str">
        <f>'5.2 Budgeted Enrollment YR2'!E89</f>
        <v>Strong Start Academy</v>
      </c>
      <c r="C93" s="530">
        <f>'6.6 Adj. Base Summary YR2'!G94</f>
        <v>760943.07715961721</v>
      </c>
      <c r="D93" s="981">
        <f t="shared" si="8"/>
        <v>1.654701071495072E-4</v>
      </c>
      <c r="E93" s="559">
        <f t="shared" si="9"/>
        <v>15.330992222097105</v>
      </c>
      <c r="F93" s="10"/>
      <c r="G93" s="565">
        <f t="shared" si="7"/>
        <v>760958.41</v>
      </c>
      <c r="H93" s="208">
        <v>0</v>
      </c>
      <c r="I93" s="208">
        <f>ROUND('6.2 Spec Ed Local YR2'!J87,2)</f>
        <v>0</v>
      </c>
      <c r="J93" s="208">
        <f>ROUND('6.7 Weighted Funding YR2'!E97,2)</f>
        <v>67881.600000000006</v>
      </c>
      <c r="K93" s="208">
        <f>ROUND('6.7 Weighted Funding YR2'!I97,2)</f>
        <v>0</v>
      </c>
      <c r="L93" s="208">
        <f>ROUND('6.7 Weighted Funding YR2'!M97,2)</f>
        <v>0</v>
      </c>
      <c r="M93" s="595">
        <f t="shared" si="10"/>
        <v>828840.01</v>
      </c>
      <c r="N93" s="10"/>
    </row>
    <row r="94" spans="1:14" x14ac:dyDescent="0.3">
      <c r="B94" s="143" t="str">
        <f>'5.2 Budgeted Enrollment YR2'!E90</f>
        <v>TEACH Las Vegas</v>
      </c>
      <c r="C94" s="530">
        <f>'6.6 Adj. Base Summary YR2'!G95</f>
        <v>3029262.3649052633</v>
      </c>
      <c r="D94" s="981">
        <f t="shared" si="8"/>
        <v>6.587251834603387E-4</v>
      </c>
      <c r="E94" s="559">
        <f t="shared" si="9"/>
        <v>61.031631864511169</v>
      </c>
      <c r="F94" s="10"/>
      <c r="G94" s="565">
        <f t="shared" si="7"/>
        <v>3029323.4</v>
      </c>
      <c r="H94" s="208">
        <v>0</v>
      </c>
      <c r="I94" s="208">
        <f>ROUND('6.2 Spec Ed Local YR2'!J88,2)</f>
        <v>48249</v>
      </c>
      <c r="J94" s="208">
        <f>ROUND('6.7 Weighted Funding YR2'!E98,2)</f>
        <v>190917</v>
      </c>
      <c r="K94" s="208">
        <f>ROUND('6.7 Weighted Funding YR2'!I98,2)</f>
        <v>59396.4</v>
      </c>
      <c r="L94" s="208">
        <f>ROUND('6.7 Weighted Funding YR2'!M98,2)</f>
        <v>0</v>
      </c>
      <c r="M94" s="595">
        <f t="shared" si="10"/>
        <v>3327885.8</v>
      </c>
      <c r="N94" s="10"/>
    </row>
    <row r="95" spans="1:14" x14ac:dyDescent="0.3">
      <c r="B95" s="143" t="str">
        <f>'5.2 Budgeted Enrollment YR2'!E91</f>
        <v>Young Women's Leadership Academy</v>
      </c>
      <c r="C95" s="547">
        <f>'6.6 Adj. Base Summary YR2'!G96</f>
        <v>531862.9730700166</v>
      </c>
      <c r="D95" s="1007">
        <f>C95/$C$33</f>
        <v>1.1565572482932317E-4</v>
      </c>
      <c r="E95" s="561">
        <f>D95*$C$6</f>
        <v>10.715633466033186</v>
      </c>
      <c r="F95" s="183"/>
      <c r="G95" s="566">
        <f t="shared" si="7"/>
        <v>531873.68999999994</v>
      </c>
      <c r="H95" s="201">
        <v>0</v>
      </c>
      <c r="I95" s="201">
        <f>ROUND('6.2 Spec Ed Local YR2'!J89,2)</f>
        <v>0</v>
      </c>
      <c r="J95" s="201">
        <f>ROUND('6.7 Weighted Funding YR2'!E99,2)</f>
        <v>21213</v>
      </c>
      <c r="K95" s="201">
        <f>ROUND('6.7 Weighted Funding YR2'!I99,2)</f>
        <v>0</v>
      </c>
      <c r="L95" s="201">
        <f>ROUND('6.7 Weighted Funding YR2'!M99,2)</f>
        <v>0</v>
      </c>
      <c r="M95" s="596">
        <f>SUM(G95:L95)</f>
        <v>553086.68999999994</v>
      </c>
      <c r="N95" s="10"/>
    </row>
    <row r="96" spans="1:14" s="4" customFormat="1" x14ac:dyDescent="0.3">
      <c r="A96" s="427"/>
      <c r="B96" s="511" t="s">
        <v>63</v>
      </c>
      <c r="C96" s="591">
        <f>SUM(C36:C95)</f>
        <v>653462581.30123317</v>
      </c>
      <c r="D96" s="1008">
        <f>C96/$C$33</f>
        <v>0.14209804463918835</v>
      </c>
      <c r="E96" s="573">
        <f>SUM(E36:E95)</f>
        <v>13165.544246431531</v>
      </c>
      <c r="G96" s="591">
        <f t="shared" ref="G96:M96" si="17">SUM(G36:G95)</f>
        <v>653475746.86999989</v>
      </c>
      <c r="H96" s="593">
        <f t="shared" si="17"/>
        <v>0</v>
      </c>
      <c r="I96" s="593">
        <f t="shared" si="17"/>
        <v>14783450.18</v>
      </c>
      <c r="J96" s="591">
        <f t="shared" si="17"/>
        <v>23376726</v>
      </c>
      <c r="K96" s="591">
        <f t="shared" si="17"/>
        <v>10064389.999999998</v>
      </c>
      <c r="L96" s="591">
        <f t="shared" si="17"/>
        <v>1241101.92</v>
      </c>
      <c r="M96" s="594">
        <f t="shared" si="17"/>
        <v>702941414.97000003</v>
      </c>
    </row>
    <row r="97" spans="1:14" x14ac:dyDescent="0.3">
      <c r="D97" s="1009"/>
      <c r="E97" s="10"/>
      <c r="G97" s="10"/>
      <c r="J97" s="11"/>
    </row>
    <row r="98" spans="1:14" x14ac:dyDescent="0.3">
      <c r="A98" s="4" t="s">
        <v>1256</v>
      </c>
      <c r="D98" s="1009"/>
    </row>
    <row r="99" spans="1:14" x14ac:dyDescent="0.3">
      <c r="A99" s="683"/>
      <c r="B99" s="307" t="str">
        <f>'5.2 Budgeted Enrollment YR2'!E96</f>
        <v>Davidson Academy</v>
      </c>
      <c r="C99" s="745">
        <f>'6.6 Adj. Base Summary YR2'!G100</f>
        <v>1529279.379844029</v>
      </c>
      <c r="D99" s="1010">
        <f>C99/$C$33</f>
        <v>3.3254790067725797E-4</v>
      </c>
      <c r="E99" s="746">
        <f>D99*$C$6</f>
        <v>30.810938402011825</v>
      </c>
      <c r="F99" s="307"/>
      <c r="G99" s="754">
        <f>ROUND(C99+E99,0)</f>
        <v>1529310</v>
      </c>
      <c r="H99" s="745">
        <v>0</v>
      </c>
      <c r="I99" s="745">
        <f>'6.2 Spec Ed Local YR2'!J93</f>
        <v>0</v>
      </c>
      <c r="J99" s="745">
        <f>'6.7 Weighted Funding YR2'!E103</f>
        <v>0</v>
      </c>
      <c r="K99" s="745">
        <f>'6.7 Weighted Funding YR2'!I103</f>
        <v>0</v>
      </c>
      <c r="L99" s="745">
        <f>'6.7 Weighted Funding YR2'!M103</f>
        <v>0</v>
      </c>
      <c r="M99" s="560">
        <f>SUM(G99:L99)</f>
        <v>1529310</v>
      </c>
      <c r="N99" s="10"/>
    </row>
    <row r="100" spans="1:14" x14ac:dyDescent="0.3">
      <c r="A100" s="195"/>
      <c r="B100" s="183"/>
      <c r="C100" s="201">
        <f>'6.6 Adj. Base Summary YR2'!G101</f>
        <v>0</v>
      </c>
      <c r="D100" s="752">
        <f>C100/$C$33</f>
        <v>0</v>
      </c>
      <c r="E100" s="596">
        <f>D100*$C$6</f>
        <v>0</v>
      </c>
      <c r="F100" s="10"/>
      <c r="G100" s="566">
        <f>C100+E100</f>
        <v>0</v>
      </c>
      <c r="H100" s="201">
        <v>0</v>
      </c>
      <c r="I100" s="201">
        <f>'6.2 Spec Ed Local YR2'!J94</f>
        <v>0</v>
      </c>
      <c r="J100" s="201">
        <f>'6.7 Weighted Funding YR2'!E104</f>
        <v>0</v>
      </c>
      <c r="K100" s="201">
        <f>'6.7 Weighted Funding YR2'!I104</f>
        <v>0</v>
      </c>
      <c r="L100" s="201">
        <f>'6.7 Weighted Funding YR2'!M104</f>
        <v>0</v>
      </c>
      <c r="M100" s="561">
        <f>SUM(G100:L100)</f>
        <v>0</v>
      </c>
      <c r="N100" s="10"/>
    </row>
    <row r="101" spans="1:14" s="4" customFormat="1" x14ac:dyDescent="0.3">
      <c r="A101" s="304"/>
      <c r="B101" s="1006" t="s">
        <v>1321</v>
      </c>
      <c r="C101" s="591">
        <f>SUM(C99:C100)</f>
        <v>1529279.379844029</v>
      </c>
      <c r="D101" s="1011">
        <f>C101/$C$33</f>
        <v>3.3254790067725797E-4</v>
      </c>
      <c r="E101" s="594">
        <f>SUM(E99:E100)</f>
        <v>30.810938402011825</v>
      </c>
      <c r="F101" s="181"/>
      <c r="G101" s="591">
        <f t="shared" ref="G101:M101" si="18">SUM(G99:G100)</f>
        <v>1529310</v>
      </c>
      <c r="H101" s="591">
        <f t="shared" si="18"/>
        <v>0</v>
      </c>
      <c r="I101" s="591">
        <f t="shared" si="18"/>
        <v>0</v>
      </c>
      <c r="J101" s="591">
        <f t="shared" si="18"/>
        <v>0</v>
      </c>
      <c r="K101" s="591">
        <f t="shared" si="18"/>
        <v>0</v>
      </c>
      <c r="L101" s="591">
        <f t="shared" si="18"/>
        <v>0</v>
      </c>
      <c r="M101" s="573">
        <f t="shared" si="18"/>
        <v>1529310</v>
      </c>
    </row>
  </sheetData>
  <sheetProtection algorithmName="SHA-512" hashValue="g3iDMMUy8R0emf02fCFjVJEn3vK4r/EeJTliOY1j4Fu0Rm7FHc7E8IMrue8RzAe606nzSubDgLs27PxG0U290g==" saltValue="0WvDaFYIz2gMYKQ3CJXBOA==" spinCount="100000" sheet="1" objects="1" scenarios="1"/>
  <pageMargins left="0.7" right="0.7" top="0.75" bottom="0.75" header="0.3" footer="0.3"/>
  <pageSetup paperSize="3" fitToWidth="0" orientation="landscape" r:id="rId1"/>
  <headerFooter>
    <oddHeader>&amp;R&amp;"Arial Narrow,Regular"&amp;10&amp;A
&amp;P</oddHeader>
  </headerFooter>
  <rowBreaks count="3" manualBreakCount="3">
    <brk id="32" max="16383" man="1"/>
    <brk id="60" max="16383" man="1"/>
    <brk id="86" max="16383" man="1"/>
  </rowBreaks>
  <colBreaks count="1" manualBreakCount="1">
    <brk id="11" max="1048575" man="1"/>
  </col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51184-1A2A-459B-9CE6-3717A9F390F3}">
  <sheetPr>
    <tabColor theme="6" tint="-0.499984740745262"/>
    <pageSetUpPr autoPageBreaks="0" fitToPage="1"/>
  </sheetPr>
  <dimension ref="A1:W98"/>
  <sheetViews>
    <sheetView zoomScale="85" zoomScaleNormal="85" workbookViewId="0"/>
  </sheetViews>
  <sheetFormatPr defaultColWidth="8.85546875" defaultRowHeight="16.5" x14ac:dyDescent="0.3"/>
  <cols>
    <col min="1" max="1" width="38" style="10" customWidth="1"/>
    <col min="2" max="2" width="13.85546875" style="40" bestFit="1" customWidth="1"/>
    <col min="3" max="4" width="11" style="10" bestFit="1" customWidth="1"/>
    <col min="5" max="5" width="26.140625" style="10" bestFit="1" customWidth="1"/>
    <col min="6" max="6" width="8.85546875" style="10" bestFit="1" customWidth="1"/>
    <col min="7" max="7" width="2.7109375" style="10" customWidth="1"/>
    <col min="8" max="8" width="17.28515625" style="10" bestFit="1" customWidth="1"/>
    <col min="9" max="9" width="12.85546875" style="10" customWidth="1"/>
    <col min="10" max="10" width="2.7109375" style="10" bestFit="1" customWidth="1"/>
    <col min="11" max="11" width="16.5703125" style="10" bestFit="1" customWidth="1"/>
    <col min="12" max="12" width="2.7109375" style="10" customWidth="1"/>
    <col min="13" max="13" width="18.140625" style="10" bestFit="1" customWidth="1"/>
    <col min="14" max="14" width="2.7109375" style="10" customWidth="1"/>
    <col min="15" max="15" width="19.5703125" style="40" bestFit="1" customWidth="1"/>
    <col min="16" max="16" width="2.7109375" style="40" customWidth="1"/>
    <col min="17" max="17" width="20.85546875" style="40" bestFit="1" customWidth="1"/>
    <col min="18" max="18" width="3.140625" style="40" customWidth="1"/>
    <col min="19" max="19" width="28.85546875" style="40" bestFit="1" customWidth="1"/>
    <col min="20" max="20" width="22.140625" style="40" bestFit="1" customWidth="1"/>
    <col min="21" max="21" width="2.7109375" style="40" customWidth="1"/>
    <col min="22" max="22" width="19.7109375" style="40" bestFit="1" customWidth="1"/>
    <col min="23" max="23" width="8.85546875" style="10" customWidth="1"/>
    <col min="24" max="16384" width="8.85546875" style="10"/>
  </cols>
  <sheetData>
    <row r="1" spans="1:23" s="4" customFormat="1" x14ac:dyDescent="0.3">
      <c r="A1" s="4" t="s">
        <v>602</v>
      </c>
      <c r="B1" s="5"/>
    </row>
    <row r="2" spans="1:23" x14ac:dyDescent="0.3">
      <c r="A2" s="10" t="str">
        <f>CONCATENATE("Pupil Center Funding Model | FY",'5.1 Assumption Control YR2'!D5)</f>
        <v>Pupil Center Funding Model | FY2025</v>
      </c>
      <c r="O2" s="10"/>
      <c r="P2" s="10"/>
      <c r="Q2" s="10"/>
      <c r="R2" s="10"/>
      <c r="S2" s="10"/>
      <c r="T2" s="10"/>
      <c r="U2" s="10"/>
      <c r="V2" s="10"/>
    </row>
    <row r="3" spans="1:23" x14ac:dyDescent="0.3">
      <c r="A3" s="10" t="s">
        <v>1295</v>
      </c>
      <c r="O3" s="10"/>
      <c r="P3" s="10"/>
      <c r="Q3" s="10"/>
      <c r="R3" s="10"/>
      <c r="S3" s="10"/>
      <c r="T3" s="10"/>
      <c r="U3" s="10"/>
      <c r="V3" s="10"/>
    </row>
    <row r="4" spans="1:23" x14ac:dyDescent="0.3">
      <c r="H4" s="17"/>
      <c r="I4" s="17"/>
      <c r="J4" s="17"/>
      <c r="K4" s="17"/>
      <c r="L4" s="17"/>
      <c r="M4" s="17"/>
      <c r="N4" s="17"/>
      <c r="O4" s="5"/>
      <c r="P4" s="5"/>
      <c r="Q4" s="5"/>
      <c r="R4" s="5"/>
      <c r="S4" s="5"/>
      <c r="T4" s="5"/>
      <c r="U4" s="5"/>
      <c r="V4" s="5"/>
    </row>
    <row r="5" spans="1:23" x14ac:dyDescent="0.3">
      <c r="E5" s="1593" t="s">
        <v>1053</v>
      </c>
      <c r="F5" s="1594"/>
      <c r="G5" s="1595"/>
      <c r="H5" s="1595"/>
      <c r="I5" s="1595"/>
      <c r="J5" s="1595"/>
      <c r="K5" s="1596"/>
      <c r="L5" s="17"/>
      <c r="M5" s="1597" t="s">
        <v>991</v>
      </c>
      <c r="N5" s="1595"/>
      <c r="O5" s="1595"/>
      <c r="P5" s="1595"/>
      <c r="Q5" s="1596"/>
      <c r="R5" s="5"/>
      <c r="S5" s="346"/>
      <c r="T5" s="347"/>
      <c r="U5" s="5"/>
      <c r="V5" s="348"/>
    </row>
    <row r="6" spans="1:23" s="13" customFormat="1" ht="69" customHeight="1" x14ac:dyDescent="0.3">
      <c r="A6" s="732" t="s">
        <v>706</v>
      </c>
      <c r="B6" s="857"/>
      <c r="C6" s="733" t="s">
        <v>1025</v>
      </c>
      <c r="D6" s="733" t="s">
        <v>1701</v>
      </c>
      <c r="E6" s="881" t="s">
        <v>1054</v>
      </c>
      <c r="F6" s="733" t="s">
        <v>1444</v>
      </c>
      <c r="G6" s="733"/>
      <c r="H6" s="733" t="s">
        <v>1443</v>
      </c>
      <c r="I6" s="733" t="s">
        <v>1442</v>
      </c>
      <c r="J6" s="733"/>
      <c r="K6" s="882" t="s">
        <v>1119</v>
      </c>
      <c r="L6" s="733"/>
      <c r="M6" s="881" t="s">
        <v>990</v>
      </c>
      <c r="N6" s="733"/>
      <c r="O6" s="733" t="s">
        <v>1440</v>
      </c>
      <c r="P6" s="733"/>
      <c r="Q6" s="882" t="s">
        <v>989</v>
      </c>
      <c r="R6" s="733"/>
      <c r="S6" s="881" t="s">
        <v>1026</v>
      </c>
      <c r="T6" s="882" t="s">
        <v>1441</v>
      </c>
      <c r="U6" s="733"/>
      <c r="V6" s="883" t="s">
        <v>1116</v>
      </c>
    </row>
    <row r="7" spans="1:23" x14ac:dyDescent="0.3">
      <c r="E7" s="132"/>
      <c r="I7" s="40"/>
      <c r="K7" s="143"/>
      <c r="M7" s="132"/>
      <c r="Q7" s="243"/>
      <c r="S7" s="199"/>
      <c r="T7" s="243"/>
      <c r="V7" s="198"/>
    </row>
    <row r="8" spans="1:23" x14ac:dyDescent="0.3">
      <c r="A8" s="41" t="str">
        <f>'5.2 Budgeted Enrollment YR2'!E9</f>
        <v>Carson City</v>
      </c>
      <c r="C8" s="136">
        <f>'1.4 FY 2020 Revenue Received'!J8</f>
        <v>7703.8062179500002</v>
      </c>
      <c r="D8" s="793">
        <f>'5.2 Budgeted Enrollment YR2'!G9</f>
        <v>7207.4987624368023</v>
      </c>
      <c r="E8" s="215">
        <f>ROUND('6.8 Alloc of Residual Rev. YR2'!M14,2)</f>
        <v>86868808.75</v>
      </c>
      <c r="F8" s="570">
        <f>E8/D8</f>
        <v>12052.559648394625</v>
      </c>
      <c r="H8" s="208">
        <f>ROUND('1.4 FY 2020 Revenue Received'!H8,0)</f>
        <v>72834176</v>
      </c>
      <c r="I8" s="570">
        <f>H8/C8</f>
        <v>9454.3104978802712</v>
      </c>
      <c r="J8" s="1475">
        <f>I8-'1.4 FY 2020 Revenue Received'!K8</f>
        <v>0</v>
      </c>
      <c r="K8" s="242" t="str">
        <f>IF(F8&gt;I8,"Yes",IF(V8="PCFP","Yes","No"))</f>
        <v>Yes</v>
      </c>
      <c r="L8" s="11"/>
      <c r="M8" s="480">
        <f>'5.3 Budgeted Revenues YR2'!G15</f>
        <v>0</v>
      </c>
      <c r="N8" s="115"/>
      <c r="O8" s="244" t="str">
        <f>IF(M8&gt;H8,"Yes","No")</f>
        <v>No</v>
      </c>
      <c r="P8" s="244"/>
      <c r="Q8" s="242" t="str">
        <f>IF(M8&gt;E8,"Yes","No")</f>
        <v>No</v>
      </c>
      <c r="R8" s="244"/>
      <c r="S8" s="585">
        <f>IF(K8="Yes",ROUND(F8*D8,0),"")</f>
        <v>86868809</v>
      </c>
      <c r="T8" s="583" t="str">
        <f>IF(K8="No",ROUND((I8*D8),0),"")</f>
        <v/>
      </c>
      <c r="U8" s="244"/>
      <c r="V8" s="549" t="str">
        <f>'5.1 Assumption Control YR2'!I35</f>
        <v>PCFP</v>
      </c>
      <c r="W8" s="12"/>
    </row>
    <row r="9" spans="1:23" x14ac:dyDescent="0.3">
      <c r="A9" s="41" t="str">
        <f>'5.2 Budgeted Enrollment YR2'!E10</f>
        <v>Churchill</v>
      </c>
      <c r="C9" s="136">
        <f>'1.4 FY 2020 Revenue Received'!J9</f>
        <v>3244.6133332499999</v>
      </c>
      <c r="D9" s="793">
        <f>'5.2 Budgeted Enrollment YR2'!G10</f>
        <v>3194.3177502985195</v>
      </c>
      <c r="E9" s="215">
        <f>ROUND('6.8 Alloc of Residual Rev. YR2'!M15,2)</f>
        <v>38470581.439999998</v>
      </c>
      <c r="F9" s="570">
        <f t="shared" ref="F9:F24" si="0">E9/D9</f>
        <v>12043.44227696346</v>
      </c>
      <c r="H9" s="208">
        <f>ROUND('1.4 FY 2020 Revenue Received'!H9,0)</f>
        <v>29392879</v>
      </c>
      <c r="I9" s="570">
        <f t="shared" ref="I9:I26" si="1">H9/C9</f>
        <v>9058.9774438725872</v>
      </c>
      <c r="J9" s="1475">
        <f>I9-'1.4 FY 2020 Revenue Received'!K9</f>
        <v>0</v>
      </c>
      <c r="K9" s="242" t="str">
        <f t="shared" ref="K9:K25" si="2">IF(F9&gt;I9,"Yes",IF(V9="PCFP","Yes","No"))</f>
        <v>Yes</v>
      </c>
      <c r="L9" s="11"/>
      <c r="M9" s="480">
        <f>'5.3 Budgeted Revenues YR2'!G16</f>
        <v>260928.9392417061</v>
      </c>
      <c r="N9" s="115"/>
      <c r="O9" s="244" t="str">
        <f>IF(M9&gt;H9,"Yes","No")</f>
        <v>No</v>
      </c>
      <c r="P9" s="244"/>
      <c r="Q9" s="242" t="str">
        <f>IF(M9&gt;E9,"Yes","No")</f>
        <v>No</v>
      </c>
      <c r="R9" s="244"/>
      <c r="S9" s="585">
        <f t="shared" ref="S9:S26" si="3">IF(K9="Yes",ROUND(F9*D9,0),"")</f>
        <v>38470581</v>
      </c>
      <c r="T9" s="583" t="str">
        <f t="shared" ref="T9:T26" si="4">IF(K9="No",ROUND((I9*D9),0),"")</f>
        <v/>
      </c>
      <c r="U9" s="244"/>
      <c r="V9" s="549" t="str">
        <f>'5.1 Assumption Control YR2'!I36</f>
        <v>PCFP</v>
      </c>
      <c r="W9" s="12"/>
    </row>
    <row r="10" spans="1:23" x14ac:dyDescent="0.3">
      <c r="A10" s="41" t="str">
        <f>'5.2 Budgeted Enrollment YR2'!E11</f>
        <v>Clark</v>
      </c>
      <c r="C10" s="136">
        <f>'1.4 FY 2020 Revenue Received'!J10</f>
        <v>314756.71407050022</v>
      </c>
      <c r="D10" s="793">
        <f>'5.2 Budgeted Enrollment YR2'!G11</f>
        <v>293503.02038115874</v>
      </c>
      <c r="E10" s="215">
        <f>ROUND('6.8 Alloc of Residual Rev. YR2'!M16,2)</f>
        <v>3655718858.5</v>
      </c>
      <c r="F10" s="570">
        <f t="shared" si="0"/>
        <v>12455.472702640292</v>
      </c>
      <c r="H10" s="208">
        <f>ROUND('1.4 FY 2020 Revenue Received'!H10,0)</f>
        <v>2584487500</v>
      </c>
      <c r="I10" s="570">
        <f t="shared" si="1"/>
        <v>8211.0639248226435</v>
      </c>
      <c r="J10" s="1475">
        <f>I10-'1.4 FY 2020 Revenue Received'!K10</f>
        <v>0</v>
      </c>
      <c r="K10" s="242" t="str">
        <f t="shared" si="2"/>
        <v>Yes</v>
      </c>
      <c r="L10" s="11"/>
      <c r="M10" s="480">
        <f>'5.3 Budgeted Revenues YR2'!G17</f>
        <v>42688.005781990505</v>
      </c>
      <c r="N10" s="115"/>
      <c r="O10" s="244" t="str">
        <f t="shared" ref="O10:O24" si="5">IF(M10&gt;H10,"Yes","No")</f>
        <v>No</v>
      </c>
      <c r="P10" s="244"/>
      <c r="Q10" s="242" t="str">
        <f t="shared" ref="Q10:Q24" si="6">IF(M10&gt;E10,"Yes","No")</f>
        <v>No</v>
      </c>
      <c r="R10" s="244"/>
      <c r="S10" s="585">
        <f t="shared" si="3"/>
        <v>3655718859</v>
      </c>
      <c r="T10" s="583" t="str">
        <f t="shared" si="4"/>
        <v/>
      </c>
      <c r="U10" s="244"/>
      <c r="V10" s="549" t="str">
        <f>'5.1 Assumption Control YR2'!I37</f>
        <v>PCFP</v>
      </c>
      <c r="W10" s="12"/>
    </row>
    <row r="11" spans="1:23" x14ac:dyDescent="0.3">
      <c r="A11" s="41" t="str">
        <f>'5.2 Budgeted Enrollment YR2'!E12</f>
        <v>Douglas</v>
      </c>
      <c r="C11" s="136">
        <f>'1.4 FY 2020 Revenue Received'!J11</f>
        <v>5629.4090109500003</v>
      </c>
      <c r="D11" s="793">
        <f>'5.2 Budgeted Enrollment YR2'!G12</f>
        <v>5170.6418474641814</v>
      </c>
      <c r="E11" s="215">
        <f>ROUND('6.8 Alloc of Residual Rev. YR2'!M17,2)</f>
        <v>64119258.100000001</v>
      </c>
      <c r="F11" s="570">
        <f t="shared" si="0"/>
        <v>12400.638062264121</v>
      </c>
      <c r="H11" s="208">
        <f>ROUND('1.4 FY 2020 Revenue Received'!H11,0)</f>
        <v>56746025</v>
      </c>
      <c r="I11" s="570">
        <f t="shared" si="1"/>
        <v>10080.281054302666</v>
      </c>
      <c r="J11" s="1475">
        <f>I11-'1.4 FY 2020 Revenue Received'!K11</f>
        <v>0</v>
      </c>
      <c r="K11" s="242" t="str">
        <f t="shared" si="2"/>
        <v>Yes</v>
      </c>
      <c r="L11" s="11"/>
      <c r="M11" s="480">
        <f>'5.3 Budgeted Revenues YR2'!G18</f>
        <v>0</v>
      </c>
      <c r="N11" s="115"/>
      <c r="O11" s="244" t="str">
        <f t="shared" si="5"/>
        <v>No</v>
      </c>
      <c r="P11" s="244"/>
      <c r="Q11" s="242" t="str">
        <f t="shared" si="6"/>
        <v>No</v>
      </c>
      <c r="R11" s="244"/>
      <c r="S11" s="585">
        <f t="shared" si="3"/>
        <v>64119258</v>
      </c>
      <c r="T11" s="583" t="str">
        <f t="shared" si="4"/>
        <v/>
      </c>
      <c r="U11" s="244"/>
      <c r="V11" s="549" t="str">
        <f>'5.1 Assumption Control YR2'!I38</f>
        <v>PCFP</v>
      </c>
      <c r="W11" s="12"/>
    </row>
    <row r="12" spans="1:23" x14ac:dyDescent="0.3">
      <c r="A12" s="41" t="str">
        <f>'5.2 Budgeted Enrollment YR2'!E13</f>
        <v>Elko</v>
      </c>
      <c r="C12" s="136">
        <f>'1.4 FY 2020 Revenue Received'!J12</f>
        <v>9933.4221988000008</v>
      </c>
      <c r="D12" s="793">
        <f>'5.2 Budgeted Enrollment YR2'!G13</f>
        <v>9818.4043511504351</v>
      </c>
      <c r="E12" s="215">
        <f>ROUND('6.8 Alloc of Residual Rev. YR2'!M18,2)</f>
        <v>128946438.05</v>
      </c>
      <c r="F12" s="570">
        <f t="shared" si="0"/>
        <v>13133.135837381884</v>
      </c>
      <c r="H12" s="208">
        <f>ROUND('1.4 FY 2020 Revenue Received'!H12,0)</f>
        <v>102333946</v>
      </c>
      <c r="I12" s="570">
        <f t="shared" si="1"/>
        <v>10301.98293719584</v>
      </c>
      <c r="J12" s="1475">
        <f>I12-'1.4 FY 2020 Revenue Received'!K12</f>
        <v>0</v>
      </c>
      <c r="K12" s="242" t="str">
        <f t="shared" si="2"/>
        <v>Yes</v>
      </c>
      <c r="L12" s="11"/>
      <c r="M12" s="480">
        <f>'5.3 Budgeted Revenues YR2'!G19</f>
        <v>3028236.1029383875</v>
      </c>
      <c r="N12" s="115"/>
      <c r="O12" s="244" t="str">
        <f t="shared" si="5"/>
        <v>No</v>
      </c>
      <c r="P12" s="244"/>
      <c r="Q12" s="242" t="str">
        <f t="shared" si="6"/>
        <v>No</v>
      </c>
      <c r="R12" s="244"/>
      <c r="S12" s="585">
        <f t="shared" si="3"/>
        <v>128946438</v>
      </c>
      <c r="T12" s="583" t="str">
        <f t="shared" si="4"/>
        <v/>
      </c>
      <c r="U12" s="244"/>
      <c r="V12" s="549" t="str">
        <f>'5.1 Assumption Control YR2'!I39</f>
        <v>PCFP</v>
      </c>
      <c r="W12" s="12"/>
    </row>
    <row r="13" spans="1:23" x14ac:dyDescent="0.3">
      <c r="A13" s="41" t="str">
        <f>'5.2 Budgeted Enrollment YR2'!E14</f>
        <v>Esmeralda</v>
      </c>
      <c r="C13" s="136">
        <f>'1.4 FY 2020 Revenue Received'!J13</f>
        <v>70.707003950000001</v>
      </c>
      <c r="D13" s="793">
        <f>'5.2 Budgeted Enrollment YR2'!G14</f>
        <v>77.392537325948581</v>
      </c>
      <c r="E13" s="215">
        <f>ROUND('6.8 Alloc of Residual Rev. YR2'!M19,2)</f>
        <v>2466841.58</v>
      </c>
      <c r="F13" s="570">
        <f>E13/D13</f>
        <v>31874.411477305373</v>
      </c>
      <c r="H13" s="208">
        <f>ROUND('1.4 FY 2020 Revenue Received'!H13,0)</f>
        <v>2619928</v>
      </c>
      <c r="I13" s="570">
        <f t="shared" si="1"/>
        <v>37053.302411917568</v>
      </c>
      <c r="J13" s="1475">
        <f>I13-'1.4 FY 2020 Revenue Received'!K13</f>
        <v>0</v>
      </c>
      <c r="K13" s="242" t="str">
        <f>IF(F13&gt;I13,"Yes",IF(V13="PCFP","Yes","No"))</f>
        <v>No</v>
      </c>
      <c r="L13" s="11"/>
      <c r="M13" s="480">
        <f>'5.3 Budgeted Revenues YR2'!G20</f>
        <v>61177.672322274862</v>
      </c>
      <c r="N13" s="115"/>
      <c r="O13" s="244" t="str">
        <f t="shared" si="5"/>
        <v>No</v>
      </c>
      <c r="P13" s="244"/>
      <c r="Q13" s="242" t="str">
        <f t="shared" si="6"/>
        <v>No</v>
      </c>
      <c r="R13" s="244"/>
      <c r="S13" s="585" t="str">
        <f t="shared" si="3"/>
        <v/>
      </c>
      <c r="T13" s="583">
        <f t="shared" si="4"/>
        <v>2867649</v>
      </c>
      <c r="U13" s="244"/>
      <c r="V13" s="549" t="str">
        <f>'5.1 Assumption Control YR2'!I40</f>
        <v>FY 2020 Baseline</v>
      </c>
      <c r="W13" s="12"/>
    </row>
    <row r="14" spans="1:23" x14ac:dyDescent="0.3">
      <c r="A14" s="41" t="str">
        <f>'5.2 Budgeted Enrollment YR2'!E15</f>
        <v>Eureka</v>
      </c>
      <c r="C14" s="136">
        <f>'1.4 FY 2020 Revenue Received'!J14</f>
        <v>306.2</v>
      </c>
      <c r="D14" s="793">
        <f>'5.2 Budgeted Enrollment YR2'!G15</f>
        <v>324.02623606097552</v>
      </c>
      <c r="E14" s="215">
        <f>ROUND('6.8 Alloc of Residual Rev. YR2'!M20,2)</f>
        <v>7697038.2999999998</v>
      </c>
      <c r="F14" s="570">
        <f t="shared" si="0"/>
        <v>23754.367527670089</v>
      </c>
      <c r="H14" s="208">
        <f>ROUND('1.4 FY 2020 Revenue Received'!H14,0)</f>
        <v>12044695</v>
      </c>
      <c r="I14" s="570">
        <f t="shared" si="1"/>
        <v>39336.038536903987</v>
      </c>
      <c r="J14" s="1475">
        <f>I14-'1.4 FY 2020 Revenue Received'!K14</f>
        <v>0</v>
      </c>
      <c r="K14" s="242" t="str">
        <f t="shared" si="2"/>
        <v>No</v>
      </c>
      <c r="L14" s="11"/>
      <c r="M14" s="480">
        <f>'5.3 Budgeted Revenues YR2'!G21</f>
        <v>6097251.2220853064</v>
      </c>
      <c r="N14" s="115"/>
      <c r="O14" s="244" t="str">
        <f t="shared" si="5"/>
        <v>No</v>
      </c>
      <c r="P14" s="244"/>
      <c r="Q14" s="242" t="str">
        <f t="shared" si="6"/>
        <v>No</v>
      </c>
      <c r="R14" s="244"/>
      <c r="S14" s="585" t="str">
        <f t="shared" si="3"/>
        <v/>
      </c>
      <c r="T14" s="583">
        <f t="shared" si="4"/>
        <v>12745909</v>
      </c>
      <c r="U14" s="244"/>
      <c r="V14" s="549" t="str">
        <f>'5.1 Assumption Control YR2'!I41</f>
        <v>FY 2020 Baseline</v>
      </c>
      <c r="W14" s="12"/>
    </row>
    <row r="15" spans="1:23" x14ac:dyDescent="0.3">
      <c r="A15" s="41" t="str">
        <f>'5.2 Budgeted Enrollment YR2'!E16</f>
        <v>Humboldt</v>
      </c>
      <c r="C15" s="136">
        <f>'1.4 FY 2020 Revenue Received'!J15</f>
        <v>3383.7675731499999</v>
      </c>
      <c r="D15" s="793">
        <f>'5.2 Budgeted Enrollment YR2'!G16</f>
        <v>3185.805194816955</v>
      </c>
      <c r="E15" s="215">
        <f>ROUND('6.8 Alloc of Residual Rev. YR2'!M21,2)</f>
        <v>42295367.149999999</v>
      </c>
      <c r="F15" s="570">
        <f t="shared" si="0"/>
        <v>13276.193792015629</v>
      </c>
      <c r="H15" s="208">
        <f>ROUND('1.4 FY 2020 Revenue Received'!H15,0)</f>
        <v>38103491</v>
      </c>
      <c r="I15" s="570">
        <f t="shared" si="1"/>
        <v>11260.670296136472</v>
      </c>
      <c r="J15" s="1475">
        <f>I15-'1.4 FY 2020 Revenue Received'!K15</f>
        <v>0</v>
      </c>
      <c r="K15" s="242" t="str">
        <f t="shared" si="2"/>
        <v>Yes</v>
      </c>
      <c r="L15" s="11"/>
      <c r="M15" s="480">
        <f>'5.3 Budgeted Revenues YR2'!G22</f>
        <v>3665535.51156398</v>
      </c>
      <c r="N15" s="115"/>
      <c r="O15" s="244" t="str">
        <f t="shared" si="5"/>
        <v>No</v>
      </c>
      <c r="P15" s="244"/>
      <c r="Q15" s="242" t="str">
        <f t="shared" si="6"/>
        <v>No</v>
      </c>
      <c r="R15" s="244"/>
      <c r="S15" s="585">
        <f t="shared" si="3"/>
        <v>42295367</v>
      </c>
      <c r="T15" s="583" t="str">
        <f t="shared" si="4"/>
        <v/>
      </c>
      <c r="U15" s="244"/>
      <c r="V15" s="549" t="str">
        <f>'5.1 Assumption Control YR2'!I42</f>
        <v>PCFP</v>
      </c>
      <c r="W15" s="12"/>
    </row>
    <row r="16" spans="1:23" x14ac:dyDescent="0.3">
      <c r="A16" s="41" t="str">
        <f>'5.2 Budgeted Enrollment YR2'!E17</f>
        <v>Lander</v>
      </c>
      <c r="C16" s="136">
        <f>'1.4 FY 2020 Revenue Received'!J16</f>
        <v>982.91822275000004</v>
      </c>
      <c r="D16" s="793">
        <f>'5.2 Budgeted Enrollment YR2'!G17</f>
        <v>1003.8754811636373</v>
      </c>
      <c r="E16" s="215">
        <f>ROUND('6.8 Alloc of Residual Rev. YR2'!M22,2)</f>
        <v>16025541.960000001</v>
      </c>
      <c r="F16" s="570">
        <f t="shared" si="0"/>
        <v>15963.675038087466</v>
      </c>
      <c r="H16" s="208">
        <f>ROUND('1.4 FY 2020 Revenue Received'!H16,0)</f>
        <v>11828220</v>
      </c>
      <c r="I16" s="570">
        <f t="shared" si="1"/>
        <v>12033.778320750946</v>
      </c>
      <c r="J16" s="1475">
        <f>I16-'1.4 FY 2020 Revenue Received'!K16</f>
        <v>0</v>
      </c>
      <c r="K16" s="242" t="str">
        <f t="shared" si="2"/>
        <v>Yes</v>
      </c>
      <c r="L16" s="11"/>
      <c r="M16" s="480">
        <f>'5.3 Budgeted Revenues YR2'!G23</f>
        <v>4448501.8498578193</v>
      </c>
      <c r="N16" s="115"/>
      <c r="O16" s="244" t="str">
        <f t="shared" si="5"/>
        <v>No</v>
      </c>
      <c r="P16" s="244"/>
      <c r="Q16" s="242" t="str">
        <f t="shared" si="6"/>
        <v>No</v>
      </c>
      <c r="R16" s="244"/>
      <c r="S16" s="585">
        <f t="shared" si="3"/>
        <v>16025542</v>
      </c>
      <c r="T16" s="583" t="str">
        <f t="shared" si="4"/>
        <v/>
      </c>
      <c r="U16" s="244"/>
      <c r="V16" s="549" t="str">
        <f>'5.1 Assumption Control YR2'!I43</f>
        <v>PCFP</v>
      </c>
      <c r="W16" s="12"/>
    </row>
    <row r="17" spans="1:23" x14ac:dyDescent="0.3">
      <c r="A17" s="41" t="str">
        <f>'5.2 Budgeted Enrollment YR2'!E18</f>
        <v>Lincoln</v>
      </c>
      <c r="C17" s="136">
        <f>'1.4 FY 2020 Revenue Received'!J17</f>
        <v>855.1576710999999</v>
      </c>
      <c r="D17" s="793">
        <f>'5.2 Budgeted Enrollment YR2'!G18</f>
        <v>883.90246946271293</v>
      </c>
      <c r="E17" s="215">
        <f>ROUND('6.8 Alloc of Residual Rev. YR2'!M23,2)</f>
        <v>16343907.890000001</v>
      </c>
      <c r="F17" s="570">
        <f t="shared" si="0"/>
        <v>18490.623631739341</v>
      </c>
      <c r="H17" s="208">
        <f>ROUND('1.4 FY 2020 Revenue Received'!H17,0)</f>
        <v>12721737</v>
      </c>
      <c r="I17" s="570">
        <f t="shared" si="1"/>
        <v>14876.481179939452</v>
      </c>
      <c r="J17" s="1475">
        <f>I17-'1.4 FY 2020 Revenue Received'!K17</f>
        <v>0</v>
      </c>
      <c r="K17" s="242" t="str">
        <f t="shared" si="2"/>
        <v>Yes</v>
      </c>
      <c r="L17" s="11"/>
      <c r="M17" s="480">
        <f>'5.3 Budgeted Revenues YR2'!G24</f>
        <v>0</v>
      </c>
      <c r="N17" s="115"/>
      <c r="O17" s="244" t="str">
        <f t="shared" si="5"/>
        <v>No</v>
      </c>
      <c r="P17" s="244"/>
      <c r="Q17" s="242" t="str">
        <f t="shared" si="6"/>
        <v>No</v>
      </c>
      <c r="R17" s="244"/>
      <c r="S17" s="585">
        <f t="shared" si="3"/>
        <v>16343908</v>
      </c>
      <c r="T17" s="583" t="str">
        <f t="shared" si="4"/>
        <v/>
      </c>
      <c r="U17" s="244"/>
      <c r="V17" s="549" t="str">
        <f>'5.1 Assumption Control YR2'!I44</f>
        <v>PCFP</v>
      </c>
      <c r="W17" s="12"/>
    </row>
    <row r="18" spans="1:23" x14ac:dyDescent="0.3">
      <c r="A18" s="41" t="str">
        <f>'5.2 Budgeted Enrollment YR2'!E19</f>
        <v>Lyon</v>
      </c>
      <c r="C18" s="136">
        <f>'1.4 FY 2020 Revenue Received'!J18</f>
        <v>8845.8018661500009</v>
      </c>
      <c r="D18" s="793">
        <f>'5.2 Budgeted Enrollment YR2'!G19</f>
        <v>9045.069485259779</v>
      </c>
      <c r="E18" s="215">
        <f>ROUND('6.8 Alloc of Residual Rev. YR2'!M24,2)</f>
        <v>122459691.12</v>
      </c>
      <c r="F18" s="570">
        <f t="shared" si="0"/>
        <v>13538.833650704995</v>
      </c>
      <c r="H18" s="208">
        <f>ROUND('1.4 FY 2020 Revenue Received'!H18,0)</f>
        <v>84376123</v>
      </c>
      <c r="I18" s="570">
        <f t="shared" si="1"/>
        <v>9538.5499558700158</v>
      </c>
      <c r="J18" s="1475">
        <f>I18-'1.4 FY 2020 Revenue Received'!K18</f>
        <v>0</v>
      </c>
      <c r="K18" s="242" t="str">
        <f t="shared" si="2"/>
        <v>Yes</v>
      </c>
      <c r="L18" s="11"/>
      <c r="M18" s="480">
        <f>'5.3 Budgeted Revenues YR2'!G25</f>
        <v>8024.7890047393348</v>
      </c>
      <c r="N18" s="115"/>
      <c r="O18" s="244" t="str">
        <f t="shared" si="5"/>
        <v>No</v>
      </c>
      <c r="P18" s="244"/>
      <c r="Q18" s="242" t="str">
        <f t="shared" si="6"/>
        <v>No</v>
      </c>
      <c r="R18" s="244"/>
      <c r="S18" s="585">
        <f t="shared" si="3"/>
        <v>122459691</v>
      </c>
      <c r="T18" s="583" t="str">
        <f t="shared" si="4"/>
        <v/>
      </c>
      <c r="U18" s="244"/>
      <c r="V18" s="549" t="str">
        <f>'5.1 Assumption Control YR2'!I45</f>
        <v>PCFP</v>
      </c>
      <c r="W18" s="12"/>
    </row>
    <row r="19" spans="1:23" x14ac:dyDescent="0.3">
      <c r="A19" s="41" t="str">
        <f>'5.2 Budgeted Enrollment YR2'!E20</f>
        <v>Mineral</v>
      </c>
      <c r="C19" s="136">
        <f>'1.4 FY 2020 Revenue Received'!J19</f>
        <v>541.82059757121215</v>
      </c>
      <c r="D19" s="793">
        <f>'5.2 Budgeted Enrollment YR2'!G20</f>
        <v>568.00070537479974</v>
      </c>
      <c r="E19" s="215">
        <f>ROUND('6.8 Alloc of Residual Rev. YR2'!M25,2)</f>
        <v>10228805.49</v>
      </c>
      <c r="F19" s="570">
        <f t="shared" si="0"/>
        <v>18008.438005812761</v>
      </c>
      <c r="H19" s="208">
        <f>ROUND('1.4 FY 2020 Revenue Received'!H19,0)</f>
        <v>7521260</v>
      </c>
      <c r="I19" s="570">
        <f t="shared" si="1"/>
        <v>13881.458242294806</v>
      </c>
      <c r="J19" s="1475">
        <f>I19-'1.4 FY 2020 Revenue Received'!K19</f>
        <v>0</v>
      </c>
      <c r="K19" s="242" t="str">
        <f t="shared" si="2"/>
        <v>Yes</v>
      </c>
      <c r="L19" s="11"/>
      <c r="M19" s="480">
        <f>'5.3 Budgeted Revenues YR2'!G26</f>
        <v>150286.2944075829</v>
      </c>
      <c r="N19" s="115"/>
      <c r="O19" s="244" t="str">
        <f t="shared" si="5"/>
        <v>No</v>
      </c>
      <c r="P19" s="244"/>
      <c r="Q19" s="242" t="str">
        <f t="shared" si="6"/>
        <v>No</v>
      </c>
      <c r="R19" s="244"/>
      <c r="S19" s="585">
        <f t="shared" si="3"/>
        <v>10228805</v>
      </c>
      <c r="T19" s="583" t="str">
        <f t="shared" si="4"/>
        <v/>
      </c>
      <c r="U19" s="244"/>
      <c r="V19" s="549" t="str">
        <f>'5.1 Assumption Control YR2'!I46</f>
        <v>PCFP</v>
      </c>
      <c r="W19" s="12"/>
    </row>
    <row r="20" spans="1:23" x14ac:dyDescent="0.3">
      <c r="A20" s="41" t="str">
        <f>'5.2 Budgeted Enrollment YR2'!E21</f>
        <v>Nye</v>
      </c>
      <c r="C20" s="136">
        <f>'1.4 FY 2020 Revenue Received'!J20</f>
        <v>5385.5136149795999</v>
      </c>
      <c r="D20" s="793">
        <f>'5.2 Budgeted Enrollment YR2'!G21</f>
        <v>5594.5124332004871</v>
      </c>
      <c r="E20" s="215">
        <f>ROUND('6.8 Alloc of Residual Rev. YR2'!M26,2)</f>
        <v>79898780.060000002</v>
      </c>
      <c r="F20" s="570">
        <f t="shared" si="0"/>
        <v>14281.634193150201</v>
      </c>
      <c r="H20" s="208">
        <f>ROUND('1.4 FY 2020 Revenue Received'!H20,0)</f>
        <v>57608701</v>
      </c>
      <c r="I20" s="570">
        <f t="shared" si="1"/>
        <v>10696.974349811986</v>
      </c>
      <c r="J20" s="1475">
        <f>I20-'1.4 FY 2020 Revenue Received'!K20</f>
        <v>0</v>
      </c>
      <c r="K20" s="242" t="str">
        <f t="shared" si="2"/>
        <v>Yes</v>
      </c>
      <c r="L20" s="11"/>
      <c r="M20" s="480">
        <f>'5.3 Budgeted Revenues YR2'!G27</f>
        <v>936222.46890995244</v>
      </c>
      <c r="N20" s="115"/>
      <c r="O20" s="244" t="str">
        <f t="shared" si="5"/>
        <v>No</v>
      </c>
      <c r="P20" s="244"/>
      <c r="Q20" s="242" t="str">
        <f t="shared" si="6"/>
        <v>No</v>
      </c>
      <c r="R20" s="244"/>
      <c r="S20" s="585">
        <f t="shared" si="3"/>
        <v>79898780</v>
      </c>
      <c r="T20" s="583" t="str">
        <f t="shared" si="4"/>
        <v/>
      </c>
      <c r="U20" s="244"/>
      <c r="V20" s="549" t="str">
        <f>'5.1 Assumption Control YR2'!I47</f>
        <v>PCFP</v>
      </c>
      <c r="W20" s="12"/>
    </row>
    <row r="21" spans="1:23" x14ac:dyDescent="0.3">
      <c r="A21" s="41" t="str">
        <f>'5.2 Budgeted Enrollment YR2'!E22</f>
        <v>Pershing</v>
      </c>
      <c r="C21" s="136">
        <f>'1.4 FY 2020 Revenue Received'!J21</f>
        <v>665.11446960000001</v>
      </c>
      <c r="D21" s="793">
        <f>'5.2 Budgeted Enrollment YR2'!G22</f>
        <v>660.8205610348989</v>
      </c>
      <c r="E21" s="215">
        <f>ROUND('6.8 Alloc of Residual Rev. YR2'!M27,2)</f>
        <v>11543464.380000001</v>
      </c>
      <c r="F21" s="570">
        <f t="shared" si="0"/>
        <v>17468.379558169308</v>
      </c>
      <c r="H21" s="208">
        <f>ROUND('1.4 FY 2020 Revenue Received'!H21,0)</f>
        <v>9061410</v>
      </c>
      <c r="I21" s="570">
        <f t="shared" si="1"/>
        <v>13623.83531582095</v>
      </c>
      <c r="J21" s="1475">
        <f>I21-'1.4 FY 2020 Revenue Received'!K21</f>
        <v>0</v>
      </c>
      <c r="K21" s="242" t="str">
        <f t="shared" si="2"/>
        <v>Yes</v>
      </c>
      <c r="L21" s="11"/>
      <c r="M21" s="480">
        <f>'5.3 Budgeted Revenues YR2'!G28</f>
        <v>98495.040284360162</v>
      </c>
      <c r="N21" s="115"/>
      <c r="O21" s="244" t="str">
        <f t="shared" si="5"/>
        <v>No</v>
      </c>
      <c r="P21" s="244"/>
      <c r="Q21" s="242" t="str">
        <f t="shared" si="6"/>
        <v>No</v>
      </c>
      <c r="R21" s="244"/>
      <c r="S21" s="585">
        <f t="shared" si="3"/>
        <v>11543464</v>
      </c>
      <c r="T21" s="583" t="str">
        <f t="shared" si="4"/>
        <v/>
      </c>
      <c r="U21" s="244"/>
      <c r="V21" s="549" t="str">
        <f>'5.1 Assumption Control YR2'!I48</f>
        <v>PCFP</v>
      </c>
      <c r="W21" s="12"/>
    </row>
    <row r="22" spans="1:23" x14ac:dyDescent="0.3">
      <c r="A22" s="41" t="str">
        <f>'5.2 Budgeted Enrollment YR2'!E23</f>
        <v>Storey</v>
      </c>
      <c r="C22" s="136">
        <f>'1.4 FY 2020 Revenue Received'!J22</f>
        <v>437.81518235000004</v>
      </c>
      <c r="D22" s="793">
        <f>'5.2 Budgeted Enrollment YR2'!G23</f>
        <v>413.46750117998658</v>
      </c>
      <c r="E22" s="215">
        <f>ROUND('6.8 Alloc of Residual Rev. YR2'!M28,2)</f>
        <v>7670564.1299999999</v>
      </c>
      <c r="F22" s="570">
        <f t="shared" si="0"/>
        <v>18551.794537924095</v>
      </c>
      <c r="H22" s="208">
        <f>ROUND('1.4 FY 2020 Revenue Received'!H22,0)</f>
        <v>11383223</v>
      </c>
      <c r="I22" s="570">
        <f t="shared" si="1"/>
        <v>26000.064545271929</v>
      </c>
      <c r="J22" s="1475">
        <f>I22-'1.4 FY 2020 Revenue Received'!K22</f>
        <v>0</v>
      </c>
      <c r="K22" s="242" t="str">
        <f t="shared" si="2"/>
        <v>No</v>
      </c>
      <c r="L22" s="11"/>
      <c r="M22" s="480">
        <f>'5.3 Budgeted Revenues YR2'!G29</f>
        <v>4578.0432227488136</v>
      </c>
      <c r="N22" s="115"/>
      <c r="O22" s="244" t="str">
        <f t="shared" si="5"/>
        <v>No</v>
      </c>
      <c r="P22" s="244"/>
      <c r="Q22" s="242" t="str">
        <f t="shared" si="6"/>
        <v>No</v>
      </c>
      <c r="R22" s="244"/>
      <c r="S22" s="585" t="str">
        <f t="shared" si="3"/>
        <v/>
      </c>
      <c r="T22" s="583">
        <f t="shared" si="4"/>
        <v>10750182</v>
      </c>
      <c r="U22" s="244"/>
      <c r="V22" s="549" t="str">
        <f>'5.1 Assumption Control YR2'!I49</f>
        <v>FY 2020 Baseline</v>
      </c>
      <c r="W22" s="12"/>
    </row>
    <row r="23" spans="1:23" x14ac:dyDescent="0.3">
      <c r="A23" s="41" t="str">
        <f>'5.2 Budgeted Enrollment YR2'!E24</f>
        <v>Washoe</v>
      </c>
      <c r="C23" s="136">
        <f>'1.4 FY 2020 Revenue Received'!J23</f>
        <v>63659.88216394998</v>
      </c>
      <c r="D23" s="793">
        <f>'5.2 Budgeted Enrollment YR2'!G24</f>
        <v>60608.138003589171</v>
      </c>
      <c r="E23" s="215">
        <f>ROUND('6.8 Alloc of Residual Rev. YR2'!M29,2)</f>
        <v>703953018.76999998</v>
      </c>
      <c r="F23" s="570">
        <f t="shared" si="0"/>
        <v>11614.826687602783</v>
      </c>
      <c r="H23" s="208">
        <f>ROUND('1.4 FY 2020 Revenue Received'!H23,0)</f>
        <v>533886901</v>
      </c>
      <c r="I23" s="570">
        <f t="shared" si="1"/>
        <v>8386.5518259211512</v>
      </c>
      <c r="J23" s="1475">
        <f>I23-'1.4 FY 2020 Revenue Received'!K23</f>
        <v>0</v>
      </c>
      <c r="K23" s="242" t="str">
        <f t="shared" si="2"/>
        <v>Yes</v>
      </c>
      <c r="L23" s="11"/>
      <c r="M23" s="480">
        <f>'5.3 Budgeted Revenues YR2'!G30</f>
        <v>6134.7710900473921</v>
      </c>
      <c r="N23" s="115"/>
      <c r="O23" s="244" t="str">
        <f t="shared" si="5"/>
        <v>No</v>
      </c>
      <c r="P23" s="244"/>
      <c r="Q23" s="242" t="str">
        <f t="shared" si="6"/>
        <v>No</v>
      </c>
      <c r="R23" s="244"/>
      <c r="S23" s="585">
        <f t="shared" si="3"/>
        <v>703953019</v>
      </c>
      <c r="T23" s="583" t="str">
        <f t="shared" si="4"/>
        <v/>
      </c>
      <c r="U23" s="244"/>
      <c r="V23" s="549" t="str">
        <f>'5.1 Assumption Control YR2'!I50</f>
        <v>PCFP</v>
      </c>
      <c r="W23" s="12"/>
    </row>
    <row r="24" spans="1:23" x14ac:dyDescent="0.3">
      <c r="A24" s="41" t="str">
        <f>'5.2 Budgeted Enrollment YR2'!E25</f>
        <v>White Pine</v>
      </c>
      <c r="C24" s="136">
        <f>'1.4 FY 2020 Revenue Received'!J24</f>
        <v>1248.6201723000001</v>
      </c>
      <c r="D24" s="793">
        <f>'5.2 Budgeted Enrollment YR2'!G25</f>
        <v>1260.6496409044739</v>
      </c>
      <c r="E24" s="215">
        <f>ROUND('6.8 Alloc of Residual Rev. YR2'!M30,2)</f>
        <v>21053173.43</v>
      </c>
      <c r="F24" s="570">
        <f t="shared" si="0"/>
        <v>16700.257348976877</v>
      </c>
      <c r="H24" s="208">
        <f>ROUND('1.4 FY 2020 Revenue Received'!H24,0)</f>
        <v>15230573</v>
      </c>
      <c r="I24" s="570">
        <f t="shared" si="1"/>
        <v>12197.923225879633</v>
      </c>
      <c r="J24" s="1475">
        <f>I24-'1.4 FY 2020 Revenue Received'!K24</f>
        <v>0</v>
      </c>
      <c r="K24" s="242" t="str">
        <f t="shared" si="2"/>
        <v>Yes</v>
      </c>
      <c r="L24" s="29"/>
      <c r="M24" s="480">
        <f>'5.3 Budgeted Revenues YR2'!G31</f>
        <v>793939.28928909928</v>
      </c>
      <c r="N24" s="208"/>
      <c r="O24" s="244" t="str">
        <f t="shared" si="5"/>
        <v>No</v>
      </c>
      <c r="P24" s="514"/>
      <c r="Q24" s="242" t="str">
        <f t="shared" si="6"/>
        <v>No</v>
      </c>
      <c r="R24" s="244"/>
      <c r="S24" s="585">
        <f t="shared" si="3"/>
        <v>21053173</v>
      </c>
      <c r="T24" s="583" t="str">
        <f t="shared" si="4"/>
        <v/>
      </c>
      <c r="U24" s="244"/>
      <c r="V24" s="549" t="str">
        <f>'5.1 Assumption Control YR2'!I51</f>
        <v>PCFP</v>
      </c>
      <c r="W24" s="12"/>
    </row>
    <row r="25" spans="1:23" ht="18.75" x14ac:dyDescent="0.45">
      <c r="A25" s="41" t="str">
        <f>'5.2 Budgeted Enrollment YR2'!E26</f>
        <v>Charter Schools (Combined)</v>
      </c>
      <c r="C25" s="136">
        <f>'1.4 FY 2020 Revenue Received'!J25</f>
        <v>57012.474131748568</v>
      </c>
      <c r="D25" s="793">
        <f>'5.2 Budgeted Enrollment YR2'!G26</f>
        <v>69072.499417353014</v>
      </c>
      <c r="E25" s="215">
        <f>ROUND('6.8 Alloc of Residual Rev. YR2'!M31,2)</f>
        <v>702941414.97000003</v>
      </c>
      <c r="F25" s="570">
        <f>E25/D25</f>
        <v>10176.863743161446</v>
      </c>
      <c r="H25" s="208">
        <f>ROUND('1.4 FY 2020 Revenue Received'!H25,0)</f>
        <v>433806526</v>
      </c>
      <c r="I25" s="570">
        <f t="shared" si="1"/>
        <v>7608.9756251856106</v>
      </c>
      <c r="J25" s="1475">
        <f>I25-'1.4 FY 2020 Revenue Received'!K25</f>
        <v>0</v>
      </c>
      <c r="K25" s="242" t="str">
        <f t="shared" si="2"/>
        <v>Yes</v>
      </c>
      <c r="L25" s="513"/>
      <c r="M25" s="762"/>
      <c r="N25" s="314"/>
      <c r="O25" s="248" t="str">
        <f>IF(M25&gt;H25,"Yes","Does Not Apply")</f>
        <v>Does Not Apply</v>
      </c>
      <c r="P25" s="314"/>
      <c r="Q25" s="249" t="str">
        <f>IF(O25&gt;K25,"Yes","Does Not Apply")</f>
        <v>Does Not Apply</v>
      </c>
      <c r="R25" s="314"/>
      <c r="S25" s="585">
        <f>IF(K25="Yes",ROUND(F25*D25,0),"")</f>
        <v>702941415</v>
      </c>
      <c r="T25" s="583" t="str">
        <f t="shared" si="4"/>
        <v/>
      </c>
      <c r="U25" s="314"/>
      <c r="V25" s="549" t="str">
        <f>'5.1 Assumption Control YR2'!I52</f>
        <v>PCFP</v>
      </c>
      <c r="W25" s="12"/>
    </row>
    <row r="26" spans="1:23" ht="18.75" x14ac:dyDescent="0.45">
      <c r="A26" s="41" t="str">
        <f>'5.2 Budgeted Enrollment YR2'!E27</f>
        <v>University Schools</v>
      </c>
      <c r="C26" s="136">
        <f>'1.4 FY 2020 Revenue Received'!J26</f>
        <v>143.645726495611</v>
      </c>
      <c r="D26" s="793">
        <f>'5.2 Budgeted Enrollment YR2'!G27</f>
        <v>162.20612853670227</v>
      </c>
      <c r="E26" s="215">
        <f>ROUND('6.8 Alloc of Residual Rev. YR2'!M32,2)</f>
        <v>1529310</v>
      </c>
      <c r="F26" s="570">
        <f>E26/D26</f>
        <v>9428.1887731138595</v>
      </c>
      <c r="H26" s="208">
        <f>ROUND('1.4 FY 2020 Revenue Received'!H26,0)</f>
        <v>1161407</v>
      </c>
      <c r="I26" s="570">
        <f t="shared" si="1"/>
        <v>8085.2179061204861</v>
      </c>
      <c r="J26" s="1475">
        <f>I26-'1.4 FY 2020 Revenue Received'!K26</f>
        <v>0</v>
      </c>
      <c r="K26" s="242" t="str">
        <f>IF(F26&gt;I26,"Yes",IF(V26="PCFP","Yes","No"))</f>
        <v>Yes</v>
      </c>
      <c r="M26" s="763"/>
      <c r="N26" s="756"/>
      <c r="O26" s="757" t="str">
        <f>IF(M26&gt;H26,"Yes","Does Not Apply")</f>
        <v>Does Not Apply</v>
      </c>
      <c r="P26" s="758"/>
      <c r="Q26" s="759" t="str">
        <f>IF(O26&gt;K26,"Yes","Does Not Apply")</f>
        <v>Does Not Apply</v>
      </c>
      <c r="R26" s="313"/>
      <c r="S26" s="585">
        <f t="shared" si="3"/>
        <v>1529310</v>
      </c>
      <c r="T26" s="583" t="str">
        <f t="shared" si="4"/>
        <v/>
      </c>
      <c r="U26" s="313"/>
      <c r="V26" s="672" t="str">
        <f>'5.1 Assumption Control YR2'!I53</f>
        <v>PCFP</v>
      </c>
      <c r="W26" s="12"/>
    </row>
    <row r="27" spans="1:23" x14ac:dyDescent="0.3">
      <c r="A27" s="425" t="s">
        <v>942</v>
      </c>
      <c r="B27" s="485"/>
      <c r="C27" s="739">
        <f>SUM(C8:C26)</f>
        <v>484807.40322754526</v>
      </c>
      <c r="D27" s="739">
        <f>SUM(D8:D26)</f>
        <v>471754.24888777226</v>
      </c>
      <c r="E27" s="567">
        <f>SUM(E8:E26)</f>
        <v>5720230864.0700006</v>
      </c>
      <c r="F27" s="428"/>
      <c r="G27" s="427"/>
      <c r="H27" s="568">
        <f>SUM(H8:H26)</f>
        <v>4077148721</v>
      </c>
      <c r="I27" s="428"/>
      <c r="J27" s="428"/>
      <c r="K27" s="889"/>
      <c r="L27" s="44"/>
      <c r="M27" s="567">
        <f>SUM(M8:M26)</f>
        <v>19601999.999999993</v>
      </c>
      <c r="N27" s="428"/>
      <c r="O27" s="888"/>
      <c r="P27" s="888"/>
      <c r="Q27" s="889"/>
      <c r="R27" s="245"/>
      <c r="S27" s="884">
        <f>SUM(S8:S26)</f>
        <v>5702396419</v>
      </c>
      <c r="T27" s="885">
        <f>SUM(T8:T26)</f>
        <v>26363740</v>
      </c>
      <c r="U27" s="320"/>
      <c r="V27" s="320"/>
    </row>
    <row r="28" spans="1:23" x14ac:dyDescent="0.3">
      <c r="C28" s="136">
        <f>C27-'1.4 FY 2020 Revenue Received'!J27</f>
        <v>0</v>
      </c>
      <c r="D28" s="136">
        <f>D27-'5.2 Budgeted Enrollment YR2'!G28</f>
        <v>0</v>
      </c>
      <c r="E28" s="1273">
        <f>E27-'6.8 Alloc of Residual Rev. YR2'!M33</f>
        <v>0</v>
      </c>
      <c r="F28" s="115"/>
      <c r="H28" s="1475">
        <f>H27-'1.4 FY 2020 Revenue Received'!H27</f>
        <v>0</v>
      </c>
      <c r="I28" s="115"/>
      <c r="J28" s="115"/>
      <c r="K28" s="242"/>
      <c r="L28" s="11"/>
      <c r="M28" s="125">
        <f>M27-'5.3 Budgeted Revenues YR2'!G32</f>
        <v>0</v>
      </c>
      <c r="N28" s="115"/>
      <c r="O28" s="244"/>
      <c r="P28" s="244"/>
      <c r="Q28" s="242"/>
      <c r="R28" s="244"/>
      <c r="S28" s="886" t="s">
        <v>1064</v>
      </c>
      <c r="T28" s="887">
        <f>T27+S27</f>
        <v>5728760159</v>
      </c>
      <c r="U28" s="244"/>
      <c r="V28" s="244"/>
    </row>
    <row r="29" spans="1:23" s="413" customFormat="1" ht="51.75" x14ac:dyDescent="0.45">
      <c r="A29" s="890" t="s">
        <v>943</v>
      </c>
      <c r="B29" s="891" t="s">
        <v>1111</v>
      </c>
      <c r="C29" s="890"/>
      <c r="D29" s="890"/>
      <c r="E29" s="892"/>
      <c r="F29" s="893"/>
      <c r="G29" s="894"/>
      <c r="H29" s="893"/>
      <c r="I29" s="893"/>
      <c r="J29" s="894"/>
      <c r="K29" s="895"/>
      <c r="L29" s="894"/>
      <c r="M29" s="896"/>
      <c r="N29" s="897"/>
      <c r="O29" s="898"/>
      <c r="P29" s="898"/>
      <c r="Q29" s="895"/>
      <c r="R29" s="898"/>
      <c r="S29" s="899" t="s">
        <v>1063</v>
      </c>
      <c r="T29" s="900">
        <f>(T28-E27)/T28</f>
        <v>1.4888553008454463E-3</v>
      </c>
      <c r="U29" s="901"/>
      <c r="V29" s="902">
        <f>ROUND(T28-'5.3 Budgeted Revenues YR2'!C35,0)</f>
        <v>8529295</v>
      </c>
    </row>
    <row r="30" spans="1:23" ht="18.75" x14ac:dyDescent="0.45">
      <c r="A30" s="10" t="str">
        <f>'5.2 Budgeted Enrollment YR2'!E32</f>
        <v>100 Academy Of Excellence</v>
      </c>
      <c r="B30" s="551" t="str">
        <f>IF(C30=0,"Yes","")</f>
        <v/>
      </c>
      <c r="C30" s="136">
        <f>'1.4 FY 2020 Revenue Received'!J30</f>
        <v>480.71396750000002</v>
      </c>
      <c r="D30" s="793">
        <f>'5.2 Budgeted Enrollment YR2'!G32</f>
        <v>317.62972370211571</v>
      </c>
      <c r="E30" s="215">
        <f>'6.8 Alloc of Residual Rev. YR2'!M36</f>
        <v>3783183.17</v>
      </c>
      <c r="F30" s="570">
        <f>IF(D30=0,0,E30/D30)</f>
        <v>11910.671098111718</v>
      </c>
      <c r="H30" s="208">
        <f>'1.4 FY 2020 Revenue Received'!H30</f>
        <v>3526521.7955691037</v>
      </c>
      <c r="I30" s="570">
        <f>IF(C30=0,0,H30/C30)</f>
        <v>7336.0085913648918</v>
      </c>
      <c r="K30" s="242" t="str">
        <f>$K$25</f>
        <v>Yes</v>
      </c>
      <c r="M30" s="760"/>
      <c r="N30" s="246"/>
      <c r="O30" s="248" t="str">
        <f>IF(M30&gt;H30,"Yes","Does Not Apply")</f>
        <v>Does Not Apply</v>
      </c>
      <c r="P30" s="244"/>
      <c r="Q30" s="249" t="str">
        <f>IF(O30&gt;K30,"Yes","Does Not Apply")</f>
        <v>Does Not Apply</v>
      </c>
      <c r="R30" s="248"/>
      <c r="S30" s="248"/>
      <c r="T30" s="248"/>
      <c r="U30" s="248"/>
      <c r="V30" s="248"/>
    </row>
    <row r="31" spans="1:23" ht="18.75" x14ac:dyDescent="0.45">
      <c r="A31" s="10" t="str">
        <f>'5.2 Budgeted Enrollment YR2'!E33</f>
        <v>Academy For Career Education</v>
      </c>
      <c r="B31" s="551" t="str">
        <f t="shared" ref="B31:B96" si="7">IF(C31=0,"Yes","")</f>
        <v/>
      </c>
      <c r="C31" s="136">
        <f>'1.4 FY 2020 Revenue Received'!J31</f>
        <v>190.83797749999999</v>
      </c>
      <c r="D31" s="793">
        <f>'5.2 Budgeted Enrollment YR2'!G33</f>
        <v>233.39983380980189</v>
      </c>
      <c r="E31" s="215">
        <f>'6.8 Alloc of Residual Rev. YR2'!M37</f>
        <v>2395669.7700000005</v>
      </c>
      <c r="F31" s="570">
        <f>IF(D31=0,0,E31/D31)</f>
        <v>10264.230830396553</v>
      </c>
      <c r="H31" s="208">
        <f>'1.4 FY 2020 Revenue Received'!H31</f>
        <v>1427555.6052536254</v>
      </c>
      <c r="I31" s="570">
        <f t="shared" ref="I31:I91" si="8">IF(C31=0,0,H31/C31)</f>
        <v>7480.458679948154</v>
      </c>
      <c r="K31" s="242" t="str">
        <f t="shared" ref="K31:K89" si="9">$K$25</f>
        <v>Yes</v>
      </c>
      <c r="M31" s="760"/>
      <c r="N31" s="246"/>
      <c r="O31" s="248" t="str">
        <f>IF(M31&gt;H31,"Yes","Does Not Apply")</f>
        <v>Does Not Apply</v>
      </c>
      <c r="P31" s="244"/>
      <c r="Q31" s="249" t="str">
        <f>IF(O31&gt;K31,"Yes","Does Not Apply")</f>
        <v>Does Not Apply</v>
      </c>
      <c r="R31" s="248"/>
      <c r="S31" s="248"/>
      <c r="T31" s="248"/>
      <c r="U31" s="248"/>
      <c r="V31" s="248"/>
    </row>
    <row r="32" spans="1:23" ht="18.75" x14ac:dyDescent="0.45">
      <c r="A32" s="10" t="str">
        <f>'5.2 Budgeted Enrollment YR2'!E34</f>
        <v xml:space="preserve">Alpine Academy </v>
      </c>
      <c r="B32" s="551" t="str">
        <f t="shared" si="7"/>
        <v/>
      </c>
      <c r="C32" s="136">
        <f>'1.4 FY 2020 Revenue Received'!J32</f>
        <v>103.98956000000001</v>
      </c>
      <c r="D32" s="793">
        <f>'5.2 Budgeted Enrollment YR2'!G34</f>
        <v>147.96290007070388</v>
      </c>
      <c r="E32" s="215">
        <f>'6.8 Alloc of Residual Rev. YR2'!M38</f>
        <v>1490996.33</v>
      </c>
      <c r="F32" s="570">
        <f t="shared" ref="F32:F44" si="10">IF(D32=0,0,E32/D32)</f>
        <v>10076.825537263256</v>
      </c>
      <c r="H32" s="208">
        <f>'1.4 FY 2020 Revenue Received'!H32</f>
        <v>946883.12797927589</v>
      </c>
      <c r="I32" s="570">
        <f t="shared" si="8"/>
        <v>9105.5595194294092</v>
      </c>
      <c r="K32" s="242" t="str">
        <f t="shared" si="9"/>
        <v>Yes</v>
      </c>
      <c r="M32" s="760"/>
      <c r="N32" s="246"/>
      <c r="O32" s="248" t="str">
        <f t="shared" ref="O32:O88" si="11">IF(M32&gt;H32,"Yes","Does Not Apply")</f>
        <v>Does Not Apply</v>
      </c>
      <c r="P32" s="244"/>
      <c r="Q32" s="249" t="str">
        <f t="shared" ref="Q32:Q88" si="12">IF(O32&gt;K32,"Yes","Does Not Apply")</f>
        <v>Does Not Apply</v>
      </c>
      <c r="R32" s="248"/>
      <c r="S32" s="248"/>
      <c r="T32" s="248"/>
      <c r="U32" s="248"/>
      <c r="V32" s="248"/>
    </row>
    <row r="33" spans="1:22" ht="18.75" x14ac:dyDescent="0.45">
      <c r="A33" s="10" t="str">
        <f>'5.2 Budgeted Enrollment YR2'!E35</f>
        <v xml:space="preserve">Amplus (Formerly American Preparatory Academy) </v>
      </c>
      <c r="B33" s="551" t="str">
        <f t="shared" si="7"/>
        <v/>
      </c>
      <c r="C33" s="136">
        <f>'1.4 FY 2020 Revenue Received'!J33</f>
        <v>1600.97</v>
      </c>
      <c r="D33" s="793">
        <f>'5.2 Budgeted Enrollment YR2'!G35</f>
        <v>2269.9763633103498</v>
      </c>
      <c r="E33" s="215">
        <f>'6.8 Alloc of Residual Rev. YR2'!M39</f>
        <v>22337511.329999994</v>
      </c>
      <c r="F33" s="570">
        <f t="shared" si="10"/>
        <v>9840.4158259272681</v>
      </c>
      <c r="H33" s="208">
        <f>'1.4 FY 2020 Revenue Received'!H33</f>
        <v>11813992.992430983</v>
      </c>
      <c r="I33" s="570">
        <f t="shared" si="8"/>
        <v>7379.2719366577658</v>
      </c>
      <c r="K33" s="242" t="str">
        <f t="shared" si="9"/>
        <v>Yes</v>
      </c>
      <c r="M33" s="760"/>
      <c r="N33" s="246"/>
      <c r="O33" s="248" t="str">
        <f t="shared" si="11"/>
        <v>Does Not Apply</v>
      </c>
      <c r="P33" s="244"/>
      <c r="Q33" s="249" t="str">
        <f t="shared" si="12"/>
        <v>Does Not Apply</v>
      </c>
      <c r="R33" s="248"/>
      <c r="S33" s="248"/>
      <c r="T33" s="248"/>
      <c r="U33" s="248"/>
      <c r="V33" s="248"/>
    </row>
    <row r="34" spans="1:22" ht="18.75" x14ac:dyDescent="0.45">
      <c r="A34" s="10" t="str">
        <f>'5.2 Budgeted Enrollment YR2'!E36</f>
        <v>Bailey Charter School</v>
      </c>
      <c r="B34" s="551" t="str">
        <f t="shared" si="7"/>
        <v/>
      </c>
      <c r="C34" s="136">
        <f>'1.4 FY 2020 Revenue Received'!J34</f>
        <v>265.87594999999999</v>
      </c>
      <c r="D34" s="793">
        <f>'5.2 Budgeted Enrollment YR2'!G36</f>
        <v>175.50477307407152</v>
      </c>
      <c r="E34" s="215">
        <f>'6.8 Alloc of Residual Rev. YR2'!M40</f>
        <v>2162748.94</v>
      </c>
      <c r="F34" s="570">
        <f t="shared" si="10"/>
        <v>12323.020634243463</v>
      </c>
      <c r="H34" s="208">
        <f>'1.4 FY 2020 Revenue Received'!H34</f>
        <v>1985978.480397318</v>
      </c>
      <c r="I34" s="570">
        <f t="shared" si="8"/>
        <v>7469.5679710681543</v>
      </c>
      <c r="K34" s="242" t="str">
        <f t="shared" si="9"/>
        <v>Yes</v>
      </c>
      <c r="M34" s="760"/>
      <c r="N34" s="246"/>
      <c r="O34" s="248" t="str">
        <f t="shared" si="11"/>
        <v>Does Not Apply</v>
      </c>
      <c r="P34" s="244"/>
      <c r="Q34" s="249" t="str">
        <f t="shared" si="12"/>
        <v>Does Not Apply</v>
      </c>
      <c r="R34" s="248"/>
      <c r="S34" s="248"/>
      <c r="T34" s="248"/>
      <c r="U34" s="248"/>
      <c r="V34" s="248"/>
    </row>
    <row r="35" spans="1:22" ht="18.75" x14ac:dyDescent="0.45">
      <c r="A35" s="10" t="str">
        <f>'5.2 Budgeted Enrollment YR2'!E37</f>
        <v>Battle Born Academy</v>
      </c>
      <c r="B35" s="551" t="s">
        <v>738</v>
      </c>
      <c r="C35" s="136">
        <f>'1.4 FY 2020 Revenue Received'!J35</f>
        <v>0</v>
      </c>
      <c r="D35" s="793">
        <f>'5.2 Budgeted Enrollment YR2'!G37</f>
        <v>132.30307201336225</v>
      </c>
      <c r="E35" s="215">
        <f>'6.8 Alloc of Residual Rev. YR2'!M41</f>
        <v>1484964.09</v>
      </c>
      <c r="F35" s="570">
        <f t="shared" si="10"/>
        <v>11223.957746423475</v>
      </c>
      <c r="H35" s="208">
        <f>'1.4 FY 2020 Revenue Received'!H35</f>
        <v>0</v>
      </c>
      <c r="I35" s="570">
        <f t="shared" si="8"/>
        <v>0</v>
      </c>
      <c r="K35" s="242" t="str">
        <f t="shared" si="9"/>
        <v>Yes</v>
      </c>
      <c r="M35" s="760"/>
      <c r="N35" s="246"/>
      <c r="O35" s="248" t="str">
        <f t="shared" si="11"/>
        <v>Does Not Apply</v>
      </c>
      <c r="P35" s="244"/>
      <c r="Q35" s="249" t="str">
        <f t="shared" si="12"/>
        <v>Does Not Apply</v>
      </c>
      <c r="R35" s="248"/>
      <c r="S35" s="248"/>
      <c r="T35" s="248"/>
      <c r="U35" s="248"/>
      <c r="V35" s="248"/>
    </row>
    <row r="36" spans="1:22" ht="18.75" x14ac:dyDescent="0.45">
      <c r="A36" s="10" t="str">
        <f>'5.2 Budgeted Enrollment YR2'!E38</f>
        <v>Beacon Academy</v>
      </c>
      <c r="B36" s="551" t="str">
        <f t="shared" si="7"/>
        <v/>
      </c>
      <c r="C36" s="136">
        <f>'1.4 FY 2020 Revenue Received'!J36</f>
        <v>371.10250250000001</v>
      </c>
      <c r="D36" s="793">
        <f>'5.2 Budgeted Enrollment YR2'!G38</f>
        <v>601.80991881205171</v>
      </c>
      <c r="E36" s="215">
        <f>'6.8 Alloc of Residual Rev. YR2'!M42</f>
        <v>6741787.2300000004</v>
      </c>
      <c r="F36" s="570">
        <f t="shared" si="10"/>
        <v>11202.519299296386</v>
      </c>
      <c r="H36" s="208">
        <f>'1.4 FY 2020 Revenue Received'!H36</f>
        <v>3166785.5512704994</v>
      </c>
      <c r="I36" s="570">
        <f t="shared" si="8"/>
        <v>8533.4524287410295</v>
      </c>
      <c r="K36" s="242" t="str">
        <f t="shared" si="9"/>
        <v>Yes</v>
      </c>
      <c r="M36" s="760"/>
      <c r="N36" s="246"/>
      <c r="O36" s="248" t="str">
        <f t="shared" si="11"/>
        <v>Does Not Apply</v>
      </c>
      <c r="P36" s="244"/>
      <c r="Q36" s="249" t="str">
        <f t="shared" si="12"/>
        <v>Does Not Apply</v>
      </c>
      <c r="R36" s="248"/>
      <c r="S36" s="248"/>
      <c r="T36" s="248"/>
      <c r="U36" s="248"/>
      <c r="V36" s="248"/>
    </row>
    <row r="37" spans="1:22" ht="18.75" x14ac:dyDescent="0.45">
      <c r="A37" s="10" t="str">
        <f>'5.2 Budgeted Enrollment YR2'!E39</f>
        <v>Cactus Park</v>
      </c>
      <c r="B37" s="551" t="s">
        <v>738</v>
      </c>
      <c r="C37" s="136">
        <f>'1.4 FY 2020 Revenue Received'!J37</f>
        <v>0</v>
      </c>
      <c r="D37" s="793">
        <f>'5.2 Budgeted Enrollment YR2'!G39</f>
        <v>108.63814205394173</v>
      </c>
      <c r="E37" s="215">
        <f>'6.8 Alloc of Residual Rev. YR2'!M43</f>
        <v>1117598.24</v>
      </c>
      <c r="F37" s="570">
        <f t="shared" si="10"/>
        <v>10287.34677223293</v>
      </c>
      <c r="H37" s="208">
        <f>'1.4 FY 2020 Revenue Received'!H37</f>
        <v>0</v>
      </c>
      <c r="I37" s="570">
        <f t="shared" si="8"/>
        <v>0</v>
      </c>
      <c r="K37" s="242" t="str">
        <f t="shared" si="9"/>
        <v>Yes</v>
      </c>
      <c r="M37" s="760"/>
      <c r="N37" s="246"/>
      <c r="O37" s="248" t="str">
        <f t="shared" si="11"/>
        <v>Does Not Apply</v>
      </c>
      <c r="P37" s="244"/>
      <c r="Q37" s="249" t="str">
        <f t="shared" si="12"/>
        <v>Does Not Apply</v>
      </c>
      <c r="R37" s="248"/>
      <c r="S37" s="248"/>
      <c r="T37" s="248"/>
      <c r="U37" s="248"/>
      <c r="V37" s="248"/>
    </row>
    <row r="38" spans="1:22" ht="18.75" x14ac:dyDescent="0.45">
      <c r="A38" s="10" t="str">
        <f>'5.2 Budgeted Enrollment YR2'!E40</f>
        <v>Carson Montessori</v>
      </c>
      <c r="B38" s="551" t="str">
        <f t="shared" si="7"/>
        <v/>
      </c>
      <c r="C38" s="136">
        <f>'1.4 FY 2020 Revenue Received'!J38</f>
        <v>278.55615749999998</v>
      </c>
      <c r="D38" s="793">
        <f>'5.2 Budgeted Enrollment YR2'!G40</f>
        <v>286.5624465080453</v>
      </c>
      <c r="E38" s="215">
        <f>'6.8 Alloc of Residual Rev. YR2'!M44</f>
        <v>3095172.59</v>
      </c>
      <c r="F38" s="570">
        <f t="shared" si="10"/>
        <v>10801.040498211625</v>
      </c>
      <c r="H38" s="208">
        <f>'1.4 FY 2020 Revenue Received'!H38</f>
        <v>2359224.1750915041</v>
      </c>
      <c r="I38" s="570">
        <f t="shared" si="8"/>
        <v>8469.4741493607235</v>
      </c>
      <c r="K38" s="242" t="str">
        <f t="shared" si="9"/>
        <v>Yes</v>
      </c>
      <c r="M38" s="760"/>
      <c r="N38" s="246"/>
      <c r="O38" s="248" t="str">
        <f t="shared" si="11"/>
        <v>Does Not Apply</v>
      </c>
      <c r="P38" s="244"/>
      <c r="Q38" s="249" t="str">
        <f t="shared" si="12"/>
        <v>Does Not Apply</v>
      </c>
      <c r="R38" s="248"/>
      <c r="S38" s="248"/>
      <c r="T38" s="248"/>
      <c r="U38" s="248"/>
      <c r="V38" s="248"/>
    </row>
    <row r="39" spans="1:22" ht="18.75" x14ac:dyDescent="0.45">
      <c r="A39" s="10" t="str">
        <f>'5.2 Budgeted Enrollment YR2'!E41</f>
        <v>CIVICA Nevada Career &amp; Collegiate Academy</v>
      </c>
      <c r="B39" s="551" t="str">
        <f t="shared" si="7"/>
        <v>Yes</v>
      </c>
      <c r="C39" s="136">
        <f>'1.4 FY 2020 Revenue Received'!J39</f>
        <v>0</v>
      </c>
      <c r="D39" s="793">
        <f>'5.2 Budgeted Enrollment YR2'!G41</f>
        <v>766.82382275741224</v>
      </c>
      <c r="E39" s="215">
        <f>'6.8 Alloc of Residual Rev. YR2'!M45</f>
        <v>8671990.459999999</v>
      </c>
      <c r="F39" s="570">
        <f t="shared" si="10"/>
        <v>11308.973720738742</v>
      </c>
      <c r="H39" s="208">
        <f>'1.4 FY 2020 Revenue Received'!H39</f>
        <v>0</v>
      </c>
      <c r="I39" s="570">
        <f t="shared" si="8"/>
        <v>0</v>
      </c>
      <c r="K39" s="242" t="str">
        <f t="shared" si="9"/>
        <v>Yes</v>
      </c>
      <c r="M39" s="760"/>
      <c r="N39" s="246"/>
      <c r="O39" s="248" t="str">
        <f t="shared" si="11"/>
        <v>Does Not Apply</v>
      </c>
      <c r="P39" s="244"/>
      <c r="Q39" s="249" t="str">
        <f t="shared" si="12"/>
        <v>Does Not Apply</v>
      </c>
      <c r="R39" s="248"/>
      <c r="S39" s="248"/>
      <c r="T39" s="248"/>
      <c r="U39" s="248"/>
      <c r="V39" s="248"/>
    </row>
    <row r="40" spans="1:22" ht="18.75" x14ac:dyDescent="0.45">
      <c r="A40" s="10" t="str">
        <f>'5.2 Budgeted Enrollment YR2'!E42</f>
        <v>Coral Academy of Science Las Vegas</v>
      </c>
      <c r="B40" s="551" t="str">
        <f t="shared" si="7"/>
        <v/>
      </c>
      <c r="C40" s="136">
        <f>'1.4 FY 2020 Revenue Received'!J40</f>
        <v>3731.6204735000006</v>
      </c>
      <c r="D40" s="793">
        <f>'5.2 Budgeted Enrollment YR2'!G42</f>
        <v>5181.6526046932322</v>
      </c>
      <c r="E40" s="215">
        <f>'6.8 Alloc of Residual Rev. YR2'!M46</f>
        <v>50517889.690000005</v>
      </c>
      <c r="F40" s="570">
        <f t="shared" si="10"/>
        <v>9749.3779579595721</v>
      </c>
      <c r="H40" s="208">
        <f>'1.4 FY 2020 Revenue Received'!H40</f>
        <v>27593259.474862922</v>
      </c>
      <c r="I40" s="570">
        <f t="shared" si="8"/>
        <v>7394.4442289390599</v>
      </c>
      <c r="K40" s="242" t="str">
        <f t="shared" si="9"/>
        <v>Yes</v>
      </c>
      <c r="M40" s="760"/>
      <c r="N40" s="246"/>
      <c r="O40" s="248" t="str">
        <f t="shared" si="11"/>
        <v>Does Not Apply</v>
      </c>
      <c r="P40" s="244"/>
      <c r="Q40" s="249" t="str">
        <f t="shared" si="12"/>
        <v>Does Not Apply</v>
      </c>
      <c r="R40" s="248"/>
      <c r="S40" s="248"/>
      <c r="T40" s="248"/>
      <c r="U40" s="248"/>
      <c r="V40" s="248"/>
    </row>
    <row r="41" spans="1:22" ht="18.75" x14ac:dyDescent="0.45">
      <c r="A41" s="10" t="str">
        <f>'5.2 Budgeted Enrollment YR2'!E43</f>
        <v>Coral Academy Washoe</v>
      </c>
      <c r="B41" s="551" t="str">
        <f t="shared" si="7"/>
        <v/>
      </c>
      <c r="C41" s="136">
        <f>'1.4 FY 2020 Revenue Received'!J41</f>
        <v>1424.90155</v>
      </c>
      <c r="D41" s="793">
        <f>'5.2 Budgeted Enrollment YR2'!G43</f>
        <v>1764.8271374062203</v>
      </c>
      <c r="E41" s="215">
        <f>'6.8 Alloc of Residual Rev. YR2'!M47</f>
        <v>17555359.320000004</v>
      </c>
      <c r="F41" s="570">
        <f t="shared" si="10"/>
        <v>9947.3534534386454</v>
      </c>
      <c r="H41" s="208">
        <f>'1.4 FY 2020 Revenue Received'!H41</f>
        <v>10950257.057644386</v>
      </c>
      <c r="I41" s="570">
        <f t="shared" si="8"/>
        <v>7684.9218513688793</v>
      </c>
      <c r="K41" s="242" t="str">
        <f t="shared" si="9"/>
        <v>Yes</v>
      </c>
      <c r="M41" s="760"/>
      <c r="N41" s="246"/>
      <c r="O41" s="248" t="str">
        <f t="shared" si="11"/>
        <v>Does Not Apply</v>
      </c>
      <c r="P41" s="244"/>
      <c r="Q41" s="249" t="str">
        <f t="shared" si="12"/>
        <v>Does Not Apply</v>
      </c>
      <c r="R41" s="248"/>
      <c r="S41" s="248"/>
      <c r="T41" s="248"/>
      <c r="U41" s="248"/>
      <c r="V41" s="248"/>
    </row>
    <row r="42" spans="1:22" ht="18.75" x14ac:dyDescent="0.45">
      <c r="A42" s="10" t="str">
        <f>'5.2 Budgeted Enrollment YR2'!E44</f>
        <v>Delta Academy</v>
      </c>
      <c r="B42" s="551" t="str">
        <f t="shared" si="7"/>
        <v/>
      </c>
      <c r="C42" s="136">
        <f>'1.4 FY 2020 Revenue Received'!J42</f>
        <v>614.92500499999994</v>
      </c>
      <c r="D42" s="793">
        <f>'5.2 Budgeted Enrollment YR2'!G44</f>
        <v>1260.4243542206814</v>
      </c>
      <c r="E42" s="215">
        <f>'6.8 Alloc of Residual Rev. YR2'!M48</f>
        <v>13722997.43</v>
      </c>
      <c r="F42" s="570">
        <f t="shared" si="10"/>
        <v>10887.600976644813</v>
      </c>
      <c r="H42" s="208">
        <f>'1.4 FY 2020 Revenue Received'!H42</f>
        <v>4624988.5864378968</v>
      </c>
      <c r="I42" s="570">
        <f t="shared" si="8"/>
        <v>7521.2238058816574</v>
      </c>
      <c r="K42" s="242" t="str">
        <f t="shared" si="9"/>
        <v>Yes</v>
      </c>
      <c r="M42" s="760"/>
      <c r="N42" s="246"/>
      <c r="O42" s="248" t="str">
        <f t="shared" si="11"/>
        <v>Does Not Apply</v>
      </c>
      <c r="P42" s="244"/>
      <c r="Q42" s="249" t="str">
        <f t="shared" si="12"/>
        <v>Does Not Apply</v>
      </c>
      <c r="R42" s="248"/>
      <c r="S42" s="248"/>
      <c r="T42" s="248"/>
      <c r="U42" s="248"/>
      <c r="V42" s="248"/>
    </row>
    <row r="43" spans="1:22" ht="18.75" x14ac:dyDescent="0.45">
      <c r="A43" s="10" t="str">
        <f>'5.2 Budgeted Enrollment YR2'!E45</f>
        <v>Democracy Prep</v>
      </c>
      <c r="B43" s="551" t="str">
        <f t="shared" si="7"/>
        <v/>
      </c>
      <c r="C43" s="136">
        <f>'1.4 FY 2020 Revenue Received'!J43</f>
        <v>981.96345500000007</v>
      </c>
      <c r="D43" s="793">
        <f>'5.2 Budgeted Enrollment YR2'!G45</f>
        <v>1204.5222970981536</v>
      </c>
      <c r="E43" s="215">
        <f>'6.8 Alloc of Residual Rev. YR2'!M49</f>
        <v>12454827.02</v>
      </c>
      <c r="F43" s="570">
        <f t="shared" si="10"/>
        <v>10340.055182046237</v>
      </c>
      <c r="H43" s="208">
        <f>'1.4 FY 2020 Revenue Received'!H43</f>
        <v>8001702.7656820379</v>
      </c>
      <c r="I43" s="570">
        <f t="shared" si="8"/>
        <v>8148.6767404007287</v>
      </c>
      <c r="K43" s="242" t="str">
        <f t="shared" si="9"/>
        <v>Yes</v>
      </c>
      <c r="M43" s="760"/>
      <c r="N43" s="246"/>
      <c r="O43" s="248" t="str">
        <f t="shared" si="11"/>
        <v>Does Not Apply</v>
      </c>
      <c r="P43" s="244"/>
      <c r="Q43" s="249" t="str">
        <f t="shared" si="12"/>
        <v>Does Not Apply</v>
      </c>
      <c r="R43" s="248"/>
      <c r="S43" s="248"/>
      <c r="T43" s="248"/>
      <c r="U43" s="248"/>
      <c r="V43" s="248"/>
    </row>
    <row r="44" spans="1:22" ht="18.75" x14ac:dyDescent="0.45">
      <c r="A44" s="10" t="str">
        <f>'5.2 Budgeted Enrollment YR2'!E46</f>
        <v>Discovery Charter</v>
      </c>
      <c r="B44" s="551" t="str">
        <f t="shared" si="7"/>
        <v/>
      </c>
      <c r="C44" s="136">
        <f>'1.4 FY 2020 Revenue Received'!J44</f>
        <v>378.66546975</v>
      </c>
      <c r="D44" s="793">
        <f>'5.2 Budgeted Enrollment YR2'!G46</f>
        <v>492.70232395441064</v>
      </c>
      <c r="E44" s="215">
        <f>'6.8 Alloc of Residual Rev. YR2'!M50</f>
        <v>4839712.58</v>
      </c>
      <c r="F44" s="570">
        <f t="shared" si="10"/>
        <v>9822.7922717243255</v>
      </c>
      <c r="H44" s="208">
        <f>'1.4 FY 2020 Revenue Received'!H44</f>
        <v>2926109.1685075662</v>
      </c>
      <c r="I44" s="570">
        <f t="shared" si="8"/>
        <v>7727.425398569937</v>
      </c>
      <c r="K44" s="242" t="str">
        <f t="shared" si="9"/>
        <v>Yes</v>
      </c>
      <c r="M44" s="760"/>
      <c r="N44" s="246"/>
      <c r="O44" s="248" t="str">
        <f t="shared" si="11"/>
        <v>Does Not Apply</v>
      </c>
      <c r="P44" s="244"/>
      <c r="Q44" s="249" t="str">
        <f t="shared" si="12"/>
        <v>Does Not Apply</v>
      </c>
      <c r="R44" s="248"/>
      <c r="S44" s="248"/>
      <c r="T44" s="248"/>
      <c r="U44" s="248"/>
      <c r="V44" s="248"/>
    </row>
    <row r="45" spans="1:22" ht="18.75" x14ac:dyDescent="0.45">
      <c r="A45" s="10" t="str">
        <f>'5.2 Budgeted Enrollment YR2'!E47</f>
        <v>Doral Academy</v>
      </c>
      <c r="B45" s="551" t="str">
        <f t="shared" si="7"/>
        <v/>
      </c>
      <c r="C45" s="136">
        <f>'1.4 FY 2020 Revenue Received'!J45</f>
        <v>5724.9224675000005</v>
      </c>
      <c r="D45" s="793">
        <f>'5.2 Budgeted Enrollment YR2'!G47</f>
        <v>6286.4164943188516</v>
      </c>
      <c r="E45" s="215">
        <f>'6.8 Alloc of Residual Rev. YR2'!M51</f>
        <v>62666554.530000001</v>
      </c>
      <c r="F45" s="570">
        <f t="shared" ref="F45:F88" si="13">IF(D45=0,0,E45/D45)</f>
        <v>9968.5654914262996</v>
      </c>
      <c r="H45" s="208">
        <f>'1.4 FY 2020 Revenue Received'!H45</f>
        <v>42640149.234954685</v>
      </c>
      <c r="I45" s="570">
        <f t="shared" si="8"/>
        <v>7448.1618706663612</v>
      </c>
      <c r="K45" s="242" t="str">
        <f t="shared" si="9"/>
        <v>Yes</v>
      </c>
      <c r="M45" s="760"/>
      <c r="N45" s="246"/>
      <c r="O45" s="248" t="str">
        <f t="shared" si="11"/>
        <v>Does Not Apply</v>
      </c>
      <c r="P45" s="244"/>
      <c r="Q45" s="249" t="str">
        <f t="shared" si="12"/>
        <v>Does Not Apply</v>
      </c>
      <c r="R45" s="248"/>
      <c r="S45" s="248"/>
      <c r="T45" s="248"/>
      <c r="U45" s="248"/>
      <c r="V45" s="248"/>
    </row>
    <row r="46" spans="1:22" ht="18.75" x14ac:dyDescent="0.45">
      <c r="A46" s="10" t="str">
        <f>'5.2 Budgeted Enrollment YR2'!E48</f>
        <v>Doral Academy of Northern Nevada</v>
      </c>
      <c r="B46" s="551" t="str">
        <f t="shared" si="7"/>
        <v/>
      </c>
      <c r="C46" s="136">
        <f>'1.4 FY 2020 Revenue Received'!J46</f>
        <v>811.68888499999991</v>
      </c>
      <c r="D46" s="793">
        <f>'5.2 Budgeted Enrollment YR2'!G48</f>
        <v>958.37624221890496</v>
      </c>
      <c r="E46" s="215">
        <f>'6.8 Alloc of Residual Rev. YR2'!M52</f>
        <v>9202969.8499999996</v>
      </c>
      <c r="F46" s="570">
        <f t="shared" si="13"/>
        <v>9602.6690193118611</v>
      </c>
      <c r="H46" s="208">
        <f>'1.4 FY 2020 Revenue Received'!H46</f>
        <v>6246541.9827024397</v>
      </c>
      <c r="I46" s="570">
        <f t="shared" si="8"/>
        <v>7695.7342870383645</v>
      </c>
      <c r="K46" s="242" t="str">
        <f t="shared" si="9"/>
        <v>Yes</v>
      </c>
      <c r="M46" s="760"/>
      <c r="N46" s="246"/>
      <c r="O46" s="248" t="str">
        <f t="shared" si="11"/>
        <v>Does Not Apply</v>
      </c>
      <c r="P46" s="244"/>
      <c r="Q46" s="249" t="str">
        <f t="shared" si="12"/>
        <v>Does Not Apply</v>
      </c>
      <c r="R46" s="248"/>
      <c r="S46" s="248"/>
      <c r="T46" s="248"/>
      <c r="U46" s="248"/>
      <c r="V46" s="248"/>
    </row>
    <row r="47" spans="1:22" ht="18.75" x14ac:dyDescent="0.45">
      <c r="A47" s="10" t="str">
        <f>'5.2 Budgeted Enrollment YR2'!E49</f>
        <v>Eagle Charter School</v>
      </c>
      <c r="B47" s="551" t="str">
        <f t="shared" si="7"/>
        <v>Yes</v>
      </c>
      <c r="C47" s="136">
        <f>'1.4 FY 2020 Revenue Received'!J47</f>
        <v>0</v>
      </c>
      <c r="D47" s="793">
        <f>'5.2 Budgeted Enrollment YR2'!G49</f>
        <v>540.54</v>
      </c>
      <c r="E47" s="215">
        <f>'6.8 Alloc of Residual Rev. YR2'!M53</f>
        <v>5096313.8</v>
      </c>
      <c r="F47" s="570">
        <f t="shared" si="13"/>
        <v>9428.1899581899579</v>
      </c>
      <c r="H47" s="208">
        <f>'1.4 FY 2020 Revenue Received'!H47</f>
        <v>0</v>
      </c>
      <c r="I47" s="570">
        <f t="shared" si="8"/>
        <v>0</v>
      </c>
      <c r="K47" s="242" t="str">
        <f t="shared" si="9"/>
        <v>Yes</v>
      </c>
      <c r="M47" s="760"/>
      <c r="N47" s="246"/>
      <c r="O47" s="248" t="str">
        <f t="shared" si="11"/>
        <v>Does Not Apply</v>
      </c>
      <c r="P47" s="244"/>
      <c r="Q47" s="249" t="str">
        <f t="shared" si="12"/>
        <v>Does Not Apply</v>
      </c>
      <c r="R47" s="248"/>
      <c r="S47" s="248"/>
      <c r="T47" s="248"/>
      <c r="U47" s="248"/>
      <c r="V47" s="248"/>
    </row>
    <row r="48" spans="1:22" ht="18.75" x14ac:dyDescent="0.45">
      <c r="A48" s="10" t="str">
        <f>'5.2 Budgeted Enrollment YR2'!E50</f>
        <v>Elko Institute for Academic Achievement</v>
      </c>
      <c r="B48" s="551" t="str">
        <f t="shared" si="7"/>
        <v/>
      </c>
      <c r="C48" s="136">
        <f>'1.4 FY 2020 Revenue Received'!J48</f>
        <v>197.48914249999996</v>
      </c>
      <c r="D48" s="793">
        <f>'5.2 Budgeted Enrollment YR2'!G50</f>
        <v>197.4407703597104</v>
      </c>
      <c r="E48" s="215">
        <f>'6.8 Alloc of Residual Rev. YR2'!M54</f>
        <v>2071586.73</v>
      </c>
      <c r="F48" s="570">
        <f t="shared" si="13"/>
        <v>10492.193310560169</v>
      </c>
      <c r="H48" s="208">
        <f>'1.4 FY 2020 Revenue Received'!H48</f>
        <v>2010359.0977753294</v>
      </c>
      <c r="I48" s="570">
        <f t="shared" si="8"/>
        <v>10179.5930263626</v>
      </c>
      <c r="K48" s="242" t="str">
        <f t="shared" si="9"/>
        <v>Yes</v>
      </c>
      <c r="M48" s="760"/>
      <c r="N48" s="246"/>
      <c r="O48" s="248" t="str">
        <f t="shared" si="11"/>
        <v>Does Not Apply</v>
      </c>
      <c r="P48" s="244"/>
      <c r="Q48" s="249" t="str">
        <f t="shared" si="12"/>
        <v>Does Not Apply</v>
      </c>
      <c r="R48" s="248"/>
      <c r="S48" s="248"/>
      <c r="T48" s="248"/>
      <c r="U48" s="248"/>
      <c r="V48" s="248"/>
    </row>
    <row r="49" spans="1:22" ht="18.75" x14ac:dyDescent="0.45">
      <c r="A49" s="10" t="str">
        <f>'5.2 Budgeted Enrollment YR2'!E51</f>
        <v>enCompass Academy</v>
      </c>
      <c r="B49" s="551" t="str">
        <f t="shared" si="7"/>
        <v/>
      </c>
      <c r="C49" s="136">
        <f>'1.4 FY 2020 Revenue Received'!J49</f>
        <v>94.269284999999996</v>
      </c>
      <c r="D49" s="793">
        <f>'5.2 Budgeted Enrollment YR2'!G51</f>
        <v>114.98868933024798</v>
      </c>
      <c r="E49" s="215">
        <f>'6.8 Alloc of Residual Rev. YR2'!M55</f>
        <v>1248281.81</v>
      </c>
      <c r="F49" s="570">
        <f t="shared" si="13"/>
        <v>10855.692131727232</v>
      </c>
      <c r="H49" s="208">
        <f>'1.4 FY 2020 Revenue Received'!H49</f>
        <v>722845.91936268494</v>
      </c>
      <c r="I49" s="570">
        <f t="shared" si="8"/>
        <v>7667.8837583491268</v>
      </c>
      <c r="K49" s="242" t="str">
        <f t="shared" si="9"/>
        <v>Yes</v>
      </c>
      <c r="M49" s="760"/>
      <c r="N49" s="246"/>
      <c r="O49" s="248" t="str">
        <f t="shared" si="11"/>
        <v>Does Not Apply</v>
      </c>
      <c r="P49" s="244"/>
      <c r="Q49" s="249" t="str">
        <f t="shared" si="12"/>
        <v>Does Not Apply</v>
      </c>
      <c r="R49" s="248"/>
      <c r="S49" s="248"/>
      <c r="T49" s="248"/>
      <c r="U49" s="248"/>
      <c r="V49" s="248"/>
    </row>
    <row r="50" spans="1:22" ht="18.75" x14ac:dyDescent="0.45">
      <c r="A50" s="10" t="str">
        <f>'5.2 Budgeted Enrollment YR2'!E52</f>
        <v>Equipo Academy</v>
      </c>
      <c r="B50" s="551" t="str">
        <f t="shared" si="7"/>
        <v/>
      </c>
      <c r="C50" s="136">
        <f>'1.4 FY 2020 Revenue Received'!J50</f>
        <v>759.97385250000002</v>
      </c>
      <c r="D50" s="793">
        <f>'5.2 Budgeted Enrollment YR2'!G52</f>
        <v>799.91961948830169</v>
      </c>
      <c r="E50" s="215">
        <f>'6.8 Alloc of Residual Rev. YR2'!M56</f>
        <v>8447661.1600000001</v>
      </c>
      <c r="F50" s="570">
        <f t="shared" si="13"/>
        <v>10560.637536811337</v>
      </c>
      <c r="H50" s="208">
        <f>'1.4 FY 2020 Revenue Received'!H50</f>
        <v>5943695.3766791327</v>
      </c>
      <c r="I50" s="570">
        <f t="shared" si="8"/>
        <v>7820.9208871158271</v>
      </c>
      <c r="K50" s="242" t="str">
        <f t="shared" si="9"/>
        <v>Yes</v>
      </c>
      <c r="M50" s="760"/>
      <c r="N50" s="246"/>
      <c r="O50" s="248" t="str">
        <f t="shared" si="11"/>
        <v>Does Not Apply</v>
      </c>
      <c r="P50" s="244"/>
      <c r="Q50" s="249" t="str">
        <f t="shared" si="12"/>
        <v>Does Not Apply</v>
      </c>
      <c r="R50" s="248"/>
      <c r="S50" s="248"/>
      <c r="T50" s="248"/>
      <c r="U50" s="248"/>
      <c r="V50" s="248"/>
    </row>
    <row r="51" spans="1:22" ht="18.75" x14ac:dyDescent="0.45">
      <c r="A51" s="10" t="str">
        <f>'5.2 Budgeted Enrollment YR2'!E53</f>
        <v>Explore Academy</v>
      </c>
      <c r="B51" s="551" t="str">
        <f t="shared" si="7"/>
        <v>Yes</v>
      </c>
      <c r="C51" s="136">
        <f>'1.4 FY 2020 Revenue Received'!J51</f>
        <v>0</v>
      </c>
      <c r="D51" s="793">
        <f>'5.2 Budgeted Enrollment YR2'!G53</f>
        <v>275.00799010221766</v>
      </c>
      <c r="E51" s="215">
        <f>'6.8 Alloc of Residual Rev. YR2'!M57</f>
        <v>2646095.77</v>
      </c>
      <c r="F51" s="570">
        <f t="shared" si="13"/>
        <v>9621.8868732376577</v>
      </c>
      <c r="H51" s="208">
        <f>'1.4 FY 2020 Revenue Received'!H51</f>
        <v>0</v>
      </c>
      <c r="I51" s="570">
        <f t="shared" si="8"/>
        <v>0</v>
      </c>
      <c r="K51" s="242" t="str">
        <f t="shared" si="9"/>
        <v>Yes</v>
      </c>
      <c r="M51" s="760"/>
      <c r="N51" s="246"/>
      <c r="O51" s="248" t="str">
        <f t="shared" si="11"/>
        <v>Does Not Apply</v>
      </c>
      <c r="P51" s="244"/>
      <c r="Q51" s="249" t="str">
        <f t="shared" si="12"/>
        <v>Does Not Apply</v>
      </c>
      <c r="R51" s="248"/>
      <c r="S51" s="248"/>
      <c r="T51" s="248"/>
      <c r="U51" s="248"/>
      <c r="V51" s="248"/>
    </row>
    <row r="52" spans="1:22" ht="18.75" x14ac:dyDescent="0.45">
      <c r="A52" s="10" t="str">
        <f>'5.2 Budgeted Enrollment YR2'!E54</f>
        <v>Explore Knowledge Academy</v>
      </c>
      <c r="B52" s="551" t="str">
        <f t="shared" si="7"/>
        <v/>
      </c>
      <c r="C52" s="136">
        <f>'1.4 FY 2020 Revenue Received'!J52</f>
        <v>762.71106750000013</v>
      </c>
      <c r="D52" s="793">
        <f>'5.2 Budgeted Enrollment YR2'!G54</f>
        <v>672.490310086195</v>
      </c>
      <c r="E52" s="215">
        <f>'6.8 Alloc of Residual Rev. YR2'!M58</f>
        <v>6915222.9800000004</v>
      </c>
      <c r="F52" s="570">
        <f t="shared" si="13"/>
        <v>10283.007615550114</v>
      </c>
      <c r="H52" s="208">
        <f>'1.4 FY 2020 Revenue Received'!H52</f>
        <v>5570128.8209581729</v>
      </c>
      <c r="I52" s="570">
        <f t="shared" si="8"/>
        <v>7303.0654179646763</v>
      </c>
      <c r="K52" s="242" t="str">
        <f t="shared" si="9"/>
        <v>Yes</v>
      </c>
      <c r="M52" s="760"/>
      <c r="N52" s="246"/>
      <c r="O52" s="248" t="str">
        <f t="shared" si="11"/>
        <v>Does Not Apply</v>
      </c>
      <c r="P52" s="244"/>
      <c r="Q52" s="249" t="str">
        <f t="shared" si="12"/>
        <v>Does Not Apply</v>
      </c>
      <c r="R52" s="248"/>
      <c r="S52" s="248"/>
      <c r="T52" s="248"/>
      <c r="U52" s="248"/>
      <c r="V52" s="248"/>
    </row>
    <row r="53" spans="1:22" ht="18.75" x14ac:dyDescent="0.45">
      <c r="A53" s="10" t="str">
        <f>'5.2 Budgeted Enrollment YR2'!E55</f>
        <v>Founders Academy of Las Vegas</v>
      </c>
      <c r="B53" s="551" t="str">
        <f t="shared" si="7"/>
        <v/>
      </c>
      <c r="C53" s="136">
        <f>'1.4 FY 2020 Revenue Received'!J53</f>
        <v>764.61392499999999</v>
      </c>
      <c r="D53" s="793">
        <f>'5.2 Budgeted Enrollment YR2'!G55</f>
        <v>943.25732389413508</v>
      </c>
      <c r="E53" s="215">
        <f>'6.8 Alloc of Residual Rev. YR2'!M59</f>
        <v>9322737.8200000003</v>
      </c>
      <c r="F53" s="570">
        <f t="shared" si="13"/>
        <v>9883.5573112881793</v>
      </c>
      <c r="H53" s="208">
        <f>'1.4 FY 2020 Revenue Received'!H53</f>
        <v>5668818.6629095022</v>
      </c>
      <c r="I53" s="570">
        <f t="shared" si="8"/>
        <v>7413.9621023897807</v>
      </c>
      <c r="K53" s="242" t="str">
        <f t="shared" si="9"/>
        <v>Yes</v>
      </c>
      <c r="M53" s="760"/>
      <c r="N53" s="246"/>
      <c r="O53" s="248" t="str">
        <f t="shared" si="11"/>
        <v>Does Not Apply</v>
      </c>
      <c r="P53" s="244"/>
      <c r="Q53" s="249" t="str">
        <f t="shared" si="12"/>
        <v>Does Not Apply</v>
      </c>
      <c r="R53" s="248"/>
      <c r="S53" s="248"/>
      <c r="T53" s="248"/>
      <c r="U53" s="248"/>
      <c r="V53" s="248"/>
    </row>
    <row r="54" spans="1:22" ht="18.75" x14ac:dyDescent="0.45">
      <c r="A54" s="10" t="str">
        <f>'5.2 Budgeted Enrollment YR2'!E56</f>
        <v>Freedom Classical Academy</v>
      </c>
      <c r="B54" s="551" t="str">
        <f t="shared" si="7"/>
        <v/>
      </c>
      <c r="C54" s="136">
        <f>'1.4 FY 2020 Revenue Received'!J54</f>
        <v>1071.2845</v>
      </c>
      <c r="D54" s="793">
        <f>'5.2 Budgeted Enrollment YR2'!G56</f>
        <v>1045.9981866482556</v>
      </c>
      <c r="E54" s="215">
        <f>'6.8 Alloc of Residual Rev. YR2'!M60</f>
        <v>10674281.790000001</v>
      </c>
      <c r="F54" s="570">
        <f t="shared" si="13"/>
        <v>10204.875999072367</v>
      </c>
      <c r="H54" s="208">
        <f>'1.4 FY 2020 Revenue Received'!H54</f>
        <v>8142139.7054803856</v>
      </c>
      <c r="I54" s="570">
        <f t="shared" si="8"/>
        <v>7600.3523858325079</v>
      </c>
      <c r="K54" s="242" t="str">
        <f t="shared" si="9"/>
        <v>Yes</v>
      </c>
      <c r="M54" s="760"/>
      <c r="N54" s="246"/>
      <c r="O54" s="248" t="str">
        <f t="shared" si="11"/>
        <v>Does Not Apply</v>
      </c>
      <c r="P54" s="244"/>
      <c r="Q54" s="249" t="str">
        <f t="shared" si="12"/>
        <v>Does Not Apply</v>
      </c>
      <c r="R54" s="248"/>
      <c r="S54" s="248"/>
      <c r="T54" s="248"/>
      <c r="U54" s="248"/>
      <c r="V54" s="248"/>
    </row>
    <row r="55" spans="1:22" ht="18.75" x14ac:dyDescent="0.45">
      <c r="A55" s="10" t="str">
        <f>'5.2 Budgeted Enrollment YR2'!E57</f>
        <v>Futuro Academy Elementary</v>
      </c>
      <c r="B55" s="551" t="str">
        <f t="shared" si="7"/>
        <v/>
      </c>
      <c r="C55" s="136">
        <f>'1.4 FY 2020 Revenue Received'!J55</f>
        <v>340.84044000000006</v>
      </c>
      <c r="D55" s="793">
        <f>'5.2 Budgeted Enrollment YR2'!G57</f>
        <v>464.17096223843089</v>
      </c>
      <c r="E55" s="215">
        <f>'6.8 Alloc of Residual Rev. YR2'!M61</f>
        <v>5558535.7999999998</v>
      </c>
      <c r="F55" s="570">
        <f t="shared" si="13"/>
        <v>11975.190721096302</v>
      </c>
      <c r="H55" s="208">
        <f>'1.4 FY 2020 Revenue Received'!H55</f>
        <v>2619248.1189276734</v>
      </c>
      <c r="I55" s="570">
        <f t="shared" si="8"/>
        <v>7684.6753246993603</v>
      </c>
      <c r="K55" s="242" t="str">
        <f t="shared" si="9"/>
        <v>Yes</v>
      </c>
      <c r="M55" s="760"/>
      <c r="N55" s="246"/>
      <c r="O55" s="248" t="str">
        <f t="shared" si="11"/>
        <v>Does Not Apply</v>
      </c>
      <c r="P55" s="244"/>
      <c r="Q55" s="249" t="str">
        <f t="shared" si="12"/>
        <v>Does Not Apply</v>
      </c>
      <c r="R55" s="248"/>
      <c r="S55" s="248"/>
      <c r="T55" s="248"/>
      <c r="U55" s="248"/>
      <c r="V55" s="248"/>
    </row>
    <row r="56" spans="1:22" ht="18.75" x14ac:dyDescent="0.45">
      <c r="A56" s="10" t="str">
        <f>'5.2 Budgeted Enrollment YR2'!E58</f>
        <v>Girls Athletic Leadership Schools</v>
      </c>
      <c r="B56" s="551" t="str">
        <f t="shared" si="7"/>
        <v>Yes</v>
      </c>
      <c r="C56" s="136">
        <f>'1.4 FY 2020 Revenue Received'!J56</f>
        <v>0</v>
      </c>
      <c r="D56" s="793">
        <f>'5.2 Budgeted Enrollment YR2'!G58</f>
        <v>0</v>
      </c>
      <c r="E56" s="215">
        <f>'6.8 Alloc of Residual Rev. YR2'!M62</f>
        <v>0</v>
      </c>
      <c r="F56" s="570">
        <f t="shared" si="13"/>
        <v>0</v>
      </c>
      <c r="H56" s="208">
        <f>'1.4 FY 2020 Revenue Received'!H56</f>
        <v>0</v>
      </c>
      <c r="I56" s="570">
        <f t="shared" si="8"/>
        <v>0</v>
      </c>
      <c r="K56" s="242" t="str">
        <f t="shared" si="9"/>
        <v>Yes</v>
      </c>
      <c r="M56" s="760"/>
      <c r="N56" s="246"/>
      <c r="O56" s="248" t="str">
        <f t="shared" si="11"/>
        <v>Does Not Apply</v>
      </c>
      <c r="P56" s="244"/>
      <c r="Q56" s="249" t="str">
        <f t="shared" si="12"/>
        <v>Does Not Apply</v>
      </c>
      <c r="R56" s="248"/>
      <c r="S56" s="248"/>
      <c r="T56" s="248"/>
      <c r="U56" s="248"/>
      <c r="V56" s="248"/>
    </row>
    <row r="57" spans="1:22" ht="18.75" x14ac:dyDescent="0.45">
      <c r="A57" s="10" t="str">
        <f>'5.2 Budgeted Enrollment YR2'!E59</f>
        <v>High Desert Montessori</v>
      </c>
      <c r="B57" s="551" t="str">
        <f t="shared" si="7"/>
        <v/>
      </c>
      <c r="C57" s="136">
        <f>'1.4 FY 2020 Revenue Received'!J57</f>
        <v>346.239215</v>
      </c>
      <c r="D57" s="793">
        <f>'5.2 Budgeted Enrollment YR2'!G59</f>
        <v>392.72260172975848</v>
      </c>
      <c r="E57" s="215">
        <f>'6.8 Alloc of Residual Rev. YR2'!M63</f>
        <v>4004982.4899999998</v>
      </c>
      <c r="F57" s="570">
        <f t="shared" si="13"/>
        <v>10197.993373337655</v>
      </c>
      <c r="H57" s="208">
        <f>'1.4 FY 2020 Revenue Received'!H57</f>
        <v>2661884.9865696384</v>
      </c>
      <c r="I57" s="570">
        <f t="shared" si="8"/>
        <v>7687.9939395935799</v>
      </c>
      <c r="K57" s="242" t="str">
        <f t="shared" si="9"/>
        <v>Yes</v>
      </c>
      <c r="M57" s="760"/>
      <c r="N57" s="246"/>
      <c r="O57" s="248" t="str">
        <f t="shared" si="11"/>
        <v>Does Not Apply</v>
      </c>
      <c r="P57" s="244"/>
      <c r="Q57" s="249" t="str">
        <f t="shared" si="12"/>
        <v>Does Not Apply</v>
      </c>
      <c r="R57" s="248"/>
      <c r="S57" s="248"/>
      <c r="T57" s="248"/>
      <c r="U57" s="248"/>
      <c r="V57" s="248"/>
    </row>
    <row r="58" spans="1:22" ht="18.75" x14ac:dyDescent="0.45">
      <c r="A58" s="10" t="str">
        <f>'5.2 Budgeted Enrollment YR2'!E60</f>
        <v>Honors Academy of Literature</v>
      </c>
      <c r="B58" s="551" t="str">
        <f t="shared" si="7"/>
        <v/>
      </c>
      <c r="C58" s="136">
        <f>'1.4 FY 2020 Revenue Received'!J58</f>
        <v>218.46999250000002</v>
      </c>
      <c r="D58" s="793">
        <f>'5.2 Budgeted Enrollment YR2'!G60</f>
        <v>216.78092314626417</v>
      </c>
      <c r="E58" s="215">
        <f>'6.8 Alloc of Residual Rev. YR2'!M64</f>
        <v>2098070.52</v>
      </c>
      <c r="F58" s="570">
        <f t="shared" si="13"/>
        <v>9678.2986692256673</v>
      </c>
      <c r="H58" s="208">
        <f>'1.4 FY 2020 Revenue Received'!H58</f>
        <v>1710885.8037064068</v>
      </c>
      <c r="I58" s="570">
        <f t="shared" si="8"/>
        <v>7831.2164710968564</v>
      </c>
      <c r="K58" s="242" t="str">
        <f t="shared" si="9"/>
        <v>Yes</v>
      </c>
      <c r="M58" s="760"/>
      <c r="N58" s="246"/>
      <c r="O58" s="248" t="str">
        <f t="shared" si="11"/>
        <v>Does Not Apply</v>
      </c>
      <c r="P58" s="244"/>
      <c r="Q58" s="249" t="str">
        <f t="shared" si="12"/>
        <v>Does Not Apply</v>
      </c>
      <c r="R58" s="248"/>
      <c r="S58" s="248"/>
      <c r="T58" s="248"/>
      <c r="U58" s="248"/>
      <c r="V58" s="248"/>
    </row>
    <row r="59" spans="1:22" ht="18.75" x14ac:dyDescent="0.45">
      <c r="A59" s="10" t="str">
        <f>'5.2 Budgeted Enrollment YR2'!E61</f>
        <v>Imagine School Mountain View</v>
      </c>
      <c r="B59" s="551" t="str">
        <f t="shared" si="7"/>
        <v/>
      </c>
      <c r="C59" s="136">
        <f>'1.4 FY 2020 Revenue Received'!J59</f>
        <v>709.47592499999996</v>
      </c>
      <c r="D59" s="793">
        <f>'5.2 Budgeted Enrollment YR2'!G61</f>
        <v>672.04958495599931</v>
      </c>
      <c r="E59" s="215">
        <f>'6.8 Alloc of Residual Rev. YR2'!M65</f>
        <v>6810092.6399999997</v>
      </c>
      <c r="F59" s="570">
        <f t="shared" si="13"/>
        <v>10133.318719995747</v>
      </c>
      <c r="H59" s="208">
        <f>'1.4 FY 2020 Revenue Received'!H59</f>
        <v>5418025.2167836307</v>
      </c>
      <c r="I59" s="570">
        <f t="shared" si="8"/>
        <v>7636.6583077271171</v>
      </c>
      <c r="K59" s="242" t="str">
        <f t="shared" si="9"/>
        <v>Yes</v>
      </c>
      <c r="M59" s="760"/>
      <c r="N59" s="246"/>
      <c r="O59" s="248" t="str">
        <f t="shared" si="11"/>
        <v>Does Not Apply</v>
      </c>
      <c r="P59" s="244"/>
      <c r="Q59" s="249" t="str">
        <f t="shared" si="12"/>
        <v>Does Not Apply</v>
      </c>
      <c r="R59" s="248"/>
      <c r="S59" s="248"/>
      <c r="T59" s="248"/>
      <c r="U59" s="248"/>
      <c r="V59" s="248"/>
    </row>
    <row r="60" spans="1:22" ht="18.75" x14ac:dyDescent="0.45">
      <c r="A60" s="10" t="str">
        <f>'5.2 Budgeted Enrollment YR2'!E62</f>
        <v>Innovations Int'l Charter</v>
      </c>
      <c r="B60" s="551" t="str">
        <f t="shared" si="7"/>
        <v/>
      </c>
      <c r="C60" s="136">
        <f>'1.4 FY 2020 Revenue Received'!J60</f>
        <v>802.28936500000009</v>
      </c>
      <c r="D60" s="793">
        <f>'5.2 Budgeted Enrollment YR2'!G62</f>
        <v>737.8298019390819</v>
      </c>
      <c r="E60" s="215">
        <f>'6.8 Alloc of Residual Rev. YR2'!M66</f>
        <v>8335715.9199999999</v>
      </c>
      <c r="F60" s="570">
        <f t="shared" si="13"/>
        <v>11297.613484970385</v>
      </c>
      <c r="H60" s="208">
        <f>'1.4 FY 2020 Revenue Received'!H60</f>
        <v>5810173.8820857545</v>
      </c>
      <c r="I60" s="570">
        <f t="shared" si="8"/>
        <v>7241.9928962734712</v>
      </c>
      <c r="K60" s="242" t="str">
        <f t="shared" si="9"/>
        <v>Yes</v>
      </c>
      <c r="M60" s="760"/>
      <c r="N60" s="246"/>
      <c r="O60" s="248" t="str">
        <f t="shared" si="11"/>
        <v>Does Not Apply</v>
      </c>
      <c r="P60" s="244"/>
      <c r="Q60" s="249" t="str">
        <f t="shared" si="12"/>
        <v>Does Not Apply</v>
      </c>
      <c r="R60" s="248"/>
      <c r="S60" s="248"/>
      <c r="T60" s="248"/>
      <c r="U60" s="248"/>
      <c r="V60" s="248"/>
    </row>
    <row r="61" spans="1:22" ht="18.75" x14ac:dyDescent="0.45">
      <c r="A61" s="10" t="str">
        <f>'5.2 Budgeted Enrollment YR2'!E63</f>
        <v>Leadership Academy of Nevada</v>
      </c>
      <c r="B61" s="551" t="str">
        <f t="shared" si="7"/>
        <v/>
      </c>
      <c r="C61" s="136">
        <f>'1.4 FY 2020 Revenue Received'!J61</f>
        <v>262.75737500000002</v>
      </c>
      <c r="D61" s="793">
        <f>'5.2 Budgeted Enrollment YR2'!G63</f>
        <v>267.90731642854911</v>
      </c>
      <c r="E61" s="215">
        <f>'6.8 Alloc of Residual Rev. YR2'!M67</f>
        <v>2579620.67</v>
      </c>
      <c r="F61" s="570">
        <f t="shared" si="13"/>
        <v>9628.7802229096087</v>
      </c>
      <c r="H61" s="208">
        <f>'1.4 FY 2020 Revenue Received'!H61</f>
        <v>2119514.781194021</v>
      </c>
      <c r="I61" s="570">
        <f t="shared" si="8"/>
        <v>8066.4330780212003</v>
      </c>
      <c r="K61" s="242" t="str">
        <f t="shared" si="9"/>
        <v>Yes</v>
      </c>
      <c r="M61" s="760"/>
      <c r="N61" s="246"/>
      <c r="O61" s="248" t="str">
        <f t="shared" si="11"/>
        <v>Does Not Apply</v>
      </c>
      <c r="P61" s="244"/>
      <c r="Q61" s="249" t="str">
        <f t="shared" si="12"/>
        <v>Does Not Apply</v>
      </c>
      <c r="R61" s="248"/>
      <c r="S61" s="248"/>
      <c r="T61" s="248"/>
      <c r="U61" s="248"/>
      <c r="V61" s="248"/>
    </row>
    <row r="62" spans="1:22" ht="18.75" x14ac:dyDescent="0.45">
      <c r="A62" s="10" t="str">
        <f>'5.2 Budgeted Enrollment YR2'!E64</f>
        <v>Learning Bridge</v>
      </c>
      <c r="B62" s="551" t="str">
        <f t="shared" si="7"/>
        <v/>
      </c>
      <c r="C62" s="136">
        <f>'1.4 FY 2020 Revenue Received'!J62</f>
        <v>180.91071249999999</v>
      </c>
      <c r="D62" s="793">
        <f>'5.2 Budgeted Enrollment YR2'!G64</f>
        <v>175.37345354755249</v>
      </c>
      <c r="E62" s="215">
        <f>'6.8 Alloc of Residual Rev. YR2'!M68</f>
        <v>2402145.64</v>
      </c>
      <c r="F62" s="570">
        <f t="shared" si="13"/>
        <v>13697.316163923628</v>
      </c>
      <c r="H62" s="208">
        <f>'1.4 FY 2020 Revenue Received'!H62</f>
        <v>2103601.7802868322</v>
      </c>
      <c r="I62" s="570">
        <f t="shared" si="8"/>
        <v>11627.845312293668</v>
      </c>
      <c r="K62" s="242" t="str">
        <f t="shared" si="9"/>
        <v>Yes</v>
      </c>
      <c r="M62" s="760"/>
      <c r="N62" s="246"/>
      <c r="O62" s="248" t="str">
        <f t="shared" si="11"/>
        <v>Does Not Apply</v>
      </c>
      <c r="P62" s="244"/>
      <c r="Q62" s="249" t="str">
        <f t="shared" si="12"/>
        <v>Does Not Apply</v>
      </c>
      <c r="R62" s="248"/>
      <c r="S62" s="248"/>
      <c r="T62" s="248"/>
      <c r="U62" s="248"/>
      <c r="V62" s="248"/>
    </row>
    <row r="63" spans="1:22" ht="18.75" x14ac:dyDescent="0.45">
      <c r="A63" s="10" t="str">
        <f>'5.2 Budgeted Enrollment YR2'!E65</f>
        <v>Legacy Traditional Schools</v>
      </c>
      <c r="B63" s="551" t="str">
        <f t="shared" si="7"/>
        <v/>
      </c>
      <c r="C63" s="136">
        <f>'1.4 FY 2020 Revenue Received'!J63</f>
        <v>4157.8304200000002</v>
      </c>
      <c r="D63" s="793">
        <f>'5.2 Budgeted Enrollment YR2'!G65</f>
        <v>4018.3786872551959</v>
      </c>
      <c r="E63" s="215">
        <f>'6.8 Alloc of Residual Rev. YR2'!M69</f>
        <v>39729965.789999992</v>
      </c>
      <c r="F63" s="570">
        <f t="shared" si="13"/>
        <v>9887.0636348955068</v>
      </c>
      <c r="H63" s="208">
        <f>'1.4 FY 2020 Revenue Received'!H63</f>
        <v>30660605.179457314</v>
      </c>
      <c r="I63" s="570">
        <f t="shared" si="8"/>
        <v>7374.1836684761456</v>
      </c>
      <c r="K63" s="242" t="str">
        <f t="shared" si="9"/>
        <v>Yes</v>
      </c>
      <c r="M63" s="760"/>
      <c r="N63" s="246"/>
      <c r="O63" s="248" t="str">
        <f t="shared" si="11"/>
        <v>Does Not Apply</v>
      </c>
      <c r="P63" s="244"/>
      <c r="Q63" s="249" t="str">
        <f t="shared" si="12"/>
        <v>Does Not Apply</v>
      </c>
      <c r="R63" s="248"/>
      <c r="S63" s="248"/>
      <c r="T63" s="248"/>
      <c r="U63" s="248"/>
      <c r="V63" s="248"/>
    </row>
    <row r="64" spans="1:22" ht="18.75" x14ac:dyDescent="0.45">
      <c r="A64" s="10" t="str">
        <f>'5.2 Budgeted Enrollment YR2'!E66</f>
        <v>Mariposa Dual Language Academy</v>
      </c>
      <c r="B64" s="551" t="str">
        <f t="shared" si="7"/>
        <v/>
      </c>
      <c r="C64" s="136">
        <f>'1.4 FY 2020 Revenue Received'!J64</f>
        <v>141.298315</v>
      </c>
      <c r="D64" s="793">
        <f>'5.2 Budgeted Enrollment YR2'!G66</f>
        <v>160.32246760830301</v>
      </c>
      <c r="E64" s="215">
        <f>'6.8 Alloc of Residual Rev. YR2'!M70</f>
        <v>1792189.48</v>
      </c>
      <c r="F64" s="570">
        <f t="shared" si="13"/>
        <v>11178.654537545201</v>
      </c>
      <c r="H64" s="208">
        <f>'1.4 FY 2020 Revenue Received'!H64</f>
        <v>1264706.2771841914</v>
      </c>
      <c r="I64" s="570">
        <f t="shared" si="8"/>
        <v>8950.611174550746</v>
      </c>
      <c r="K64" s="242" t="str">
        <f t="shared" si="9"/>
        <v>Yes</v>
      </c>
      <c r="M64" s="760"/>
      <c r="N64" s="246"/>
      <c r="O64" s="248" t="str">
        <f t="shared" si="11"/>
        <v>Does Not Apply</v>
      </c>
      <c r="P64" s="244"/>
      <c r="Q64" s="249" t="str">
        <f t="shared" si="12"/>
        <v>Does Not Apply</v>
      </c>
      <c r="R64" s="248"/>
      <c r="S64" s="248"/>
      <c r="T64" s="248"/>
      <c r="U64" s="248"/>
      <c r="V64" s="248"/>
    </row>
    <row r="65" spans="1:22" ht="18.75" x14ac:dyDescent="0.45">
      <c r="A65" s="10" t="str">
        <f>'5.2 Budgeted Enrollment YR2'!E67</f>
        <v>Mater Academy</v>
      </c>
      <c r="B65" s="551" t="str">
        <f t="shared" si="7"/>
        <v/>
      </c>
      <c r="C65" s="136">
        <f>'1.4 FY 2020 Revenue Received'!J65</f>
        <v>1973.4592965000002</v>
      </c>
      <c r="D65" s="793">
        <f>'5.2 Budgeted Enrollment YR2'!G67</f>
        <v>3961.4054733841613</v>
      </c>
      <c r="E65" s="215">
        <f>'6.8 Alloc of Residual Rev. YR2'!M71</f>
        <v>44003933.789999999</v>
      </c>
      <c r="F65" s="570">
        <f t="shared" si="13"/>
        <v>11108.162011097589</v>
      </c>
      <c r="H65" s="208">
        <f>'1.4 FY 2020 Revenue Received'!H65</f>
        <v>16298030.436630471</v>
      </c>
      <c r="I65" s="570">
        <f t="shared" si="8"/>
        <v>8258.6098763402952</v>
      </c>
      <c r="K65" s="242" t="str">
        <f t="shared" si="9"/>
        <v>Yes</v>
      </c>
      <c r="M65" s="760"/>
      <c r="N65" s="246"/>
      <c r="O65" s="248" t="str">
        <f t="shared" si="11"/>
        <v>Does Not Apply</v>
      </c>
      <c r="P65" s="244"/>
      <c r="Q65" s="249" t="str">
        <f t="shared" si="12"/>
        <v>Does Not Apply</v>
      </c>
      <c r="R65" s="248"/>
      <c r="S65" s="248"/>
      <c r="T65" s="248"/>
      <c r="U65" s="248"/>
      <c r="V65" s="248"/>
    </row>
    <row r="66" spans="1:22" ht="18.75" x14ac:dyDescent="0.45">
      <c r="A66" s="10" t="str">
        <f>'5.2 Budgeted Enrollment YR2'!E68</f>
        <v>Mater Academy of Northern Nevada</v>
      </c>
      <c r="B66" s="551" t="str">
        <f t="shared" si="7"/>
        <v/>
      </c>
      <c r="C66" s="136">
        <f>'1.4 FY 2020 Revenue Received'!J66</f>
        <v>347.39350000000002</v>
      </c>
      <c r="D66" s="793">
        <f>'5.2 Budgeted Enrollment YR2'!G68</f>
        <v>491.96676270841391</v>
      </c>
      <c r="E66" s="215">
        <f>'6.8 Alloc of Residual Rev. YR2'!M72</f>
        <v>5350383.49</v>
      </c>
      <c r="F66" s="570">
        <f t="shared" si="13"/>
        <v>10875.497890436034</v>
      </c>
      <c r="H66" s="208">
        <f>'1.4 FY 2020 Revenue Received'!H66</f>
        <v>2974095.9272914366</v>
      </c>
      <c r="I66" s="570">
        <f t="shared" si="8"/>
        <v>8561.1732150758035</v>
      </c>
      <c r="K66" s="242" t="str">
        <f t="shared" si="9"/>
        <v>Yes</v>
      </c>
      <c r="M66" s="760"/>
      <c r="N66" s="246"/>
      <c r="O66" s="248" t="str">
        <f t="shared" si="11"/>
        <v>Does Not Apply</v>
      </c>
      <c r="P66" s="244"/>
      <c r="Q66" s="249" t="str">
        <f t="shared" si="12"/>
        <v>Does Not Apply</v>
      </c>
      <c r="R66" s="248"/>
      <c r="S66" s="248"/>
      <c r="T66" s="248"/>
      <c r="U66" s="248"/>
      <c r="V66" s="248"/>
    </row>
    <row r="67" spans="1:22" ht="18.75" x14ac:dyDescent="0.45">
      <c r="A67" s="10" t="str">
        <f>'5.2 Budgeted Enrollment YR2'!E69</f>
        <v>Nevada Connections Academy</v>
      </c>
      <c r="B67" s="551" t="str">
        <f t="shared" si="7"/>
        <v/>
      </c>
      <c r="C67" s="136">
        <f>'1.4 FY 2020 Revenue Received'!J67</f>
        <v>3282.6674575360644</v>
      </c>
      <c r="D67" s="793">
        <f>'5.2 Budgeted Enrollment YR2'!G69</f>
        <v>1067.0069745922351</v>
      </c>
      <c r="E67" s="215">
        <f>'6.8 Alloc of Residual Rev. YR2'!M73</f>
        <v>10254161.23</v>
      </c>
      <c r="F67" s="570">
        <f t="shared" si="13"/>
        <v>9610.21012437028</v>
      </c>
      <c r="H67" s="208">
        <f>'1.4 FY 2020 Revenue Received'!H67</f>
        <v>26749623.619163226</v>
      </c>
      <c r="I67" s="570">
        <f t="shared" si="8"/>
        <v>8148.7460929841527</v>
      </c>
      <c r="K67" s="242" t="str">
        <f t="shared" si="9"/>
        <v>Yes</v>
      </c>
      <c r="M67" s="760"/>
      <c r="N67" s="246"/>
      <c r="O67" s="248" t="str">
        <f t="shared" si="11"/>
        <v>Does Not Apply</v>
      </c>
      <c r="P67" s="244"/>
      <c r="Q67" s="249" t="str">
        <f t="shared" si="12"/>
        <v>Does Not Apply</v>
      </c>
      <c r="R67" s="248"/>
      <c r="S67" s="248"/>
      <c r="T67" s="248"/>
      <c r="U67" s="248"/>
      <c r="V67" s="248"/>
    </row>
    <row r="68" spans="1:22" ht="18.75" x14ac:dyDescent="0.45">
      <c r="A68" s="10" t="str">
        <f>'5.2 Budgeted Enrollment YR2'!E70</f>
        <v>Nevada Prep</v>
      </c>
      <c r="B68" s="551" t="str">
        <f t="shared" si="7"/>
        <v/>
      </c>
      <c r="C68" s="136">
        <f>'1.4 FY 2020 Revenue Received'!J68</f>
        <v>207.55364499999999</v>
      </c>
      <c r="D68" s="793">
        <f>'5.2 Budgeted Enrollment YR2'!G70</f>
        <v>281.61777384713741</v>
      </c>
      <c r="E68" s="215">
        <f>'6.8 Alloc of Residual Rev. YR2'!M74</f>
        <v>3089416.26</v>
      </c>
      <c r="F68" s="570">
        <f t="shared" si="13"/>
        <v>10970.24601038477</v>
      </c>
      <c r="H68" s="208">
        <f>'1.4 FY 2020 Revenue Received'!H68</f>
        <v>1524042.3583890153</v>
      </c>
      <c r="I68" s="570">
        <f t="shared" si="8"/>
        <v>7342.8840933582032</v>
      </c>
      <c r="K68" s="242" t="str">
        <f t="shared" si="9"/>
        <v>Yes</v>
      </c>
      <c r="M68" s="760"/>
      <c r="N68" s="246"/>
      <c r="O68" s="248" t="str">
        <f t="shared" si="11"/>
        <v>Does Not Apply</v>
      </c>
      <c r="P68" s="244"/>
      <c r="Q68" s="249" t="str">
        <f t="shared" si="12"/>
        <v>Does Not Apply</v>
      </c>
      <c r="R68" s="248"/>
      <c r="S68" s="248"/>
      <c r="T68" s="248"/>
      <c r="U68" s="248"/>
      <c r="V68" s="248"/>
    </row>
    <row r="69" spans="1:22" ht="18.75" x14ac:dyDescent="0.45">
      <c r="A69" s="10" t="str">
        <f>'5.2 Budgeted Enrollment YR2'!E71</f>
        <v xml:space="preserve">Nevada Rise </v>
      </c>
      <c r="B69" s="551" t="str">
        <f t="shared" si="7"/>
        <v/>
      </c>
      <c r="C69" s="136">
        <f>'1.4 FY 2020 Revenue Received'!J69</f>
        <v>224.46602000000001</v>
      </c>
      <c r="D69" s="793">
        <f>'5.2 Budgeted Enrollment YR2'!G71</f>
        <v>458.36661953837051</v>
      </c>
      <c r="E69" s="215">
        <f>'6.8 Alloc of Residual Rev. YR2'!M75</f>
        <v>5017091.959999999</v>
      </c>
      <c r="F69" s="570">
        <f t="shared" si="13"/>
        <v>10945.587540935692</v>
      </c>
      <c r="H69" s="208">
        <f>'1.4 FY 2020 Revenue Received'!H69</f>
        <v>1721040.7639197428</v>
      </c>
      <c r="I69" s="570">
        <f t="shared" si="8"/>
        <v>7667.2663591564669</v>
      </c>
      <c r="K69" s="242" t="str">
        <f t="shared" si="9"/>
        <v>Yes</v>
      </c>
      <c r="M69" s="760"/>
      <c r="N69" s="246"/>
      <c r="O69" s="248" t="str">
        <f t="shared" si="11"/>
        <v>Does Not Apply</v>
      </c>
      <c r="P69" s="244"/>
      <c r="Q69" s="249" t="str">
        <f t="shared" si="12"/>
        <v>Does Not Apply</v>
      </c>
      <c r="R69" s="248"/>
      <c r="S69" s="248"/>
      <c r="T69" s="248"/>
      <c r="U69" s="248"/>
      <c r="V69" s="248"/>
    </row>
    <row r="70" spans="1:22" ht="18.75" x14ac:dyDescent="0.45">
      <c r="A70" s="10" t="str">
        <f>'5.2 Budgeted Enrollment YR2'!E72</f>
        <v>Nevada State High School</v>
      </c>
      <c r="B70" s="551" t="str">
        <f t="shared" si="7"/>
        <v/>
      </c>
      <c r="C70" s="136">
        <f>'1.4 FY 2020 Revenue Received'!J70</f>
        <v>738.88392750000003</v>
      </c>
      <c r="D70" s="793">
        <f>'5.2 Budgeted Enrollment YR2'!G72</f>
        <v>984.30035161182957</v>
      </c>
      <c r="E70" s="215">
        <f>'6.8 Alloc of Residual Rev. YR2'!M76</f>
        <v>9470144.8800000008</v>
      </c>
      <c r="F70" s="570">
        <f t="shared" si="13"/>
        <v>9621.1942467482368</v>
      </c>
      <c r="H70" s="208">
        <f>'1.4 FY 2020 Revenue Received'!H70</f>
        <v>5698376.6619613161</v>
      </c>
      <c r="I70" s="570">
        <f t="shared" si="8"/>
        <v>7712.1404998504531</v>
      </c>
      <c r="K70" s="242" t="str">
        <f t="shared" si="9"/>
        <v>Yes</v>
      </c>
      <c r="M70" s="760"/>
      <c r="N70" s="246"/>
      <c r="O70" s="248" t="str">
        <f t="shared" si="11"/>
        <v>Does Not Apply</v>
      </c>
      <c r="P70" s="244"/>
      <c r="Q70" s="249" t="str">
        <f t="shared" si="12"/>
        <v>Does Not Apply</v>
      </c>
      <c r="R70" s="248"/>
      <c r="S70" s="248"/>
      <c r="T70" s="248"/>
      <c r="U70" s="248"/>
      <c r="V70" s="248"/>
    </row>
    <row r="71" spans="1:22" ht="18.75" x14ac:dyDescent="0.45">
      <c r="A71" s="10" t="str">
        <f>'5.2 Budgeted Enrollment YR2'!E73</f>
        <v>Nevada State High School-Meadowwood</v>
      </c>
      <c r="B71" s="551" t="str">
        <f t="shared" si="7"/>
        <v/>
      </c>
      <c r="C71" s="136">
        <f>'1.4 FY 2020 Revenue Received'!J71</f>
        <v>53.673810000000003</v>
      </c>
      <c r="D71" s="793">
        <f>'5.2 Budgeted Enrollment YR2'!G73</f>
        <v>31.853232783121751</v>
      </c>
      <c r="E71" s="215">
        <f>'6.8 Alloc of Residual Rev. YR2'!M77</f>
        <v>300318.33</v>
      </c>
      <c r="F71" s="570">
        <f t="shared" si="13"/>
        <v>9428.1899750888497</v>
      </c>
      <c r="H71" s="208">
        <f>'1.4 FY 2020 Revenue Received'!H71</f>
        <v>411580.22573416005</v>
      </c>
      <c r="I71" s="570">
        <f t="shared" si="8"/>
        <v>7668.1760757091779</v>
      </c>
      <c r="K71" s="242" t="str">
        <f t="shared" si="9"/>
        <v>Yes</v>
      </c>
      <c r="M71" s="760"/>
      <c r="N71" s="246"/>
      <c r="O71" s="248" t="str">
        <f t="shared" si="11"/>
        <v>Does Not Apply</v>
      </c>
      <c r="P71" s="244"/>
      <c r="Q71" s="249" t="str">
        <f t="shared" si="12"/>
        <v>Does Not Apply</v>
      </c>
      <c r="R71" s="248"/>
      <c r="S71" s="248"/>
      <c r="T71" s="248"/>
      <c r="U71" s="248"/>
      <c r="V71" s="248"/>
    </row>
    <row r="72" spans="1:22" ht="18.75" x14ac:dyDescent="0.45">
      <c r="A72" s="10" t="str">
        <f>'5.2 Budgeted Enrollment YR2'!E74</f>
        <v>Nevada Virtual Academy</v>
      </c>
      <c r="B72" s="551" t="str">
        <f t="shared" si="7"/>
        <v/>
      </c>
      <c r="C72" s="136">
        <f>'1.4 FY 2020 Revenue Received'!J72</f>
        <v>1486.74559</v>
      </c>
      <c r="D72" s="793">
        <f>'5.2 Budgeted Enrollment YR2'!G74</f>
        <v>2160.5541598280038</v>
      </c>
      <c r="E72" s="215">
        <f>'6.8 Alloc of Residual Rev. YR2'!M78</f>
        <v>21254461.41</v>
      </c>
      <c r="F72" s="570">
        <f t="shared" si="13"/>
        <v>9837.5045648899704</v>
      </c>
      <c r="H72" s="208">
        <f>'1.4 FY 2020 Revenue Received'!H72</f>
        <v>11537545.738864614</v>
      </c>
      <c r="I72" s="570">
        <f t="shared" si="8"/>
        <v>7760.2690174212075</v>
      </c>
      <c r="K72" s="242" t="str">
        <f t="shared" si="9"/>
        <v>Yes</v>
      </c>
      <c r="M72" s="760"/>
      <c r="N72" s="246"/>
      <c r="O72" s="248" t="str">
        <f t="shared" si="11"/>
        <v>Does Not Apply</v>
      </c>
      <c r="P72" s="244"/>
      <c r="Q72" s="249" t="str">
        <f t="shared" si="12"/>
        <v>Does Not Apply</v>
      </c>
      <c r="R72" s="248"/>
      <c r="S72" s="248"/>
      <c r="T72" s="248"/>
      <c r="U72" s="248"/>
      <c r="V72" s="248"/>
    </row>
    <row r="73" spans="1:22" ht="18.75" x14ac:dyDescent="0.45">
      <c r="A73" s="10" t="str">
        <f>'5.2 Budgeted Enrollment YR2'!E75</f>
        <v>Oasis Academy</v>
      </c>
      <c r="B73" s="551" t="str">
        <f t="shared" si="7"/>
        <v/>
      </c>
      <c r="C73" s="136">
        <f>'1.4 FY 2020 Revenue Received'!J73</f>
        <v>638.00608999999997</v>
      </c>
      <c r="D73" s="793">
        <f>'5.2 Budgeted Enrollment YR2'!G75</f>
        <v>734.93884731429671</v>
      </c>
      <c r="E73" s="215">
        <f>'6.8 Alloc of Residual Rev. YR2'!M79</f>
        <v>8280344.04</v>
      </c>
      <c r="F73" s="570">
        <f t="shared" si="13"/>
        <v>11266.711604998218</v>
      </c>
      <c r="H73" s="208">
        <f>'1.4 FY 2020 Revenue Received'!H73</f>
        <v>5553083.1445088536</v>
      </c>
      <c r="I73" s="570">
        <f t="shared" si="8"/>
        <v>8703.8089942195602</v>
      </c>
      <c r="K73" s="242" t="str">
        <f t="shared" si="9"/>
        <v>Yes</v>
      </c>
      <c r="M73" s="760"/>
      <c r="N73" s="246"/>
      <c r="O73" s="248" t="str">
        <f t="shared" si="11"/>
        <v>Does Not Apply</v>
      </c>
      <c r="P73" s="244"/>
      <c r="Q73" s="249" t="str">
        <f t="shared" si="12"/>
        <v>Does Not Apply</v>
      </c>
      <c r="R73" s="248"/>
      <c r="S73" s="248"/>
      <c r="T73" s="248"/>
      <c r="U73" s="248"/>
      <c r="V73" s="248"/>
    </row>
    <row r="74" spans="1:22" ht="18.75" x14ac:dyDescent="0.45">
      <c r="A74" s="10" t="str">
        <f>'5.2 Budgeted Enrollment YR2'!E76</f>
        <v>Odyssey Charter Schools</v>
      </c>
      <c r="B74" s="551" t="str">
        <f t="shared" si="7"/>
        <v/>
      </c>
      <c r="C74" s="136">
        <f>'1.4 FY 2020 Revenue Received'!J74</f>
        <v>2198.2159775</v>
      </c>
      <c r="D74" s="793">
        <f>'5.2 Budgeted Enrollment YR2'!G76</f>
        <v>2327.5551768725609</v>
      </c>
      <c r="E74" s="215">
        <f>'6.8 Alloc of Residual Rev. YR2'!M80</f>
        <v>25485953.32</v>
      </c>
      <c r="F74" s="570">
        <f t="shared" si="13"/>
        <v>10949.666660209712</v>
      </c>
      <c r="H74" s="208">
        <f>'1.4 FY 2020 Revenue Received'!H74</f>
        <v>15953828.928174073</v>
      </c>
      <c r="I74" s="570">
        <f t="shared" si="8"/>
        <v>7257.6257708390131</v>
      </c>
      <c r="K74" s="242" t="str">
        <f t="shared" si="9"/>
        <v>Yes</v>
      </c>
      <c r="M74" s="760"/>
      <c r="N74" s="246"/>
      <c r="O74" s="248" t="str">
        <f t="shared" si="11"/>
        <v>Does Not Apply</v>
      </c>
      <c r="P74" s="244"/>
      <c r="Q74" s="249" t="str">
        <f t="shared" si="12"/>
        <v>Does Not Apply</v>
      </c>
      <c r="R74" s="248"/>
      <c r="S74" s="248"/>
      <c r="T74" s="248"/>
      <c r="U74" s="248"/>
      <c r="V74" s="248"/>
    </row>
    <row r="75" spans="1:22" ht="18.75" x14ac:dyDescent="0.45">
      <c r="A75" s="10" t="str">
        <f>'5.2 Budgeted Enrollment YR2'!E77</f>
        <v>Pinecrest Academy of Northern Nevada</v>
      </c>
      <c r="B75" s="551" t="str">
        <f t="shared" si="7"/>
        <v>Yes</v>
      </c>
      <c r="C75" s="136">
        <f>'1.4 FY 2020 Revenue Received'!J75</f>
        <v>0</v>
      </c>
      <c r="D75" s="793">
        <f>'5.2 Budgeted Enrollment YR2'!G77</f>
        <v>927.90151170988167</v>
      </c>
      <c r="E75" s="215">
        <f>'6.8 Alloc of Residual Rev. YR2'!M81</f>
        <v>9007401.7500000019</v>
      </c>
      <c r="F75" s="570">
        <f t="shared" si="13"/>
        <v>9707.2821159669184</v>
      </c>
      <c r="H75" s="208">
        <f>'1.4 FY 2020 Revenue Received'!H75</f>
        <v>0</v>
      </c>
      <c r="I75" s="570">
        <f t="shared" si="8"/>
        <v>0</v>
      </c>
      <c r="K75" s="242" t="str">
        <f t="shared" si="9"/>
        <v>Yes</v>
      </c>
      <c r="M75" s="760"/>
      <c r="N75" s="246"/>
      <c r="O75" s="248" t="str">
        <f t="shared" si="11"/>
        <v>Does Not Apply</v>
      </c>
      <c r="P75" s="244"/>
      <c r="Q75" s="249" t="str">
        <f t="shared" si="12"/>
        <v>Does Not Apply</v>
      </c>
      <c r="R75" s="248"/>
      <c r="S75" s="248"/>
      <c r="T75" s="248"/>
      <c r="U75" s="248"/>
      <c r="V75" s="248"/>
    </row>
    <row r="76" spans="1:22" ht="18.75" x14ac:dyDescent="0.45">
      <c r="A76" s="10" t="str">
        <f>'5.2 Budgeted Enrollment YR2'!E78</f>
        <v>Pinecrest Academy of Nevada</v>
      </c>
      <c r="B76" s="551" t="str">
        <f t="shared" si="7"/>
        <v/>
      </c>
      <c r="C76" s="136">
        <f>'1.4 FY 2020 Revenue Received'!J76</f>
        <v>5968.9445674999997</v>
      </c>
      <c r="D76" s="793">
        <f>'5.2 Budgeted Enrollment YR2'!G78</f>
        <v>7413.8513684858726</v>
      </c>
      <c r="E76" s="215">
        <f>'6.8 Alloc of Residual Rev. YR2'!M82</f>
        <v>72791933.599999994</v>
      </c>
      <c r="F76" s="570">
        <f t="shared" si="13"/>
        <v>9818.3696950571939</v>
      </c>
      <c r="H76" s="208">
        <f>'1.4 FY 2020 Revenue Received'!H76</f>
        <v>44296208.24187801</v>
      </c>
      <c r="I76" s="570">
        <f t="shared" si="8"/>
        <v>7421.112349252523</v>
      </c>
      <c r="K76" s="242" t="str">
        <f t="shared" si="9"/>
        <v>Yes</v>
      </c>
      <c r="M76" s="760"/>
      <c r="N76" s="246"/>
      <c r="O76" s="248" t="str">
        <f t="shared" si="11"/>
        <v>Does Not Apply</v>
      </c>
      <c r="P76" s="244"/>
      <c r="Q76" s="249" t="str">
        <f t="shared" si="12"/>
        <v>Does Not Apply</v>
      </c>
      <c r="R76" s="248"/>
      <c r="S76" s="248"/>
      <c r="T76" s="248"/>
      <c r="U76" s="248"/>
      <c r="V76" s="248"/>
    </row>
    <row r="77" spans="1:22" ht="18.75" x14ac:dyDescent="0.45">
      <c r="A77" s="10" t="str">
        <f>'5.2 Budgeted Enrollment YR2'!E79</f>
        <v>Quest Academy</v>
      </c>
      <c r="B77" s="551" t="str">
        <f t="shared" si="7"/>
        <v/>
      </c>
      <c r="C77" s="136">
        <f>'1.4 FY 2020 Revenue Received'!J77</f>
        <v>473.36828499999996</v>
      </c>
      <c r="D77" s="793">
        <f>'5.2 Budgeted Enrollment YR2'!G79</f>
        <v>435.30441038798858</v>
      </c>
      <c r="E77" s="215">
        <f>'6.8 Alloc of Residual Rev. YR2'!M83</f>
        <v>4433253.67</v>
      </c>
      <c r="F77" s="570">
        <f t="shared" si="13"/>
        <v>10184.260862527497</v>
      </c>
      <c r="H77" s="208">
        <f>'1.4 FY 2020 Revenue Received'!H77</f>
        <v>3726085.0464330581</v>
      </c>
      <c r="I77" s="570">
        <f t="shared" si="8"/>
        <v>7871.4294229345305</v>
      </c>
      <c r="K77" s="242" t="str">
        <f t="shared" si="9"/>
        <v>Yes</v>
      </c>
      <c r="M77" s="760"/>
      <c r="N77" s="246"/>
      <c r="O77" s="248" t="str">
        <f t="shared" si="11"/>
        <v>Does Not Apply</v>
      </c>
      <c r="P77" s="244"/>
      <c r="Q77" s="249" t="str">
        <f t="shared" si="12"/>
        <v>Does Not Apply</v>
      </c>
      <c r="R77" s="248"/>
      <c r="S77" s="248"/>
      <c r="T77" s="248"/>
      <c r="U77" s="248"/>
      <c r="V77" s="248"/>
    </row>
    <row r="78" spans="1:22" ht="18.75" x14ac:dyDescent="0.45">
      <c r="A78" s="10" t="str">
        <f>'5.2 Budgeted Enrollment YR2'!E80</f>
        <v>Rainbow Dreams Academy</v>
      </c>
      <c r="B78" s="551" t="str">
        <f t="shared" si="7"/>
        <v/>
      </c>
      <c r="C78" s="136">
        <f>'1.4 FY 2020 Revenue Received'!J78</f>
        <v>309.1138657125</v>
      </c>
      <c r="D78" s="793">
        <f>'5.2 Budgeted Enrollment YR2'!G80</f>
        <v>70.305537539337109</v>
      </c>
      <c r="E78" s="215">
        <f>'6.8 Alloc of Residual Rev. YR2'!M84</f>
        <v>849689.96</v>
      </c>
      <c r="F78" s="570">
        <f t="shared" si="13"/>
        <v>12085.676174861537</v>
      </c>
      <c r="H78" s="208">
        <f>'1.4 FY 2020 Revenue Received'!H78</f>
        <v>2238632.8303267565</v>
      </c>
      <c r="I78" s="570">
        <f t="shared" si="8"/>
        <v>7242.0977466240856</v>
      </c>
      <c r="K78" s="242" t="str">
        <f t="shared" si="9"/>
        <v>Yes</v>
      </c>
      <c r="M78" s="760"/>
      <c r="N78" s="246"/>
      <c r="O78" s="248" t="str">
        <f t="shared" si="11"/>
        <v>Does Not Apply</v>
      </c>
      <c r="P78" s="244"/>
      <c r="Q78" s="249" t="str">
        <f t="shared" si="12"/>
        <v>Does Not Apply</v>
      </c>
      <c r="R78" s="248"/>
      <c r="S78" s="248"/>
      <c r="T78" s="248"/>
      <c r="U78" s="248"/>
      <c r="V78" s="248"/>
    </row>
    <row r="79" spans="1:22" ht="18.75" x14ac:dyDescent="0.45">
      <c r="A79" s="10" t="str">
        <f>'5.2 Budgeted Enrollment YR2'!E81</f>
        <v>Rooted Charter School</v>
      </c>
      <c r="B79" s="551" t="str">
        <f t="shared" ref="B79" si="14">IF(C79=0,"Yes","")</f>
        <v>Yes</v>
      </c>
      <c r="C79" s="136">
        <f>'1.4 FY 2020 Revenue Received'!J79</f>
        <v>0</v>
      </c>
      <c r="D79" s="793">
        <f>'5.2 Budgeted Enrollment YR2'!G81</f>
        <v>180.18</v>
      </c>
      <c r="E79" s="215">
        <f>'6.8 Alloc of Residual Rev. YR2'!M85</f>
        <v>1698771.27</v>
      </c>
      <c r="F79" s="570">
        <f t="shared" ref="F79" si="15">IF(D79=0,0,E79/D79)</f>
        <v>9428.1899766899769</v>
      </c>
      <c r="H79" s="208">
        <f>'1.4 FY 2020 Revenue Received'!H79</f>
        <v>0</v>
      </c>
      <c r="I79" s="570">
        <f t="shared" ref="I79" si="16">IF(C79=0,0,H79/C79)</f>
        <v>0</v>
      </c>
      <c r="K79" s="242" t="str">
        <f t="shared" si="9"/>
        <v>Yes</v>
      </c>
      <c r="M79" s="760"/>
      <c r="N79" s="246"/>
      <c r="O79" s="248" t="str">
        <f t="shared" ref="O79" si="17">IF(M79&gt;H79,"Yes","Does Not Apply")</f>
        <v>Does Not Apply</v>
      </c>
      <c r="P79" s="244"/>
      <c r="Q79" s="249" t="str">
        <f t="shared" ref="Q79" si="18">IF(O79&gt;K79,"Yes","Does Not Apply")</f>
        <v>Does Not Apply</v>
      </c>
      <c r="R79" s="248"/>
      <c r="S79" s="248"/>
      <c r="T79" s="248"/>
      <c r="U79" s="248"/>
      <c r="V79" s="248"/>
    </row>
    <row r="80" spans="1:22" ht="18.75" x14ac:dyDescent="0.45">
      <c r="A80" s="10" t="str">
        <f>'5.2 Budgeted Enrollment YR2'!E82</f>
        <v>Sage Collegiate Academy</v>
      </c>
      <c r="B80" s="551" t="str">
        <f t="shared" si="7"/>
        <v>Yes</v>
      </c>
      <c r="C80" s="136">
        <f>'1.4 FY 2020 Revenue Received'!J80</f>
        <v>0</v>
      </c>
      <c r="D80" s="793">
        <f>'5.2 Budgeted Enrollment YR2'!G82</f>
        <v>199.07693671069981</v>
      </c>
      <c r="E80" s="215">
        <f>'6.8 Alloc of Residual Rev. YR2'!M86</f>
        <v>1953301.97</v>
      </c>
      <c r="F80" s="570">
        <f t="shared" si="13"/>
        <v>9811.7943859993884</v>
      </c>
      <c r="H80" s="208">
        <f>'1.4 FY 2020 Revenue Received'!H80</f>
        <v>0</v>
      </c>
      <c r="I80" s="570">
        <f t="shared" si="8"/>
        <v>0</v>
      </c>
      <c r="K80" s="242" t="str">
        <f t="shared" si="9"/>
        <v>Yes</v>
      </c>
      <c r="M80" s="760"/>
      <c r="N80" s="246"/>
      <c r="O80" s="248" t="str">
        <f t="shared" si="11"/>
        <v>Does Not Apply</v>
      </c>
      <c r="P80" s="244"/>
      <c r="Q80" s="249" t="str">
        <f t="shared" si="12"/>
        <v>Does Not Apply</v>
      </c>
      <c r="R80" s="248"/>
      <c r="S80" s="248"/>
      <c r="T80" s="248"/>
      <c r="U80" s="248"/>
      <c r="V80" s="248"/>
    </row>
    <row r="81" spans="1:22" ht="18.75" x14ac:dyDescent="0.45">
      <c r="A81" s="10" t="str">
        <f>'5.2 Budgeted Enrollment YR2'!E83</f>
        <v>Sierra Nevada Academy Charter</v>
      </c>
      <c r="B81" s="551" t="str">
        <f t="shared" si="7"/>
        <v/>
      </c>
      <c r="C81" s="136">
        <f>'1.4 FY 2020 Revenue Received'!J81</f>
        <v>383.22259250000002</v>
      </c>
      <c r="D81" s="793">
        <f>'5.2 Budgeted Enrollment YR2'!G83</f>
        <v>324.28890145521717</v>
      </c>
      <c r="E81" s="215">
        <f>'6.8 Alloc of Residual Rev. YR2'!M87</f>
        <v>3608613.97</v>
      </c>
      <c r="F81" s="570">
        <f t="shared" si="13"/>
        <v>11127.775122141618</v>
      </c>
      <c r="H81" s="208">
        <f>'1.4 FY 2020 Revenue Received'!H81</f>
        <v>3076925.349553898</v>
      </c>
      <c r="I81" s="570">
        <f t="shared" si="8"/>
        <v>8029.0812957586731</v>
      </c>
      <c r="K81" s="242" t="str">
        <f t="shared" si="9"/>
        <v>Yes</v>
      </c>
      <c r="M81" s="760"/>
      <c r="N81" s="246"/>
      <c r="O81" s="248" t="str">
        <f t="shared" si="11"/>
        <v>Does Not Apply</v>
      </c>
      <c r="P81" s="244"/>
      <c r="Q81" s="249" t="str">
        <f t="shared" si="12"/>
        <v>Does Not Apply</v>
      </c>
      <c r="R81" s="248"/>
      <c r="S81" s="248"/>
      <c r="T81" s="248"/>
      <c r="U81" s="248"/>
      <c r="V81" s="248"/>
    </row>
    <row r="82" spans="1:22" ht="18.75" x14ac:dyDescent="0.45">
      <c r="A82" s="10" t="str">
        <f>'5.2 Budgeted Enrollment YR2'!E84</f>
        <v>Signature Preparatory</v>
      </c>
      <c r="B82" s="551" t="str">
        <f t="shared" si="7"/>
        <v/>
      </c>
      <c r="C82" s="136">
        <f>'1.4 FY 2020 Revenue Received'!J82</f>
        <v>558.54129249999994</v>
      </c>
      <c r="D82" s="793">
        <f>'5.2 Budgeted Enrollment YR2'!G84</f>
        <v>974.64912726903549</v>
      </c>
      <c r="E82" s="215">
        <f>'6.8 Alloc of Residual Rev. YR2'!M88</f>
        <v>9815008.629999999</v>
      </c>
      <c r="F82" s="570">
        <f t="shared" si="13"/>
        <v>10070.299511272975</v>
      </c>
      <c r="H82" s="208">
        <f>'1.4 FY 2020 Revenue Received'!H82</f>
        <v>4130437.8255527085</v>
      </c>
      <c r="I82" s="570">
        <f t="shared" si="8"/>
        <v>7395.0447012880586</v>
      </c>
      <c r="K82" s="242" t="str">
        <f t="shared" si="9"/>
        <v>Yes</v>
      </c>
      <c r="M82" s="760"/>
      <c r="N82" s="246"/>
      <c r="O82" s="248" t="str">
        <f t="shared" si="11"/>
        <v>Does Not Apply</v>
      </c>
      <c r="P82" s="244"/>
      <c r="Q82" s="249" t="str">
        <f t="shared" si="12"/>
        <v>Does Not Apply</v>
      </c>
      <c r="R82" s="248"/>
      <c r="S82" s="248"/>
      <c r="T82" s="248"/>
      <c r="U82" s="248"/>
      <c r="V82" s="248"/>
    </row>
    <row r="83" spans="1:22" ht="18.75" x14ac:dyDescent="0.45">
      <c r="A83" s="10" t="str">
        <f>'5.2 Budgeted Enrollment YR2'!E85</f>
        <v>Silver Sands Montessori</v>
      </c>
      <c r="B83" s="551" t="str">
        <f t="shared" si="7"/>
        <v/>
      </c>
      <c r="C83" s="136">
        <f>'1.4 FY 2020 Revenue Received'!J83</f>
        <v>295.10142875000003</v>
      </c>
      <c r="D83" s="793">
        <f>'5.2 Budgeted Enrollment YR2'!G85</f>
        <v>240.38764208158702</v>
      </c>
      <c r="E83" s="215">
        <f>'6.8 Alloc of Residual Rev. YR2'!M89</f>
        <v>2352686.5500000003</v>
      </c>
      <c r="F83" s="570">
        <f t="shared" si="13"/>
        <v>9787.0528186365918</v>
      </c>
      <c r="H83" s="208">
        <f>'1.4 FY 2020 Revenue Received'!H83</f>
        <v>2228437.4633751237</v>
      </c>
      <c r="I83" s="570">
        <f t="shared" si="8"/>
        <v>7551.4289199290215</v>
      </c>
      <c r="K83" s="242" t="str">
        <f t="shared" si="9"/>
        <v>Yes</v>
      </c>
      <c r="M83" s="760"/>
      <c r="N83" s="246"/>
      <c r="O83" s="248" t="str">
        <f t="shared" si="11"/>
        <v>Does Not Apply</v>
      </c>
      <c r="P83" s="244"/>
      <c r="Q83" s="249" t="str">
        <f t="shared" si="12"/>
        <v>Does Not Apply</v>
      </c>
      <c r="R83" s="248"/>
      <c r="S83" s="248"/>
      <c r="T83" s="248"/>
      <c r="U83" s="248"/>
      <c r="V83" s="248"/>
    </row>
    <row r="84" spans="1:22" ht="18.75" x14ac:dyDescent="0.45">
      <c r="A84" s="10" t="str">
        <f>'5.2 Budgeted Enrollment YR2'!E86</f>
        <v>Somerset Academy</v>
      </c>
      <c r="B84" s="551" t="str">
        <f t="shared" si="7"/>
        <v/>
      </c>
      <c r="C84" s="136">
        <f>'1.4 FY 2020 Revenue Received'!J84</f>
        <v>9074.0997949999983</v>
      </c>
      <c r="D84" s="793">
        <f>'5.2 Budgeted Enrollment YR2'!G86</f>
        <v>9475.6362211165433</v>
      </c>
      <c r="E84" s="215">
        <f>'6.8 Alloc of Residual Rev. YR2'!M90</f>
        <v>94635849.660000011</v>
      </c>
      <c r="F84" s="570">
        <f t="shared" si="13"/>
        <v>9987.2818512284321</v>
      </c>
      <c r="H84" s="208">
        <f>'1.4 FY 2020 Revenue Received'!H84</f>
        <v>67219951.90445362</v>
      </c>
      <c r="I84" s="570">
        <f t="shared" si="8"/>
        <v>7407.8920689733977</v>
      </c>
      <c r="K84" s="242" t="str">
        <f t="shared" si="9"/>
        <v>Yes</v>
      </c>
      <c r="M84" s="760"/>
      <c r="N84" s="246"/>
      <c r="O84" s="248" t="str">
        <f t="shared" si="11"/>
        <v>Does Not Apply</v>
      </c>
      <c r="P84" s="244"/>
      <c r="Q84" s="249" t="str">
        <f t="shared" si="12"/>
        <v>Does Not Apply</v>
      </c>
      <c r="R84" s="248"/>
      <c r="S84" s="248"/>
      <c r="T84" s="248"/>
      <c r="U84" s="248"/>
      <c r="V84" s="248"/>
    </row>
    <row r="85" spans="1:22" ht="18.75" x14ac:dyDescent="0.45">
      <c r="A85" s="10" t="str">
        <f>'5.2 Budgeted Enrollment YR2'!E87</f>
        <v>Southern Nevada Trade High School</v>
      </c>
      <c r="B85" s="551" t="str">
        <f t="shared" ref="B85" si="19">IF(C85=0,"Yes","")</f>
        <v>Yes</v>
      </c>
      <c r="C85" s="136">
        <f>'1.4 FY 2020 Revenue Received'!J85</f>
        <v>0</v>
      </c>
      <c r="D85" s="793">
        <f>'5.2 Budgeted Enrollment YR2'!G87</f>
        <v>200.2</v>
      </c>
      <c r="E85" s="215">
        <f>'6.8 Alloc of Residual Rev. YR2'!M91</f>
        <v>1887523.63</v>
      </c>
      <c r="F85" s="570">
        <f t="shared" ref="F85" si="20">IF(D85=0,0,E85/D85)</f>
        <v>9428.1899600399593</v>
      </c>
      <c r="H85" s="208">
        <f>'1.4 FY 2020 Revenue Received'!H85</f>
        <v>0</v>
      </c>
      <c r="I85" s="570">
        <f t="shared" ref="I85" si="21">IF(C85=0,0,H85/C85)</f>
        <v>0</v>
      </c>
      <c r="K85" s="242" t="str">
        <f t="shared" si="9"/>
        <v>Yes</v>
      </c>
      <c r="M85" s="760"/>
      <c r="N85" s="246"/>
      <c r="O85" s="248" t="str">
        <f t="shared" ref="O85" si="22">IF(M85&gt;H85,"Yes","Does Not Apply")</f>
        <v>Does Not Apply</v>
      </c>
      <c r="P85" s="244"/>
      <c r="Q85" s="249" t="str">
        <f t="shared" ref="Q85" si="23">IF(O85&gt;K85,"Yes","Does Not Apply")</f>
        <v>Does Not Apply</v>
      </c>
      <c r="R85" s="248"/>
      <c r="S85" s="248"/>
      <c r="T85" s="248"/>
      <c r="U85" s="248"/>
      <c r="V85" s="248"/>
    </row>
    <row r="86" spans="1:22" ht="18.75" x14ac:dyDescent="0.45">
      <c r="A86" s="10" t="str">
        <f>'5.2 Budgeted Enrollment YR2'!E88</f>
        <v>Sports Leadership and Management Academy</v>
      </c>
      <c r="B86" s="551" t="str">
        <f t="shared" si="7"/>
        <v/>
      </c>
      <c r="C86" s="136">
        <f>'1.4 FY 2020 Revenue Received'!J86</f>
        <v>1027.8300375000001</v>
      </c>
      <c r="D86" s="793">
        <f>'5.2 Budgeted Enrollment YR2'!G88</f>
        <v>1788.0122702171184</v>
      </c>
      <c r="E86" s="215">
        <f>'6.8 Alloc of Residual Rev. YR2'!M92</f>
        <v>18715925.719999999</v>
      </c>
      <c r="F86" s="570">
        <f t="shared" si="13"/>
        <v>10467.448144372815</v>
      </c>
      <c r="H86" s="208">
        <f>'1.4 FY 2020 Revenue Received'!H86</f>
        <v>7832015.9718428571</v>
      </c>
      <c r="I86" s="570">
        <f t="shared" si="8"/>
        <v>7619.9524105101436</v>
      </c>
      <c r="K86" s="242" t="str">
        <f t="shared" si="9"/>
        <v>Yes</v>
      </c>
      <c r="M86" s="760"/>
      <c r="N86" s="246"/>
      <c r="O86" s="248" t="str">
        <f t="shared" si="11"/>
        <v>Does Not Apply</v>
      </c>
      <c r="P86" s="244"/>
      <c r="Q86" s="249" t="str">
        <f t="shared" si="12"/>
        <v>Does Not Apply</v>
      </c>
      <c r="R86" s="248"/>
      <c r="S86" s="248"/>
      <c r="T86" s="248"/>
      <c r="U86" s="248"/>
      <c r="V86" s="248"/>
    </row>
    <row r="87" spans="1:22" ht="18.75" x14ac:dyDescent="0.45">
      <c r="A87" s="10" t="str">
        <f>'5.2 Budgeted Enrollment YR2'!E89</f>
        <v>Strong Start Academy</v>
      </c>
      <c r="B87" s="551" t="s">
        <v>738</v>
      </c>
      <c r="C87" s="136">
        <f>'1.4 FY 2020 Revenue Received'!J87</f>
        <v>0</v>
      </c>
      <c r="D87" s="793">
        <f>'5.2 Budgeted Enrollment YR2'!G89</f>
        <v>80.710975515445185</v>
      </c>
      <c r="E87" s="215">
        <f>'6.8 Alloc of Residual Rev. YR2'!M93</f>
        <v>828840.01</v>
      </c>
      <c r="F87" s="570">
        <f t="shared" si="13"/>
        <v>10269.235438015363</v>
      </c>
      <c r="H87" s="208">
        <f>'1.4 FY 2020 Revenue Received'!H87</f>
        <v>0</v>
      </c>
      <c r="I87" s="570">
        <f t="shared" si="8"/>
        <v>0</v>
      </c>
      <c r="K87" s="242" t="str">
        <f t="shared" si="9"/>
        <v>Yes</v>
      </c>
      <c r="M87" s="760"/>
      <c r="N87" s="246"/>
      <c r="O87" s="248" t="str">
        <f t="shared" si="11"/>
        <v>Does Not Apply</v>
      </c>
      <c r="P87" s="244"/>
      <c r="Q87" s="249" t="str">
        <f t="shared" si="12"/>
        <v>Does Not Apply</v>
      </c>
      <c r="R87" s="248"/>
      <c r="S87" s="248"/>
      <c r="T87" s="248"/>
      <c r="U87" s="248"/>
      <c r="V87" s="248"/>
    </row>
    <row r="88" spans="1:22" ht="18.75" x14ac:dyDescent="0.45">
      <c r="A88" s="10" t="str">
        <f>'5.2 Budgeted Enrollment YR2'!E90</f>
        <v>TEACH Las Vegas</v>
      </c>
      <c r="B88" s="551" t="s">
        <v>738</v>
      </c>
      <c r="C88" s="136">
        <f>'1.4 FY 2020 Revenue Received'!J88</f>
        <v>0</v>
      </c>
      <c r="D88" s="793">
        <f>'5.2 Budgeted Enrollment YR2'!G90</f>
        <v>321.30487536118619</v>
      </c>
      <c r="E88" s="215">
        <f>'6.8 Alloc of Residual Rev. YR2'!M94</f>
        <v>3327885.8</v>
      </c>
      <c r="F88" s="570">
        <f t="shared" si="13"/>
        <v>10357.408353231636</v>
      </c>
      <c r="H88" s="208">
        <f>'1.4 FY 2020 Revenue Received'!H88</f>
        <v>0</v>
      </c>
      <c r="I88" s="570">
        <f t="shared" si="8"/>
        <v>0</v>
      </c>
      <c r="K88" s="242" t="str">
        <f t="shared" si="9"/>
        <v>Yes</v>
      </c>
      <c r="M88" s="760"/>
      <c r="N88" s="246"/>
      <c r="O88" s="248" t="str">
        <f t="shared" si="11"/>
        <v>Does Not Apply</v>
      </c>
      <c r="P88" s="244"/>
      <c r="Q88" s="249" t="str">
        <f t="shared" si="12"/>
        <v>Does Not Apply</v>
      </c>
      <c r="R88" s="248"/>
      <c r="S88" s="248"/>
      <c r="T88" s="248"/>
      <c r="U88" s="248"/>
      <c r="V88" s="248"/>
    </row>
    <row r="89" spans="1:22" ht="18.75" x14ac:dyDescent="0.45">
      <c r="A89" s="10" t="str">
        <f>'5.2 Budgeted Enrollment YR2'!E91</f>
        <v>Young Women's Leadership Academy</v>
      </c>
      <c r="B89" s="551" t="str">
        <f>IF(C89=0,"Yes","")</f>
        <v>Yes</v>
      </c>
      <c r="C89" s="136">
        <f>'1.4 FY 2020 Revenue Received'!J89</f>
        <v>0</v>
      </c>
      <c r="D89" s="793">
        <f>'5.2 Budgeted Enrollment YR2'!G91</f>
        <v>56.413128242471004</v>
      </c>
      <c r="E89" s="215">
        <f>'6.8 Alloc of Residual Rev. YR2'!M95</f>
        <v>553086.68999999994</v>
      </c>
      <c r="F89" s="570">
        <f>IF(D89=0,0,E89/D89)</f>
        <v>9804.2194650642487</v>
      </c>
      <c r="H89" s="208">
        <f>'1.4 FY 2020 Revenue Received'!H89</f>
        <v>0</v>
      </c>
      <c r="I89" s="577">
        <f t="shared" si="8"/>
        <v>0</v>
      </c>
      <c r="K89" s="242" t="str">
        <f t="shared" si="9"/>
        <v>Yes</v>
      </c>
      <c r="M89" s="760"/>
      <c r="N89" s="246"/>
      <c r="O89" s="248" t="str">
        <f>IF(M89&gt;H89,"Yes","Does Not Apply")</f>
        <v>Does Not Apply</v>
      </c>
      <c r="P89" s="244"/>
      <c r="Q89" s="249" t="str">
        <f>IF(O89&gt;K89,"Yes","Does Not Apply")</f>
        <v>Does Not Apply</v>
      </c>
      <c r="R89" s="248"/>
      <c r="S89" s="248"/>
      <c r="T89" s="248"/>
      <c r="U89" s="248"/>
      <c r="V89" s="248"/>
    </row>
    <row r="90" spans="1:22" ht="18.75" x14ac:dyDescent="0.45">
      <c r="A90" s="683" t="s">
        <v>1260</v>
      </c>
      <c r="B90" s="771"/>
      <c r="C90" s="788">
        <f>SUMIF(B30:B89,"",C30:C89)</f>
        <v>57012.474131748568</v>
      </c>
      <c r="D90" s="788">
        <f>SUMIF(B30:B89,"",D30:D89)</f>
        <v>65283.398962886407</v>
      </c>
      <c r="E90" s="789">
        <f>SUMIF(B30:B89,"",E30:E89)</f>
        <v>664667641.49000013</v>
      </c>
      <c r="F90" s="774">
        <f>IF(D90=0,0,E90/D90)</f>
        <v>10181.265866194612</v>
      </c>
      <c r="G90" s="307"/>
      <c r="H90" s="745">
        <f>SUMIF(B30:B89,"",H30:H89)</f>
        <v>433806526.04619783</v>
      </c>
      <c r="I90" s="570">
        <f t="shared" si="8"/>
        <v>7608.9756259959213</v>
      </c>
      <c r="J90" s="307"/>
      <c r="K90" s="775" t="str">
        <f>IF(F90&gt;I90,"Yes",IF(V25="PCFP","Yes","No"))</f>
        <v>Yes</v>
      </c>
      <c r="L90" s="307"/>
      <c r="M90" s="790"/>
      <c r="N90" s="791"/>
      <c r="O90" s="777"/>
      <c r="P90" s="778"/>
      <c r="Q90" s="779"/>
      <c r="R90" s="777"/>
      <c r="S90" s="777"/>
      <c r="T90" s="777"/>
      <c r="U90" s="777"/>
      <c r="V90" s="779"/>
    </row>
    <row r="91" spans="1:22" ht="18.75" x14ac:dyDescent="0.45">
      <c r="A91" s="195" t="s">
        <v>1261</v>
      </c>
      <c r="B91" s="794" t="s">
        <v>738</v>
      </c>
      <c r="C91" s="792">
        <f>SUMIF(B30:B89,"Yes",C30:C89)</f>
        <v>0</v>
      </c>
      <c r="D91" s="792">
        <f>SUMIF(B30:B89,"Yes",D30:D89)</f>
        <v>3789.1004544666175</v>
      </c>
      <c r="E91" s="548">
        <f>SUMIF(B30:B89,"Yes",E30:E89)</f>
        <v>38273773.479999989</v>
      </c>
      <c r="F91" s="577">
        <f>IF(D91=0,0,E91/D91)</f>
        <v>10101.018418469905</v>
      </c>
      <c r="G91" s="183"/>
      <c r="H91" s="201">
        <f>SUMIF(B30:B89,"Yes",H30:H89)</f>
        <v>0</v>
      </c>
      <c r="I91" s="577">
        <f t="shared" si="8"/>
        <v>0</v>
      </c>
      <c r="J91" s="183"/>
      <c r="K91" s="251" t="str">
        <f>IF(F91&gt;I91,"Yes",IF(B91="Yes","Yes","No"))</f>
        <v>Yes</v>
      </c>
      <c r="L91" s="183"/>
      <c r="M91" s="761"/>
      <c r="N91" s="787"/>
      <c r="O91" s="757"/>
      <c r="P91" s="250"/>
      <c r="Q91" s="759"/>
      <c r="R91" s="757"/>
      <c r="S91" s="757"/>
      <c r="T91" s="757"/>
      <c r="U91" s="757"/>
      <c r="V91" s="759"/>
    </row>
    <row r="92" spans="1:22" ht="18.75" x14ac:dyDescent="0.45">
      <c r="A92" s="4" t="s">
        <v>722</v>
      </c>
      <c r="B92" s="40" t="str">
        <f t="shared" si="7"/>
        <v/>
      </c>
      <c r="C92" s="589">
        <f>SUM(C30:C89)</f>
        <v>57012.474131748568</v>
      </c>
      <c r="D92" s="589">
        <f>SUM(D30:D89)</f>
        <v>69072.499417353014</v>
      </c>
      <c r="E92" s="579">
        <f>SUM(E90:E91)</f>
        <v>702941414.97000015</v>
      </c>
      <c r="F92" s="115"/>
      <c r="G92" s="121"/>
      <c r="H92" s="586">
        <f>SUM(H30:H89)</f>
        <v>433806526.04619783</v>
      </c>
      <c r="I92" s="121"/>
      <c r="J92" s="13"/>
      <c r="K92" s="242"/>
      <c r="M92" s="247"/>
      <c r="N92" s="246"/>
      <c r="O92" s="313"/>
      <c r="P92" s="514"/>
      <c r="Q92" s="755"/>
      <c r="R92" s="244"/>
      <c r="S92" s="244"/>
      <c r="T92" s="244"/>
      <c r="U92" s="244"/>
      <c r="V92" s="244"/>
    </row>
    <row r="93" spans="1:22" x14ac:dyDescent="0.3">
      <c r="E93" s="12">
        <f>E92-E25</f>
        <v>0</v>
      </c>
      <c r="H93" s="12">
        <f>H92-H25</f>
        <v>4.6197831630706787E-2</v>
      </c>
      <c r="K93" s="242"/>
      <c r="O93" s="313"/>
      <c r="P93" s="514"/>
      <c r="Q93" s="755"/>
    </row>
    <row r="94" spans="1:22" x14ac:dyDescent="0.3">
      <c r="A94" s="4" t="s">
        <v>1259</v>
      </c>
      <c r="K94" s="242"/>
      <c r="O94" s="313"/>
      <c r="P94" s="514"/>
      <c r="Q94" s="755"/>
    </row>
    <row r="95" spans="1:22" x14ac:dyDescent="0.3">
      <c r="A95" s="683" t="str">
        <f>'1.2 Budgeted Enrollment YR1'!E96</f>
        <v>Davidson Academy</v>
      </c>
      <c r="B95" s="771" t="str">
        <f t="shared" si="7"/>
        <v/>
      </c>
      <c r="C95" s="772">
        <f>'1.4 FY 2020 Revenue Received'!J93</f>
        <v>143.645726495611</v>
      </c>
      <c r="D95" s="772">
        <f>'5.2 Budgeted Enrollment YR2'!G96</f>
        <v>162.20612853670227</v>
      </c>
      <c r="E95" s="773">
        <f>'6.8 Alloc of Residual Rev. YR2'!M99</f>
        <v>1529310</v>
      </c>
      <c r="F95" s="774">
        <f>IF(D95=0,0,E95/D95)</f>
        <v>9428.1887731138595</v>
      </c>
      <c r="G95" s="307"/>
      <c r="H95" s="1477">
        <f>'1.4 FY 2020 Revenue Received'!H93</f>
        <v>1161406.5899696809</v>
      </c>
      <c r="I95" s="774">
        <f>IF(D95=0,0,H95/D95)</f>
        <v>7160.0660249214334</v>
      </c>
      <c r="J95" s="307"/>
      <c r="K95" s="775" t="str">
        <f>IF(F95&gt;I95,"Yes",IF(#REF!="PCFP","Yes","No"))</f>
        <v>Yes</v>
      </c>
      <c r="L95" s="307"/>
      <c r="M95" s="776"/>
      <c r="N95" s="307"/>
      <c r="O95" s="777" t="str">
        <f>IF(M95&gt;H95,"Yes","Does Not Apply")</f>
        <v>Does Not Apply</v>
      </c>
      <c r="P95" s="778"/>
      <c r="Q95" s="779" t="str">
        <f>IF(O95&gt;K95,"Yes","Does Not Apply")</f>
        <v>Does Not Apply</v>
      </c>
      <c r="R95" s="747"/>
      <c r="S95" s="765">
        <f>IF(K95="Yes",F95*D95,"")</f>
        <v>1529310</v>
      </c>
      <c r="T95" s="766" t="str">
        <f>IF(K95="No",I95*D95,"")</f>
        <v/>
      </c>
      <c r="U95" s="780"/>
      <c r="V95" s="781" t="str">
        <f>'1.1 Assumption Control YR1'!I53</f>
        <v>PCFP</v>
      </c>
    </row>
    <row r="96" spans="1:22" x14ac:dyDescent="0.3">
      <c r="A96" s="195">
        <f>'1.2 Budgeted Enrollment YR1'!E97</f>
        <v>0</v>
      </c>
      <c r="B96" s="782" t="str">
        <f t="shared" si="7"/>
        <v>Yes</v>
      </c>
      <c r="C96" s="764">
        <f>'1.4 FY 2020 Revenue Received'!J94</f>
        <v>0</v>
      </c>
      <c r="D96" s="764">
        <f>'1.2 Budgeted Enrollment YR1'!G97</f>
        <v>0</v>
      </c>
      <c r="E96" s="783">
        <f>'6.8 Alloc of Residual Rev. YR2'!M100</f>
        <v>0</v>
      </c>
      <c r="F96" s="577">
        <f>IF(D96=0,0,E96/D96)</f>
        <v>0</v>
      </c>
      <c r="G96" s="183"/>
      <c r="H96" s="167">
        <f>'1.4 FY 2020 Revenue Received'!H94</f>
        <v>0</v>
      </c>
      <c r="I96" s="577">
        <f>IF(D96=0,0,H96/D96)</f>
        <v>0</v>
      </c>
      <c r="J96" s="183"/>
      <c r="K96" s="251" t="str">
        <f>IF(F96&gt;I96,"Yes",IF(V96="PCFP","Yes","No"))</f>
        <v>Yes</v>
      </c>
      <c r="L96" s="183"/>
      <c r="M96" s="784"/>
      <c r="N96" s="183"/>
      <c r="O96" s="757" t="str">
        <f>IF(M96&gt;H96,"Yes","Does Not Apply")</f>
        <v>Does Not Apply</v>
      </c>
      <c r="P96" s="250"/>
      <c r="Q96" s="759" t="str">
        <f>IF(O96&gt;K96,"Yes","Does Not Apply")</f>
        <v>Does Not Apply</v>
      </c>
      <c r="R96" s="449"/>
      <c r="S96" s="767">
        <f>IF(K96="Yes",F96*D96,"")</f>
        <v>0</v>
      </c>
      <c r="T96" s="768" t="str">
        <f>IF(K43="No",I43*D43,"")</f>
        <v/>
      </c>
      <c r="U96" s="785"/>
      <c r="V96" s="786" t="str">
        <f>V95</f>
        <v>PCFP</v>
      </c>
    </row>
    <row r="97" spans="2:22" s="4" customFormat="1" x14ac:dyDescent="0.3">
      <c r="B97" s="5"/>
      <c r="C97" s="769">
        <f t="shared" ref="C97:H97" si="24">SUM(C95:C96)</f>
        <v>143.645726495611</v>
      </c>
      <c r="D97" s="769">
        <f t="shared" si="24"/>
        <v>162.20612853670227</v>
      </c>
      <c r="E97" s="770">
        <f>SUM(E95:E96)</f>
        <v>1529310</v>
      </c>
      <c r="F97" s="770"/>
      <c r="G97" s="770"/>
      <c r="H97" s="1348">
        <f t="shared" si="24"/>
        <v>1161406.5899696809</v>
      </c>
      <c r="I97" s="770"/>
      <c r="J97" s="770"/>
      <c r="K97" s="770"/>
      <c r="O97" s="5"/>
      <c r="P97" s="5"/>
      <c r="Q97" s="5"/>
      <c r="R97" s="5"/>
      <c r="S97" s="770">
        <f>SUM(S95:S96)</f>
        <v>1529310</v>
      </c>
      <c r="T97" s="770">
        <f>SUM(T95:T96)</f>
        <v>0</v>
      </c>
      <c r="U97" s="5"/>
      <c r="V97" s="5"/>
    </row>
    <row r="98" spans="2:22" x14ac:dyDescent="0.3">
      <c r="E98" s="15">
        <f>E97-E26</f>
        <v>0</v>
      </c>
      <c r="H98" s="12">
        <f>H97-H26</f>
        <v>-0.41003031912259758</v>
      </c>
    </row>
  </sheetData>
  <sheetProtection algorithmName="SHA-512" hashValue="tmwZFwrECrPev8lzxgDXwjHOJdZMeh+EWYoqNF/G4DwQO9De7W8KHGBiJg3GggqHAkl66vxtP1TXZvrcnH4Xqg==" saltValue="xe8tLlEFLqktCdXUxiyx5w==" spinCount="100000" sheet="1" objects="1" scenarios="1"/>
  <mergeCells count="2">
    <mergeCell ref="E5:K5"/>
    <mergeCell ref="M5:Q5"/>
  </mergeCells>
  <conditionalFormatting sqref="Q28:R28 T28:V28 O8:O28 K8:K28 Q8:V27 K30:K96">
    <cfRule type="cellIs" dxfId="4" priority="3" operator="equal">
      <formula>"No"</formula>
    </cfRule>
    <cfRule type="cellIs" dxfId="3" priority="4" operator="equal">
      <formula>"Yes"</formula>
    </cfRule>
  </conditionalFormatting>
  <conditionalFormatting sqref="S28">
    <cfRule type="cellIs" dxfId="2" priority="1" operator="equal">
      <formula>"No"</formula>
    </cfRule>
    <cfRule type="cellIs" dxfId="1" priority="2" operator="equal">
      <formula>"Yes"</formula>
    </cfRule>
  </conditionalFormatting>
  <pageMargins left="0.7" right="0.7" top="0.75" bottom="0.75" header="0.3" footer="0.3"/>
  <pageSetup paperSize="3" scale="85" fitToHeight="0" orientation="landscape" r:id="rId1"/>
  <headerFooter>
    <oddHeader>&amp;R&amp;"Arial Narrow,Regular"&amp;10&amp;A
&amp;P</oddHeader>
    <oddFooter>&amp;L&amp;"Arial Narrow,Regular"&amp;1This is a draft document. It is intended for discussion purposes only.&amp;R&amp;G</oddFooter>
  </headerFooter>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ACEF2-5132-476E-B58A-971B180E86A6}">
  <sheetPr>
    <tabColor theme="3" tint="-0.499984740745262"/>
    <pageSetUpPr autoPageBreaks="0" fitToPage="1"/>
  </sheetPr>
  <dimension ref="A1:W99"/>
  <sheetViews>
    <sheetView workbookViewId="0"/>
  </sheetViews>
  <sheetFormatPr defaultColWidth="9" defaultRowHeight="16.5" x14ac:dyDescent="0.3"/>
  <cols>
    <col min="1" max="1" width="7.28515625" style="10" customWidth="1"/>
    <col min="2" max="2" width="38.42578125" style="10" bestFit="1" customWidth="1"/>
    <col min="3" max="3" width="2.7109375" style="10" customWidth="1"/>
    <col min="4" max="4" width="19.140625" style="10" bestFit="1" customWidth="1"/>
    <col min="5" max="5" width="16.85546875" style="10" bestFit="1" customWidth="1"/>
    <col min="6" max="6" width="2.7109375" style="4" customWidth="1"/>
    <col min="7" max="8" width="13.140625" style="10" bestFit="1" customWidth="1"/>
    <col min="9" max="9" width="12.42578125" style="10" bestFit="1" customWidth="1"/>
    <col min="10" max="10" width="13.140625" style="10" bestFit="1" customWidth="1"/>
    <col min="11" max="11" width="2.5703125" style="4" customWidth="1"/>
    <col min="12" max="12" width="14.140625" style="10" bestFit="1" customWidth="1"/>
    <col min="13" max="13" width="14.85546875" style="10" bestFit="1" customWidth="1"/>
    <col min="14" max="14" width="13.5703125" style="10" bestFit="1" customWidth="1"/>
    <col min="15" max="15" width="13.140625" style="10" bestFit="1" customWidth="1"/>
    <col min="16" max="16" width="2.42578125" style="4" customWidth="1"/>
    <col min="17" max="17" width="13.42578125" style="10" bestFit="1" customWidth="1"/>
    <col min="18" max="18" width="2.7109375" style="4" customWidth="1"/>
    <col min="19" max="19" width="16.42578125" style="10" bestFit="1" customWidth="1"/>
    <col min="20" max="20" width="2.7109375" style="4" customWidth="1"/>
    <col min="21" max="21" width="15.7109375" style="175" bestFit="1" customWidth="1"/>
    <col min="22" max="22" width="5.140625" style="10" customWidth="1"/>
    <col min="23" max="23" width="34.85546875" style="10" bestFit="1" customWidth="1"/>
    <col min="24" max="16384" width="9" style="10"/>
  </cols>
  <sheetData>
    <row r="1" spans="1:23" s="4" customFormat="1" x14ac:dyDescent="0.3">
      <c r="A1" s="4" t="s">
        <v>602</v>
      </c>
      <c r="U1" s="202"/>
    </row>
    <row r="2" spans="1:23" x14ac:dyDescent="0.3">
      <c r="A2" s="10" t="str">
        <f>CONCATENATE("Pupil Center Funding Plan | FY",'5.1 Assumption Control YR2'!D5)</f>
        <v>Pupil Center Funding Plan | FY2025</v>
      </c>
    </row>
    <row r="3" spans="1:23" x14ac:dyDescent="0.3">
      <c r="A3" s="10" t="s">
        <v>1192</v>
      </c>
    </row>
    <row r="4" spans="1:23" x14ac:dyDescent="0.3">
      <c r="D4" s="10" t="s">
        <v>1704</v>
      </c>
    </row>
    <row r="5" spans="1:23" s="4" customFormat="1" x14ac:dyDescent="0.3">
      <c r="G5" s="10"/>
      <c r="H5" s="10"/>
      <c r="I5" s="170"/>
      <c r="J5" s="170"/>
      <c r="L5" s="170"/>
      <c r="M5" s="170"/>
      <c r="N5" s="170"/>
      <c r="O5" s="170"/>
      <c r="Q5" s="170"/>
      <c r="S5" s="17"/>
      <c r="U5" s="202"/>
    </row>
    <row r="6" spans="1:23" s="4" customFormat="1" x14ac:dyDescent="0.3">
      <c r="D6" s="351" t="s">
        <v>1039</v>
      </c>
      <c r="E6" s="176" t="s">
        <v>745</v>
      </c>
      <c r="G6" s="375" t="s">
        <v>101</v>
      </c>
      <c r="H6" s="366"/>
      <c r="I6" s="366" t="s">
        <v>105</v>
      </c>
      <c r="J6" s="351" t="s">
        <v>0</v>
      </c>
      <c r="L6" s="176" t="s">
        <v>0</v>
      </c>
      <c r="M6" s="274" t="s">
        <v>0</v>
      </c>
      <c r="N6" s="176" t="s">
        <v>0</v>
      </c>
      <c r="O6" s="176" t="s">
        <v>0</v>
      </c>
      <c r="Q6" s="176" t="s">
        <v>0</v>
      </c>
      <c r="S6" s="176" t="s">
        <v>0</v>
      </c>
      <c r="U6" s="351" t="s">
        <v>1055</v>
      </c>
    </row>
    <row r="7" spans="1:23" s="4" customFormat="1" x14ac:dyDescent="0.3">
      <c r="D7" s="150" t="s">
        <v>1040</v>
      </c>
      <c r="E7" s="150" t="s">
        <v>737</v>
      </c>
      <c r="G7" s="123" t="s">
        <v>103</v>
      </c>
      <c r="H7" s="17" t="s">
        <v>20</v>
      </c>
      <c r="I7" s="17" t="s">
        <v>102</v>
      </c>
      <c r="J7" s="150" t="s">
        <v>867</v>
      </c>
      <c r="L7" s="150" t="s">
        <v>62</v>
      </c>
      <c r="M7" s="150" t="s">
        <v>992</v>
      </c>
      <c r="N7" s="150" t="s">
        <v>919</v>
      </c>
      <c r="O7" s="150" t="s">
        <v>895</v>
      </c>
      <c r="Q7" s="150" t="s">
        <v>1022</v>
      </c>
      <c r="S7" s="150" t="s">
        <v>106</v>
      </c>
      <c r="U7" s="150" t="s">
        <v>1056</v>
      </c>
    </row>
    <row r="8" spans="1:23" s="4" customFormat="1" x14ac:dyDescent="0.3">
      <c r="D8" s="150" t="s">
        <v>1041</v>
      </c>
      <c r="E8" s="150" t="s">
        <v>894</v>
      </c>
      <c r="G8" s="123" t="s">
        <v>894</v>
      </c>
      <c r="H8" s="17" t="s">
        <v>894</v>
      </c>
      <c r="I8" s="17" t="s">
        <v>894</v>
      </c>
      <c r="J8" s="150" t="s">
        <v>894</v>
      </c>
      <c r="L8" s="150" t="s">
        <v>88</v>
      </c>
      <c r="M8" s="150" t="s">
        <v>88</v>
      </c>
      <c r="N8" s="150" t="s">
        <v>88</v>
      </c>
      <c r="O8" s="150" t="s">
        <v>88</v>
      </c>
      <c r="Q8" s="150" t="s">
        <v>88</v>
      </c>
      <c r="S8" s="150" t="s">
        <v>88</v>
      </c>
      <c r="U8" s="150" t="s">
        <v>1057</v>
      </c>
    </row>
    <row r="9" spans="1:23" s="4" customFormat="1" x14ac:dyDescent="0.3">
      <c r="A9" s="427"/>
      <c r="B9" s="427"/>
      <c r="C9" s="303" t="s">
        <v>879</v>
      </c>
      <c r="D9" s="1269" t="s">
        <v>1436</v>
      </c>
      <c r="E9" s="426" t="s">
        <v>1703</v>
      </c>
      <c r="G9" s="797" t="s">
        <v>1437</v>
      </c>
      <c r="H9" s="798" t="s">
        <v>1437</v>
      </c>
      <c r="I9" s="798" t="s">
        <v>1437</v>
      </c>
      <c r="J9" s="799" t="s">
        <v>912</v>
      </c>
      <c r="L9" s="799" t="s">
        <v>1438</v>
      </c>
      <c r="M9" s="799" t="s">
        <v>1431</v>
      </c>
      <c r="N9" s="799" t="s">
        <v>1438</v>
      </c>
      <c r="O9" s="799" t="s">
        <v>1439</v>
      </c>
      <c r="Q9" s="799" t="s">
        <v>1437</v>
      </c>
      <c r="S9" s="799" t="s">
        <v>1884</v>
      </c>
      <c r="U9" s="1270" t="s">
        <v>1883</v>
      </c>
    </row>
    <row r="10" spans="1:23" x14ac:dyDescent="0.3">
      <c r="A10" s="4" t="s">
        <v>87</v>
      </c>
      <c r="D10" s="128"/>
      <c r="E10" s="128"/>
      <c r="G10" s="683"/>
      <c r="H10" s="307"/>
      <c r="I10" s="307"/>
      <c r="J10" s="748"/>
      <c r="L10" s="128"/>
      <c r="M10" s="128"/>
      <c r="N10" s="128"/>
      <c r="O10" s="128"/>
      <c r="Q10" s="128"/>
      <c r="S10" s="128"/>
      <c r="U10" s="795"/>
    </row>
    <row r="11" spans="1:23" x14ac:dyDescent="0.3">
      <c r="B11" s="10" t="str">
        <f>'5.2 Budgeted Enrollment YR2'!E9</f>
        <v>Carson City</v>
      </c>
      <c r="D11" s="574" t="str">
        <f>IF('6.9 PCFP Funding Comparison YR2'!K8="Yes","PCFP","FY 2020 Baseline")</f>
        <v>PCFP</v>
      </c>
      <c r="E11" s="575">
        <f>ROUND(IF(D11="PCFP",'6.8 Alloc of Residual Rev. YR2'!G14,('6.9 PCFP Funding Comparison YR2'!T8-'1.4 FY 2020 Revenue Received'!AA8)),2)</f>
        <v>73002284.409999996</v>
      </c>
      <c r="G11" s="565">
        <f>IF(D11="PCFP",'6.8 Alloc of Residual Rev. YR2'!J14,('1.4 FY 2020 Revenue Received'!S8/2)+'1.4 FY 2020 Revenue Received'!T8)</f>
        <v>3050429.4</v>
      </c>
      <c r="H11" s="570">
        <f>IF(D11="PCFP",'6.8 Alloc of Residual Rev. YR2'!K14,('1.4 FY 2020 Revenue Received'!S8/2)+'1.4 FY 2020 Revenue Received'!U8)</f>
        <v>953642.2</v>
      </c>
      <c r="I11" s="570">
        <f>IF(D11="PCFP",'6.8 Alloc of Residual Rev. YR2'!L14,'1.4 FY 2020 Revenue Received'!V8)</f>
        <v>435573.6</v>
      </c>
      <c r="J11" s="559">
        <f>SUM(G11:I11)</f>
        <v>4439645.1999999993</v>
      </c>
      <c r="L11" s="559">
        <f>IF(D11="PCFP",SUM('6.1 Auxiliary Services YR2'!D12:E12),'1.4 FY 2020 Revenue Received'!W8)</f>
        <v>2586477.3925000001</v>
      </c>
      <c r="M11" s="559">
        <f>'6.1 Auxiliary Services YR2'!F12</f>
        <v>0</v>
      </c>
      <c r="N11" s="559">
        <f>IF(D11="PCFP",SUM('6.1 Auxiliary Services YR2'!G12:H12),'1.4 FY 2020 Revenue Received'!X8)</f>
        <v>416802.7475</v>
      </c>
      <c r="O11" s="559">
        <f>SUM(L11:N11)</f>
        <v>3003280.14</v>
      </c>
      <c r="Q11" s="530">
        <f>IF(D11="PCFP",'6.8 Alloc of Residual Rev. YR2'!I14,'1.4 FY 2020 Revenue Received'!Y8)</f>
        <v>6423599</v>
      </c>
      <c r="S11" s="555">
        <f>ROUND(E11+J11+O11+Q11,2)</f>
        <v>86868808.75</v>
      </c>
      <c r="U11" s="555">
        <f>S11-'2.9 PCFP Funding Comparison YR1'!H8</f>
        <v>14034632.75</v>
      </c>
      <c r="V11" s="240">
        <f>ROUND(IF(D11="PCFP",'6.9 PCFP Funding Comparison YR2'!S8,'6.9 PCFP Funding Comparison YR2'!T8)-S11,2)</f>
        <v>0.25</v>
      </c>
    </row>
    <row r="12" spans="1:23" x14ac:dyDescent="0.3">
      <c r="B12" s="10" t="str">
        <f>'5.2 Budgeted Enrollment YR2'!E10</f>
        <v>Churchill</v>
      </c>
      <c r="D12" s="574" t="str">
        <f>IF('6.9 PCFP Funding Comparison YR2'!K9="Yes","PCFP","FY 2020 Baseline")</f>
        <v>PCFP</v>
      </c>
      <c r="E12" s="575">
        <f>ROUND(IF(D12="PCFP",'6.8 Alloc of Residual Rev. YR2'!G15,('6.9 PCFP Funding Comparison YR2'!T9-'1.4 FY 2020 Revenue Received'!AA9)),2)</f>
        <v>34109341.460000001</v>
      </c>
      <c r="G12" s="565">
        <f>IF(D12="PCFP",'6.8 Alloc of Residual Rev. YR2'!J15,('1.4 FY 2020 Revenue Received'!S9/2)+'1.4 FY 2020 Revenue Received'!T9)</f>
        <v>470928.6</v>
      </c>
      <c r="H12" s="570">
        <f>IF(D12="PCFP",'6.8 Alloc of Residual Rev. YR2'!K15,('1.4 FY 2020 Revenue Received'!S9/2)+'1.4 FY 2020 Revenue Received'!U9)</f>
        <v>584064.6</v>
      </c>
      <c r="I12" s="570">
        <f>IF(D12="PCFP",'6.8 Alloc of Residual Rev. YR2'!L15,'1.4 FY 2020 Revenue Received'!V9)</f>
        <v>0</v>
      </c>
      <c r="J12" s="559">
        <f>SUM(G12:I12)</f>
        <v>1054993.2</v>
      </c>
      <c r="L12" s="559">
        <f>IF(D12="PCFP",SUM('6.1 Auxiliary Services YR2'!D13:E13),'1.4 FY 2020 Revenue Received'!W9)</f>
        <v>1654639.5</v>
      </c>
      <c r="M12" s="559">
        <f>'6.1 Auxiliary Services YR2'!F13</f>
        <v>0</v>
      </c>
      <c r="N12" s="559">
        <f>IF(D12="PCFP",SUM('6.1 Auxiliary Services YR2'!G13:H13),'1.4 FY 2020 Revenue Received'!X9)</f>
        <v>12500.122499999999</v>
      </c>
      <c r="O12" s="559">
        <f t="shared" ref="O12:O27" si="0">SUM(L12:N12)</f>
        <v>1667139.6225000001</v>
      </c>
      <c r="Q12" s="530">
        <f>IF(D12="PCFP",'6.8 Alloc of Residual Rev. YR2'!I15,'1.4 FY 2020 Revenue Received'!Y9)</f>
        <v>1639107.16</v>
      </c>
      <c r="S12" s="555">
        <f t="shared" ref="S12:S27" si="1">ROUND(E12+J12+O12+Q12,2)</f>
        <v>38470581.439999998</v>
      </c>
      <c r="U12" s="555">
        <f>S12-'2.9 PCFP Funding Comparison YR1'!H9</f>
        <v>9077702.4399999976</v>
      </c>
      <c r="V12" s="175">
        <f>ROUND(IF(D12="PCFP",'6.9 PCFP Funding Comparison YR2'!S9,'6.9 PCFP Funding Comparison YR2'!T9)-S12,2)</f>
        <v>-0.44</v>
      </c>
    </row>
    <row r="13" spans="1:23" x14ac:dyDescent="0.3">
      <c r="B13" s="10" t="str">
        <f>'5.2 Budgeted Enrollment YR2'!E11</f>
        <v>Clark</v>
      </c>
      <c r="D13" s="574" t="str">
        <f>IF('6.9 PCFP Funding Comparison YR2'!K10="Yes","PCFP","FY 2020 Baseline")</f>
        <v>PCFP</v>
      </c>
      <c r="E13" s="575">
        <f>ROUND(IF(D13="PCFP",'6.8 Alloc of Residual Rev. YR2'!G16,('6.9 PCFP Funding Comparison YR2'!T10-'1.4 FY 2020 Revenue Received'!AA10)),2)</f>
        <v>2791655655.4699998</v>
      </c>
      <c r="G13" s="565">
        <f>IF(D13="PCFP",'6.8 Alloc of Residual Rev. YR2'!J16,('1.4 FY 2020 Revenue Received'!S10/2)+'1.4 FY 2020 Revenue Received'!T10)</f>
        <v>159657523.19999999</v>
      </c>
      <c r="H13" s="570">
        <f>IF(D13="PCFP",'6.8 Alloc of Residual Rev. YR2'!K16,('1.4 FY 2020 Revenue Received'!S10/2)+'1.4 FY 2020 Revenue Received'!U10)</f>
        <v>173813665.19999999</v>
      </c>
      <c r="I13" s="570">
        <f>IF(D13="PCFP",'6.8 Alloc of Residual Rev. YR2'!L16,'1.4 FY 2020 Revenue Received'!V10)</f>
        <v>5142031.2</v>
      </c>
      <c r="J13" s="559">
        <f t="shared" ref="J13:J27" si="2">SUM(G13:I13)</f>
        <v>338613219.59999996</v>
      </c>
      <c r="L13" s="559">
        <f>IF(D13="PCFP",SUM('6.1 Auxiliary Services YR2'!D14:E14),'1.4 FY 2020 Revenue Received'!W10)</f>
        <v>140911845.43249997</v>
      </c>
      <c r="M13" s="559">
        <f>'6.1 Auxiliary Services YR2'!F14</f>
        <v>0</v>
      </c>
      <c r="N13" s="559">
        <f>IF(D13="PCFP",SUM('6.1 Auxiliary Services YR2'!G14:H14),'1.4 FY 2020 Revenue Received'!X10)</f>
        <v>0</v>
      </c>
      <c r="O13" s="559">
        <f t="shared" si="0"/>
        <v>140911845.43249997</v>
      </c>
      <c r="Q13" s="530">
        <f>IF(D13="PCFP",'6.8 Alloc of Residual Rev. YR2'!I16,'1.4 FY 2020 Revenue Received'!Y10)</f>
        <v>384538138</v>
      </c>
      <c r="S13" s="555">
        <f t="shared" si="1"/>
        <v>3655718858.5</v>
      </c>
      <c r="U13" s="555">
        <f>S13-'2.9 PCFP Funding Comparison YR1'!H10</f>
        <v>1071231358.5</v>
      </c>
      <c r="V13" s="175">
        <f>ROUND(IF(D13="PCFP",'6.9 PCFP Funding Comparison YR2'!S10,'6.9 PCFP Funding Comparison YR2'!T10)-S13,2)</f>
        <v>0.5</v>
      </c>
    </row>
    <row r="14" spans="1:23" x14ac:dyDescent="0.3">
      <c r="B14" s="10" t="str">
        <f>'5.2 Budgeted Enrollment YR2'!E12</f>
        <v>Douglas</v>
      </c>
      <c r="D14" s="574" t="str">
        <f>IF('6.9 PCFP Funding Comparison YR2'!K11="Yes","PCFP","FY 2020 Baseline")</f>
        <v>PCFP</v>
      </c>
      <c r="E14" s="575">
        <f>ROUND(IF(D14="PCFP",'6.8 Alloc of Residual Rev. YR2'!G17,('6.9 PCFP Funding Comparison YR2'!T11-'1.4 FY 2020 Revenue Received'!AA11)),2)</f>
        <v>54882362.789999999</v>
      </c>
      <c r="G14" s="565">
        <f>IF(D14="PCFP",'6.8 Alloc of Residual Rev. YR2'!J17,('1.4 FY 2020 Revenue Received'!S11/2)+'1.4 FY 2020 Revenue Received'!T11)</f>
        <v>716999.4</v>
      </c>
      <c r="H14" s="570">
        <f>IF(D14="PCFP",'6.8 Alloc of Residual Rev. YR2'!K17,('1.4 FY 2020 Revenue Received'!S11/2)+'1.4 FY 2020 Revenue Received'!U11)</f>
        <v>564265.80000000005</v>
      </c>
      <c r="I14" s="570">
        <f>IF(D14="PCFP",'6.8 Alloc of Residual Rev. YR2'!L17,'1.4 FY 2020 Revenue Received'!V11)</f>
        <v>52042.559999999998</v>
      </c>
      <c r="J14" s="559">
        <f t="shared" si="2"/>
        <v>1333307.7600000002</v>
      </c>
      <c r="L14" s="559">
        <f>IF(D14="PCFP",SUM('6.1 Auxiliary Services YR2'!D15:E15),'1.4 FY 2020 Revenue Received'!W11)</f>
        <v>3889783.55</v>
      </c>
      <c r="M14" s="559">
        <f>'6.1 Auxiliary Services YR2'!F15</f>
        <v>0</v>
      </c>
      <c r="N14" s="559">
        <f>IF(D14="PCFP",SUM('6.1 Auxiliary Services YR2'!G15:H15),'1.4 FY 2020 Revenue Received'!X11)</f>
        <v>0</v>
      </c>
      <c r="O14" s="559">
        <f t="shared" si="0"/>
        <v>3889783.55</v>
      </c>
      <c r="Q14" s="530">
        <f>IF(D14="PCFP",'6.8 Alloc of Residual Rev. YR2'!I17,'1.4 FY 2020 Revenue Received'!Y11)</f>
        <v>4013804</v>
      </c>
      <c r="S14" s="555">
        <f t="shared" si="1"/>
        <v>64119258.100000001</v>
      </c>
      <c r="U14" s="555">
        <f>S14-'2.9 PCFP Funding Comparison YR1'!H11</f>
        <v>7373233.1000000015</v>
      </c>
      <c r="V14" s="175">
        <f>ROUND(IF(D14="PCFP",'6.9 PCFP Funding Comparison YR2'!S11,'6.9 PCFP Funding Comparison YR2'!T11)-S14,2)</f>
        <v>-0.1</v>
      </c>
    </row>
    <row r="15" spans="1:23" x14ac:dyDescent="0.3">
      <c r="B15" s="10" t="str">
        <f>'5.2 Budgeted Enrollment YR2'!E13</f>
        <v>Elko</v>
      </c>
      <c r="D15" s="574" t="str">
        <f>IF('6.9 PCFP Funding Comparison YR2'!K12="Yes","PCFP","FY 2020 Baseline")</f>
        <v>PCFP</v>
      </c>
      <c r="E15" s="575">
        <f>ROUND(IF(D15="PCFP",'6.8 Alloc of Residual Rev. YR2'!G18,('6.9 PCFP Funding Comparison YR2'!T12-'1.4 FY 2020 Revenue Received'!AA12)),2)</f>
        <v>113736813.34</v>
      </c>
      <c r="G15" s="565">
        <f>IF(D15="PCFP",'6.8 Alloc of Residual Rev. YR2'!J18,('1.4 FY 2020 Revenue Received'!S12/2)+'1.4 FY 2020 Revenue Received'!T12)</f>
        <v>2872240.2</v>
      </c>
      <c r="H15" s="570">
        <f>IF(D15="PCFP",'6.8 Alloc of Residual Rev. YR2'!K18,('1.4 FY 2020 Revenue Received'!S12/2)+'1.4 FY 2020 Revenue Received'!U12)</f>
        <v>2082173.8</v>
      </c>
      <c r="I15" s="570">
        <f>IF(D15="PCFP",'6.8 Alloc of Residual Rev. YR2'!L18,'1.4 FY 2020 Revenue Received'!V12)</f>
        <v>109741.92</v>
      </c>
      <c r="J15" s="559">
        <f t="shared" si="2"/>
        <v>5064155.92</v>
      </c>
      <c r="L15" s="559">
        <f>IF(D15="PCFP",SUM('6.1 Auxiliary Services YR2'!D16:E16),'1.4 FY 2020 Revenue Received'!W12)</f>
        <v>4707742.2574999994</v>
      </c>
      <c r="M15" s="559">
        <f>'6.1 Auxiliary Services YR2'!F16</f>
        <v>0</v>
      </c>
      <c r="N15" s="559">
        <f>IF(D15="PCFP",SUM('6.1 Auxiliary Services YR2'!G16:H16),'1.4 FY 2020 Revenue Received'!X12)</f>
        <v>384179.53</v>
      </c>
      <c r="O15" s="559">
        <f t="shared" si="0"/>
        <v>5091921.7874999996</v>
      </c>
      <c r="Q15" s="530">
        <f>IF(D15="PCFP",'6.8 Alloc of Residual Rev. YR2'!I18,'1.4 FY 2020 Revenue Received'!Y12)</f>
        <v>5053547</v>
      </c>
      <c r="S15" s="555">
        <f t="shared" si="1"/>
        <v>128946438.05</v>
      </c>
      <c r="U15" s="555">
        <f>S15-'2.9 PCFP Funding Comparison YR1'!H12</f>
        <v>26612492.049999997</v>
      </c>
      <c r="V15" s="175">
        <f>ROUND(IF(D15="PCFP",'6.9 PCFP Funding Comparison YR2'!S12,'6.9 PCFP Funding Comparison YR2'!T12)-S15,2)</f>
        <v>-0.05</v>
      </c>
    </row>
    <row r="16" spans="1:23" x14ac:dyDescent="0.3">
      <c r="B16" s="10" t="str">
        <f>'5.2 Budgeted Enrollment YR2'!E14</f>
        <v>Esmeralda</v>
      </c>
      <c r="D16" s="574" t="str">
        <f>IF('6.9 PCFP Funding Comparison YR2'!K13="Yes","PCFP","FY 2020 Baseline")</f>
        <v>FY 2020 Baseline</v>
      </c>
      <c r="E16" s="575">
        <f>ROUND(IF(D16="PCFP",'6.8 Alloc of Residual Rev. YR2'!G19,('6.9 PCFP Funding Comparison YR2'!T13-'1.4 FY 2020 Revenue Received'!AA13)),2)</f>
        <v>2419365.11</v>
      </c>
      <c r="G16" s="565">
        <f>IF(D16="PCFP",'6.8 Alloc of Residual Rev. YR2'!J19,('1.4 FY 2020 Revenue Received'!S13/2)+'1.4 FY 2020 Revenue Received'!T13)</f>
        <v>17430.309999999998</v>
      </c>
      <c r="H16" s="570">
        <f>IF(D16="PCFP",'6.8 Alloc of Residual Rev. YR2'!K19,('1.4 FY 2020 Revenue Received'!S13/2)+'1.4 FY 2020 Revenue Received'!U13)</f>
        <v>8400</v>
      </c>
      <c r="I16" s="570">
        <f>IF(D16="PCFP",'6.8 Alloc of Residual Rev. YR2'!L19,'1.4 FY 2020 Revenue Received'!V13)</f>
        <v>0</v>
      </c>
      <c r="J16" s="559">
        <f t="shared" si="2"/>
        <v>25830.309999999998</v>
      </c>
      <c r="L16" s="559">
        <f>IF(D16="PCFP",SUM('6.1 Auxiliary Services YR2'!D17:E17),'1.4 FY 2020 Revenue Received'!W13)</f>
        <v>328549.57999999996</v>
      </c>
      <c r="M16" s="559">
        <f>'6.1 Auxiliary Services YR2'!F17</f>
        <v>0</v>
      </c>
      <c r="N16" s="559">
        <f>IF(D16="PCFP",SUM('6.1 Auxiliary Services YR2'!G17:H17),'1.4 FY 2020 Revenue Received'!X13)</f>
        <v>49284</v>
      </c>
      <c r="O16" s="559">
        <f t="shared" si="0"/>
        <v>377833.57999999996</v>
      </c>
      <c r="Q16" s="530">
        <f>IF(D16="PCFP",'6.8 Alloc of Residual Rev. YR2'!I19,'1.4 FY 2020 Revenue Received'!Y13)</f>
        <v>44620.000000000007</v>
      </c>
      <c r="S16" s="555">
        <f t="shared" si="1"/>
        <v>2867649</v>
      </c>
      <c r="U16" s="555">
        <f>S16-'2.9 PCFP Funding Comparison YR1'!H13</f>
        <v>247721</v>
      </c>
      <c r="V16" s="175">
        <f>ROUND(IF(D16="PCFP",'6.9 PCFP Funding Comparison YR2'!S13,'6.9 PCFP Funding Comparison YR2'!T13)-S16,2)</f>
        <v>0</v>
      </c>
      <c r="W16" s="280"/>
    </row>
    <row r="17" spans="1:23" x14ac:dyDescent="0.3">
      <c r="B17" s="10" t="str">
        <f>'5.2 Budgeted Enrollment YR2'!E15</f>
        <v>Eureka</v>
      </c>
      <c r="D17" s="574" t="str">
        <f>IF('6.9 PCFP Funding Comparison YR2'!K14="Yes","PCFP","FY 2020 Baseline")</f>
        <v>FY 2020 Baseline</v>
      </c>
      <c r="E17" s="575">
        <f>ROUND(IF(D17="PCFP",'6.8 Alloc of Residual Rev. YR2'!G20,('6.9 PCFP Funding Comparison YR2'!T14-'1.4 FY 2020 Revenue Received'!AA14)),2)</f>
        <v>11700996.689999999</v>
      </c>
      <c r="G17" s="565">
        <f>IF(D17="PCFP",'6.8 Alloc of Residual Rev. YR2'!J20,('1.4 FY 2020 Revenue Received'!S14/2)+'1.4 FY 2020 Revenue Received'!T14)</f>
        <v>10230.31</v>
      </c>
      <c r="H17" s="570">
        <f>IF(D17="PCFP",'6.8 Alloc of Residual Rev. YR2'!K20,('1.4 FY 2020 Revenue Received'!S14/2)+'1.4 FY 2020 Revenue Received'!U14)</f>
        <v>1200</v>
      </c>
      <c r="I17" s="570">
        <f>IF(D17="PCFP",'6.8 Alloc of Residual Rev. YR2'!L20,'1.4 FY 2020 Revenue Received'!V14)</f>
        <v>0</v>
      </c>
      <c r="J17" s="559">
        <f t="shared" si="2"/>
        <v>11430.31</v>
      </c>
      <c r="L17" s="559">
        <f>IF(D17="PCFP",SUM('6.1 Auxiliary Services YR2'!D18:E18),'1.4 FY 2020 Revenue Received'!W14)</f>
        <v>434259</v>
      </c>
      <c r="M17" s="559">
        <f>'6.1 Auxiliary Services YR2'!F18</f>
        <v>0</v>
      </c>
      <c r="N17" s="559">
        <f>IF(D17="PCFP",SUM('6.1 Auxiliary Services YR2'!G18:H18),'1.4 FY 2020 Revenue Received'!X14)</f>
        <v>399223</v>
      </c>
      <c r="O17" s="559">
        <f t="shared" si="0"/>
        <v>833482</v>
      </c>
      <c r="Q17" s="530">
        <f>IF(D17="PCFP",'6.8 Alloc of Residual Rev. YR2'!I20,'1.4 FY 2020 Revenue Received'!Y14)</f>
        <v>200000</v>
      </c>
      <c r="S17" s="555">
        <f t="shared" si="1"/>
        <v>12745909</v>
      </c>
      <c r="U17" s="555">
        <f>S17-'2.9 PCFP Funding Comparison YR1'!H14</f>
        <v>701214</v>
      </c>
      <c r="V17" s="175">
        <f>ROUND(IF(D17="PCFP",'6.9 PCFP Funding Comparison YR2'!S14,'6.9 PCFP Funding Comparison YR2'!T14)-S17,2)</f>
        <v>0</v>
      </c>
      <c r="W17" s="280"/>
    </row>
    <row r="18" spans="1:23" x14ac:dyDescent="0.3">
      <c r="B18" s="10" t="str">
        <f>'5.2 Budgeted Enrollment YR2'!E16</f>
        <v>Humboldt</v>
      </c>
      <c r="D18" s="574" t="str">
        <f>IF('6.9 PCFP Funding Comparison YR2'!K15="Yes","PCFP","FY 2020 Baseline")</f>
        <v>PCFP</v>
      </c>
      <c r="E18" s="575">
        <f>ROUND(IF(D18="PCFP",'6.8 Alloc of Residual Rev. YR2'!G21,('6.9 PCFP Funding Comparison YR2'!T15-'1.4 FY 2020 Revenue Received'!AA15)),2)</f>
        <v>36771309.329999998</v>
      </c>
      <c r="G18" s="565">
        <f>IF(D18="PCFP",'6.8 Alloc of Residual Rev. YR2'!J21,('1.4 FY 2020 Revenue Received'!S15/2)+'1.4 FY 2020 Revenue Received'!T15)</f>
        <v>861247.8</v>
      </c>
      <c r="H18" s="570">
        <f>IF(D18="PCFP",'6.8 Alloc of Residual Rev. YR2'!K21,('1.4 FY 2020 Revenue Received'!S15/2)+'1.4 FY 2020 Revenue Received'!U15)</f>
        <v>267283.8</v>
      </c>
      <c r="I18" s="570">
        <f>IF(D18="PCFP",'6.8 Alloc of Residual Rev. YR2'!L21,'1.4 FY 2020 Revenue Received'!V15)</f>
        <v>0</v>
      </c>
      <c r="J18" s="559">
        <f t="shared" si="2"/>
        <v>1128531.6000000001</v>
      </c>
      <c r="L18" s="559">
        <f>IF(D18="PCFP",SUM('6.1 Auxiliary Services YR2'!D19:E19),'1.4 FY 2020 Revenue Received'!W15)</f>
        <v>2017965.7149999999</v>
      </c>
      <c r="M18" s="559">
        <f>'6.1 Auxiliary Services YR2'!F19</f>
        <v>0</v>
      </c>
      <c r="N18" s="559">
        <f>IF(D18="PCFP",SUM('6.1 Auxiliary Services YR2'!G19:H19),'1.4 FY 2020 Revenue Received'!X15)</f>
        <v>19090.5</v>
      </c>
      <c r="O18" s="559">
        <f t="shared" si="0"/>
        <v>2037056.2149999999</v>
      </c>
      <c r="Q18" s="530">
        <f>IF(D18="PCFP",'6.8 Alloc of Residual Rev. YR2'!I21,'1.4 FY 2020 Revenue Received'!Y15)</f>
        <v>2358470</v>
      </c>
      <c r="S18" s="555">
        <f t="shared" si="1"/>
        <v>42295367.149999999</v>
      </c>
      <c r="U18" s="555">
        <f>S18-'2.9 PCFP Funding Comparison YR1'!H15</f>
        <v>4191876.1499999985</v>
      </c>
      <c r="V18" s="175">
        <f>ROUND(IF(D18="PCFP",'6.9 PCFP Funding Comparison YR2'!S15,'6.9 PCFP Funding Comparison YR2'!T15)-S18,2)</f>
        <v>-0.15</v>
      </c>
      <c r="W18" s="280"/>
    </row>
    <row r="19" spans="1:23" x14ac:dyDescent="0.3">
      <c r="B19" s="10" t="str">
        <f>'5.2 Budgeted Enrollment YR2'!E17</f>
        <v>Lander</v>
      </c>
      <c r="D19" s="574" t="str">
        <f>IF('6.9 PCFP Funding Comparison YR2'!K16="Yes","PCFP","FY 2020 Baseline")</f>
        <v>PCFP</v>
      </c>
      <c r="E19" s="575">
        <f>ROUND(IF(D19="PCFP",'6.8 Alloc of Residual Rev. YR2'!G22,('6.9 PCFP Funding Comparison YR2'!T16-'1.4 FY 2020 Revenue Received'!AA16)),2)</f>
        <v>14070207.9</v>
      </c>
      <c r="G19" s="565">
        <f>IF(D19="PCFP",'6.8 Alloc of Residual Rev. YR2'!J22,('1.4 FY 2020 Revenue Received'!S16/2)+'1.4 FY 2020 Revenue Received'!T16)</f>
        <v>140005.79999999999</v>
      </c>
      <c r="H19" s="570">
        <f>IF(D19="PCFP",'6.8 Alloc of Residual Rev. YR2'!K22,('1.4 FY 2020 Revenue Received'!S16/2)+'1.4 FY 2020 Revenue Received'!U16)</f>
        <v>323380.40000000002</v>
      </c>
      <c r="I19" s="570">
        <f>IF(D19="PCFP",'6.8 Alloc of Residual Rev. YR2'!L22,'1.4 FY 2020 Revenue Received'!V16)</f>
        <v>0</v>
      </c>
      <c r="J19" s="559">
        <f t="shared" si="2"/>
        <v>463386.2</v>
      </c>
      <c r="L19" s="559">
        <f>IF(D19="PCFP",SUM('6.1 Auxiliary Services YR2'!D20:E20),'1.4 FY 2020 Revenue Received'!W16)</f>
        <v>413952.86249999993</v>
      </c>
      <c r="M19" s="559">
        <f>'6.1 Auxiliary Services YR2'!F20</f>
        <v>0</v>
      </c>
      <c r="N19" s="559">
        <f>IF(D19="PCFP",SUM('6.1 Auxiliary Services YR2'!G20:H20),'1.4 FY 2020 Revenue Received'!X16)</f>
        <v>25000</v>
      </c>
      <c r="O19" s="559">
        <f t="shared" si="0"/>
        <v>438952.86249999993</v>
      </c>
      <c r="Q19" s="530">
        <f>IF(D19="PCFP",'6.8 Alloc of Residual Rev. YR2'!I22,'1.4 FY 2020 Revenue Received'!Y16)</f>
        <v>1052995</v>
      </c>
      <c r="S19" s="555">
        <f t="shared" si="1"/>
        <v>16025541.960000001</v>
      </c>
      <c r="U19" s="555">
        <f>S19-'2.9 PCFP Funding Comparison YR1'!H16</f>
        <v>4197321.9600000009</v>
      </c>
      <c r="V19" s="175">
        <f>ROUND(IF(D19="PCFP",'6.9 PCFP Funding Comparison YR2'!S16,'6.9 PCFP Funding Comparison YR2'!T16)-S19,2)</f>
        <v>0.04</v>
      </c>
      <c r="W19" s="280"/>
    </row>
    <row r="20" spans="1:23" x14ac:dyDescent="0.3">
      <c r="B20" s="10" t="str">
        <f>'5.2 Budgeted Enrollment YR2'!E18</f>
        <v>Lincoln</v>
      </c>
      <c r="D20" s="574" t="str">
        <f>IF('6.9 PCFP Funding Comparison YR2'!K17="Yes","PCFP","FY 2020 Baseline")</f>
        <v>PCFP</v>
      </c>
      <c r="E20" s="575">
        <f>ROUND(IF(D20="PCFP",'6.8 Alloc of Residual Rev. YR2'!G23,('6.9 PCFP Funding Comparison YR2'!T17-'1.4 FY 2020 Revenue Received'!AA17)),2)</f>
        <v>15165506.48</v>
      </c>
      <c r="G20" s="565">
        <f>IF(D20="PCFP",'6.8 Alloc of Residual Rev. YR2'!J23,('1.4 FY 2020 Revenue Received'!S17/2)+'1.4 FY 2020 Revenue Received'!T17)</f>
        <v>25455.599999999999</v>
      </c>
      <c r="H20" s="570">
        <f>IF(D20="PCFP",'6.8 Alloc of Residual Rev. YR2'!K23,('1.4 FY 2020 Revenue Received'!S17/2)+'1.4 FY 2020 Revenue Received'!U17)</f>
        <v>141891.4</v>
      </c>
      <c r="I20" s="570">
        <f>IF(D20="PCFP",'6.8 Alloc of Residual Rev. YR2'!L23,'1.4 FY 2020 Revenue Received'!V17)</f>
        <v>0</v>
      </c>
      <c r="J20" s="559">
        <f t="shared" si="2"/>
        <v>167347</v>
      </c>
      <c r="L20" s="559">
        <f>IF(D20="PCFP",SUM('6.1 Auxiliary Services YR2'!D21:E21),'1.4 FY 2020 Revenue Received'!W17)</f>
        <v>623019.91</v>
      </c>
      <c r="M20" s="559">
        <f>'6.1 Auxiliary Services YR2'!F21</f>
        <v>0</v>
      </c>
      <c r="N20" s="559">
        <f>IF(D20="PCFP",SUM('6.1 Auxiliary Services YR2'!G21:H21),'1.4 FY 2020 Revenue Received'!X17)</f>
        <v>60319.5</v>
      </c>
      <c r="O20" s="559">
        <f t="shared" si="0"/>
        <v>683339.41</v>
      </c>
      <c r="Q20" s="530">
        <f>IF(D20="PCFP",'6.8 Alloc of Residual Rev. YR2'!I23,'1.4 FY 2020 Revenue Received'!Y17)</f>
        <v>327715</v>
      </c>
      <c r="S20" s="555">
        <f t="shared" si="1"/>
        <v>16343907.890000001</v>
      </c>
      <c r="U20" s="555">
        <f>S20-'2.9 PCFP Funding Comparison YR1'!H17</f>
        <v>3622170.8900000006</v>
      </c>
      <c r="V20" s="175">
        <f>ROUND(IF(D20="PCFP",'6.9 PCFP Funding Comparison YR2'!S17,'6.9 PCFP Funding Comparison YR2'!T17)-S20,2)</f>
        <v>0.11</v>
      </c>
      <c r="W20" s="280"/>
    </row>
    <row r="21" spans="1:23" x14ac:dyDescent="0.3">
      <c r="B21" s="10" t="str">
        <f>'5.2 Budgeted Enrollment YR2'!E19</f>
        <v>Lyon</v>
      </c>
      <c r="D21" s="574" t="str">
        <f>IF('6.9 PCFP Funding Comparison YR2'!K18="Yes","PCFP","FY 2020 Baseline")</f>
        <v>PCFP</v>
      </c>
      <c r="E21" s="575">
        <f>ROUND(IF(D21="PCFP",'6.8 Alloc of Residual Rev. YR2'!G24,('6.9 PCFP Funding Comparison YR2'!T18-'1.4 FY 2020 Revenue Received'!AA18)),2)</f>
        <v>104067515.65000001</v>
      </c>
      <c r="G21" s="565">
        <f>IF(D21="PCFP",'6.8 Alloc of Residual Rev. YR2'!J24,('1.4 FY 2020 Revenue Received'!S18/2)+'1.4 FY 2020 Revenue Received'!T18)</f>
        <v>2057661</v>
      </c>
      <c r="H21" s="570">
        <f>IF(D21="PCFP",'6.8 Alloc of Residual Rev. YR2'!K24,('1.4 FY 2020 Revenue Received'!S18/2)+'1.4 FY 2020 Revenue Received'!U18)</f>
        <v>1735694.8</v>
      </c>
      <c r="I21" s="570">
        <f>IF(D21="PCFP",'6.8 Alloc of Residual Rev. YR2'!L24,'1.4 FY 2020 Revenue Received'!V18)</f>
        <v>0</v>
      </c>
      <c r="J21" s="559">
        <f t="shared" si="2"/>
        <v>3793355.8</v>
      </c>
      <c r="L21" s="559">
        <f>IF(D21="PCFP",SUM('6.1 Auxiliary Services YR2'!D22:E22),'1.4 FY 2020 Revenue Received'!W18)</f>
        <v>5015867.6725000003</v>
      </c>
      <c r="M21" s="559">
        <f>'6.1 Auxiliary Services YR2'!F22</f>
        <v>0</v>
      </c>
      <c r="N21" s="559">
        <f>IF(D21="PCFP",SUM('6.1 Auxiliary Services YR2'!G22:H22),'1.4 FY 2020 Revenue Received'!X18)</f>
        <v>0</v>
      </c>
      <c r="O21" s="559">
        <f t="shared" si="0"/>
        <v>5015867.6725000003</v>
      </c>
      <c r="Q21" s="530">
        <f>IF(D21="PCFP",'6.8 Alloc of Residual Rev. YR2'!I24,'1.4 FY 2020 Revenue Received'!Y18)</f>
        <v>9582952</v>
      </c>
      <c r="S21" s="555">
        <f t="shared" si="1"/>
        <v>122459691.12</v>
      </c>
      <c r="U21" s="555">
        <f>S21-'2.9 PCFP Funding Comparison YR1'!H18</f>
        <v>38083568.120000005</v>
      </c>
      <c r="V21" s="175">
        <f>ROUND(IF(D21="PCFP",'6.9 PCFP Funding Comparison YR2'!S18,'6.9 PCFP Funding Comparison YR2'!T18)-S21,2)</f>
        <v>-0.12</v>
      </c>
      <c r="W21" s="280"/>
    </row>
    <row r="22" spans="1:23" x14ac:dyDescent="0.3">
      <c r="B22" s="10" t="str">
        <f>'5.2 Budgeted Enrollment YR2'!E20</f>
        <v>Mineral</v>
      </c>
      <c r="D22" s="574" t="str">
        <f>IF('6.9 PCFP Funding Comparison YR2'!K19="Yes","PCFP","FY 2020 Baseline")</f>
        <v>PCFP</v>
      </c>
      <c r="E22" s="575">
        <f>ROUND(IF(D22="PCFP",'6.8 Alloc of Residual Rev. YR2'!G25,('6.9 PCFP Funding Comparison YR2'!T19-'1.4 FY 2020 Revenue Received'!AA19)),2)</f>
        <v>9222229.2200000007</v>
      </c>
      <c r="G22" s="565">
        <f>IF(D22="PCFP",'6.8 Alloc of Residual Rev. YR2'!J25,('1.4 FY 2020 Revenue Received'!S19/2)+'1.4 FY 2020 Revenue Received'!T19)</f>
        <v>144248.4</v>
      </c>
      <c r="H22" s="570">
        <f>IF(D22="PCFP",'6.8 Alloc of Residual Rev. YR2'!K25,('1.4 FY 2020 Revenue Received'!S19/2)+'1.4 FY 2020 Revenue Received'!U19)</f>
        <v>171589.6</v>
      </c>
      <c r="I22" s="570">
        <f>IF(D22="PCFP",'6.8 Alloc of Residual Rev. YR2'!L25,'1.4 FY 2020 Revenue Received'!V19)</f>
        <v>0</v>
      </c>
      <c r="J22" s="559">
        <f t="shared" si="2"/>
        <v>315838</v>
      </c>
      <c r="L22" s="559">
        <f>IF(D22="PCFP",SUM('6.1 Auxiliary Services YR2'!D23:E23),'1.4 FY 2020 Revenue Received'!W19)</f>
        <v>316048.27</v>
      </c>
      <c r="M22" s="559">
        <f>'6.1 Auxiliary Services YR2'!F23</f>
        <v>0</v>
      </c>
      <c r="N22" s="559">
        <f>IF(D22="PCFP",SUM('6.1 Auxiliary Services YR2'!G23:H23),'1.4 FY 2020 Revenue Received'!X19)</f>
        <v>159025</v>
      </c>
      <c r="O22" s="559">
        <f t="shared" si="0"/>
        <v>475073.27</v>
      </c>
      <c r="Q22" s="530">
        <f>IF(D22="PCFP",'6.8 Alloc of Residual Rev. YR2'!I25,'1.4 FY 2020 Revenue Received'!Y19)</f>
        <v>215665</v>
      </c>
      <c r="S22" s="555">
        <f t="shared" si="1"/>
        <v>10228805.49</v>
      </c>
      <c r="U22" s="555">
        <f>S22-'2.9 PCFP Funding Comparison YR1'!H19</f>
        <v>2707545.49</v>
      </c>
      <c r="V22" s="175">
        <f>ROUND(IF(D22="PCFP",'6.9 PCFP Funding Comparison YR2'!S19,'6.9 PCFP Funding Comparison YR2'!T19)-S22,2)</f>
        <v>-0.49</v>
      </c>
      <c r="W22" s="280"/>
    </row>
    <row r="23" spans="1:23" x14ac:dyDescent="0.3">
      <c r="B23" s="10" t="str">
        <f>'5.2 Budgeted Enrollment YR2'!E21</f>
        <v>Nye</v>
      </c>
      <c r="D23" s="574" t="str">
        <f>IF('6.9 PCFP Funding Comparison YR2'!K20="Yes","PCFP","FY 2020 Baseline")</f>
        <v>PCFP</v>
      </c>
      <c r="E23" s="575">
        <f>ROUND(IF(D23="PCFP",'6.8 Alloc of Residual Rev. YR2'!G26,('6.9 PCFP Funding Comparison YR2'!T20-'1.4 FY 2020 Revenue Received'!AA20)),2)</f>
        <v>64459315.159999996</v>
      </c>
      <c r="G23" s="565">
        <f>IF(D23="PCFP",'6.8 Alloc of Residual Rev. YR2'!J26,('1.4 FY 2020 Revenue Received'!S20/2)+'1.4 FY 2020 Revenue Received'!T20)</f>
        <v>1374602.4</v>
      </c>
      <c r="H23" s="570">
        <f>IF(D23="PCFP",'6.8 Alloc of Residual Rev. YR2'!K26,('1.4 FY 2020 Revenue Received'!S20/2)+'1.4 FY 2020 Revenue Received'!U20)</f>
        <v>1481610.2</v>
      </c>
      <c r="I23" s="570">
        <f>IF(D23="PCFP",'6.8 Alloc of Residual Rev. YR2'!L26,'1.4 FY 2020 Revenue Received'!V20)</f>
        <v>0</v>
      </c>
      <c r="J23" s="559">
        <f t="shared" si="2"/>
        <v>2856212.5999999996</v>
      </c>
      <c r="L23" s="559">
        <f>IF(D23="PCFP",SUM('6.1 Auxiliary Services YR2'!D24:E24),'1.4 FY 2020 Revenue Received'!W20)</f>
        <v>4268308.3025000002</v>
      </c>
      <c r="M23" s="559">
        <f>'6.1 Auxiliary Services YR2'!F24</f>
        <v>0</v>
      </c>
      <c r="N23" s="559">
        <f>IF(D23="PCFP",SUM('6.1 Auxiliary Services YR2'!G24:H24),'1.4 FY 2020 Revenue Received'!X20)</f>
        <v>0</v>
      </c>
      <c r="O23" s="559">
        <f t="shared" si="0"/>
        <v>4268308.3025000002</v>
      </c>
      <c r="Q23" s="530">
        <f>IF(D23="PCFP",'6.8 Alloc of Residual Rev. YR2'!I26,'1.4 FY 2020 Revenue Received'!Y20)</f>
        <v>8314944</v>
      </c>
      <c r="S23" s="555">
        <f t="shared" si="1"/>
        <v>79898780.060000002</v>
      </c>
      <c r="U23" s="555">
        <f>S23-'2.9 PCFP Funding Comparison YR1'!H20</f>
        <v>22290079.060000002</v>
      </c>
      <c r="V23" s="175">
        <f>ROUND(IF(D23="PCFP",'6.9 PCFP Funding Comparison YR2'!S20,'6.9 PCFP Funding Comparison YR2'!T20)-S23,2)</f>
        <v>-0.06</v>
      </c>
      <c r="W23" s="280"/>
    </row>
    <row r="24" spans="1:23" x14ac:dyDescent="0.3">
      <c r="B24" s="10" t="str">
        <f>'5.2 Budgeted Enrollment YR2'!E22</f>
        <v>Pershing</v>
      </c>
      <c r="D24" s="574" t="str">
        <f>IF('6.9 PCFP Funding Comparison YR2'!K21="Yes","PCFP","FY 2020 Baseline")</f>
        <v>PCFP</v>
      </c>
      <c r="E24" s="575">
        <f>ROUND(IF(D24="PCFP",'6.8 Alloc of Residual Rev. YR2'!G27,('6.9 PCFP Funding Comparison YR2'!T21-'1.4 FY 2020 Revenue Received'!AA21)),2)</f>
        <v>10034732.039999999</v>
      </c>
      <c r="G24" s="565">
        <f>IF(D24="PCFP",'6.8 Alloc of Residual Rev. YR2'!J27,('1.4 FY 2020 Revenue Received'!S21/2)+'1.4 FY 2020 Revenue Received'!T21)</f>
        <v>97579.8</v>
      </c>
      <c r="H24" s="570">
        <f>IF(D24="PCFP",'6.8 Alloc of Residual Rev. YR2'!K27,('1.4 FY 2020 Revenue Received'!S21/2)+'1.4 FY 2020 Revenue Received'!U21)</f>
        <v>128692.2</v>
      </c>
      <c r="I24" s="570">
        <f>IF(D24="PCFP",'6.8 Alloc of Residual Rev. YR2'!L27,'1.4 FY 2020 Revenue Received'!V21)</f>
        <v>0</v>
      </c>
      <c r="J24" s="559">
        <f t="shared" si="2"/>
        <v>226272</v>
      </c>
      <c r="L24" s="559">
        <f>IF(D24="PCFP",SUM('6.1 Auxiliary Services YR2'!D25:E25),'1.4 FY 2020 Revenue Received'!W21)</f>
        <v>800420.59250000003</v>
      </c>
      <c r="M24" s="559">
        <f>'6.1 Auxiliary Services YR2'!F25</f>
        <v>0</v>
      </c>
      <c r="N24" s="559">
        <f>IF(D24="PCFP",SUM('6.1 Auxiliary Services YR2'!G25:H25),'1.4 FY 2020 Revenue Received'!X21)</f>
        <v>25224.75</v>
      </c>
      <c r="O24" s="559">
        <f t="shared" si="0"/>
        <v>825645.34250000003</v>
      </c>
      <c r="Q24" s="530">
        <f>IF(D24="PCFP",'6.8 Alloc of Residual Rev. YR2'!I27,'1.4 FY 2020 Revenue Received'!Y21)</f>
        <v>456815</v>
      </c>
      <c r="S24" s="555">
        <f t="shared" si="1"/>
        <v>11543464.380000001</v>
      </c>
      <c r="U24" s="555">
        <f>S24-'2.9 PCFP Funding Comparison YR1'!H21</f>
        <v>2482054.3800000008</v>
      </c>
      <c r="V24" s="175">
        <f>ROUND(IF(D24="PCFP",'6.9 PCFP Funding Comparison YR2'!S21,'6.9 PCFP Funding Comparison YR2'!T21)-S24,2)</f>
        <v>-0.38</v>
      </c>
      <c r="W24" s="280"/>
    </row>
    <row r="25" spans="1:23" x14ac:dyDescent="0.3">
      <c r="B25" s="10" t="str">
        <f>'5.2 Budgeted Enrollment YR2'!E23</f>
        <v>Storey</v>
      </c>
      <c r="D25" s="574" t="str">
        <f>IF('6.9 PCFP Funding Comparison YR2'!K22="Yes","PCFP","FY 2020 Baseline")</f>
        <v>FY 2020 Baseline</v>
      </c>
      <c r="E25" s="575">
        <f>ROUND(IF(D25="PCFP",'6.8 Alloc of Residual Rev. YR2'!G28,('6.9 PCFP Funding Comparison YR2'!T22-'1.4 FY 2020 Revenue Received'!AA22)),2)</f>
        <v>10097157</v>
      </c>
      <c r="G25" s="565">
        <f>IF(D25="PCFP",'6.8 Alloc of Residual Rev. YR2'!J28,('1.4 FY 2020 Revenue Received'!S22/2)+'1.4 FY 2020 Revenue Received'!T22)</f>
        <v>13800</v>
      </c>
      <c r="H25" s="570">
        <f>IF(D25="PCFP",'6.8 Alloc of Residual Rev. YR2'!K28,('1.4 FY 2020 Revenue Received'!S22/2)+'1.4 FY 2020 Revenue Received'!U22)</f>
        <v>13800</v>
      </c>
      <c r="I25" s="570">
        <f>IF(D25="PCFP",'6.8 Alloc of Residual Rev. YR2'!L28,'1.4 FY 2020 Revenue Received'!V22)</f>
        <v>0</v>
      </c>
      <c r="J25" s="559">
        <f t="shared" si="2"/>
        <v>27600</v>
      </c>
      <c r="L25" s="559">
        <f>IF(D25="PCFP",SUM('6.1 Auxiliary Services YR2'!D26:E26),'1.4 FY 2020 Revenue Received'!W22)</f>
        <v>547375</v>
      </c>
      <c r="M25" s="559">
        <f>'6.1 Auxiliary Services YR2'!F26</f>
        <v>0</v>
      </c>
      <c r="N25" s="559">
        <f>IF(D25="PCFP",SUM('6.1 Auxiliary Services YR2'!G26:H26),'1.4 FY 2020 Revenue Received'!X22)</f>
        <v>23002</v>
      </c>
      <c r="O25" s="559">
        <f t="shared" si="0"/>
        <v>570377</v>
      </c>
      <c r="Q25" s="530">
        <f>IF(D25="PCFP",'6.8 Alloc of Residual Rev. YR2'!I28,'1.4 FY 2020 Revenue Received'!Y22)</f>
        <v>55048</v>
      </c>
      <c r="S25" s="555">
        <f t="shared" si="1"/>
        <v>10750182</v>
      </c>
      <c r="U25" s="555">
        <f>S25-'2.9 PCFP Funding Comparison YR1'!H22</f>
        <v>-633041</v>
      </c>
      <c r="V25" s="175">
        <f>ROUND(IF(D25="PCFP",'6.9 PCFP Funding Comparison YR2'!S22,'6.9 PCFP Funding Comparison YR2'!T22)-S25,2)</f>
        <v>0</v>
      </c>
      <c r="W25" s="280"/>
    </row>
    <row r="26" spans="1:23" x14ac:dyDescent="0.3">
      <c r="B26" s="10" t="str">
        <f>'5.2 Budgeted Enrollment YR2'!E24</f>
        <v>Washoe</v>
      </c>
      <c r="D26" s="574" t="str">
        <f>IF('6.9 PCFP Funding Comparison YR2'!K23="Yes","PCFP","FY 2020 Baseline")</f>
        <v>PCFP</v>
      </c>
      <c r="E26" s="575">
        <f>ROUND(IF(D26="PCFP",'6.8 Alloc of Residual Rev. YR2'!G29,('6.9 PCFP Funding Comparison YR2'!T23-'1.4 FY 2020 Revenue Received'!AA23)),2)</f>
        <v>589108180.55999994</v>
      </c>
      <c r="G26" s="565">
        <f>IF(D26="PCFP",'6.8 Alloc of Residual Rev. YR2'!J29,('1.4 FY 2020 Revenue Received'!S23/2)+'1.4 FY 2020 Revenue Received'!T23)</f>
        <v>28535727.600000001</v>
      </c>
      <c r="H26" s="570">
        <f>IF(D26="PCFP",'6.8 Alloc of Residual Rev. YR2'!K29,('1.4 FY 2020 Revenue Received'!S23/2)+'1.4 FY 2020 Revenue Received'!U23)</f>
        <v>16208617.6</v>
      </c>
      <c r="I26" s="570">
        <f>IF(D26="PCFP",'6.8 Alloc of Residual Rev. YR2'!L29,'1.4 FY 2020 Revenue Received'!V23)</f>
        <v>1424382.24</v>
      </c>
      <c r="J26" s="559">
        <f t="shared" si="2"/>
        <v>46168727.440000005</v>
      </c>
      <c r="L26" s="559">
        <f>IF(D26="PCFP",SUM('6.1 Auxiliary Services YR2'!D27:E27),'1.4 FY 2020 Revenue Received'!W23)</f>
        <v>23740800.767499998</v>
      </c>
      <c r="M26" s="559">
        <f>'6.1 Auxiliary Services YR2'!F27</f>
        <v>0</v>
      </c>
      <c r="N26" s="559">
        <f>IF(D26="PCFP",SUM('6.1 Auxiliary Services YR2'!G27:H27),'1.4 FY 2020 Revenue Received'!X23)</f>
        <v>0</v>
      </c>
      <c r="O26" s="559">
        <f t="shared" si="0"/>
        <v>23740800.767499998</v>
      </c>
      <c r="Q26" s="530">
        <f>IF(D26="PCFP",'6.8 Alloc of Residual Rev. YR2'!I29,'1.4 FY 2020 Revenue Received'!Y23)</f>
        <v>44935310</v>
      </c>
      <c r="S26" s="555">
        <f t="shared" si="1"/>
        <v>703953018.76999998</v>
      </c>
      <c r="U26" s="555">
        <f>S26-'2.9 PCFP Funding Comparison YR1'!H23</f>
        <v>170066117.76999998</v>
      </c>
      <c r="V26" s="175">
        <f>ROUND(IF(D26="PCFP",'6.9 PCFP Funding Comparison YR2'!S23,'6.9 PCFP Funding Comparison YR2'!T23)-S26,2)</f>
        <v>0.23</v>
      </c>
    </row>
    <row r="27" spans="1:23" x14ac:dyDescent="0.3">
      <c r="B27" s="10" t="str">
        <f>'5.2 Budgeted Enrollment YR2'!E25</f>
        <v>White Pine</v>
      </c>
      <c r="D27" s="574" t="str">
        <f>IF('6.9 PCFP Funding Comparison YR2'!K24="Yes","PCFP","FY 2020 Baseline")</f>
        <v>PCFP</v>
      </c>
      <c r="E27" s="575">
        <f>ROUND(IF(D27="PCFP",'6.8 Alloc of Residual Rev. YR2'!G30,('6.9 PCFP Funding Comparison YR2'!T24-'1.4 FY 2020 Revenue Received'!AA24)),2)</f>
        <v>18762697.059999999</v>
      </c>
      <c r="G27" s="565">
        <f>IF(D27="PCFP",'6.8 Alloc of Residual Rev. YR2'!J30,('1.4 FY 2020 Revenue Received'!S24/2)+'1.4 FY 2020 Revenue Received'!T24)</f>
        <v>63639</v>
      </c>
      <c r="H27" s="570">
        <f>IF(D27="PCFP",'6.8 Alloc of Residual Rev. YR2'!K30,('1.4 FY 2020 Revenue Received'!S24/2)+'1.4 FY 2020 Revenue Received'!U24)</f>
        <v>359678.2</v>
      </c>
      <c r="I27" s="570">
        <f>IF(D27="PCFP",'6.8 Alloc of Residual Rev. YR2'!L30,'1.4 FY 2020 Revenue Received'!V24)</f>
        <v>0</v>
      </c>
      <c r="J27" s="559">
        <f t="shared" si="2"/>
        <v>423317.2</v>
      </c>
      <c r="L27" s="559">
        <f>IF(D27="PCFP",SUM('6.1 Auxiliary Services YR2'!D28:E28),'1.4 FY 2020 Revenue Received'!W24)</f>
        <v>1218747.9900000002</v>
      </c>
      <c r="M27" s="559">
        <f>'6.1 Auxiliary Services YR2'!F28</f>
        <v>0</v>
      </c>
      <c r="N27" s="559">
        <f>IF(D27="PCFP",SUM('6.1 Auxiliary Services YR2'!G28:H28),'1.4 FY 2020 Revenue Received'!X24)</f>
        <v>48795.177500000005</v>
      </c>
      <c r="O27" s="559">
        <f t="shared" si="0"/>
        <v>1267543.1675000002</v>
      </c>
      <c r="Q27" s="530">
        <f>IF(D27="PCFP",'6.8 Alloc of Residual Rev. YR2'!I30,'1.4 FY 2020 Revenue Received'!Y24)</f>
        <v>599616</v>
      </c>
      <c r="S27" s="555">
        <f t="shared" si="1"/>
        <v>21053173.43</v>
      </c>
      <c r="U27" s="555">
        <f>S27-'2.9 PCFP Funding Comparison YR1'!H24</f>
        <v>5822600.4299999997</v>
      </c>
      <c r="V27" s="175">
        <f>ROUND(IF(D27="PCFP",'6.9 PCFP Funding Comparison YR2'!S24,'6.9 PCFP Funding Comparison YR2'!T24)-S27,2)</f>
        <v>-0.43</v>
      </c>
    </row>
    <row r="28" spans="1:23" x14ac:dyDescent="0.3">
      <c r="B28" s="10" t="str">
        <f>'5.2 Budgeted Enrollment YR2'!E26</f>
        <v>Charter Schools (Combined)</v>
      </c>
      <c r="D28" s="574" t="str">
        <f>IF('6.9 PCFP Funding Comparison YR2'!K25="Yes","PCFP","FY 2020 Baseline")</f>
        <v>PCFP</v>
      </c>
      <c r="E28" s="575">
        <f>E94</f>
        <v>653475746.86999989</v>
      </c>
      <c r="G28" s="565">
        <f>G94</f>
        <v>23376726</v>
      </c>
      <c r="H28" s="570">
        <f t="shared" ref="H28:J28" si="3">H94</f>
        <v>10064389.999999998</v>
      </c>
      <c r="I28" s="570">
        <f t="shared" si="3"/>
        <v>1241101.92</v>
      </c>
      <c r="J28" s="559">
        <f t="shared" si="3"/>
        <v>34682217.919999994</v>
      </c>
      <c r="L28" s="559">
        <f t="shared" ref="L28:O28" si="4">L94</f>
        <v>0</v>
      </c>
      <c r="M28" s="559">
        <f t="shared" si="4"/>
        <v>0</v>
      </c>
      <c r="N28" s="559">
        <f t="shared" si="4"/>
        <v>0</v>
      </c>
      <c r="O28" s="559">
        <f t="shared" si="4"/>
        <v>0</v>
      </c>
      <c r="Q28" s="530">
        <f t="shared" ref="Q28" si="5">Q94</f>
        <v>14783450.18</v>
      </c>
      <c r="S28" s="555">
        <f t="shared" ref="S28" si="6">S94</f>
        <v>702941414.97000003</v>
      </c>
      <c r="U28" s="555">
        <f>S28-'2.9 PCFP Funding Comparison YR1'!H25</f>
        <v>269134888.97000003</v>
      </c>
      <c r="V28" s="175">
        <f>ROUND(IF(D28="PCFP",'6.9 PCFP Funding Comparison YR2'!S25,'6.9 PCFP Funding Comparison YR2'!T25)-S28,2)</f>
        <v>0.03</v>
      </c>
    </row>
    <row r="29" spans="1:23" x14ac:dyDescent="0.3">
      <c r="A29" s="183"/>
      <c r="B29" s="183" t="str">
        <f>'5.2 Budgeted Enrollment YR2'!E27</f>
        <v>University Schools</v>
      </c>
      <c r="C29" s="183"/>
      <c r="D29" s="576" t="str">
        <f>IF('6.9 PCFP Funding Comparison YR2'!K26="Yes","PCFP","FY 2020 Baseline")</f>
        <v>PCFP</v>
      </c>
      <c r="E29" s="575">
        <f>E99</f>
        <v>1529310</v>
      </c>
      <c r="G29" s="565">
        <f>G99</f>
        <v>0</v>
      </c>
      <c r="H29" s="577">
        <f t="shared" ref="H29:J29" si="7">H99</f>
        <v>0</v>
      </c>
      <c r="I29" s="570">
        <f t="shared" si="7"/>
        <v>0</v>
      </c>
      <c r="J29" s="559">
        <f t="shared" si="7"/>
        <v>0</v>
      </c>
      <c r="L29" s="561">
        <f t="shared" ref="L29:O29" si="8">L99</f>
        <v>0</v>
      </c>
      <c r="M29" s="561">
        <f t="shared" si="8"/>
        <v>0</v>
      </c>
      <c r="N29" s="561">
        <f t="shared" si="8"/>
        <v>0</v>
      </c>
      <c r="O29" s="561">
        <f t="shared" si="8"/>
        <v>0</v>
      </c>
      <c r="Q29" s="547">
        <f t="shared" ref="Q29" si="9">Q99</f>
        <v>0</v>
      </c>
      <c r="S29" s="555">
        <f t="shared" ref="S29" si="10">S99</f>
        <v>1529310</v>
      </c>
      <c r="U29" s="557">
        <f>S29-'2.9 PCFP Funding Comparison YR1'!H26</f>
        <v>367903</v>
      </c>
      <c r="V29" s="175">
        <f>ROUND(IF(D29="PCFP",'6.9 PCFP Funding Comparison YR2'!S26,'6.9 PCFP Funding Comparison YR2'!T26)-S29,2)</f>
        <v>0</v>
      </c>
    </row>
    <row r="30" spans="1:23" x14ac:dyDescent="0.3">
      <c r="A30" s="4"/>
      <c r="B30" s="4" t="s">
        <v>89</v>
      </c>
      <c r="C30" s="4"/>
      <c r="D30" s="4"/>
      <c r="E30" s="806">
        <f>SUM(E11:E29)</f>
        <v>4608270726.539999</v>
      </c>
      <c r="G30" s="567">
        <f>SUM(G11:G29)</f>
        <v>223486474.82000002</v>
      </c>
      <c r="H30" s="591">
        <f>SUM(H11:H29)</f>
        <v>208904039.80000001</v>
      </c>
      <c r="I30" s="567">
        <f>SUM(I11:I29)</f>
        <v>8404873.4399999995</v>
      </c>
      <c r="J30" s="564">
        <f>SUM(J11:J29)</f>
        <v>440795388.06</v>
      </c>
      <c r="L30" s="564">
        <f>SUM(L11:L29)</f>
        <v>193475803.79500008</v>
      </c>
      <c r="M30" s="564">
        <f>SUM(M11:M29)</f>
        <v>0</v>
      </c>
      <c r="N30" s="564">
        <f>SUM(N11:N29)</f>
        <v>1622446.3274999999</v>
      </c>
      <c r="O30" s="564">
        <f>SUM(O11:O29)</f>
        <v>195098250.12250003</v>
      </c>
      <c r="Q30" s="564">
        <f>SUM(Q11:Q29)</f>
        <v>484595795.34000003</v>
      </c>
      <c r="S30" s="556">
        <f>SUM(S11:S29)</f>
        <v>5728760160.0600004</v>
      </c>
      <c r="U30" s="280"/>
    </row>
    <row r="31" spans="1:23" x14ac:dyDescent="0.3">
      <c r="B31" s="263"/>
      <c r="C31" s="262"/>
      <c r="D31" s="262"/>
      <c r="E31" s="277"/>
      <c r="G31" s="275"/>
      <c r="H31" s="276"/>
      <c r="I31" s="276"/>
      <c r="J31" s="277"/>
      <c r="L31" s="277"/>
      <c r="M31" s="277"/>
      <c r="N31" s="277"/>
      <c r="O31" s="277"/>
      <c r="Q31" s="277"/>
      <c r="S31" s="1478">
        <f>S30-'6.9 PCFP Funding Comparison YR2'!T28</f>
        <v>1.0600004196166992</v>
      </c>
      <c r="U31" s="1534">
        <f>ROUND('5.3 Budgeted Revenues YR2'!C35-S30,0)</f>
        <v>-8529296</v>
      </c>
      <c r="V31" s="10" t="s">
        <v>1065</v>
      </c>
    </row>
    <row r="32" spans="1:23" s="4" customFormat="1" x14ac:dyDescent="0.3">
      <c r="A32" s="225"/>
      <c r="B32" s="225"/>
      <c r="C32" s="1271" t="s">
        <v>879</v>
      </c>
      <c r="D32" s="498" t="str">
        <f>D9</f>
        <v>Tab 6.9</v>
      </c>
      <c r="E32" s="498" t="str">
        <f t="shared" ref="E32:S32" si="11">E9</f>
        <v>Tab 6.8 / 6.9</v>
      </c>
      <c r="G32" s="498" t="str">
        <f t="shared" si="11"/>
        <v>Tab 6.8 / 1.4</v>
      </c>
      <c r="H32" s="498" t="str">
        <f t="shared" si="11"/>
        <v>Tab 6.8 / 1.4</v>
      </c>
      <c r="I32" s="498" t="str">
        <f t="shared" si="11"/>
        <v>Tab 6.8 / 1.4</v>
      </c>
      <c r="J32" s="498" t="str">
        <f t="shared" si="11"/>
        <v>= F + G + H</v>
      </c>
      <c r="L32" s="498" t="str">
        <f t="shared" si="11"/>
        <v>Tab 6.1 / 1.4</v>
      </c>
      <c r="M32" s="498" t="str">
        <f t="shared" si="11"/>
        <v>Tab 6.1</v>
      </c>
      <c r="N32" s="498" t="str">
        <f t="shared" si="11"/>
        <v>Tab 6.1 / 1.4</v>
      </c>
      <c r="O32" s="498" t="str">
        <f t="shared" si="11"/>
        <v>= M + N + O</v>
      </c>
      <c r="Q32" s="498" t="str">
        <f t="shared" si="11"/>
        <v>Tab 6.8 / 1.4</v>
      </c>
      <c r="S32" s="498" t="str">
        <f t="shared" si="11"/>
        <v>= E + J + O + Q</v>
      </c>
      <c r="U32" s="1272">
        <f>U31/S30</f>
        <v>-1.4888554873469634E-3</v>
      </c>
      <c r="V32" s="4" t="s">
        <v>1066</v>
      </c>
    </row>
    <row r="33" spans="1:22" x14ac:dyDescent="0.3">
      <c r="A33" s="4" t="s">
        <v>740</v>
      </c>
      <c r="E33" s="253"/>
      <c r="G33" s="132"/>
      <c r="J33" s="128"/>
      <c r="L33" s="128"/>
      <c r="M33" s="128"/>
      <c r="N33" s="128"/>
      <c r="O33" s="128"/>
      <c r="Q33" s="128"/>
      <c r="S33" s="128"/>
      <c r="U33" s="582">
        <f>1+U32</f>
        <v>0.99851114451265299</v>
      </c>
      <c r="V33" s="10" t="s">
        <v>1068</v>
      </c>
    </row>
    <row r="34" spans="1:22" x14ac:dyDescent="0.3">
      <c r="A34" s="4"/>
      <c r="B34" s="10" t="str">
        <f>'5.2 Budgeted Enrollment YR2'!E32</f>
        <v>100 Academy Of Excellence</v>
      </c>
      <c r="D34" s="143" t="str">
        <f>IF('2.9 PCFP Funding Comparison YR1'!$K$25="Yes","PCFP","FY 2020 Baseline")</f>
        <v>PCFP</v>
      </c>
      <c r="E34" s="559">
        <f>ROUND(IF(D34="PCFP",'6.8 Alloc of Residual Rev. YR2'!G36,'1.4 FY 2020 Revenue Received'!Z30),2)</f>
        <v>2994673.37</v>
      </c>
      <c r="G34" s="565">
        <f>ROUND(IF(D34="PCFP",'6.8 Alloc of Residual Rev. YR2'!J36,('1.4 FY 2020 Revenue Received'!S30)+'1.4 FY 2020 Revenue Received'!T30),2)</f>
        <v>127278</v>
      </c>
      <c r="H34" s="570">
        <f>ROUND(IF(D34="PCFP",'6.8 Alloc of Residual Rev. YR2'!K36,('1.4 FY 2020 Revenue Received'!S30)+'1.4 FY 2020 Revenue Received'!U30),2)</f>
        <v>531267.80000000005</v>
      </c>
      <c r="I34" s="595">
        <f>ROUND(IF(D34="PCFP",'6.8 Alloc of Residual Rev. YR2'!L36,'1.4 FY 2020 Revenue Received'!V30),2)</f>
        <v>0</v>
      </c>
      <c r="J34" s="581">
        <f>SUM(G34:I34)</f>
        <v>658545.80000000005</v>
      </c>
      <c r="L34" s="130">
        <v>0</v>
      </c>
      <c r="M34" s="130">
        <v>0</v>
      </c>
      <c r="N34" s="130">
        <v>0</v>
      </c>
      <c r="O34" s="559">
        <f>SUM(L34:N34)</f>
        <v>0</v>
      </c>
      <c r="Q34" s="530">
        <f>ROUND(IF(D34="PCFP",'6.8 Alloc of Residual Rev. YR2'!I36,'1.4 FY 2020 Revenue Received'!Y30),2)</f>
        <v>129964</v>
      </c>
      <c r="S34" s="559">
        <f t="shared" ref="S34:S65" si="12">O34+J34+E34+Q34</f>
        <v>3783183.17</v>
      </c>
    </row>
    <row r="35" spans="1:22" x14ac:dyDescent="0.3">
      <c r="A35" s="4"/>
      <c r="B35" s="10" t="str">
        <f>'5.2 Budgeted Enrollment YR2'!E33</f>
        <v>Academy For Career Education</v>
      </c>
      <c r="D35" s="143" t="str">
        <f>IF('2.9 PCFP Funding Comparison YR1'!$K$25="Yes","PCFP","FY 2020 Baseline")</f>
        <v>PCFP</v>
      </c>
      <c r="E35" s="559">
        <f>ROUND(IF(D35="PCFP",'6.8 Alloc of Residual Rev. YR2'!G37,'1.4 FY 2020 Revenue Received'!Z31),2)</f>
        <v>2200537.9700000002</v>
      </c>
      <c r="G35" s="565">
        <f>ROUND(IF(D35="PCFP",'6.8 Alloc of Residual Rev. YR2'!J37,('1.4 FY 2020 Revenue Received'!S31)+'1.4 FY 2020 Revenue Received'!T31),2)</f>
        <v>93337.2</v>
      </c>
      <c r="H35" s="570">
        <f>ROUND(IF(D35="PCFP",'6.8 Alloc of Residual Rev. YR2'!K37,('1.4 FY 2020 Revenue Received'!S31)+'1.4 FY 2020 Revenue Received'!U31),2)</f>
        <v>6599.6</v>
      </c>
      <c r="I35" s="595">
        <f>ROUND(IF(D35="PCFP",'6.8 Alloc of Residual Rev. YR2'!L37,'1.4 FY 2020 Revenue Received'!V31),2)</f>
        <v>0</v>
      </c>
      <c r="J35" s="581">
        <f t="shared" ref="J35:J93" si="13">SUM(G35:I35)</f>
        <v>99936.8</v>
      </c>
      <c r="L35" s="130">
        <v>0</v>
      </c>
      <c r="M35" s="130">
        <v>0</v>
      </c>
      <c r="N35" s="130">
        <v>0</v>
      </c>
      <c r="O35" s="559">
        <f t="shared" ref="O35:O93" si="14">SUM(L35:N35)</f>
        <v>0</v>
      </c>
      <c r="Q35" s="530">
        <f>ROUND(IF(D35="PCFP",'6.8 Alloc of Residual Rev. YR2'!I37,'1.4 FY 2020 Revenue Received'!Y31),2)</f>
        <v>95195</v>
      </c>
      <c r="S35" s="559">
        <f t="shared" si="12"/>
        <v>2395669.77</v>
      </c>
    </row>
    <row r="36" spans="1:22" x14ac:dyDescent="0.3">
      <c r="A36" s="4"/>
      <c r="B36" s="10" t="str">
        <f>'5.2 Budgeted Enrollment YR2'!E34</f>
        <v xml:space="preserve">Alpine Academy </v>
      </c>
      <c r="D36" s="143" t="str">
        <f>IF('2.9 PCFP Funding Comparison YR1'!$K$25="Yes","PCFP","FY 2020 Baseline")</f>
        <v>PCFP</v>
      </c>
      <c r="E36" s="559">
        <f>ROUND(IF(D36="PCFP",'6.8 Alloc of Residual Rev. YR2'!G38,'1.4 FY 2020 Revenue Received'!Z32),2)</f>
        <v>1395022.33</v>
      </c>
      <c r="G36" s="565">
        <f>ROUND(IF(D36="PCFP",'6.8 Alloc of Residual Rev. YR2'!J38,('1.4 FY 2020 Revenue Received'!S32)+'1.4 FY 2020 Revenue Received'!T32),2)</f>
        <v>0</v>
      </c>
      <c r="H36" s="570">
        <f>ROUND(IF(D36="PCFP",'6.8 Alloc of Residual Rev. YR2'!K38,('1.4 FY 2020 Revenue Received'!S32)+'1.4 FY 2020 Revenue Received'!U32),2)</f>
        <v>16499</v>
      </c>
      <c r="I36" s="595">
        <f>ROUND(IF(D36="PCFP",'6.8 Alloc of Residual Rev. YR2'!L38,'1.4 FY 2020 Revenue Received'!V32),2)</f>
        <v>0</v>
      </c>
      <c r="J36" s="581">
        <f t="shared" si="13"/>
        <v>16499</v>
      </c>
      <c r="L36" s="130">
        <v>0</v>
      </c>
      <c r="M36" s="130">
        <v>0</v>
      </c>
      <c r="N36" s="130">
        <v>0</v>
      </c>
      <c r="O36" s="559">
        <f t="shared" si="14"/>
        <v>0</v>
      </c>
      <c r="Q36" s="530">
        <f>ROUND(IF(D36="PCFP",'6.8 Alloc of Residual Rev. YR2'!I38,'1.4 FY 2020 Revenue Received'!Y32),2)</f>
        <v>79475</v>
      </c>
      <c r="S36" s="559">
        <f t="shared" si="12"/>
        <v>1490996.33</v>
      </c>
    </row>
    <row r="37" spans="1:22" x14ac:dyDescent="0.3">
      <c r="A37" s="4"/>
      <c r="B37" s="10" t="str">
        <f>'5.2 Budgeted Enrollment YR2'!E35</f>
        <v xml:space="preserve">Amplus (Formerly American Preparatory Academy) </v>
      </c>
      <c r="D37" s="143" t="str">
        <f>IF('2.9 PCFP Funding Comparison YR1'!$K$25="Yes","PCFP","FY 2020 Baseline")</f>
        <v>PCFP</v>
      </c>
      <c r="E37" s="559">
        <f>ROUND(IF(D37="PCFP",'6.8 Alloc of Residual Rev. YR2'!G39,'1.4 FY 2020 Revenue Received'!Z33),2)</f>
        <v>21401768.329999998</v>
      </c>
      <c r="G37" s="565">
        <f>ROUND(IF(D37="PCFP",'6.8 Alloc of Residual Rev. YR2'!J39,('1.4 FY 2020 Revenue Received'!S33)+'1.4 FY 2020 Revenue Received'!T33),2)</f>
        <v>738212.4</v>
      </c>
      <c r="H37" s="570">
        <f>ROUND(IF(D37="PCFP",'6.8 Alloc of Residual Rev. YR2'!K39,('1.4 FY 2020 Revenue Received'!S33)+'1.4 FY 2020 Revenue Received'!U33),2)</f>
        <v>128692.2</v>
      </c>
      <c r="I37" s="595">
        <f>ROUND(IF(D37="PCFP",'6.8 Alloc of Residual Rev. YR2'!L39,'1.4 FY 2020 Revenue Received'!V33),2)</f>
        <v>45254.400000000001</v>
      </c>
      <c r="J37" s="581">
        <f t="shared" si="13"/>
        <v>912159</v>
      </c>
      <c r="L37" s="130">
        <v>0</v>
      </c>
      <c r="M37" s="130">
        <v>0</v>
      </c>
      <c r="N37" s="130">
        <v>0</v>
      </c>
      <c r="O37" s="559">
        <f t="shared" si="14"/>
        <v>0</v>
      </c>
      <c r="Q37" s="530">
        <f>ROUND(IF(D37="PCFP",'6.8 Alloc of Residual Rev. YR2'!I39,'1.4 FY 2020 Revenue Received'!Y33),2)</f>
        <v>23584</v>
      </c>
      <c r="S37" s="559">
        <f t="shared" si="12"/>
        <v>22337511.329999998</v>
      </c>
    </row>
    <row r="38" spans="1:22" x14ac:dyDescent="0.3">
      <c r="A38" s="4"/>
      <c r="B38" s="10" t="str">
        <f>'5.2 Budgeted Enrollment YR2'!E36</f>
        <v>Bailey Charter School</v>
      </c>
      <c r="D38" s="143" t="str">
        <f>IF('2.9 PCFP Funding Comparison YR1'!$K$25="Yes","PCFP","FY 2020 Baseline")</f>
        <v>PCFP</v>
      </c>
      <c r="E38" s="559">
        <f>ROUND(IF(D38="PCFP",'6.8 Alloc of Residual Rev. YR2'!G40,'1.4 FY 2020 Revenue Received'!Z34),2)</f>
        <v>1654692.34</v>
      </c>
      <c r="G38" s="565">
        <f>ROUND(IF(D38="PCFP",'6.8 Alloc of Residual Rev. YR2'!J40,('1.4 FY 2020 Revenue Received'!S34)+'1.4 FY 2020 Revenue Received'!T34),2)</f>
        <v>318195</v>
      </c>
      <c r="H38" s="570">
        <f>ROUND(IF(D38="PCFP",'6.8 Alloc of Residual Rev. YR2'!K40,('1.4 FY 2020 Revenue Received'!S34)+'1.4 FY 2020 Revenue Received'!U34),2)</f>
        <v>122092.6</v>
      </c>
      <c r="I38" s="595">
        <f>ROUND(IF(D38="PCFP",'6.8 Alloc of Residual Rev. YR2'!L40,'1.4 FY 2020 Revenue Received'!V34),2)</f>
        <v>0</v>
      </c>
      <c r="J38" s="581">
        <f t="shared" si="13"/>
        <v>440287.6</v>
      </c>
      <c r="L38" s="130">
        <v>0</v>
      </c>
      <c r="M38" s="130">
        <v>0</v>
      </c>
      <c r="N38" s="130">
        <v>0</v>
      </c>
      <c r="O38" s="559">
        <f t="shared" si="14"/>
        <v>0</v>
      </c>
      <c r="Q38" s="530">
        <f>ROUND(IF(D38="PCFP",'6.8 Alloc of Residual Rev. YR2'!I40,'1.4 FY 2020 Revenue Received'!Y34),2)</f>
        <v>67769</v>
      </c>
      <c r="S38" s="559">
        <f t="shared" si="12"/>
        <v>2162748.94</v>
      </c>
    </row>
    <row r="39" spans="1:22" x14ac:dyDescent="0.3">
      <c r="A39" s="4"/>
      <c r="B39" s="10" t="str">
        <f>'5.2 Budgeted Enrollment YR2'!E37</f>
        <v>Battle Born Academy</v>
      </c>
      <c r="D39" s="143" t="str">
        <f>IF('2.9 PCFP Funding Comparison YR1'!$K$25="Yes","PCFP","FY 2020 Baseline")</f>
        <v>PCFP</v>
      </c>
      <c r="E39" s="559">
        <f>ROUND(IF(D39="PCFP",'6.8 Alloc of Residual Rev. YR2'!G41,'1.4 FY 2020 Revenue Received'!Z35),2)</f>
        <v>1247378.49</v>
      </c>
      <c r="G39" s="565">
        <f>ROUND(IF(D39="PCFP",'6.8 Alloc of Residual Rev. YR2'!J41,('1.4 FY 2020 Revenue Received'!S35)+'1.4 FY 2020 Revenue Received'!T35),2)</f>
        <v>237585.6</v>
      </c>
      <c r="H39" s="570">
        <f>ROUND(IF(D39="PCFP",'6.8 Alloc of Residual Rev. YR2'!K41,('1.4 FY 2020 Revenue Received'!S35)+'1.4 FY 2020 Revenue Received'!U35),2)</f>
        <v>0</v>
      </c>
      <c r="I39" s="595">
        <f>ROUND(IF(D39="PCFP",'6.8 Alloc of Residual Rev. YR2'!L41,'1.4 FY 2020 Revenue Received'!V35),2)</f>
        <v>0</v>
      </c>
      <c r="J39" s="581">
        <f t="shared" si="13"/>
        <v>237585.6</v>
      </c>
      <c r="L39" s="130">
        <v>0</v>
      </c>
      <c r="M39" s="130">
        <v>0</v>
      </c>
      <c r="N39" s="130">
        <v>0</v>
      </c>
      <c r="O39" s="559">
        <f t="shared" si="14"/>
        <v>0</v>
      </c>
      <c r="Q39" s="530">
        <f>ROUND(IF(D39="PCFP",'6.8 Alloc of Residual Rev. YR2'!I41,'1.4 FY 2020 Revenue Received'!Y35),2)</f>
        <v>0</v>
      </c>
      <c r="S39" s="559">
        <f t="shared" si="12"/>
        <v>1484964.09</v>
      </c>
    </row>
    <row r="40" spans="1:22" x14ac:dyDescent="0.3">
      <c r="A40" s="4"/>
      <c r="B40" s="10" t="str">
        <f>'5.2 Budgeted Enrollment YR2'!E38</f>
        <v>Beacon Academy</v>
      </c>
      <c r="D40" s="143" t="str">
        <f>IF('2.9 PCFP Funding Comparison YR1'!$K$25="Yes","PCFP","FY 2020 Baseline")</f>
        <v>PCFP</v>
      </c>
      <c r="E40" s="559">
        <f>ROUND(IF(D40="PCFP",'6.8 Alloc of Residual Rev. YR2'!G42,'1.4 FY 2020 Revenue Received'!Z36),2)</f>
        <v>5673978.2300000004</v>
      </c>
      <c r="G40" s="565">
        <f>ROUND(IF(D40="PCFP",'6.8 Alloc of Residual Rev. YR2'!J42,('1.4 FY 2020 Revenue Received'!S36)+'1.4 FY 2020 Revenue Received'!T36),2)</f>
        <v>237585.6</v>
      </c>
      <c r="H40" s="570">
        <f>ROUND(IF(D40="PCFP",'6.8 Alloc of Residual Rev. YR2'!K42,('1.4 FY 2020 Revenue Received'!S36)+'1.4 FY 2020 Revenue Received'!U36),2)</f>
        <v>554366.4</v>
      </c>
      <c r="I40" s="595">
        <f>ROUND(IF(D40="PCFP",'6.8 Alloc of Residual Rev. YR2'!L42,'1.4 FY 2020 Revenue Received'!V36),2)</f>
        <v>0</v>
      </c>
      <c r="J40" s="581">
        <f t="shared" si="13"/>
        <v>791952</v>
      </c>
      <c r="L40" s="130">
        <v>0</v>
      </c>
      <c r="M40" s="130">
        <v>0</v>
      </c>
      <c r="N40" s="130">
        <v>0</v>
      </c>
      <c r="O40" s="559">
        <f t="shared" si="14"/>
        <v>0</v>
      </c>
      <c r="Q40" s="530">
        <f>ROUND(IF(D40="PCFP",'6.8 Alloc of Residual Rev. YR2'!I42,'1.4 FY 2020 Revenue Received'!Y36),2)</f>
        <v>275857</v>
      </c>
      <c r="S40" s="559">
        <f t="shared" si="12"/>
        <v>6741787.2300000004</v>
      </c>
    </row>
    <row r="41" spans="1:22" x14ac:dyDescent="0.3">
      <c r="A41" s="4"/>
      <c r="B41" s="10" t="str">
        <f>'5.2 Budgeted Enrollment YR2'!E39</f>
        <v>Cactus Park</v>
      </c>
      <c r="D41" s="143" t="str">
        <f>IF('2.9 PCFP Funding Comparison YR1'!$K$25="Yes","PCFP","FY 2020 Baseline")</f>
        <v>PCFP</v>
      </c>
      <c r="E41" s="559">
        <f>ROUND(IF(D41="PCFP",'6.8 Alloc of Residual Rev. YR2'!G43,'1.4 FY 2020 Revenue Received'!Z37),2)</f>
        <v>1024261.04</v>
      </c>
      <c r="G41" s="565">
        <f>ROUND(IF(D41="PCFP",'6.8 Alloc of Residual Rev. YR2'!J43,('1.4 FY 2020 Revenue Received'!S37)+'1.4 FY 2020 Revenue Received'!T37),2)</f>
        <v>93337.2</v>
      </c>
      <c r="H41" s="570">
        <f>ROUND(IF(D41="PCFP",'6.8 Alloc of Residual Rev. YR2'!K43,('1.4 FY 2020 Revenue Received'!S37)+'1.4 FY 2020 Revenue Received'!U37),2)</f>
        <v>0</v>
      </c>
      <c r="I41" s="595">
        <f>ROUND(IF(D41="PCFP",'6.8 Alloc of Residual Rev. YR2'!L43,'1.4 FY 2020 Revenue Received'!V37),2)</f>
        <v>0</v>
      </c>
      <c r="J41" s="581">
        <f t="shared" si="13"/>
        <v>93337.2</v>
      </c>
      <c r="L41" s="130">
        <v>0</v>
      </c>
      <c r="M41" s="130">
        <v>0</v>
      </c>
      <c r="N41" s="130">
        <v>0</v>
      </c>
      <c r="O41" s="559">
        <f t="shared" si="14"/>
        <v>0</v>
      </c>
      <c r="Q41" s="530">
        <f>ROUND(IF(D41="PCFP",'6.8 Alloc of Residual Rev. YR2'!I43,'1.4 FY 2020 Revenue Received'!Y37),2)</f>
        <v>0</v>
      </c>
      <c r="S41" s="559">
        <f t="shared" si="12"/>
        <v>1117598.24</v>
      </c>
    </row>
    <row r="42" spans="1:22" x14ac:dyDescent="0.3">
      <c r="A42" s="4"/>
      <c r="B42" s="10" t="str">
        <f>'5.2 Budgeted Enrollment YR2'!E40</f>
        <v>Carson Montessori</v>
      </c>
      <c r="D42" s="143" t="str">
        <f>IF('2.9 PCFP Funding Comparison YR1'!$K$25="Yes","PCFP","FY 2020 Baseline")</f>
        <v>PCFP</v>
      </c>
      <c r="E42" s="559">
        <f>ROUND(IF(D42="PCFP",'6.8 Alloc of Residual Rev. YR2'!G44,'1.4 FY 2020 Revenue Received'!Z38),2)</f>
        <v>2902492.79</v>
      </c>
      <c r="G42" s="565">
        <f>ROUND(IF(D42="PCFP",'6.8 Alloc of Residual Rev. YR2'!J44,('1.4 FY 2020 Revenue Received'!S38)+'1.4 FY 2020 Revenue Received'!T38),2)</f>
        <v>38183.4</v>
      </c>
      <c r="H42" s="570">
        <f>ROUND(IF(D42="PCFP",'6.8 Alloc of Residual Rev. YR2'!K44,('1.4 FY 2020 Revenue Received'!S38)+'1.4 FY 2020 Revenue Received'!U38),2)</f>
        <v>9899.4</v>
      </c>
      <c r="I42" s="595">
        <f>ROUND(IF(D42="PCFP",'6.8 Alloc of Residual Rev. YR2'!L44,'1.4 FY 2020 Revenue Received'!V38),2)</f>
        <v>0</v>
      </c>
      <c r="J42" s="581">
        <f t="shared" si="13"/>
        <v>48082.8</v>
      </c>
      <c r="L42" s="130">
        <v>0</v>
      </c>
      <c r="M42" s="130">
        <v>0</v>
      </c>
      <c r="N42" s="130">
        <v>0</v>
      </c>
      <c r="O42" s="559">
        <f t="shared" si="14"/>
        <v>0</v>
      </c>
      <c r="Q42" s="530">
        <f>ROUND(IF(D42="PCFP",'6.8 Alloc of Residual Rev. YR2'!I44,'1.4 FY 2020 Revenue Received'!Y38),2)</f>
        <v>144597</v>
      </c>
      <c r="S42" s="559">
        <f t="shared" si="12"/>
        <v>3095172.59</v>
      </c>
    </row>
    <row r="43" spans="1:22" x14ac:dyDescent="0.3">
      <c r="A43" s="4"/>
      <c r="B43" s="10" t="str">
        <f>'5.2 Budgeted Enrollment YR2'!E41</f>
        <v>CIVICA Nevada Career &amp; Collegiate Academy</v>
      </c>
      <c r="D43" s="143" t="str">
        <f>IF('2.9 PCFP Funding Comparison YR1'!$K$25="Yes","PCFP","FY 2020 Baseline")</f>
        <v>PCFP</v>
      </c>
      <c r="E43" s="559">
        <f>ROUND(IF(D43="PCFP",'6.8 Alloc of Residual Rev. YR2'!G45,'1.4 FY 2020 Revenue Received'!Z39),2)</f>
        <v>7229760.6600000001</v>
      </c>
      <c r="G43" s="565">
        <f>ROUND(IF(D43="PCFP",'6.8 Alloc of Residual Rev. YR2'!J45,('1.4 FY 2020 Revenue Received'!S39)+'1.4 FY 2020 Revenue Received'!T39),2)</f>
        <v>1022466.6</v>
      </c>
      <c r="H43" s="570">
        <f>ROUND(IF(D43="PCFP",'6.8 Alloc of Residual Rev. YR2'!K45,('1.4 FY 2020 Revenue Received'!S39)+'1.4 FY 2020 Revenue Received'!U39),2)</f>
        <v>161690.20000000001</v>
      </c>
      <c r="I43" s="595">
        <f>ROUND(IF(D43="PCFP",'6.8 Alloc of Residual Rev. YR2'!L45,'1.4 FY 2020 Revenue Received'!V39),2)</f>
        <v>0</v>
      </c>
      <c r="J43" s="581">
        <f t="shared" si="13"/>
        <v>1184156.8</v>
      </c>
      <c r="L43" s="130">
        <v>0</v>
      </c>
      <c r="M43" s="130">
        <v>0</v>
      </c>
      <c r="N43" s="130">
        <v>0</v>
      </c>
      <c r="O43" s="559">
        <f t="shared" si="14"/>
        <v>0</v>
      </c>
      <c r="Q43" s="530">
        <f>ROUND(IF(D43="PCFP",'6.8 Alloc of Residual Rev. YR2'!I45,'1.4 FY 2020 Revenue Received'!Y39),2)</f>
        <v>258073</v>
      </c>
      <c r="S43" s="559">
        <f t="shared" si="12"/>
        <v>8671990.4600000009</v>
      </c>
    </row>
    <row r="44" spans="1:22" x14ac:dyDescent="0.3">
      <c r="A44" s="4"/>
      <c r="B44" s="10" t="str">
        <f>'5.2 Budgeted Enrollment YR2'!E42</f>
        <v>Coral Academy of Science Las Vegas</v>
      </c>
      <c r="D44" s="143" t="str">
        <f>IF('2.9 PCFP Funding Comparison YR1'!$K$25="Yes","PCFP","FY 2020 Baseline")</f>
        <v>PCFP</v>
      </c>
      <c r="E44" s="559">
        <f>ROUND(IF(D44="PCFP",'6.8 Alloc of Residual Rev. YR2'!G46,'1.4 FY 2020 Revenue Received'!Z40),2)</f>
        <v>48853605.009999998</v>
      </c>
      <c r="G44" s="565">
        <f>ROUND(IF(D44="PCFP",'6.8 Alloc of Residual Rev. YR2'!J46,('1.4 FY 2020 Revenue Received'!S40)+'1.4 FY 2020 Revenue Received'!T40),2)</f>
        <v>920644.2</v>
      </c>
      <c r="H44" s="570">
        <f>ROUND(IF(D44="PCFP",'6.8 Alloc of Residual Rev. YR2'!K46,('1.4 FY 2020 Revenue Received'!S40)+'1.4 FY 2020 Revenue Received'!U40),2)</f>
        <v>95694.2</v>
      </c>
      <c r="I44" s="595">
        <f>ROUND(IF(D44="PCFP",'6.8 Alloc of Residual Rev. YR2'!L46,'1.4 FY 2020 Revenue Received'!V40),2)</f>
        <v>26021.279999999999</v>
      </c>
      <c r="J44" s="581">
        <f t="shared" si="13"/>
        <v>1042359.6799999999</v>
      </c>
      <c r="L44" s="130">
        <v>0</v>
      </c>
      <c r="M44" s="130">
        <v>0</v>
      </c>
      <c r="N44" s="130">
        <v>0</v>
      </c>
      <c r="O44" s="559">
        <f t="shared" si="14"/>
        <v>0</v>
      </c>
      <c r="Q44" s="530">
        <f>ROUND(IF(D44="PCFP",'6.8 Alloc of Residual Rev. YR2'!I46,'1.4 FY 2020 Revenue Received'!Y40),2)</f>
        <v>621925</v>
      </c>
      <c r="S44" s="559">
        <f t="shared" si="12"/>
        <v>50517889.689999998</v>
      </c>
    </row>
    <row r="45" spans="1:22" x14ac:dyDescent="0.3">
      <c r="A45" s="4"/>
      <c r="B45" s="10" t="str">
        <f>'5.2 Budgeted Enrollment YR2'!E43</f>
        <v>Coral Academy Washoe</v>
      </c>
      <c r="D45" s="143" t="str">
        <f>IF('2.9 PCFP Funding Comparison YR1'!$K$25="Yes","PCFP","FY 2020 Baseline")</f>
        <v>PCFP</v>
      </c>
      <c r="E45" s="559">
        <f>ROUND(IF(D45="PCFP",'6.8 Alloc of Residual Rev. YR2'!G47,'1.4 FY 2020 Revenue Received'!Z41),2)</f>
        <v>16639125.48</v>
      </c>
      <c r="G45" s="565">
        <f>ROUND(IF(D45="PCFP",'6.8 Alloc of Residual Rev. YR2'!J47,('1.4 FY 2020 Revenue Received'!S41)+'1.4 FY 2020 Revenue Received'!T41),2)</f>
        <v>543052.80000000005</v>
      </c>
      <c r="H45" s="570">
        <f>ROUND(IF(D45="PCFP",'6.8 Alloc of Residual Rev. YR2'!K47,('1.4 FY 2020 Revenue Received'!S41)+'1.4 FY 2020 Revenue Received'!U41),2)</f>
        <v>138591.6</v>
      </c>
      <c r="I45" s="595">
        <f>ROUND(IF(D45="PCFP",'6.8 Alloc of Residual Rev. YR2'!L47,'1.4 FY 2020 Revenue Received'!V41),2)</f>
        <v>4525.4399999999996</v>
      </c>
      <c r="J45" s="581">
        <f t="shared" si="13"/>
        <v>686169.84</v>
      </c>
      <c r="L45" s="130">
        <v>0</v>
      </c>
      <c r="M45" s="130">
        <v>0</v>
      </c>
      <c r="N45" s="130">
        <v>0</v>
      </c>
      <c r="O45" s="559">
        <f t="shared" si="14"/>
        <v>0</v>
      </c>
      <c r="Q45" s="530">
        <f>ROUND(IF(D45="PCFP",'6.8 Alloc of Residual Rev. YR2'!I47,'1.4 FY 2020 Revenue Received'!Y41),2)</f>
        <v>230064</v>
      </c>
      <c r="S45" s="559">
        <f t="shared" si="12"/>
        <v>17555359.32</v>
      </c>
    </row>
    <row r="46" spans="1:22" x14ac:dyDescent="0.3">
      <c r="B46" s="10" t="str">
        <f>'5.2 Budgeted Enrollment YR2'!E44</f>
        <v>Delta Academy</v>
      </c>
      <c r="D46" s="143" t="str">
        <f>IF('2.9 PCFP Funding Comparison YR1'!$K$25="Yes","PCFP","FY 2020 Baseline")</f>
        <v>PCFP</v>
      </c>
      <c r="E46" s="559">
        <f>ROUND(IF(D46="PCFP",'6.8 Alloc of Residual Rev. YR2'!G48,'1.4 FY 2020 Revenue Received'!Z42),2)</f>
        <v>11883520.23</v>
      </c>
      <c r="G46" s="565">
        <f>ROUND(IF(D46="PCFP",'6.8 Alloc of Residual Rev. YR2'!J48,('1.4 FY 2020 Revenue Received'!S42)+'1.4 FY 2020 Revenue Received'!T42),2)</f>
        <v>428502.6</v>
      </c>
      <c r="H46" s="570">
        <f>ROUND(IF(D46="PCFP",'6.8 Alloc of Residual Rev. YR2'!K48,('1.4 FY 2020 Revenue Received'!S42)+'1.4 FY 2020 Revenue Received'!U42),2)</f>
        <v>1095533.6000000001</v>
      </c>
      <c r="I46" s="595">
        <f>ROUND(IF(D46="PCFP",'6.8 Alloc of Residual Rev. YR2'!L48,'1.4 FY 2020 Revenue Received'!V42),2)</f>
        <v>0</v>
      </c>
      <c r="J46" s="581">
        <f t="shared" si="13"/>
        <v>1524036.2000000002</v>
      </c>
      <c r="L46" s="130">
        <v>0</v>
      </c>
      <c r="M46" s="130">
        <v>0</v>
      </c>
      <c r="N46" s="130">
        <v>0</v>
      </c>
      <c r="O46" s="559">
        <f t="shared" si="14"/>
        <v>0</v>
      </c>
      <c r="Q46" s="530">
        <f>ROUND(IF(D46="PCFP",'6.8 Alloc of Residual Rev. YR2'!I48,'1.4 FY 2020 Revenue Received'!Y42),2)</f>
        <v>315441</v>
      </c>
      <c r="S46" s="559">
        <f t="shared" si="12"/>
        <v>13722997.43</v>
      </c>
    </row>
    <row r="47" spans="1:22" x14ac:dyDescent="0.3">
      <c r="A47" s="4"/>
      <c r="B47" s="10" t="str">
        <f>'5.2 Budgeted Enrollment YR2'!E45</f>
        <v>Democracy Prep</v>
      </c>
      <c r="D47" s="143" t="str">
        <f>IF('2.9 PCFP Funding Comparison YR1'!$K$25="Yes","PCFP","FY 2020 Baseline")</f>
        <v>PCFP</v>
      </c>
      <c r="E47" s="559">
        <f>ROUND(IF(D47="PCFP",'6.8 Alloc of Residual Rev. YR2'!G49,'1.4 FY 2020 Revenue Received'!Z43),2)</f>
        <v>11356465.02</v>
      </c>
      <c r="G47" s="565">
        <f>ROUND(IF(D47="PCFP",'6.8 Alloc of Residual Rev. YR2'!J49,('1.4 FY 2020 Revenue Received'!S43)+'1.4 FY 2020 Revenue Received'!T43),2)</f>
        <v>458200.8</v>
      </c>
      <c r="H47" s="570">
        <f>ROUND(IF(D47="PCFP",'6.8 Alloc of Residual Rev. YR2'!K49,('1.4 FY 2020 Revenue Received'!S43)+'1.4 FY 2020 Revenue Received'!U43),2)</f>
        <v>640161.19999999995</v>
      </c>
      <c r="I47" s="595">
        <f>ROUND(IF(D47="PCFP",'6.8 Alloc of Residual Rev. YR2'!L49,'1.4 FY 2020 Revenue Received'!V43),2)</f>
        <v>0</v>
      </c>
      <c r="J47" s="581">
        <f t="shared" si="13"/>
        <v>1098362</v>
      </c>
      <c r="L47" s="130">
        <v>0</v>
      </c>
      <c r="M47" s="130">
        <v>0</v>
      </c>
      <c r="N47" s="130">
        <v>0</v>
      </c>
      <c r="O47" s="559">
        <f t="shared" si="14"/>
        <v>0</v>
      </c>
      <c r="Q47" s="530">
        <f>ROUND(IF(D47="PCFP",'6.8 Alloc of Residual Rev. YR2'!I49,'1.4 FY 2020 Revenue Received'!Y43),2)</f>
        <v>0</v>
      </c>
      <c r="S47" s="559">
        <f t="shared" si="12"/>
        <v>12454827.02</v>
      </c>
    </row>
    <row r="48" spans="1:22" x14ac:dyDescent="0.3">
      <c r="A48" s="4"/>
      <c r="B48" s="10" t="str">
        <f>'5.2 Budgeted Enrollment YR2'!E46</f>
        <v>Discovery Charter</v>
      </c>
      <c r="D48" s="143" t="str">
        <f>IF('2.9 PCFP Funding Comparison YR1'!$K$25="Yes","PCFP","FY 2020 Baseline")</f>
        <v>PCFP</v>
      </c>
      <c r="E48" s="559">
        <f>ROUND(IF(D48="PCFP",'6.8 Alloc of Residual Rev. YR2'!G50,'1.4 FY 2020 Revenue Received'!Z44),2)</f>
        <v>4645291.0999999996</v>
      </c>
      <c r="G48" s="565">
        <f>ROUND(IF(D48="PCFP",'6.8 Alloc of Residual Rev. YR2'!J50,('1.4 FY 2020 Revenue Received'!S44)+'1.4 FY 2020 Revenue Received'!T44),2)</f>
        <v>97579.8</v>
      </c>
      <c r="H48" s="570">
        <f>ROUND(IF(D48="PCFP",'6.8 Alloc of Residual Rev. YR2'!K50,('1.4 FY 2020 Revenue Received'!S44)+'1.4 FY 2020 Revenue Received'!U44),2)</f>
        <v>29698.2</v>
      </c>
      <c r="I48" s="595">
        <f>ROUND(IF(D48="PCFP",'6.8 Alloc of Residual Rev. YR2'!L50,'1.4 FY 2020 Revenue Received'!V44),2)</f>
        <v>48648.480000000003</v>
      </c>
      <c r="J48" s="581">
        <f t="shared" si="13"/>
        <v>175926.48</v>
      </c>
      <c r="L48" s="130">
        <v>0</v>
      </c>
      <c r="M48" s="130">
        <v>0</v>
      </c>
      <c r="N48" s="130">
        <v>0</v>
      </c>
      <c r="O48" s="559">
        <f t="shared" si="14"/>
        <v>0</v>
      </c>
      <c r="Q48" s="530">
        <f>ROUND(IF(D48="PCFP",'6.8 Alloc of Residual Rev. YR2'!I50,'1.4 FY 2020 Revenue Received'!Y44),2)</f>
        <v>18495</v>
      </c>
      <c r="S48" s="559">
        <f t="shared" si="12"/>
        <v>4839712.58</v>
      </c>
    </row>
    <row r="49" spans="1:19" x14ac:dyDescent="0.3">
      <c r="A49" s="4"/>
      <c r="B49" s="10" t="str">
        <f>'5.2 Budgeted Enrollment YR2'!E47</f>
        <v>Doral Academy</v>
      </c>
      <c r="D49" s="143" t="str">
        <f>IF('2.9 PCFP Funding Comparison YR1'!$K$25="Yes","PCFP","FY 2020 Baseline")</f>
        <v>PCFP</v>
      </c>
      <c r="E49" s="559">
        <f>ROUND(IF(D49="PCFP",'6.8 Alloc of Residual Rev. YR2'!G51,'1.4 FY 2020 Revenue Received'!Z45),2)</f>
        <v>59269528.810000002</v>
      </c>
      <c r="G49" s="565">
        <f>ROUND(IF(D49="PCFP",'6.8 Alloc of Residual Rev. YR2'!J51,('1.4 FY 2020 Revenue Received'!S45)+'1.4 FY 2020 Revenue Received'!T45),2)</f>
        <v>946099.8</v>
      </c>
      <c r="H49" s="570">
        <f>ROUND(IF(D49="PCFP",'6.8 Alloc of Residual Rev. YR2'!K51,('1.4 FY 2020 Revenue Received'!S45)+'1.4 FY 2020 Revenue Received'!U45),2)</f>
        <v>122092.6</v>
      </c>
      <c r="I49" s="595">
        <f>ROUND(IF(D49="PCFP",'6.8 Alloc of Residual Rev. YR2'!L51,'1.4 FY 2020 Revenue Received'!V45),2)</f>
        <v>381268.32</v>
      </c>
      <c r="J49" s="581">
        <f t="shared" si="13"/>
        <v>1449460.7200000002</v>
      </c>
      <c r="L49" s="130">
        <v>0</v>
      </c>
      <c r="M49" s="130">
        <v>0</v>
      </c>
      <c r="N49" s="130">
        <v>0</v>
      </c>
      <c r="O49" s="559">
        <f t="shared" si="14"/>
        <v>0</v>
      </c>
      <c r="Q49" s="530">
        <f>ROUND(IF(D49="PCFP",'6.8 Alloc of Residual Rev. YR2'!I51,'1.4 FY 2020 Revenue Received'!Y45),2)</f>
        <v>1947565</v>
      </c>
      <c r="S49" s="559">
        <f t="shared" si="12"/>
        <v>62666554.530000001</v>
      </c>
    </row>
    <row r="50" spans="1:19" x14ac:dyDescent="0.3">
      <c r="A50" s="4"/>
      <c r="B50" s="10" t="str">
        <f>'5.2 Budgeted Enrollment YR2'!E48</f>
        <v>Doral Academy of Northern Nevada</v>
      </c>
      <c r="D50" s="143" t="str">
        <f>IF('2.9 PCFP Funding Comparison YR1'!$K$25="Yes","PCFP","FY 2020 Baseline")</f>
        <v>PCFP</v>
      </c>
      <c r="E50" s="559">
        <f>ROUND(IF(D50="PCFP",'6.8 Alloc of Residual Rev. YR2'!G52,'1.4 FY 2020 Revenue Received'!Z46),2)</f>
        <v>9035753.25</v>
      </c>
      <c r="G50" s="565">
        <f>ROUND(IF(D50="PCFP",'6.8 Alloc of Residual Rev. YR2'!J52,('1.4 FY 2020 Revenue Received'!S46)+'1.4 FY 2020 Revenue Received'!T46),2)</f>
        <v>8485.2000000000007</v>
      </c>
      <c r="H50" s="570">
        <f>ROUND(IF(D50="PCFP",'6.8 Alloc of Residual Rev. YR2'!K52,('1.4 FY 2020 Revenue Received'!S46)+'1.4 FY 2020 Revenue Received'!U46),2)</f>
        <v>0</v>
      </c>
      <c r="I50" s="595">
        <f>ROUND(IF(D50="PCFP",'6.8 Alloc of Residual Rev. YR2'!L52,'1.4 FY 2020 Revenue Received'!V46),2)</f>
        <v>73538.399999999994</v>
      </c>
      <c r="J50" s="581">
        <f t="shared" si="13"/>
        <v>82023.599999999991</v>
      </c>
      <c r="L50" s="130">
        <v>0</v>
      </c>
      <c r="M50" s="130">
        <v>0</v>
      </c>
      <c r="N50" s="130">
        <v>0</v>
      </c>
      <c r="O50" s="559">
        <f t="shared" si="14"/>
        <v>0</v>
      </c>
      <c r="Q50" s="530">
        <f>ROUND(IF(D50="PCFP",'6.8 Alloc of Residual Rev. YR2'!I52,'1.4 FY 2020 Revenue Received'!Y46),2)</f>
        <v>85193</v>
      </c>
      <c r="S50" s="559">
        <f t="shared" si="12"/>
        <v>9202969.8499999996</v>
      </c>
    </row>
    <row r="51" spans="1:19" x14ac:dyDescent="0.3">
      <c r="A51" s="4"/>
      <c r="B51" s="10" t="str">
        <f>'5.2 Budgeted Enrollment YR2'!E49</f>
        <v>Eagle Charter School</v>
      </c>
      <c r="D51" s="143" t="str">
        <f>IF('2.9 PCFP Funding Comparison YR1'!$K$25="Yes","PCFP","FY 2020 Baseline")</f>
        <v>PCFP</v>
      </c>
      <c r="E51" s="559">
        <f>ROUND(IF(D51="PCFP",'6.8 Alloc of Residual Rev. YR2'!G53,'1.4 FY 2020 Revenue Received'!Z47),2)</f>
        <v>5096313.8</v>
      </c>
      <c r="G51" s="565">
        <f>ROUND(IF(D51="PCFP",'6.8 Alloc of Residual Rev. YR2'!J53,('1.4 FY 2020 Revenue Received'!S47)+'1.4 FY 2020 Revenue Received'!T47),2)</f>
        <v>0</v>
      </c>
      <c r="H51" s="570">
        <f>ROUND(IF(D51="PCFP",'6.8 Alloc of Residual Rev. YR2'!K53,('1.4 FY 2020 Revenue Received'!S47)+'1.4 FY 2020 Revenue Received'!U47),2)</f>
        <v>0</v>
      </c>
      <c r="I51" s="595">
        <f>ROUND(IF(D51="PCFP",'6.8 Alloc of Residual Rev. YR2'!L53,'1.4 FY 2020 Revenue Received'!V47),2)</f>
        <v>0</v>
      </c>
      <c r="J51" s="581">
        <f t="shared" si="13"/>
        <v>0</v>
      </c>
      <c r="L51" s="130">
        <v>0</v>
      </c>
      <c r="M51" s="130">
        <v>0</v>
      </c>
      <c r="N51" s="130">
        <v>0</v>
      </c>
      <c r="O51" s="559">
        <f t="shared" si="14"/>
        <v>0</v>
      </c>
      <c r="Q51" s="530">
        <f>ROUND(IF(D51="PCFP",'6.8 Alloc of Residual Rev. YR2'!I53,'1.4 FY 2020 Revenue Received'!Y47),2)</f>
        <v>0</v>
      </c>
      <c r="S51" s="559">
        <f t="shared" si="12"/>
        <v>5096313.8</v>
      </c>
    </row>
    <row r="52" spans="1:19" x14ac:dyDescent="0.3">
      <c r="A52" s="4"/>
      <c r="B52" s="10" t="str">
        <f>'5.2 Budgeted Enrollment YR2'!E50</f>
        <v>Elko Institute for Academic Achievement</v>
      </c>
      <c r="D52" s="143" t="str">
        <f>IF('2.9 PCFP Funding Comparison YR1'!$K$25="Yes","PCFP","FY 2020 Baseline")</f>
        <v>PCFP</v>
      </c>
      <c r="E52" s="559">
        <f>ROUND(IF(D52="PCFP",'6.8 Alloc of Residual Rev. YR2'!G54,'1.4 FY 2020 Revenue Received'!Z48),2)</f>
        <v>2007614.53</v>
      </c>
      <c r="G52" s="565">
        <f>ROUND(IF(D52="PCFP",'6.8 Alloc of Residual Rev. YR2'!J54,('1.4 FY 2020 Revenue Received'!S48)+'1.4 FY 2020 Revenue Received'!T48),2)</f>
        <v>8485.2000000000007</v>
      </c>
      <c r="H52" s="570">
        <f>ROUND(IF(D52="PCFP",'6.8 Alloc of Residual Rev. YR2'!K54,('1.4 FY 2020 Revenue Received'!S48)+'1.4 FY 2020 Revenue Received'!U48),2)</f>
        <v>16499</v>
      </c>
      <c r="I52" s="595">
        <f>ROUND(IF(D52="PCFP",'6.8 Alloc of Residual Rev. YR2'!L54,'1.4 FY 2020 Revenue Received'!V48),2)</f>
        <v>0</v>
      </c>
      <c r="J52" s="581">
        <f t="shared" si="13"/>
        <v>24984.2</v>
      </c>
      <c r="L52" s="130">
        <v>0</v>
      </c>
      <c r="M52" s="130">
        <v>0</v>
      </c>
      <c r="N52" s="130">
        <v>0</v>
      </c>
      <c r="O52" s="559">
        <f t="shared" si="14"/>
        <v>0</v>
      </c>
      <c r="Q52" s="530">
        <f>ROUND(IF(D52="PCFP",'6.8 Alloc of Residual Rev. YR2'!I54,'1.4 FY 2020 Revenue Received'!Y48),2)</f>
        <v>38988</v>
      </c>
      <c r="S52" s="559">
        <f t="shared" si="12"/>
        <v>2071586.73</v>
      </c>
    </row>
    <row r="53" spans="1:19" x14ac:dyDescent="0.3">
      <c r="A53" s="4"/>
      <c r="B53" s="10" t="str">
        <f>'5.2 Budgeted Enrollment YR2'!E51</f>
        <v>enCompass Academy</v>
      </c>
      <c r="D53" s="143" t="str">
        <f>IF('2.9 PCFP Funding Comparison YR1'!$K$25="Yes","PCFP","FY 2020 Baseline")</f>
        <v>PCFP</v>
      </c>
      <c r="E53" s="559">
        <f>ROUND(IF(D53="PCFP",'6.8 Alloc of Residual Rev. YR2'!G55,'1.4 FY 2020 Revenue Received'!Z49),2)</f>
        <v>1084135.21</v>
      </c>
      <c r="G53" s="565">
        <f>ROUND(IF(D53="PCFP",'6.8 Alloc of Residual Rev. YR2'!J55,('1.4 FY 2020 Revenue Received'!S49)+'1.4 FY 2020 Revenue Received'!T49),2)</f>
        <v>25455.599999999999</v>
      </c>
      <c r="H53" s="570">
        <f>ROUND(IF(D53="PCFP",'6.8 Alloc of Residual Rev. YR2'!K55,('1.4 FY 2020 Revenue Received'!S49)+'1.4 FY 2020 Revenue Received'!U49),2)</f>
        <v>65996</v>
      </c>
      <c r="I53" s="595">
        <f>ROUND(IF(D53="PCFP",'6.8 Alloc of Residual Rev. YR2'!L55,'1.4 FY 2020 Revenue Received'!V49),2)</f>
        <v>0</v>
      </c>
      <c r="J53" s="581">
        <f t="shared" si="13"/>
        <v>91451.6</v>
      </c>
      <c r="L53" s="130">
        <v>0</v>
      </c>
      <c r="M53" s="130">
        <v>0</v>
      </c>
      <c r="N53" s="130">
        <v>0</v>
      </c>
      <c r="O53" s="559">
        <f t="shared" si="14"/>
        <v>0</v>
      </c>
      <c r="Q53" s="530">
        <f>ROUND(IF(D53="PCFP",'6.8 Alloc of Residual Rev. YR2'!I55,'1.4 FY 2020 Revenue Received'!Y49),2)</f>
        <v>72695</v>
      </c>
      <c r="S53" s="559">
        <f t="shared" si="12"/>
        <v>1248281.81</v>
      </c>
    </row>
    <row r="54" spans="1:19" x14ac:dyDescent="0.3">
      <c r="A54" s="4"/>
      <c r="B54" s="10" t="str">
        <f>'5.2 Budgeted Enrollment YR2'!E52</f>
        <v>Equipo Academy</v>
      </c>
      <c r="D54" s="143" t="str">
        <f>IF('2.9 PCFP Funding Comparison YR1'!$K$25="Yes","PCFP","FY 2020 Baseline")</f>
        <v>PCFP</v>
      </c>
      <c r="E54" s="559">
        <f>ROUND(IF(D54="PCFP",'6.8 Alloc of Residual Rev. YR2'!G56,'1.4 FY 2020 Revenue Received'!Z50),2)</f>
        <v>7541794.1200000001</v>
      </c>
      <c r="G54" s="565">
        <f>ROUND(IF(D54="PCFP",'6.8 Alloc of Residual Rev. YR2'!J56,('1.4 FY 2020 Revenue Received'!S50)+'1.4 FY 2020 Revenue Received'!T50),2)</f>
        <v>712756.8</v>
      </c>
      <c r="H54" s="570">
        <f>ROUND(IF(D54="PCFP",'6.8 Alloc of Residual Rev. YR2'!K56,('1.4 FY 2020 Revenue Received'!S50)+'1.4 FY 2020 Revenue Received'!U50),2)</f>
        <v>95694.2</v>
      </c>
      <c r="I54" s="595">
        <f>ROUND(IF(D54="PCFP",'6.8 Alloc of Residual Rev. YR2'!L56,'1.4 FY 2020 Revenue Received'!V50),2)</f>
        <v>0</v>
      </c>
      <c r="J54" s="581">
        <f t="shared" si="13"/>
        <v>808451</v>
      </c>
      <c r="L54" s="130">
        <v>0</v>
      </c>
      <c r="M54" s="130">
        <v>0</v>
      </c>
      <c r="N54" s="130">
        <v>0</v>
      </c>
      <c r="O54" s="559">
        <f t="shared" si="14"/>
        <v>0</v>
      </c>
      <c r="Q54" s="530">
        <f>ROUND(IF(D54="PCFP",'6.8 Alloc of Residual Rev. YR2'!I56,'1.4 FY 2020 Revenue Received'!Y50),2)</f>
        <v>97416.04</v>
      </c>
      <c r="S54" s="559">
        <f t="shared" si="12"/>
        <v>8447661.1600000001</v>
      </c>
    </row>
    <row r="55" spans="1:19" x14ac:dyDescent="0.3">
      <c r="A55" s="4"/>
      <c r="B55" s="10" t="str">
        <f>'5.2 Budgeted Enrollment YR2'!E53</f>
        <v>Explore Academy</v>
      </c>
      <c r="D55" s="143" t="str">
        <f>IF('2.9 PCFP Funding Comparison YR1'!$K$25="Yes","PCFP","FY 2020 Baseline")</f>
        <v>PCFP</v>
      </c>
      <c r="E55" s="559">
        <f>ROUND(IF(D55="PCFP",'6.8 Alloc of Residual Rev. YR2'!G57,'1.4 FY 2020 Revenue Received'!Z51),2)</f>
        <v>2592827.5699999998</v>
      </c>
      <c r="G55" s="565">
        <f>ROUND(IF(D55="PCFP",'6.8 Alloc of Residual Rev. YR2'!J57,('1.4 FY 2020 Revenue Received'!S51)+'1.4 FY 2020 Revenue Received'!T51),2)</f>
        <v>46668.6</v>
      </c>
      <c r="H55" s="570">
        <f>ROUND(IF(D55="PCFP",'6.8 Alloc of Residual Rev. YR2'!K57,('1.4 FY 2020 Revenue Received'!S51)+'1.4 FY 2020 Revenue Received'!U51),2)</f>
        <v>6599.6</v>
      </c>
      <c r="I55" s="595">
        <f>ROUND(IF(D55="PCFP",'6.8 Alloc of Residual Rev. YR2'!L57,'1.4 FY 2020 Revenue Received'!V51),2)</f>
        <v>0</v>
      </c>
      <c r="J55" s="581">
        <f t="shared" si="13"/>
        <v>53268.2</v>
      </c>
      <c r="L55" s="130">
        <v>0</v>
      </c>
      <c r="M55" s="130">
        <v>0</v>
      </c>
      <c r="N55" s="130">
        <v>0</v>
      </c>
      <c r="O55" s="559">
        <f t="shared" si="14"/>
        <v>0</v>
      </c>
      <c r="Q55" s="530">
        <f>ROUND(IF(D55="PCFP",'6.8 Alloc of Residual Rev. YR2'!I57,'1.4 FY 2020 Revenue Received'!Y51),2)</f>
        <v>0</v>
      </c>
      <c r="S55" s="559">
        <f t="shared" si="12"/>
        <v>2646095.77</v>
      </c>
    </row>
    <row r="56" spans="1:19" x14ac:dyDescent="0.3">
      <c r="A56" s="4"/>
      <c r="B56" s="10" t="str">
        <f>'5.2 Budgeted Enrollment YR2'!E54</f>
        <v>Explore Knowledge Academy</v>
      </c>
      <c r="D56" s="143" t="str">
        <f>IF('2.9 PCFP Funding Comparison YR1'!$K$25="Yes","PCFP","FY 2020 Baseline")</f>
        <v>PCFP</v>
      </c>
      <c r="E56" s="559">
        <f>ROUND(IF(D56="PCFP",'6.8 Alloc of Residual Rev. YR2'!G58,'1.4 FY 2020 Revenue Received'!Z52),2)</f>
        <v>6340366.3799999999</v>
      </c>
      <c r="G56" s="565">
        <f>ROUND(IF(D56="PCFP",'6.8 Alloc of Residual Rev. YR2'!J58,('1.4 FY 2020 Revenue Received'!S52)+'1.4 FY 2020 Revenue Received'!T52),2)</f>
        <v>250313.4</v>
      </c>
      <c r="H56" s="570">
        <f>ROUND(IF(D56="PCFP",'6.8 Alloc of Residual Rev. YR2'!K58,('1.4 FY 2020 Revenue Received'!S52)+'1.4 FY 2020 Revenue Received'!U52),2)</f>
        <v>145191.20000000001</v>
      </c>
      <c r="I56" s="595">
        <f>ROUND(IF(D56="PCFP",'6.8 Alloc of Residual Rev. YR2'!L58,'1.4 FY 2020 Revenue Received'!V52),2)</f>
        <v>0</v>
      </c>
      <c r="J56" s="581">
        <f t="shared" si="13"/>
        <v>395504.6</v>
      </c>
      <c r="L56" s="130">
        <v>0</v>
      </c>
      <c r="M56" s="130">
        <v>0</v>
      </c>
      <c r="N56" s="130">
        <v>0</v>
      </c>
      <c r="O56" s="559">
        <f t="shared" si="14"/>
        <v>0</v>
      </c>
      <c r="Q56" s="530">
        <f>ROUND(IF(D56="PCFP",'6.8 Alloc of Residual Rev. YR2'!I58,'1.4 FY 2020 Revenue Received'!Y52),2)</f>
        <v>179352</v>
      </c>
      <c r="S56" s="559">
        <f t="shared" si="12"/>
        <v>6915222.9799999995</v>
      </c>
    </row>
    <row r="57" spans="1:19" x14ac:dyDescent="0.3">
      <c r="A57" s="4"/>
      <c r="B57" s="10" t="str">
        <f>'5.2 Budgeted Enrollment YR2'!E55</f>
        <v>Founders Academy of Las Vegas</v>
      </c>
      <c r="D57" s="143" t="str">
        <f>IF('2.9 PCFP Funding Comparison YR1'!$K$25="Yes","PCFP","FY 2020 Baseline")</f>
        <v>PCFP</v>
      </c>
      <c r="E57" s="559">
        <f>ROUND(IF(D57="PCFP",'6.8 Alloc of Residual Rev. YR2'!G59,'1.4 FY 2020 Revenue Received'!Z53),2)</f>
        <v>8893209.2200000007</v>
      </c>
      <c r="G57" s="565">
        <f>ROUND(IF(D57="PCFP",'6.8 Alloc of Residual Rev. YR2'!J59,('1.4 FY 2020 Revenue Received'!S53)+'1.4 FY 2020 Revenue Received'!T53),2)</f>
        <v>241828.2</v>
      </c>
      <c r="H57" s="570">
        <f>ROUND(IF(D57="PCFP",'6.8 Alloc of Residual Rev. YR2'!K59,('1.4 FY 2020 Revenue Received'!S53)+'1.4 FY 2020 Revenue Received'!U53),2)</f>
        <v>75895.399999999994</v>
      </c>
      <c r="I57" s="595">
        <f>ROUND(IF(D57="PCFP",'6.8 Alloc of Residual Rev. YR2'!L59,'1.4 FY 2020 Revenue Received'!V53),2)</f>
        <v>0</v>
      </c>
      <c r="J57" s="581">
        <f t="shared" si="13"/>
        <v>317723.59999999998</v>
      </c>
      <c r="L57" s="130">
        <v>0</v>
      </c>
      <c r="M57" s="130">
        <v>0</v>
      </c>
      <c r="N57" s="130">
        <v>0</v>
      </c>
      <c r="O57" s="559">
        <f t="shared" si="14"/>
        <v>0</v>
      </c>
      <c r="Q57" s="530">
        <f>ROUND(IF(D57="PCFP",'6.8 Alloc of Residual Rev. YR2'!I59,'1.4 FY 2020 Revenue Received'!Y53),2)</f>
        <v>111805</v>
      </c>
      <c r="S57" s="559">
        <f t="shared" si="12"/>
        <v>9322737.8200000003</v>
      </c>
    </row>
    <row r="58" spans="1:19" x14ac:dyDescent="0.3">
      <c r="A58" s="4"/>
      <c r="B58" s="10" t="str">
        <f>'5.2 Budgeted Enrollment YR2'!E56</f>
        <v>Freedom Classical Academy</v>
      </c>
      <c r="D58" s="143" t="str">
        <f>IF('2.9 PCFP Funding Comparison YR1'!$K$25="Yes","PCFP","FY 2020 Baseline")</f>
        <v>PCFP</v>
      </c>
      <c r="E58" s="559">
        <f>ROUND(IF(D58="PCFP",'6.8 Alloc of Residual Rev. YR2'!G60,'1.4 FY 2020 Revenue Received'!Z54),2)</f>
        <v>9861869.5899999999</v>
      </c>
      <c r="G58" s="565">
        <f>ROUND(IF(D58="PCFP",'6.8 Alloc of Residual Rev. YR2'!J60,('1.4 FY 2020 Revenue Received'!S54)+'1.4 FY 2020 Revenue Received'!T54),2)</f>
        <v>352135.8</v>
      </c>
      <c r="H58" s="570">
        <f>ROUND(IF(D58="PCFP",'6.8 Alloc of Residual Rev. YR2'!K60,('1.4 FY 2020 Revenue Received'!S54)+'1.4 FY 2020 Revenue Received'!U54),2)</f>
        <v>158390.39999999999</v>
      </c>
      <c r="I58" s="595">
        <f>ROUND(IF(D58="PCFP",'6.8 Alloc of Residual Rev. YR2'!L60,'1.4 FY 2020 Revenue Received'!V54),2)</f>
        <v>0</v>
      </c>
      <c r="J58" s="581">
        <f t="shared" si="13"/>
        <v>510526.19999999995</v>
      </c>
      <c r="L58" s="130">
        <v>0</v>
      </c>
      <c r="M58" s="130">
        <v>0</v>
      </c>
      <c r="N58" s="130">
        <v>0</v>
      </c>
      <c r="O58" s="559">
        <f t="shared" si="14"/>
        <v>0</v>
      </c>
      <c r="Q58" s="530">
        <f>ROUND(IF(D58="PCFP",'6.8 Alloc of Residual Rev. YR2'!I60,'1.4 FY 2020 Revenue Received'!Y54),2)</f>
        <v>301886</v>
      </c>
      <c r="S58" s="559">
        <f t="shared" si="12"/>
        <v>10674281.789999999</v>
      </c>
    </row>
    <row r="59" spans="1:19" x14ac:dyDescent="0.3">
      <c r="A59" s="4"/>
      <c r="B59" s="10" t="str">
        <f>'5.2 Budgeted Enrollment YR2'!E57</f>
        <v>Futuro Academy Elementary</v>
      </c>
      <c r="D59" s="143" t="str">
        <f>IF('2.9 PCFP Funding Comparison YR1'!$K$25="Yes","PCFP","FY 2020 Baseline")</f>
        <v>PCFP</v>
      </c>
      <c r="E59" s="559">
        <f>ROUND(IF(D59="PCFP",'6.8 Alloc of Residual Rev. YR2'!G61,'1.4 FY 2020 Revenue Received'!Z55),2)</f>
        <v>4376292</v>
      </c>
      <c r="G59" s="565">
        <f>ROUND(IF(D59="PCFP",'6.8 Alloc of Residual Rev. YR2'!J61,('1.4 FY 2020 Revenue Received'!S55)+'1.4 FY 2020 Revenue Received'!T55),2)</f>
        <v>797608.8</v>
      </c>
      <c r="H59" s="570">
        <f>ROUND(IF(D59="PCFP",'6.8 Alloc of Residual Rev. YR2'!K61,('1.4 FY 2020 Revenue Received'!S55)+'1.4 FY 2020 Revenue Received'!U55),2)</f>
        <v>131992</v>
      </c>
      <c r="I59" s="595">
        <f>ROUND(IF(D59="PCFP",'6.8 Alloc of Residual Rev. YR2'!L61,'1.4 FY 2020 Revenue Received'!V55),2)</f>
        <v>0</v>
      </c>
      <c r="J59" s="581">
        <f t="shared" si="13"/>
        <v>929600.8</v>
      </c>
      <c r="L59" s="130">
        <v>0</v>
      </c>
      <c r="M59" s="130">
        <v>0</v>
      </c>
      <c r="N59" s="130">
        <v>0</v>
      </c>
      <c r="O59" s="559">
        <f t="shared" si="14"/>
        <v>0</v>
      </c>
      <c r="Q59" s="530">
        <f>ROUND(IF(D59="PCFP",'6.8 Alloc of Residual Rev. YR2'!I61,'1.4 FY 2020 Revenue Received'!Y55),2)</f>
        <v>252643</v>
      </c>
      <c r="S59" s="559">
        <f t="shared" si="12"/>
        <v>5558535.7999999998</v>
      </c>
    </row>
    <row r="60" spans="1:19" x14ac:dyDescent="0.3">
      <c r="A60" s="4"/>
      <c r="B60" s="10" t="str">
        <f>'5.2 Budgeted Enrollment YR2'!E58</f>
        <v>Girls Athletic Leadership Schools</v>
      </c>
      <c r="D60" s="143" t="str">
        <f>IF('2.9 PCFP Funding Comparison YR1'!$K$25="Yes","PCFP","FY 2020 Baseline")</f>
        <v>PCFP</v>
      </c>
      <c r="E60" s="559">
        <f>ROUND(IF(D60="PCFP",'6.8 Alloc of Residual Rev. YR2'!G62,'1.4 FY 2020 Revenue Received'!Z56),2)</f>
        <v>0</v>
      </c>
      <c r="G60" s="565">
        <f>ROUND(IF(D60="PCFP",'6.8 Alloc of Residual Rev. YR2'!J62,('1.4 FY 2020 Revenue Received'!S56)+'1.4 FY 2020 Revenue Received'!T56),2)</f>
        <v>0</v>
      </c>
      <c r="H60" s="570">
        <f>ROUND(IF(D60="PCFP",'6.8 Alloc of Residual Rev. YR2'!K62,('1.4 FY 2020 Revenue Received'!S56)+'1.4 FY 2020 Revenue Received'!U56),2)</f>
        <v>0</v>
      </c>
      <c r="I60" s="595">
        <f>ROUND(IF(D60="PCFP",'6.8 Alloc of Residual Rev. YR2'!L62,'1.4 FY 2020 Revenue Received'!V56),2)</f>
        <v>0</v>
      </c>
      <c r="J60" s="581">
        <f t="shared" si="13"/>
        <v>0</v>
      </c>
      <c r="L60" s="130">
        <v>0</v>
      </c>
      <c r="M60" s="130">
        <v>0</v>
      </c>
      <c r="N60" s="130">
        <v>0</v>
      </c>
      <c r="O60" s="559">
        <f t="shared" si="14"/>
        <v>0</v>
      </c>
      <c r="Q60" s="530">
        <f>ROUND(IF(D60="PCFP",'6.8 Alloc of Residual Rev. YR2'!I62,'1.4 FY 2020 Revenue Received'!Y56),2)</f>
        <v>0</v>
      </c>
      <c r="S60" s="559">
        <f t="shared" si="12"/>
        <v>0</v>
      </c>
    </row>
    <row r="61" spans="1:19" x14ac:dyDescent="0.3">
      <c r="A61" s="4"/>
      <c r="B61" s="10" t="str">
        <f>'5.2 Budgeted Enrollment YR2'!E59</f>
        <v>High Desert Montessori</v>
      </c>
      <c r="D61" s="143" t="str">
        <f>IF('2.9 PCFP Funding Comparison YR1'!$K$25="Yes","PCFP","FY 2020 Baseline")</f>
        <v>PCFP</v>
      </c>
      <c r="E61" s="559">
        <f>ROUND(IF(D61="PCFP",'6.8 Alloc of Residual Rev. YR2'!G63,'1.4 FY 2020 Revenue Received'!Z57),2)</f>
        <v>3702663.29</v>
      </c>
      <c r="G61" s="565">
        <f>ROUND(IF(D61="PCFP",'6.8 Alloc of Residual Rev. YR2'!J63,('1.4 FY 2020 Revenue Received'!S57)+'1.4 FY 2020 Revenue Received'!T57),2)</f>
        <v>101822.39999999999</v>
      </c>
      <c r="H61" s="570">
        <f>ROUND(IF(D61="PCFP",'6.8 Alloc of Residual Rev. YR2'!K63,('1.4 FY 2020 Revenue Received'!S57)+'1.4 FY 2020 Revenue Received'!U57),2)</f>
        <v>36297.800000000003</v>
      </c>
      <c r="I61" s="595">
        <f>ROUND(IF(D61="PCFP",'6.8 Alloc of Residual Rev. YR2'!L63,'1.4 FY 2020 Revenue Received'!V57),2)</f>
        <v>0</v>
      </c>
      <c r="J61" s="581">
        <f t="shared" si="13"/>
        <v>138120.20000000001</v>
      </c>
      <c r="L61" s="130">
        <v>0</v>
      </c>
      <c r="M61" s="130">
        <v>0</v>
      </c>
      <c r="N61" s="130">
        <v>0</v>
      </c>
      <c r="O61" s="559">
        <f t="shared" si="14"/>
        <v>0</v>
      </c>
      <c r="Q61" s="530">
        <f>ROUND(IF(D61="PCFP",'6.8 Alloc of Residual Rev. YR2'!I63,'1.4 FY 2020 Revenue Received'!Y57),2)</f>
        <v>164199</v>
      </c>
      <c r="S61" s="559">
        <f t="shared" si="12"/>
        <v>4004982.49</v>
      </c>
    </row>
    <row r="62" spans="1:19" x14ac:dyDescent="0.3">
      <c r="A62" s="4"/>
      <c r="B62" s="10" t="str">
        <f>'5.2 Budgeted Enrollment YR2'!E60</f>
        <v>Honors Academy of Literature</v>
      </c>
      <c r="D62" s="143" t="str">
        <f>IF('2.9 PCFP Funding Comparison YR1'!$K$25="Yes","PCFP","FY 2020 Baseline")</f>
        <v>PCFP</v>
      </c>
      <c r="E62" s="559">
        <f>ROUND(IF(D62="PCFP",'6.8 Alloc of Residual Rev. YR2'!G64,'1.4 FY 2020 Revenue Received'!Z58),2)</f>
        <v>2043851.72</v>
      </c>
      <c r="G62" s="565">
        <f>ROUND(IF(D62="PCFP",'6.8 Alloc of Residual Rev. YR2'!J64,('1.4 FY 2020 Revenue Received'!S58)+'1.4 FY 2020 Revenue Received'!T58),2)</f>
        <v>16970.400000000001</v>
      </c>
      <c r="H62" s="570">
        <f>ROUND(IF(D62="PCFP",'6.8 Alloc of Residual Rev. YR2'!K64,('1.4 FY 2020 Revenue Received'!S58)+'1.4 FY 2020 Revenue Received'!U58),2)</f>
        <v>9899.4</v>
      </c>
      <c r="I62" s="595">
        <f>ROUND(IF(D62="PCFP",'6.8 Alloc of Residual Rev. YR2'!L64,'1.4 FY 2020 Revenue Received'!V58),2)</f>
        <v>0</v>
      </c>
      <c r="J62" s="581">
        <f t="shared" si="13"/>
        <v>26869.800000000003</v>
      </c>
      <c r="L62" s="130">
        <v>0</v>
      </c>
      <c r="M62" s="130">
        <v>0</v>
      </c>
      <c r="N62" s="130">
        <v>0</v>
      </c>
      <c r="O62" s="559">
        <f t="shared" si="14"/>
        <v>0</v>
      </c>
      <c r="Q62" s="530">
        <f>ROUND(IF(D62="PCFP",'6.8 Alloc of Residual Rev. YR2'!I64,'1.4 FY 2020 Revenue Received'!Y58),2)</f>
        <v>27349</v>
      </c>
      <c r="S62" s="559">
        <f t="shared" si="12"/>
        <v>2098070.52</v>
      </c>
    </row>
    <row r="63" spans="1:19" x14ac:dyDescent="0.3">
      <c r="A63" s="4"/>
      <c r="B63" s="10" t="str">
        <f>'5.2 Budgeted Enrollment YR2'!E61</f>
        <v>Imagine School Mountain View</v>
      </c>
      <c r="D63" s="143" t="str">
        <f>IF('2.9 PCFP Funding Comparison YR1'!$K$25="Yes","PCFP","FY 2020 Baseline")</f>
        <v>PCFP</v>
      </c>
      <c r="E63" s="559">
        <f>ROUND(IF(D63="PCFP",'6.8 Alloc of Residual Rev. YR2'!G65,'1.4 FY 2020 Revenue Received'!Z59),2)</f>
        <v>6336211.1399999997</v>
      </c>
      <c r="G63" s="565">
        <f>ROUND(IF(D63="PCFP",'6.8 Alloc of Residual Rev. YR2'!J65,('1.4 FY 2020 Revenue Received'!S59)+'1.4 FY 2020 Revenue Received'!T59),2)</f>
        <v>296982</v>
      </c>
      <c r="H63" s="570">
        <f>ROUND(IF(D63="PCFP",'6.8 Alloc of Residual Rev. YR2'!K65,('1.4 FY 2020 Revenue Received'!S59)+'1.4 FY 2020 Revenue Received'!U59),2)</f>
        <v>6599.6</v>
      </c>
      <c r="I63" s="595">
        <f>ROUND(IF(D63="PCFP",'6.8 Alloc of Residual Rev. YR2'!L65,'1.4 FY 2020 Revenue Received'!V59),2)</f>
        <v>0</v>
      </c>
      <c r="J63" s="581">
        <f t="shared" si="13"/>
        <v>303581.59999999998</v>
      </c>
      <c r="L63" s="130">
        <v>0</v>
      </c>
      <c r="M63" s="130">
        <v>0</v>
      </c>
      <c r="N63" s="130">
        <v>0</v>
      </c>
      <c r="O63" s="559">
        <f t="shared" si="14"/>
        <v>0</v>
      </c>
      <c r="Q63" s="530">
        <f>ROUND(IF(D63="PCFP",'6.8 Alloc of Residual Rev. YR2'!I65,'1.4 FY 2020 Revenue Received'!Y59),2)</f>
        <v>170299.9</v>
      </c>
      <c r="S63" s="559">
        <f t="shared" si="12"/>
        <v>6810092.6399999997</v>
      </c>
    </row>
    <row r="64" spans="1:19" x14ac:dyDescent="0.3">
      <c r="A64" s="4"/>
      <c r="B64" s="10" t="str">
        <f>'5.2 Budgeted Enrollment YR2'!E62</f>
        <v>Innovations Int'l Charter</v>
      </c>
      <c r="D64" s="143" t="str">
        <f>IF('2.9 PCFP Funding Comparison YR1'!$K$25="Yes","PCFP","FY 2020 Baseline")</f>
        <v>PCFP</v>
      </c>
      <c r="E64" s="559">
        <f>ROUND(IF(D64="PCFP",'6.8 Alloc of Residual Rev. YR2'!G66,'1.4 FY 2020 Revenue Received'!Z60),2)</f>
        <v>6956399.5199999996</v>
      </c>
      <c r="G64" s="565">
        <f>ROUND(IF(D64="PCFP",'6.8 Alloc of Residual Rev. YR2'!J66,('1.4 FY 2020 Revenue Received'!S60)+'1.4 FY 2020 Revenue Received'!T60),2)</f>
        <v>801851.4</v>
      </c>
      <c r="H64" s="570">
        <f>ROUND(IF(D64="PCFP",'6.8 Alloc of Residual Rev. YR2'!K66,('1.4 FY 2020 Revenue Received'!S60)+'1.4 FY 2020 Revenue Received'!U60),2)</f>
        <v>577465</v>
      </c>
      <c r="I64" s="595">
        <f>ROUND(IF(D64="PCFP",'6.8 Alloc of Residual Rev. YR2'!L66,'1.4 FY 2020 Revenue Received'!V60),2)</f>
        <v>0</v>
      </c>
      <c r="J64" s="581">
        <f t="shared" si="13"/>
        <v>1379316.4</v>
      </c>
      <c r="L64" s="130">
        <v>0</v>
      </c>
      <c r="M64" s="130">
        <v>0</v>
      </c>
      <c r="N64" s="130">
        <v>0</v>
      </c>
      <c r="O64" s="559">
        <f t="shared" si="14"/>
        <v>0</v>
      </c>
      <c r="Q64" s="530">
        <f>ROUND(IF(D64="PCFP",'6.8 Alloc of Residual Rev. YR2'!I66,'1.4 FY 2020 Revenue Received'!Y60),2)</f>
        <v>0</v>
      </c>
      <c r="S64" s="559">
        <f t="shared" si="12"/>
        <v>8335715.9199999999</v>
      </c>
    </row>
    <row r="65" spans="1:19" x14ac:dyDescent="0.3">
      <c r="A65" s="4"/>
      <c r="B65" s="10" t="str">
        <f>'5.2 Budgeted Enrollment YR2'!E63</f>
        <v>Leadership Academy of Nevada</v>
      </c>
      <c r="D65" s="143" t="str">
        <f>IF('2.9 PCFP Funding Comparison YR1'!$K$25="Yes","PCFP","FY 2020 Baseline")</f>
        <v>PCFP</v>
      </c>
      <c r="E65" s="559">
        <f>ROUND(IF(D65="PCFP",'6.8 Alloc of Residual Rev. YR2'!G67,'1.4 FY 2020 Revenue Received'!Z61),2)</f>
        <v>2525881.0699999998</v>
      </c>
      <c r="G65" s="565">
        <f>ROUND(IF(D65="PCFP",'6.8 Alloc of Residual Rev. YR2'!J67,('1.4 FY 2020 Revenue Received'!S61)+'1.4 FY 2020 Revenue Received'!T61),2)</f>
        <v>4242.6000000000004</v>
      </c>
      <c r="H65" s="570">
        <f>ROUND(IF(D65="PCFP",'6.8 Alloc of Residual Rev. YR2'!K67,('1.4 FY 2020 Revenue Received'!S61)+'1.4 FY 2020 Revenue Received'!U61),2)</f>
        <v>49497</v>
      </c>
      <c r="I65" s="595">
        <f>ROUND(IF(D65="PCFP",'6.8 Alloc of Residual Rev. YR2'!L67,'1.4 FY 2020 Revenue Received'!V61),2)</f>
        <v>0</v>
      </c>
      <c r="J65" s="581">
        <f t="shared" si="13"/>
        <v>53739.6</v>
      </c>
      <c r="L65" s="130">
        <v>0</v>
      </c>
      <c r="M65" s="130">
        <v>0</v>
      </c>
      <c r="N65" s="130">
        <v>0</v>
      </c>
      <c r="O65" s="559">
        <f t="shared" si="14"/>
        <v>0</v>
      </c>
      <c r="Q65" s="530">
        <f>ROUND(IF(D65="PCFP",'6.8 Alloc of Residual Rev. YR2'!I67,'1.4 FY 2020 Revenue Received'!Y61),2)</f>
        <v>0</v>
      </c>
      <c r="S65" s="559">
        <f t="shared" si="12"/>
        <v>2579620.67</v>
      </c>
    </row>
    <row r="66" spans="1:19" x14ac:dyDescent="0.3">
      <c r="A66" s="4"/>
      <c r="B66" s="10" t="str">
        <f>'5.2 Budgeted Enrollment YR2'!E64</f>
        <v>Learning Bridge</v>
      </c>
      <c r="D66" s="143" t="str">
        <f>IF('2.9 PCFP Funding Comparison YR1'!$K$25="Yes","PCFP","FY 2020 Baseline")</f>
        <v>PCFP</v>
      </c>
      <c r="E66" s="559">
        <f>ROUND(IF(D66="PCFP",'6.8 Alloc of Residual Rev. YR2'!G68,'1.4 FY 2020 Revenue Received'!Z62),2)</f>
        <v>2393660.44</v>
      </c>
      <c r="G66" s="565">
        <f>ROUND(IF(D66="PCFP",'6.8 Alloc of Residual Rev. YR2'!J68,('1.4 FY 2020 Revenue Received'!S62)+'1.4 FY 2020 Revenue Received'!T62),2)</f>
        <v>8485.2000000000007</v>
      </c>
      <c r="H66" s="570">
        <f>ROUND(IF(D66="PCFP",'6.8 Alloc of Residual Rev. YR2'!K68,('1.4 FY 2020 Revenue Received'!S62)+'1.4 FY 2020 Revenue Received'!U62),2)</f>
        <v>0</v>
      </c>
      <c r="I66" s="595">
        <f>ROUND(IF(D66="PCFP",'6.8 Alloc of Residual Rev. YR2'!L68,'1.4 FY 2020 Revenue Received'!V62),2)</f>
        <v>0</v>
      </c>
      <c r="J66" s="581">
        <f t="shared" si="13"/>
        <v>8485.2000000000007</v>
      </c>
      <c r="L66" s="130">
        <v>0</v>
      </c>
      <c r="M66" s="130">
        <v>0</v>
      </c>
      <c r="N66" s="130">
        <v>0</v>
      </c>
      <c r="O66" s="559">
        <f t="shared" si="14"/>
        <v>0</v>
      </c>
      <c r="Q66" s="530">
        <f>ROUND(IF(D66="PCFP",'6.8 Alloc of Residual Rev. YR2'!I68,'1.4 FY 2020 Revenue Received'!Y62),2)</f>
        <v>0</v>
      </c>
      <c r="S66" s="559">
        <f t="shared" ref="S66:S93" si="15">O66+J66+E66+Q66</f>
        <v>2402145.64</v>
      </c>
    </row>
    <row r="67" spans="1:19" x14ac:dyDescent="0.3">
      <c r="A67" s="4"/>
      <c r="B67" s="10" t="str">
        <f>'5.2 Budgeted Enrollment YR2'!E65</f>
        <v>Legacy Traditional Schools</v>
      </c>
      <c r="D67" s="143" t="str">
        <f>IF('2.9 PCFP Funding Comparison YR1'!$K$25="Yes","PCFP","FY 2020 Baseline")</f>
        <v>PCFP</v>
      </c>
      <c r="E67" s="559">
        <f>ROUND(IF(D67="PCFP",'6.8 Alloc of Residual Rev. YR2'!G69,'1.4 FY 2020 Revenue Received'!Z63),2)</f>
        <v>37886037.549999997</v>
      </c>
      <c r="G67" s="565">
        <f>ROUND(IF(D67="PCFP",'6.8 Alloc of Residual Rev. YR2'!J69,('1.4 FY 2020 Revenue Received'!S63)+'1.4 FY 2020 Revenue Received'!T63),2)</f>
        <v>1120046.3999999999</v>
      </c>
      <c r="H67" s="570">
        <f>ROUND(IF(D67="PCFP",'6.8 Alloc of Residual Rev. YR2'!K69,('1.4 FY 2020 Revenue Received'!S63)+'1.4 FY 2020 Revenue Received'!U63),2)</f>
        <v>521368.4</v>
      </c>
      <c r="I67" s="595">
        <f>ROUND(IF(D67="PCFP",'6.8 Alloc of Residual Rev. YR2'!L69,'1.4 FY 2020 Revenue Received'!V63),2)</f>
        <v>202513.44</v>
      </c>
      <c r="J67" s="581">
        <f t="shared" si="13"/>
        <v>1843928.2399999998</v>
      </c>
      <c r="L67" s="130">
        <v>0</v>
      </c>
      <c r="M67" s="130">
        <v>0</v>
      </c>
      <c r="N67" s="130">
        <v>0</v>
      </c>
      <c r="O67" s="559">
        <f t="shared" si="14"/>
        <v>0</v>
      </c>
      <c r="Q67" s="530">
        <f>ROUND(IF(D67="PCFP",'6.8 Alloc of Residual Rev. YR2'!I69,'1.4 FY 2020 Revenue Received'!Y63),2)</f>
        <v>0</v>
      </c>
      <c r="S67" s="559">
        <f t="shared" si="15"/>
        <v>39729965.789999999</v>
      </c>
    </row>
    <row r="68" spans="1:19" x14ac:dyDescent="0.3">
      <c r="A68" s="4"/>
      <c r="B68" s="10" t="str">
        <f>'5.2 Budgeted Enrollment YR2'!E66</f>
        <v>Mariposa Dual Language Academy</v>
      </c>
      <c r="D68" s="143" t="str">
        <f>IF('2.9 PCFP Funding Comparison YR1'!$K$25="Yes","PCFP","FY 2020 Baseline")</f>
        <v>PCFP</v>
      </c>
      <c r="E68" s="559">
        <f>ROUND(IF(D68="PCFP",'6.8 Alloc of Residual Rev. YR2'!G70,'1.4 FY 2020 Revenue Received'!Z64),2)</f>
        <v>1511550.68</v>
      </c>
      <c r="G68" s="565">
        <f>ROUND(IF(D68="PCFP",'6.8 Alloc of Residual Rev. YR2'!J70,('1.4 FY 2020 Revenue Received'!S64)+'1.4 FY 2020 Revenue Received'!T64),2)</f>
        <v>148491</v>
      </c>
      <c r="H68" s="570">
        <f>ROUND(IF(D68="PCFP",'6.8 Alloc of Residual Rev. YR2'!K70,('1.4 FY 2020 Revenue Received'!S64)+'1.4 FY 2020 Revenue Received'!U64),2)</f>
        <v>3299.8</v>
      </c>
      <c r="I68" s="595">
        <f>ROUND(IF(D68="PCFP",'6.8 Alloc of Residual Rev. YR2'!L70,'1.4 FY 2020 Revenue Received'!V64),2)</f>
        <v>0</v>
      </c>
      <c r="J68" s="581">
        <f t="shared" si="13"/>
        <v>151790.79999999999</v>
      </c>
      <c r="L68" s="130">
        <v>0</v>
      </c>
      <c r="M68" s="130">
        <v>0</v>
      </c>
      <c r="N68" s="130">
        <v>0</v>
      </c>
      <c r="O68" s="559">
        <f t="shared" si="14"/>
        <v>0</v>
      </c>
      <c r="Q68" s="530">
        <f>ROUND(IF(D68="PCFP",'6.8 Alloc of Residual Rev. YR2'!I70,'1.4 FY 2020 Revenue Received'!Y64),2)</f>
        <v>128848</v>
      </c>
      <c r="S68" s="559">
        <f t="shared" si="15"/>
        <v>1792189.48</v>
      </c>
    </row>
    <row r="69" spans="1:19" x14ac:dyDescent="0.3">
      <c r="A69" s="4"/>
      <c r="B69" s="10" t="str">
        <f>'5.2 Budgeted Enrollment YR2'!E67</f>
        <v>Mater Academy</v>
      </c>
      <c r="D69" s="143" t="str">
        <f>IF('2.9 PCFP Funding Comparison YR1'!$K$25="Yes","PCFP","FY 2020 Baseline")</f>
        <v>PCFP</v>
      </c>
      <c r="E69" s="559">
        <f>ROUND(IF(D69="PCFP",'6.8 Alloc of Residual Rev. YR2'!G71,'1.4 FY 2020 Revenue Received'!Z65),2)</f>
        <v>37348883.270000003</v>
      </c>
      <c r="G69" s="565">
        <f>ROUND(IF(D69="PCFP",'6.8 Alloc of Residual Rev. YR2'!J71,('1.4 FY 2020 Revenue Received'!S65)+'1.4 FY 2020 Revenue Received'!T65),2)</f>
        <v>5825089.7999999998</v>
      </c>
      <c r="H69" s="570">
        <f>ROUND(IF(D69="PCFP",'6.8 Alloc of Residual Rev. YR2'!K71,('1.4 FY 2020 Revenue Received'!S65)+'1.4 FY 2020 Revenue Received'!U65),2)</f>
        <v>148491</v>
      </c>
      <c r="I69" s="595">
        <f>ROUND(IF(D69="PCFP",'6.8 Alloc of Residual Rev. YR2'!L71,'1.4 FY 2020 Revenue Received'!V65),2)</f>
        <v>0</v>
      </c>
      <c r="J69" s="581">
        <f t="shared" si="13"/>
        <v>5973580.7999999998</v>
      </c>
      <c r="L69" s="130">
        <v>0</v>
      </c>
      <c r="M69" s="130">
        <v>0</v>
      </c>
      <c r="N69" s="130">
        <v>0</v>
      </c>
      <c r="O69" s="559">
        <f t="shared" si="14"/>
        <v>0</v>
      </c>
      <c r="Q69" s="530">
        <f>ROUND(IF(D69="PCFP",'6.8 Alloc of Residual Rev. YR2'!I71,'1.4 FY 2020 Revenue Received'!Y65),2)</f>
        <v>681469.72</v>
      </c>
      <c r="S69" s="559">
        <f t="shared" si="15"/>
        <v>44003933.789999999</v>
      </c>
    </row>
    <row r="70" spans="1:19" x14ac:dyDescent="0.3">
      <c r="A70" s="4"/>
      <c r="B70" s="10" t="str">
        <f>'5.2 Budgeted Enrollment YR2'!E68</f>
        <v>Mater Academy of Northern Nevada</v>
      </c>
      <c r="D70" s="143" t="str">
        <f>IF('2.9 PCFP Funding Comparison YR1'!$K$25="Yes","PCFP","FY 2020 Baseline")</f>
        <v>PCFP</v>
      </c>
      <c r="E70" s="559">
        <f>ROUND(IF(D70="PCFP",'6.8 Alloc of Residual Rev. YR2'!G72,'1.4 FY 2020 Revenue Received'!Z66),2)</f>
        <v>4638356.09</v>
      </c>
      <c r="G70" s="565">
        <f>ROUND(IF(D70="PCFP",'6.8 Alloc of Residual Rev. YR2'!J72,('1.4 FY 2020 Revenue Received'!S66)+'1.4 FY 2020 Revenue Received'!T66),2)</f>
        <v>644875.19999999995</v>
      </c>
      <c r="H70" s="570">
        <f>ROUND(IF(D70="PCFP",'6.8 Alloc of Residual Rev. YR2'!K72,('1.4 FY 2020 Revenue Received'!S66)+'1.4 FY 2020 Revenue Received'!U66),2)</f>
        <v>13199.2</v>
      </c>
      <c r="I70" s="595">
        <f>ROUND(IF(D70="PCFP",'6.8 Alloc of Residual Rev. YR2'!L72,'1.4 FY 2020 Revenue Received'!V66),2)</f>
        <v>0</v>
      </c>
      <c r="J70" s="581">
        <f t="shared" si="13"/>
        <v>658074.39999999991</v>
      </c>
      <c r="L70" s="130">
        <v>0</v>
      </c>
      <c r="M70" s="130">
        <v>0</v>
      </c>
      <c r="N70" s="130">
        <v>0</v>
      </c>
      <c r="O70" s="559">
        <f t="shared" si="14"/>
        <v>0</v>
      </c>
      <c r="Q70" s="530">
        <f>ROUND(IF(D70="PCFP",'6.8 Alloc of Residual Rev. YR2'!I72,'1.4 FY 2020 Revenue Received'!Y66),2)</f>
        <v>53953</v>
      </c>
      <c r="S70" s="559">
        <f t="shared" si="15"/>
        <v>5350383.49</v>
      </c>
    </row>
    <row r="71" spans="1:19" x14ac:dyDescent="0.3">
      <c r="A71" s="4"/>
      <c r="B71" s="10" t="str">
        <f>'5.2 Budgeted Enrollment YR2'!E69</f>
        <v>Nevada Connections Academy</v>
      </c>
      <c r="D71" s="143" t="str">
        <f>IF('2.9 PCFP Funding Comparison YR1'!$K$25="Yes","PCFP","FY 2020 Baseline")</f>
        <v>PCFP</v>
      </c>
      <c r="E71" s="559">
        <f>ROUND(IF(D71="PCFP",'6.8 Alloc of Residual Rev. YR2'!G73,'1.4 FY 2020 Revenue Received'!Z67),2)</f>
        <v>10059944.43</v>
      </c>
      <c r="G71" s="565">
        <f>ROUND(IF(D71="PCFP",'6.8 Alloc of Residual Rev. YR2'!J73,('1.4 FY 2020 Revenue Received'!S67)+'1.4 FY 2020 Revenue Received'!T67),2)</f>
        <v>101822.39999999999</v>
      </c>
      <c r="H71" s="570">
        <f>ROUND(IF(D71="PCFP",'6.8 Alloc of Residual Rev. YR2'!K73,('1.4 FY 2020 Revenue Received'!S67)+'1.4 FY 2020 Revenue Received'!U67),2)</f>
        <v>92394.4</v>
      </c>
      <c r="I71" s="595">
        <f>ROUND(IF(D71="PCFP",'6.8 Alloc of Residual Rev. YR2'!L73,'1.4 FY 2020 Revenue Received'!V67),2)</f>
        <v>0</v>
      </c>
      <c r="J71" s="581">
        <f t="shared" si="13"/>
        <v>194216.8</v>
      </c>
      <c r="L71" s="130">
        <v>0</v>
      </c>
      <c r="M71" s="130">
        <v>0</v>
      </c>
      <c r="N71" s="130">
        <v>0</v>
      </c>
      <c r="O71" s="559">
        <f t="shared" si="14"/>
        <v>0</v>
      </c>
      <c r="Q71" s="530">
        <f>ROUND(IF(D71="PCFP",'6.8 Alloc of Residual Rev. YR2'!I73,'1.4 FY 2020 Revenue Received'!Y67),2)</f>
        <v>0</v>
      </c>
      <c r="S71" s="559">
        <f t="shared" si="15"/>
        <v>10254161.23</v>
      </c>
    </row>
    <row r="72" spans="1:19" x14ac:dyDescent="0.3">
      <c r="A72" s="4"/>
      <c r="B72" s="10" t="str">
        <f>'5.2 Budgeted Enrollment YR2'!E70</f>
        <v>Nevada Prep</v>
      </c>
      <c r="D72" s="143" t="str">
        <f>IF('2.9 PCFP Funding Comparison YR1'!$K$25="Yes","PCFP","FY 2020 Baseline")</f>
        <v>PCFP</v>
      </c>
      <c r="E72" s="559">
        <f>ROUND(IF(D72="PCFP",'6.8 Alloc of Residual Rev. YR2'!G74,'1.4 FY 2020 Revenue Received'!Z68),2)</f>
        <v>2655145.86</v>
      </c>
      <c r="G72" s="565">
        <f>ROUND(IF(D72="PCFP",'6.8 Alloc of Residual Rev. YR2'!J74,('1.4 FY 2020 Revenue Received'!S68)+'1.4 FY 2020 Revenue Received'!T68),2)</f>
        <v>288496.8</v>
      </c>
      <c r="H72" s="570">
        <f>ROUND(IF(D72="PCFP",'6.8 Alloc of Residual Rev. YR2'!K74,('1.4 FY 2020 Revenue Received'!S68)+'1.4 FY 2020 Revenue Received'!U68),2)</f>
        <v>39597.599999999999</v>
      </c>
      <c r="I72" s="595">
        <f>ROUND(IF(D72="PCFP",'6.8 Alloc of Residual Rev. YR2'!L74,'1.4 FY 2020 Revenue Received'!V68),2)</f>
        <v>0</v>
      </c>
      <c r="J72" s="581">
        <f t="shared" si="13"/>
        <v>328094.39999999997</v>
      </c>
      <c r="L72" s="130">
        <v>0</v>
      </c>
      <c r="M72" s="130">
        <v>0</v>
      </c>
      <c r="N72" s="130">
        <v>0</v>
      </c>
      <c r="O72" s="559">
        <f t="shared" si="14"/>
        <v>0</v>
      </c>
      <c r="Q72" s="530">
        <f>ROUND(IF(D72="PCFP",'6.8 Alloc of Residual Rev. YR2'!I74,'1.4 FY 2020 Revenue Received'!Y68),2)</f>
        <v>106176</v>
      </c>
      <c r="S72" s="559">
        <f t="shared" si="15"/>
        <v>3089416.26</v>
      </c>
    </row>
    <row r="73" spans="1:19" x14ac:dyDescent="0.3">
      <c r="A73" s="4"/>
      <c r="B73" s="10" t="str">
        <f>'5.2 Budgeted Enrollment YR2'!E71</f>
        <v xml:space="preserve">Nevada Rise </v>
      </c>
      <c r="D73" s="143" t="str">
        <f>IF('2.9 PCFP Funding Comparison YR1'!$K$25="Yes","PCFP","FY 2020 Baseline")</f>
        <v>PCFP</v>
      </c>
      <c r="E73" s="559">
        <f>ROUND(IF(D73="PCFP",'6.8 Alloc of Residual Rev. YR2'!G75,'1.4 FY 2020 Revenue Received'!Z69),2)</f>
        <v>4321567.5599999996</v>
      </c>
      <c r="G73" s="565">
        <f>ROUND(IF(D73="PCFP",'6.8 Alloc of Residual Rev. YR2'!J75,('1.4 FY 2020 Revenue Received'!S69)+'1.4 FY 2020 Revenue Received'!T69),2)</f>
        <v>309709.8</v>
      </c>
      <c r="H73" s="570">
        <f>ROUND(IF(D73="PCFP",'6.8 Alloc of Residual Rev. YR2'!K75,('1.4 FY 2020 Revenue Received'!S69)+'1.4 FY 2020 Revenue Received'!U69),2)</f>
        <v>221086.6</v>
      </c>
      <c r="I73" s="595">
        <f>ROUND(IF(D73="PCFP",'6.8 Alloc of Residual Rev. YR2'!L75,'1.4 FY 2020 Revenue Received'!V69),2)</f>
        <v>0</v>
      </c>
      <c r="J73" s="581">
        <f t="shared" si="13"/>
        <v>530796.4</v>
      </c>
      <c r="L73" s="130">
        <v>0</v>
      </c>
      <c r="M73" s="130">
        <v>0</v>
      </c>
      <c r="N73" s="130">
        <v>0</v>
      </c>
      <c r="O73" s="559">
        <f t="shared" si="14"/>
        <v>0</v>
      </c>
      <c r="Q73" s="530">
        <f>ROUND(IF(D73="PCFP",'6.8 Alloc of Residual Rev. YR2'!I75,'1.4 FY 2020 Revenue Received'!Y69),2)</f>
        <v>164728</v>
      </c>
      <c r="S73" s="559">
        <f t="shared" si="15"/>
        <v>5017091.96</v>
      </c>
    </row>
    <row r="74" spans="1:19" x14ac:dyDescent="0.3">
      <c r="A74" s="4"/>
      <c r="B74" s="10" t="str">
        <f>'5.2 Budgeted Enrollment YR2'!E72</f>
        <v>Nevada State High School</v>
      </c>
      <c r="D74" s="143" t="str">
        <f>IF('2.9 PCFP Funding Comparison YR1'!$K$25="Yes","PCFP","FY 2020 Baseline")</f>
        <v>PCFP</v>
      </c>
      <c r="E74" s="559">
        <f>ROUND(IF(D74="PCFP",'6.8 Alloc of Residual Rev. YR2'!G76,'1.4 FY 2020 Revenue Received'!Z70),2)</f>
        <v>9280170.6799999997</v>
      </c>
      <c r="G74" s="565">
        <f>ROUND(IF(D74="PCFP",'6.8 Alloc of Residual Rev. YR2'!J76,('1.4 FY 2020 Revenue Received'!S70)+'1.4 FY 2020 Revenue Received'!T70),2)</f>
        <v>186674.4</v>
      </c>
      <c r="H74" s="570">
        <f>ROUND(IF(D74="PCFP",'6.8 Alloc of Residual Rev. YR2'!K76,('1.4 FY 2020 Revenue Received'!S70)+'1.4 FY 2020 Revenue Received'!U70),2)</f>
        <v>3299.8</v>
      </c>
      <c r="I74" s="595">
        <f>ROUND(IF(D74="PCFP",'6.8 Alloc of Residual Rev. YR2'!L76,'1.4 FY 2020 Revenue Received'!V70),2)</f>
        <v>0</v>
      </c>
      <c r="J74" s="581">
        <f t="shared" si="13"/>
        <v>189974.19999999998</v>
      </c>
      <c r="L74" s="130">
        <v>0</v>
      </c>
      <c r="M74" s="130">
        <v>0</v>
      </c>
      <c r="N74" s="130">
        <v>0</v>
      </c>
      <c r="O74" s="559">
        <f t="shared" si="14"/>
        <v>0</v>
      </c>
      <c r="Q74" s="530">
        <f>ROUND(IF(D74="PCFP",'6.8 Alloc of Residual Rev. YR2'!I76,'1.4 FY 2020 Revenue Received'!Y70),2)</f>
        <v>0</v>
      </c>
      <c r="S74" s="559">
        <f t="shared" si="15"/>
        <v>9470144.879999999</v>
      </c>
    </row>
    <row r="75" spans="1:19" x14ac:dyDescent="0.3">
      <c r="A75" s="4"/>
      <c r="B75" s="10" t="str">
        <f>'5.2 Budgeted Enrollment YR2'!E73</f>
        <v>Nevada State High School-Meadowwood</v>
      </c>
      <c r="D75" s="143" t="str">
        <f>IF('2.9 PCFP Funding Comparison YR1'!$K$25="Yes","PCFP","FY 2020 Baseline")</f>
        <v>PCFP</v>
      </c>
      <c r="E75" s="559">
        <f>ROUND(IF(D75="PCFP",'6.8 Alloc of Residual Rev. YR2'!G77,'1.4 FY 2020 Revenue Received'!Z71),2)</f>
        <v>300318.33</v>
      </c>
      <c r="G75" s="565">
        <f>ROUND(IF(D75="PCFP",'6.8 Alloc of Residual Rev. YR2'!J77,('1.4 FY 2020 Revenue Received'!S71)+'1.4 FY 2020 Revenue Received'!T71),2)</f>
        <v>0</v>
      </c>
      <c r="H75" s="570">
        <f>ROUND(IF(D75="PCFP",'6.8 Alloc of Residual Rev. YR2'!K77,('1.4 FY 2020 Revenue Received'!S71)+'1.4 FY 2020 Revenue Received'!U71),2)</f>
        <v>0</v>
      </c>
      <c r="I75" s="595">
        <f>ROUND(IF(D75="PCFP",'6.8 Alloc of Residual Rev. YR2'!L77,'1.4 FY 2020 Revenue Received'!V71),2)</f>
        <v>0</v>
      </c>
      <c r="J75" s="581">
        <f t="shared" si="13"/>
        <v>0</v>
      </c>
      <c r="L75" s="130">
        <v>0</v>
      </c>
      <c r="M75" s="130">
        <v>0</v>
      </c>
      <c r="N75" s="130">
        <v>0</v>
      </c>
      <c r="O75" s="559">
        <f t="shared" si="14"/>
        <v>0</v>
      </c>
      <c r="Q75" s="530">
        <f>ROUND(IF(D75="PCFP",'6.8 Alloc of Residual Rev. YR2'!I77,'1.4 FY 2020 Revenue Received'!Y71),2)</f>
        <v>0</v>
      </c>
      <c r="S75" s="559">
        <f t="shared" si="15"/>
        <v>300318.33</v>
      </c>
    </row>
    <row r="76" spans="1:19" x14ac:dyDescent="0.3">
      <c r="A76" s="4"/>
      <c r="B76" s="10" t="str">
        <f>'5.2 Budgeted Enrollment YR2'!E74</f>
        <v>Nevada Virtual Academy</v>
      </c>
      <c r="D76" s="143" t="str">
        <f>IF('2.9 PCFP Funding Comparison YR1'!$K$25="Yes","PCFP","FY 2020 Baseline")</f>
        <v>PCFP</v>
      </c>
      <c r="E76" s="559">
        <f>ROUND(IF(D76="PCFP",'6.8 Alloc of Residual Rev. YR2'!G78,'1.4 FY 2020 Revenue Received'!Z72),2)</f>
        <v>20370115.010000002</v>
      </c>
      <c r="G76" s="565">
        <f>ROUND(IF(D76="PCFP",'6.8 Alloc of Residual Rev. YR2'!J78,('1.4 FY 2020 Revenue Received'!S72)+'1.4 FY 2020 Revenue Received'!T72),2)</f>
        <v>356378.4</v>
      </c>
      <c r="H76" s="570">
        <f>ROUND(IF(D76="PCFP",'6.8 Alloc of Residual Rev. YR2'!K78,('1.4 FY 2020 Revenue Received'!S72)+'1.4 FY 2020 Revenue Received'!U72),2)</f>
        <v>527968</v>
      </c>
      <c r="I76" s="595">
        <f>ROUND(IF(D76="PCFP",'6.8 Alloc of Residual Rev. YR2'!L78,'1.4 FY 2020 Revenue Received'!V72),2)</f>
        <v>0</v>
      </c>
      <c r="J76" s="581">
        <f t="shared" si="13"/>
        <v>884346.4</v>
      </c>
      <c r="L76" s="130">
        <v>0</v>
      </c>
      <c r="M76" s="130">
        <v>0</v>
      </c>
      <c r="N76" s="130">
        <v>0</v>
      </c>
      <c r="O76" s="559">
        <f t="shared" si="14"/>
        <v>0</v>
      </c>
      <c r="Q76" s="530">
        <f>ROUND(IF(D76="PCFP",'6.8 Alloc of Residual Rev. YR2'!I78,'1.4 FY 2020 Revenue Received'!Y72),2)</f>
        <v>0</v>
      </c>
      <c r="S76" s="559">
        <f t="shared" si="15"/>
        <v>21254461.41</v>
      </c>
    </row>
    <row r="77" spans="1:19" x14ac:dyDescent="0.3">
      <c r="A77" s="4"/>
      <c r="B77" s="10" t="str">
        <f>'5.2 Budgeted Enrollment YR2'!E75</f>
        <v>Oasis Academy</v>
      </c>
      <c r="D77" s="143" t="str">
        <f>IF('2.9 PCFP Funding Comparison YR1'!$K$25="Yes","PCFP","FY 2020 Baseline")</f>
        <v>PCFP</v>
      </c>
      <c r="E77" s="559">
        <f>ROUND(IF(D77="PCFP",'6.8 Alloc of Residual Rev. YR2'!G79,'1.4 FY 2020 Revenue Received'!Z73),2)</f>
        <v>7847772.8399999999</v>
      </c>
      <c r="G77" s="565">
        <f>ROUND(IF(D77="PCFP",'6.8 Alloc of Residual Rev. YR2'!J79,('1.4 FY 2020 Revenue Received'!S73)+'1.4 FY 2020 Revenue Received'!T73),2)</f>
        <v>118792.8</v>
      </c>
      <c r="H77" s="570">
        <f>ROUND(IF(D77="PCFP",'6.8 Alloc of Residual Rev. YR2'!K79,('1.4 FY 2020 Revenue Received'!S73)+'1.4 FY 2020 Revenue Received'!U73),2)</f>
        <v>9899.4</v>
      </c>
      <c r="I77" s="595">
        <f>ROUND(IF(D77="PCFP",'6.8 Alloc of Residual Rev. YR2'!L79,'1.4 FY 2020 Revenue Received'!V73),2)</f>
        <v>0</v>
      </c>
      <c r="J77" s="581">
        <f t="shared" si="13"/>
        <v>128692.2</v>
      </c>
      <c r="L77" s="130">
        <v>0</v>
      </c>
      <c r="M77" s="130">
        <v>0</v>
      </c>
      <c r="N77" s="130">
        <v>0</v>
      </c>
      <c r="O77" s="559">
        <f t="shared" si="14"/>
        <v>0</v>
      </c>
      <c r="Q77" s="530">
        <f>ROUND(IF(D77="PCFP",'6.8 Alloc of Residual Rev. YR2'!I79,'1.4 FY 2020 Revenue Received'!Y73),2)</f>
        <v>303879</v>
      </c>
      <c r="S77" s="559">
        <f t="shared" si="15"/>
        <v>8280344.04</v>
      </c>
    </row>
    <row r="78" spans="1:19" x14ac:dyDescent="0.3">
      <c r="A78" s="4"/>
      <c r="B78" s="10" t="str">
        <f>'5.2 Budgeted Enrollment YR2'!E76</f>
        <v>Odyssey Charter Schools</v>
      </c>
      <c r="D78" s="143" t="str">
        <f>IF('2.9 PCFP Funding Comparison YR1'!$K$25="Yes","PCFP","FY 2020 Baseline")</f>
        <v>PCFP</v>
      </c>
      <c r="E78" s="559">
        <f>ROUND(IF(D78="PCFP",'6.8 Alloc of Residual Rev. YR2'!G80,'1.4 FY 2020 Revenue Received'!Z74),2)</f>
        <v>21944632.32</v>
      </c>
      <c r="G78" s="565">
        <f>ROUND(IF(D78="PCFP",'6.8 Alloc of Residual Rev. YR2'!J80,('1.4 FY 2020 Revenue Received'!S74)+'1.4 FY 2020 Revenue Received'!T74),2)</f>
        <v>424260</v>
      </c>
      <c r="H78" s="570">
        <f>ROUND(IF(D78="PCFP",'6.8 Alloc of Residual Rev. YR2'!K80,('1.4 FY 2020 Revenue Received'!S74)+'1.4 FY 2020 Revenue Received'!U74),2)</f>
        <v>907445</v>
      </c>
      <c r="I78" s="595">
        <f>ROUND(IF(D78="PCFP",'6.8 Alloc of Residual Rev. YR2'!L80,'1.4 FY 2020 Revenue Received'!V74),2)</f>
        <v>0</v>
      </c>
      <c r="J78" s="581">
        <f t="shared" si="13"/>
        <v>1331705</v>
      </c>
      <c r="L78" s="130">
        <v>0</v>
      </c>
      <c r="M78" s="130">
        <v>0</v>
      </c>
      <c r="N78" s="130">
        <v>0</v>
      </c>
      <c r="O78" s="559">
        <f t="shared" si="14"/>
        <v>0</v>
      </c>
      <c r="Q78" s="530">
        <f>ROUND(IF(D78="PCFP",'6.8 Alloc of Residual Rev. YR2'!I80,'1.4 FY 2020 Revenue Received'!Y74),2)</f>
        <v>2209616</v>
      </c>
      <c r="S78" s="559">
        <f t="shared" si="15"/>
        <v>25485953.32</v>
      </c>
    </row>
    <row r="79" spans="1:19" x14ac:dyDescent="0.3">
      <c r="A79" s="4"/>
      <c r="B79" s="10" t="str">
        <f>'5.2 Budgeted Enrollment YR2'!E77</f>
        <v>Pinecrest Academy of Northern Nevada</v>
      </c>
      <c r="D79" s="143" t="str">
        <f>IF('2.9 PCFP Funding Comparison YR1'!$K$25="Yes","PCFP","FY 2020 Baseline")</f>
        <v>PCFP</v>
      </c>
      <c r="E79" s="559">
        <f>ROUND(IF(D79="PCFP",'6.8 Alloc of Residual Rev. YR2'!G81,'1.4 FY 2020 Revenue Received'!Z75),2)</f>
        <v>8748431.7100000009</v>
      </c>
      <c r="G79" s="565">
        <f>ROUND(IF(D79="PCFP",'6.8 Alloc of Residual Rev. YR2'!J81,('1.4 FY 2020 Revenue Received'!S75)+'1.4 FY 2020 Revenue Received'!T75),2)</f>
        <v>76366.8</v>
      </c>
      <c r="H79" s="570">
        <f>ROUND(IF(D79="PCFP",'6.8 Alloc of Residual Rev. YR2'!K81,('1.4 FY 2020 Revenue Received'!S75)+'1.4 FY 2020 Revenue Received'!U75),2)</f>
        <v>0</v>
      </c>
      <c r="I79" s="595">
        <f>ROUND(IF(D79="PCFP",'6.8 Alloc of Residual Rev. YR2'!L81,'1.4 FY 2020 Revenue Received'!V75),2)</f>
        <v>38466.239999999998</v>
      </c>
      <c r="J79" s="581">
        <f t="shared" si="13"/>
        <v>114833.04000000001</v>
      </c>
      <c r="L79" s="130">
        <v>0</v>
      </c>
      <c r="M79" s="130">
        <v>0</v>
      </c>
      <c r="N79" s="130">
        <v>0</v>
      </c>
      <c r="O79" s="559">
        <f t="shared" si="14"/>
        <v>0</v>
      </c>
      <c r="Q79" s="530">
        <f>ROUND(IF(D79="PCFP",'6.8 Alloc of Residual Rev. YR2'!I81,'1.4 FY 2020 Revenue Received'!Y75),2)</f>
        <v>144137</v>
      </c>
      <c r="S79" s="559">
        <f t="shared" si="15"/>
        <v>9007401.75</v>
      </c>
    </row>
    <row r="80" spans="1:19" x14ac:dyDescent="0.3">
      <c r="A80" s="4"/>
      <c r="B80" s="10" t="str">
        <f>'5.2 Budgeted Enrollment YR2'!E78</f>
        <v>Pinecrest Academy of Nevada</v>
      </c>
      <c r="D80" s="143" t="str">
        <f>IF('2.9 PCFP Funding Comparison YR1'!$K$25="Yes","PCFP","FY 2020 Baseline")</f>
        <v>PCFP</v>
      </c>
      <c r="E80" s="559">
        <f>ROUND(IF(D80="PCFP",'6.8 Alloc of Residual Rev. YR2'!G82,'1.4 FY 2020 Revenue Received'!Z76),2)</f>
        <v>69899198.959999993</v>
      </c>
      <c r="G80" s="565">
        <f>ROUND(IF(D80="PCFP",'6.8 Alloc of Residual Rev. YR2'!J82,('1.4 FY 2020 Revenue Received'!S76)+'1.4 FY 2020 Revenue Received'!T76),2)</f>
        <v>678816</v>
      </c>
      <c r="H80" s="570">
        <f>ROUND(IF(D80="PCFP",'6.8 Alloc of Residual Rev. YR2'!K82,('1.4 FY 2020 Revenue Received'!S76)+'1.4 FY 2020 Revenue Received'!U76),2)</f>
        <v>669859.4</v>
      </c>
      <c r="I80" s="595">
        <f>ROUND(IF(D80="PCFP",'6.8 Alloc of Residual Rev. YR2'!L82,'1.4 FY 2020 Revenue Received'!V76),2)</f>
        <v>293022.24</v>
      </c>
      <c r="J80" s="581">
        <f t="shared" si="13"/>
        <v>1641697.64</v>
      </c>
      <c r="L80" s="130">
        <v>0</v>
      </c>
      <c r="M80" s="130">
        <v>0</v>
      </c>
      <c r="N80" s="130">
        <v>0</v>
      </c>
      <c r="O80" s="559">
        <f t="shared" si="14"/>
        <v>0</v>
      </c>
      <c r="Q80" s="530">
        <f>ROUND(IF(D80="PCFP",'6.8 Alloc of Residual Rev. YR2'!I82,'1.4 FY 2020 Revenue Received'!Y76),2)</f>
        <v>1251037</v>
      </c>
      <c r="S80" s="559">
        <f t="shared" si="15"/>
        <v>72791933.599999994</v>
      </c>
    </row>
    <row r="81" spans="1:21" x14ac:dyDescent="0.3">
      <c r="A81" s="4"/>
      <c r="B81" s="10" t="str">
        <f>'5.2 Budgeted Enrollment YR2'!E79</f>
        <v>Quest Academy</v>
      </c>
      <c r="D81" s="143" t="str">
        <f>IF('2.9 PCFP Funding Comparison YR1'!$K$25="Yes","PCFP","FY 2020 Baseline")</f>
        <v>PCFP</v>
      </c>
      <c r="E81" s="559">
        <f>ROUND(IF(D81="PCFP",'6.8 Alloc of Residual Rev. YR2'!G83,'1.4 FY 2020 Revenue Received'!Z77),2)</f>
        <v>4104132.67</v>
      </c>
      <c r="G81" s="565">
        <f>ROUND(IF(D81="PCFP",'6.8 Alloc of Residual Rev. YR2'!J83,('1.4 FY 2020 Revenue Received'!S77)+'1.4 FY 2020 Revenue Received'!T77),2)</f>
        <v>144248.4</v>
      </c>
      <c r="H81" s="570">
        <f>ROUND(IF(D81="PCFP",'6.8 Alloc of Residual Rev. YR2'!K83,('1.4 FY 2020 Revenue Received'!S77)+'1.4 FY 2020 Revenue Received'!U77),2)</f>
        <v>138591.6</v>
      </c>
      <c r="I81" s="595">
        <f>ROUND(IF(D81="PCFP",'6.8 Alloc of Residual Rev. YR2'!L83,'1.4 FY 2020 Revenue Received'!V77),2)</f>
        <v>0</v>
      </c>
      <c r="J81" s="581">
        <f t="shared" si="13"/>
        <v>282840</v>
      </c>
      <c r="L81" s="130">
        <v>0</v>
      </c>
      <c r="M81" s="130">
        <v>0</v>
      </c>
      <c r="N81" s="130">
        <v>0</v>
      </c>
      <c r="O81" s="559">
        <f t="shared" si="14"/>
        <v>0</v>
      </c>
      <c r="Q81" s="530">
        <f>ROUND(IF(D81="PCFP",'6.8 Alloc of Residual Rev. YR2'!I83,'1.4 FY 2020 Revenue Received'!Y77),2)</f>
        <v>46281</v>
      </c>
      <c r="S81" s="559">
        <f t="shared" si="15"/>
        <v>4433253.67</v>
      </c>
    </row>
    <row r="82" spans="1:21" x14ac:dyDescent="0.3">
      <c r="A82" s="4"/>
      <c r="B82" s="10" t="str">
        <f>'5.2 Budgeted Enrollment YR2'!E80</f>
        <v>Rainbow Dreams Academy</v>
      </c>
      <c r="D82" s="143" t="str">
        <f>IF('2.9 PCFP Funding Comparison YR1'!$K$25="Yes","PCFP","FY 2020 Baseline")</f>
        <v>PCFP</v>
      </c>
      <c r="E82" s="559">
        <f>ROUND(IF(D82="PCFP",'6.8 Alloc of Residual Rev. YR2'!G84,'1.4 FY 2020 Revenue Received'!Z78),2)</f>
        <v>662853.96</v>
      </c>
      <c r="G82" s="565">
        <f>ROUND(IF(D82="PCFP",'6.8 Alloc of Residual Rev. YR2'!J84,('1.4 FY 2020 Revenue Received'!S78)+'1.4 FY 2020 Revenue Received'!T78),2)</f>
        <v>33940.800000000003</v>
      </c>
      <c r="H82" s="570">
        <f>ROUND(IF(D82="PCFP",'6.8 Alloc of Residual Rev. YR2'!K84,('1.4 FY 2020 Revenue Received'!S78)+'1.4 FY 2020 Revenue Received'!U78),2)</f>
        <v>112193.2</v>
      </c>
      <c r="I82" s="595">
        <f>ROUND(IF(D82="PCFP",'6.8 Alloc of Residual Rev. YR2'!L84,'1.4 FY 2020 Revenue Received'!V78),2)</f>
        <v>0</v>
      </c>
      <c r="J82" s="581">
        <f t="shared" si="13"/>
        <v>146134</v>
      </c>
      <c r="L82" s="130">
        <v>0</v>
      </c>
      <c r="M82" s="130">
        <v>0</v>
      </c>
      <c r="N82" s="130">
        <v>0</v>
      </c>
      <c r="O82" s="559">
        <f t="shared" si="14"/>
        <v>0</v>
      </c>
      <c r="Q82" s="530">
        <f>ROUND(IF(D82="PCFP",'6.8 Alloc of Residual Rev. YR2'!I84,'1.4 FY 2020 Revenue Received'!Y78),2)</f>
        <v>40702</v>
      </c>
      <c r="S82" s="559">
        <f t="shared" si="15"/>
        <v>849689.96</v>
      </c>
    </row>
    <row r="83" spans="1:21" x14ac:dyDescent="0.3">
      <c r="A83" s="4"/>
      <c r="B83" s="10" t="str">
        <f>'5.2 Budgeted Enrollment YR2'!E81</f>
        <v>Rooted Charter School</v>
      </c>
      <c r="D83" s="143" t="str">
        <f>IF('2.9 PCFP Funding Comparison YR1'!$K$25="Yes","PCFP","FY 2020 Baseline")</f>
        <v>PCFP</v>
      </c>
      <c r="E83" s="559">
        <f>ROUND(IF(D83="PCFP",'6.8 Alloc of Residual Rev. YR2'!G85,'1.4 FY 2020 Revenue Received'!Z79),2)</f>
        <v>1698771.27</v>
      </c>
      <c r="G83" s="565">
        <f>ROUND(IF(D83="PCFP",'6.8 Alloc of Residual Rev. YR2'!J85,('1.4 FY 2020 Revenue Received'!S79)+'1.4 FY 2020 Revenue Received'!T79),2)</f>
        <v>0</v>
      </c>
      <c r="H83" s="570">
        <f>ROUND(IF(D83="PCFP",'6.8 Alloc of Residual Rev. YR2'!K85,('1.4 FY 2020 Revenue Received'!S79)+'1.4 FY 2020 Revenue Received'!U79),2)</f>
        <v>0</v>
      </c>
      <c r="I83" s="595">
        <f>ROUND(IF(D83="PCFP",'6.8 Alloc of Residual Rev. YR2'!L85,'1.4 FY 2020 Revenue Received'!V79),2)</f>
        <v>0</v>
      </c>
      <c r="J83" s="581">
        <f t="shared" ref="J83" si="16">SUM(G83:I83)</f>
        <v>0</v>
      </c>
      <c r="L83" s="130">
        <v>0</v>
      </c>
      <c r="M83" s="130">
        <v>0</v>
      </c>
      <c r="N83" s="130">
        <v>0</v>
      </c>
      <c r="O83" s="559">
        <f t="shared" ref="O83" si="17">SUM(L83:N83)</f>
        <v>0</v>
      </c>
      <c r="Q83" s="530">
        <f>ROUND(IF(D83="PCFP",'6.8 Alloc of Residual Rev. YR2'!I85,'1.4 FY 2020 Revenue Received'!Y79),2)</f>
        <v>0</v>
      </c>
      <c r="S83" s="559">
        <f t="shared" ref="S83" si="18">O83+J83+E83+Q83</f>
        <v>1698771.27</v>
      </c>
    </row>
    <row r="84" spans="1:21" x14ac:dyDescent="0.3">
      <c r="A84" s="4"/>
      <c r="B84" s="10" t="str">
        <f>'5.2 Budgeted Enrollment YR2'!E82</f>
        <v>Sage Collegiate Academy</v>
      </c>
      <c r="D84" s="143" t="str">
        <f>IF('2.9 PCFP Funding Comparison YR1'!$K$25="Yes","PCFP","FY 2020 Baseline")</f>
        <v>PCFP</v>
      </c>
      <c r="E84" s="559">
        <f>ROUND(IF(D84="PCFP",'6.8 Alloc of Residual Rev. YR2'!G86,'1.4 FY 2020 Revenue Received'!Z80),2)</f>
        <v>1876935.17</v>
      </c>
      <c r="G84" s="565">
        <f>ROUND(IF(D84="PCFP",'6.8 Alloc of Residual Rev. YR2'!J86,('1.4 FY 2020 Revenue Received'!S80)+'1.4 FY 2020 Revenue Received'!T80),2)</f>
        <v>76366.8</v>
      </c>
      <c r="H84" s="570">
        <f>ROUND(IF(D84="PCFP",'6.8 Alloc of Residual Rev. YR2'!K86,('1.4 FY 2020 Revenue Received'!S80)+'1.4 FY 2020 Revenue Received'!U80),2)</f>
        <v>0</v>
      </c>
      <c r="I84" s="595">
        <f>ROUND(IF(D84="PCFP",'6.8 Alloc of Residual Rev. YR2'!L86,'1.4 FY 2020 Revenue Received'!V80),2)</f>
        <v>0</v>
      </c>
      <c r="J84" s="581">
        <f t="shared" si="13"/>
        <v>76366.8</v>
      </c>
      <c r="L84" s="130">
        <v>0</v>
      </c>
      <c r="M84" s="130">
        <v>0</v>
      </c>
      <c r="N84" s="130">
        <v>0</v>
      </c>
      <c r="O84" s="559">
        <f t="shared" si="14"/>
        <v>0</v>
      </c>
      <c r="Q84" s="530">
        <f>ROUND(IF(D84="PCFP",'6.8 Alloc of Residual Rev. YR2'!I86,'1.4 FY 2020 Revenue Received'!Y80),2)</f>
        <v>0</v>
      </c>
      <c r="S84" s="559">
        <f t="shared" si="15"/>
        <v>1953301.97</v>
      </c>
    </row>
    <row r="85" spans="1:21" x14ac:dyDescent="0.3">
      <c r="A85" s="4"/>
      <c r="B85" s="10" t="str">
        <f>'5.2 Budgeted Enrollment YR2'!E83</f>
        <v>Sierra Nevada Academy Charter</v>
      </c>
      <c r="D85" s="143" t="str">
        <f>IF('2.9 PCFP Funding Comparison YR1'!$K$25="Yes","PCFP","FY 2020 Baseline")</f>
        <v>PCFP</v>
      </c>
      <c r="E85" s="559">
        <f>ROUND(IF(D85="PCFP",'6.8 Alloc of Residual Rev. YR2'!G87,'1.4 FY 2020 Revenue Received'!Z81),2)</f>
        <v>3298890.37</v>
      </c>
      <c r="G85" s="565">
        <f>ROUND(IF(D85="PCFP",'6.8 Alloc of Residual Rev. YR2'!J87,('1.4 FY 2020 Revenue Received'!S81)+'1.4 FY 2020 Revenue Received'!T81),2)</f>
        <v>84852</v>
      </c>
      <c r="H85" s="570">
        <f>ROUND(IF(D85="PCFP",'6.8 Alloc of Residual Rev. YR2'!K87,('1.4 FY 2020 Revenue Received'!S81)+'1.4 FY 2020 Revenue Received'!U81),2)</f>
        <v>105593.60000000001</v>
      </c>
      <c r="I85" s="595">
        <f>ROUND(IF(D85="PCFP",'6.8 Alloc of Residual Rev. YR2'!L87,'1.4 FY 2020 Revenue Received'!V81),2)</f>
        <v>0</v>
      </c>
      <c r="J85" s="581">
        <f t="shared" si="13"/>
        <v>190445.6</v>
      </c>
      <c r="L85" s="130">
        <v>0</v>
      </c>
      <c r="M85" s="130">
        <v>0</v>
      </c>
      <c r="N85" s="130">
        <v>0</v>
      </c>
      <c r="O85" s="559">
        <f t="shared" si="14"/>
        <v>0</v>
      </c>
      <c r="Q85" s="530">
        <f>ROUND(IF(D85="PCFP",'6.8 Alloc of Residual Rev. YR2'!I87,'1.4 FY 2020 Revenue Received'!Y81),2)</f>
        <v>119278</v>
      </c>
      <c r="S85" s="559">
        <f t="shared" si="15"/>
        <v>3608613.97</v>
      </c>
    </row>
    <row r="86" spans="1:21" x14ac:dyDescent="0.3">
      <c r="A86" s="4"/>
      <c r="B86" s="10" t="str">
        <f>'5.2 Budgeted Enrollment YR2'!E84</f>
        <v>Signature Preparatory</v>
      </c>
      <c r="D86" s="143" t="str">
        <f>IF('2.9 PCFP Funding Comparison YR1'!$K$25="Yes","PCFP","FY 2020 Baseline")</f>
        <v>PCFP</v>
      </c>
      <c r="E86" s="559">
        <f>ROUND(IF(D86="PCFP",'6.8 Alloc of Residual Rev. YR2'!G88,'1.4 FY 2020 Revenue Received'!Z82),2)</f>
        <v>9189177.1099999994</v>
      </c>
      <c r="G86" s="565">
        <f>ROUND(IF(D86="PCFP",'6.8 Alloc of Residual Rev. YR2'!J88,('1.4 FY 2020 Revenue Received'!S82)+'1.4 FY 2020 Revenue Received'!T82),2)</f>
        <v>318195</v>
      </c>
      <c r="H86" s="570">
        <f>ROUND(IF(D86="PCFP",'6.8 Alloc of Residual Rev. YR2'!K88,('1.4 FY 2020 Revenue Received'!S82)+'1.4 FY 2020 Revenue Received'!U82),2)</f>
        <v>16499</v>
      </c>
      <c r="I86" s="595">
        <f>ROUND(IF(D86="PCFP",'6.8 Alloc of Residual Rev. YR2'!L88,'1.4 FY 2020 Revenue Received'!V82),2)</f>
        <v>0</v>
      </c>
      <c r="J86" s="581">
        <f t="shared" si="13"/>
        <v>334694</v>
      </c>
      <c r="L86" s="130">
        <v>0</v>
      </c>
      <c r="M86" s="130">
        <v>0</v>
      </c>
      <c r="N86" s="130">
        <v>0</v>
      </c>
      <c r="O86" s="559">
        <f t="shared" si="14"/>
        <v>0</v>
      </c>
      <c r="Q86" s="530">
        <f>ROUND(IF(D86="PCFP",'6.8 Alloc of Residual Rev. YR2'!I88,'1.4 FY 2020 Revenue Received'!Y82),2)</f>
        <v>291137.52</v>
      </c>
      <c r="S86" s="559">
        <f t="shared" si="15"/>
        <v>9815008.629999999</v>
      </c>
    </row>
    <row r="87" spans="1:21" x14ac:dyDescent="0.3">
      <c r="A87" s="4"/>
      <c r="B87" s="10" t="str">
        <f>'5.2 Budgeted Enrollment YR2'!E85</f>
        <v>Silver Sands Montessori</v>
      </c>
      <c r="D87" s="143" t="str">
        <f>IF('2.9 PCFP Funding Comparison YR1'!$K$25="Yes","PCFP","FY 2020 Baseline")</f>
        <v>PCFP</v>
      </c>
      <c r="E87" s="559">
        <f>ROUND(IF(D87="PCFP",'6.8 Alloc of Residual Rev. YR2'!G89,'1.4 FY 2020 Revenue Received'!Z83),2)</f>
        <v>2266420.35</v>
      </c>
      <c r="G87" s="565">
        <f>ROUND(IF(D87="PCFP",'6.8 Alloc of Residual Rev. YR2'!J89,('1.4 FY 2020 Revenue Received'!S83)+'1.4 FY 2020 Revenue Received'!T83),2)</f>
        <v>46668.6</v>
      </c>
      <c r="H87" s="570">
        <f>ROUND(IF(D87="PCFP",'6.8 Alloc of Residual Rev. YR2'!K89,('1.4 FY 2020 Revenue Received'!S83)+'1.4 FY 2020 Revenue Received'!U83),2)</f>
        <v>39597.599999999999</v>
      </c>
      <c r="I87" s="595">
        <f>ROUND(IF(D87="PCFP",'6.8 Alloc of Residual Rev. YR2'!L89,'1.4 FY 2020 Revenue Received'!V83),2)</f>
        <v>0</v>
      </c>
      <c r="J87" s="581">
        <f t="shared" si="13"/>
        <v>86266.2</v>
      </c>
      <c r="L87" s="130">
        <v>0</v>
      </c>
      <c r="M87" s="130">
        <v>0</v>
      </c>
      <c r="N87" s="130">
        <v>0</v>
      </c>
      <c r="O87" s="559">
        <f t="shared" si="14"/>
        <v>0</v>
      </c>
      <c r="Q87" s="530">
        <f>ROUND(IF(D87="PCFP",'6.8 Alloc of Residual Rev. YR2'!I89,'1.4 FY 2020 Revenue Received'!Y83),2)</f>
        <v>0</v>
      </c>
      <c r="S87" s="559">
        <f t="shared" si="15"/>
        <v>2352686.5500000003</v>
      </c>
    </row>
    <row r="88" spans="1:21" x14ac:dyDescent="0.3">
      <c r="A88" s="4"/>
      <c r="B88" s="10" t="str">
        <f>'5.2 Budgeted Enrollment YR2'!E86</f>
        <v>Somerset Academy</v>
      </c>
      <c r="D88" s="143" t="str">
        <f>IF('2.9 PCFP Funding Comparison YR1'!$K$25="Yes","PCFP","FY 2020 Baseline")</f>
        <v>PCFP</v>
      </c>
      <c r="E88" s="559">
        <f>ROUND(IF(D88="PCFP",'6.8 Alloc of Residual Rev. YR2'!G90,'1.4 FY 2020 Revenue Received'!Z84),2)</f>
        <v>89338098.180000007</v>
      </c>
      <c r="G88" s="565">
        <f>ROUND(IF(D88="PCFP",'6.8 Alloc of Residual Rev. YR2'!J90,('1.4 FY 2020 Revenue Received'!S84)+'1.4 FY 2020 Revenue Received'!T84),2)</f>
        <v>1450969.2</v>
      </c>
      <c r="H88" s="570">
        <f>ROUND(IF(D88="PCFP",'6.8 Alloc of Residual Rev. YR2'!K90,('1.4 FY 2020 Revenue Received'!S84)+'1.4 FY 2020 Revenue Received'!U84),2)</f>
        <v>996539.6</v>
      </c>
      <c r="I88" s="595">
        <f>ROUND(IF(D88="PCFP",'6.8 Alloc of Residual Rev. YR2'!L90,'1.4 FY 2020 Revenue Received'!V84),2)</f>
        <v>127843.68</v>
      </c>
      <c r="J88" s="581">
        <f t="shared" si="13"/>
        <v>2575352.48</v>
      </c>
      <c r="L88" s="130">
        <v>0</v>
      </c>
      <c r="M88" s="130">
        <v>0</v>
      </c>
      <c r="N88" s="130">
        <v>0</v>
      </c>
      <c r="O88" s="559">
        <f t="shared" si="14"/>
        <v>0</v>
      </c>
      <c r="Q88" s="530">
        <f>ROUND(IF(D88="PCFP",'6.8 Alloc of Residual Rev. YR2'!I90,'1.4 FY 2020 Revenue Received'!Y84),2)</f>
        <v>2722399</v>
      </c>
      <c r="S88" s="559">
        <f t="shared" si="15"/>
        <v>94635849.660000011</v>
      </c>
    </row>
    <row r="89" spans="1:21" x14ac:dyDescent="0.3">
      <c r="A89" s="4"/>
      <c r="B89" s="10" t="str">
        <f>'5.2 Budgeted Enrollment YR2'!E87</f>
        <v>Southern Nevada Trade High School</v>
      </c>
      <c r="D89" s="143" t="str">
        <f>IF('2.9 PCFP Funding Comparison YR1'!$K$25="Yes","PCFP","FY 2020 Baseline")</f>
        <v>PCFP</v>
      </c>
      <c r="E89" s="559">
        <f>ROUND(IF(D89="PCFP",'6.8 Alloc of Residual Rev. YR2'!G91,'1.4 FY 2020 Revenue Received'!Z85),2)</f>
        <v>1887523.63</v>
      </c>
      <c r="G89" s="565">
        <f>ROUND(IF(D89="PCFP",'6.8 Alloc of Residual Rev. YR2'!J91,('1.4 FY 2020 Revenue Received'!S85)+'1.4 FY 2020 Revenue Received'!T85),2)</f>
        <v>0</v>
      </c>
      <c r="H89" s="570">
        <f>ROUND(IF(D89="PCFP",'6.8 Alloc of Residual Rev. YR2'!K91,('1.4 FY 2020 Revenue Received'!S85)+'1.4 FY 2020 Revenue Received'!U85),2)</f>
        <v>0</v>
      </c>
      <c r="I89" s="595">
        <f>ROUND(IF(D89="PCFP",'6.8 Alloc of Residual Rev. YR2'!L91,'1.4 FY 2020 Revenue Received'!V85),2)</f>
        <v>0</v>
      </c>
      <c r="J89" s="581">
        <f t="shared" ref="J89" si="19">SUM(G89:I89)</f>
        <v>0</v>
      </c>
      <c r="L89" s="130">
        <v>0</v>
      </c>
      <c r="M89" s="130">
        <v>0</v>
      </c>
      <c r="N89" s="130">
        <v>0</v>
      </c>
      <c r="O89" s="559">
        <f t="shared" ref="O89" si="20">SUM(L89:N89)</f>
        <v>0</v>
      </c>
      <c r="Q89" s="530">
        <f>ROUND(IF(D89="PCFP",'6.8 Alloc of Residual Rev. YR2'!I91,'1.4 FY 2020 Revenue Received'!Y85),2)</f>
        <v>0</v>
      </c>
      <c r="S89" s="559">
        <f t="shared" ref="S89" si="21">O89+J89+E89+Q89</f>
        <v>1887523.63</v>
      </c>
    </row>
    <row r="90" spans="1:21" x14ac:dyDescent="0.3">
      <c r="A90" s="4"/>
      <c r="B90" s="10" t="str">
        <f>'5.2 Budgeted Enrollment YR2'!E88</f>
        <v>Sports Leadership and Management Academy</v>
      </c>
      <c r="D90" s="143" t="str">
        <f>IF('2.9 PCFP Funding Comparison YR1'!$K$25="Yes","PCFP","FY 2020 Baseline")</f>
        <v>PCFP</v>
      </c>
      <c r="E90" s="559">
        <f>ROUND(IF(D90="PCFP",'6.8 Alloc of Residual Rev. YR2'!G92,'1.4 FY 2020 Revenue Received'!Z86),2)</f>
        <v>16857719.32</v>
      </c>
      <c r="G90" s="565">
        <f>ROUND(IF(D90="PCFP",'6.8 Alloc of Residual Rev. YR2'!J92,('1.4 FY 2020 Revenue Received'!S86)+'1.4 FY 2020 Revenue Received'!T86),2)</f>
        <v>687301.2</v>
      </c>
      <c r="H90" s="570">
        <f>ROUND(IF(D90="PCFP",'6.8 Alloc of Residual Rev. YR2'!K92,('1.4 FY 2020 Revenue Received'!S86)+'1.4 FY 2020 Revenue Received'!U86),2)</f>
        <v>409175.2</v>
      </c>
      <c r="I90" s="595">
        <f>ROUND(IF(D90="PCFP",'6.8 Alloc of Residual Rev. YR2'!L92,'1.4 FY 2020 Revenue Received'!V86),2)</f>
        <v>0</v>
      </c>
      <c r="J90" s="581">
        <f t="shared" si="13"/>
        <v>1096476.3999999999</v>
      </c>
      <c r="L90" s="130">
        <v>0</v>
      </c>
      <c r="M90" s="130">
        <v>0</v>
      </c>
      <c r="N90" s="130">
        <v>0</v>
      </c>
      <c r="O90" s="559">
        <f t="shared" si="14"/>
        <v>0</v>
      </c>
      <c r="Q90" s="530">
        <f>ROUND(IF(D90="PCFP",'6.8 Alloc of Residual Rev. YR2'!I92,'1.4 FY 2020 Revenue Received'!Y86),2)</f>
        <v>761730</v>
      </c>
      <c r="S90" s="559">
        <f t="shared" si="15"/>
        <v>18715925.719999999</v>
      </c>
    </row>
    <row r="91" spans="1:21" x14ac:dyDescent="0.3">
      <c r="A91" s="4"/>
      <c r="B91" s="10" t="str">
        <f>'5.2 Budgeted Enrollment YR2'!E89</f>
        <v>Strong Start Academy</v>
      </c>
      <c r="D91" s="143" t="str">
        <f>IF('2.9 PCFP Funding Comparison YR1'!$K$25="Yes","PCFP","FY 2020 Baseline")</f>
        <v>PCFP</v>
      </c>
      <c r="E91" s="559">
        <f>ROUND(IF(D91="PCFP",'6.8 Alloc of Residual Rev. YR2'!G93,'1.4 FY 2020 Revenue Received'!Z87),2)</f>
        <v>760958.41</v>
      </c>
      <c r="G91" s="565">
        <f>ROUND(IF(D91="PCFP",'6.8 Alloc of Residual Rev. YR2'!J93,('1.4 FY 2020 Revenue Received'!S87)+'1.4 FY 2020 Revenue Received'!T87),2)</f>
        <v>67881.600000000006</v>
      </c>
      <c r="H91" s="570">
        <f>ROUND(IF(D91="PCFP",'6.8 Alloc of Residual Rev. YR2'!K93,('1.4 FY 2020 Revenue Received'!S87)+'1.4 FY 2020 Revenue Received'!U87),2)</f>
        <v>0</v>
      </c>
      <c r="I91" s="595">
        <f>ROUND(IF(D91="PCFP",'6.8 Alloc of Residual Rev. YR2'!L93,'1.4 FY 2020 Revenue Received'!V87),2)</f>
        <v>0</v>
      </c>
      <c r="J91" s="581">
        <f t="shared" si="13"/>
        <v>67881.600000000006</v>
      </c>
      <c r="L91" s="130">
        <v>0</v>
      </c>
      <c r="M91" s="130">
        <v>0</v>
      </c>
      <c r="N91" s="130">
        <v>0</v>
      </c>
      <c r="O91" s="559">
        <f t="shared" si="14"/>
        <v>0</v>
      </c>
      <c r="Q91" s="530">
        <f>ROUND(IF(D91="PCFP",'6.8 Alloc of Residual Rev. YR2'!I93,'1.4 FY 2020 Revenue Received'!Y87),2)</f>
        <v>0</v>
      </c>
      <c r="S91" s="559">
        <f t="shared" si="15"/>
        <v>828840.01</v>
      </c>
    </row>
    <row r="92" spans="1:21" x14ac:dyDescent="0.3">
      <c r="A92" s="4"/>
      <c r="B92" s="10" t="str">
        <f>'5.2 Budgeted Enrollment YR2'!E90</f>
        <v>TEACH Las Vegas</v>
      </c>
      <c r="D92" s="143" t="str">
        <f>IF('2.9 PCFP Funding Comparison YR1'!$K$25="Yes","PCFP","FY 2020 Baseline")</f>
        <v>PCFP</v>
      </c>
      <c r="E92" s="559">
        <f>ROUND(IF(D92="PCFP",'6.8 Alloc of Residual Rev. YR2'!G94,'1.4 FY 2020 Revenue Received'!Z88),2)</f>
        <v>3029323.4</v>
      </c>
      <c r="G92" s="565">
        <f>ROUND(IF(D92="PCFP",'6.8 Alloc of Residual Rev. YR2'!J94,('1.4 FY 2020 Revenue Received'!S88)+'1.4 FY 2020 Revenue Received'!T88),2)</f>
        <v>190917</v>
      </c>
      <c r="H92" s="570">
        <f>ROUND(IF(D92="PCFP",'6.8 Alloc of Residual Rev. YR2'!K94,('1.4 FY 2020 Revenue Received'!S88)+'1.4 FY 2020 Revenue Received'!U88),2)</f>
        <v>59396.4</v>
      </c>
      <c r="I92" s="595">
        <f>ROUND(IF(D92="PCFP",'6.8 Alloc of Residual Rev. YR2'!L94,'1.4 FY 2020 Revenue Received'!V88),2)</f>
        <v>0</v>
      </c>
      <c r="J92" s="581">
        <f t="shared" si="13"/>
        <v>250313.4</v>
      </c>
      <c r="L92" s="130">
        <v>0</v>
      </c>
      <c r="M92" s="130">
        <v>0</v>
      </c>
      <c r="N92" s="130">
        <v>0</v>
      </c>
      <c r="O92" s="559">
        <f t="shared" si="14"/>
        <v>0</v>
      </c>
      <c r="Q92" s="530">
        <f>ROUND(IF(D92="PCFP",'6.8 Alloc of Residual Rev. YR2'!I94,'1.4 FY 2020 Revenue Received'!Y88),2)</f>
        <v>48249</v>
      </c>
      <c r="S92" s="559">
        <f t="shared" si="15"/>
        <v>3327885.8</v>
      </c>
    </row>
    <row r="93" spans="1:21" x14ac:dyDescent="0.3">
      <c r="A93" s="181"/>
      <c r="B93" s="183" t="str">
        <f>'5.2 Budgeted Enrollment YR2'!E91</f>
        <v>Young Women's Leadership Academy</v>
      </c>
      <c r="C93" s="183"/>
      <c r="D93" s="168" t="str">
        <f>IF('2.9 PCFP Funding Comparison YR1'!$K$25="Yes","PCFP","FY 2020 Baseline")</f>
        <v>PCFP</v>
      </c>
      <c r="E93" s="561">
        <f>ROUND(IF(D93="PCFP",'6.8 Alloc of Residual Rev. YR2'!G95,'1.4 FY 2020 Revenue Received'!Z89),2)</f>
        <v>531873.68999999994</v>
      </c>
      <c r="G93" s="566">
        <f>ROUND(IF(D93="PCFP",'6.8 Alloc of Residual Rev. YR2'!J95,('1.4 FY 2020 Revenue Received'!S89)+'1.4 FY 2020 Revenue Received'!T89),2)</f>
        <v>21213</v>
      </c>
      <c r="H93" s="577">
        <f>ROUND(IF(D93="PCFP",'6.8 Alloc of Residual Rev. YR2'!K95,('1.4 FY 2020 Revenue Received'!S89)+'1.4 FY 2020 Revenue Received'!U89),2)</f>
        <v>0</v>
      </c>
      <c r="I93" s="596">
        <f>ROUND(IF(D93="PCFP",'6.8 Alloc of Residual Rev. YR2'!L95,'1.4 FY 2020 Revenue Received'!V89),2)</f>
        <v>0</v>
      </c>
      <c r="J93" s="578">
        <f t="shared" si="13"/>
        <v>21213</v>
      </c>
      <c r="L93" s="223">
        <v>0</v>
      </c>
      <c r="M93" s="223">
        <v>0</v>
      </c>
      <c r="N93" s="223">
        <v>0</v>
      </c>
      <c r="O93" s="561">
        <f t="shared" si="14"/>
        <v>0</v>
      </c>
      <c r="Q93" s="547">
        <f>ROUND(IF(D93="PCFP",'6.8 Alloc of Residual Rev. YR2'!I95,'1.4 FY 2020 Revenue Received'!Y89),2)</f>
        <v>0</v>
      </c>
      <c r="S93" s="561">
        <f t="shared" si="15"/>
        <v>553086.68999999994</v>
      </c>
    </row>
    <row r="94" spans="1:21" s="4" customFormat="1" x14ac:dyDescent="0.3">
      <c r="B94" s="4" t="str">
        <f>'1.2 Budgeted Enrollment YR1'!E98</f>
        <v>Total University Schools</v>
      </c>
      <c r="E94" s="580">
        <f>SUM(E34:E93)</f>
        <v>653475746.86999989</v>
      </c>
      <c r="G94" s="571">
        <f>SUM(G34:G93)</f>
        <v>23376726</v>
      </c>
      <c r="H94" s="572">
        <f>SUM(H34:H93)</f>
        <v>10064389.999999998</v>
      </c>
      <c r="I94" s="572">
        <f>SUM(I34:I93)</f>
        <v>1241101.92</v>
      </c>
      <c r="J94" s="563">
        <f>SUM(J34:J93)</f>
        <v>34682217.919999994</v>
      </c>
      <c r="L94" s="149">
        <f>SUM(L34:L93)</f>
        <v>0</v>
      </c>
      <c r="M94" s="149">
        <f>SUM(M34:M93)</f>
        <v>0</v>
      </c>
      <c r="N94" s="149">
        <f>SUM(N34:N93)</f>
        <v>0</v>
      </c>
      <c r="O94" s="563">
        <f>SUM(O34:O93)</f>
        <v>0</v>
      </c>
      <c r="Q94" s="563">
        <f>SUM(Q34:Q93)</f>
        <v>14783450.18</v>
      </c>
      <c r="S94" s="563">
        <f>SUM(S34:S93)</f>
        <v>702941414.97000003</v>
      </c>
      <c r="U94" s="202"/>
    </row>
    <row r="95" spans="1:21" ht="15.75" customHeight="1" x14ac:dyDescent="0.3">
      <c r="E95" s="136">
        <f>E94-E28</f>
        <v>0</v>
      </c>
      <c r="G95" s="136">
        <f>G94-G28</f>
        <v>0</v>
      </c>
      <c r="H95" s="136">
        <f>H94-H28</f>
        <v>0</v>
      </c>
      <c r="I95" s="136">
        <f>I94-I28</f>
        <v>0</v>
      </c>
      <c r="J95" s="136">
        <f>J94-J28</f>
        <v>0</v>
      </c>
      <c r="L95" s="175">
        <f>L94-L28</f>
        <v>0</v>
      </c>
      <c r="M95" s="175">
        <f>M94-M28</f>
        <v>0</v>
      </c>
      <c r="N95" s="175">
        <f>N94-N28</f>
        <v>0</v>
      </c>
      <c r="O95" s="175">
        <f>O94-O28</f>
        <v>0</v>
      </c>
      <c r="Q95" s="136">
        <f>Q94-Q28</f>
        <v>0</v>
      </c>
      <c r="S95" s="175">
        <f>S94-S28</f>
        <v>0</v>
      </c>
    </row>
    <row r="96" spans="1:21" ht="15.75" customHeight="1" x14ac:dyDescent="0.3">
      <c r="A96" s="181" t="s">
        <v>1259</v>
      </c>
      <c r="B96" s="183"/>
      <c r="C96" s="183"/>
      <c r="D96" s="183"/>
      <c r="E96" s="764"/>
      <c r="G96" s="764"/>
      <c r="H96" s="764"/>
      <c r="I96" s="764"/>
      <c r="J96" s="764"/>
      <c r="L96" s="802"/>
      <c r="M96" s="802"/>
      <c r="N96" s="802"/>
      <c r="O96" s="802"/>
      <c r="Q96" s="183"/>
      <c r="S96" s="802"/>
    </row>
    <row r="97" spans="1:21" x14ac:dyDescent="0.3">
      <c r="A97" s="4"/>
      <c r="B97" s="10" t="str">
        <f>'5.2 Budgeted Enrollment YR2'!E96</f>
        <v>Davidson Academy</v>
      </c>
      <c r="D97" s="143" t="str">
        <f>IF('2.9 PCFP Funding Comparison YR1'!$K$25="Yes","PCFP","FY 2020 Baseline")</f>
        <v>PCFP</v>
      </c>
      <c r="E97" s="575">
        <f>ROUND(IF(D97="PCFP",'6.8 Alloc of Residual Rev. YR2'!G99,'1.4 FY 2020 Revenue Received'!Z92),0)</f>
        <v>1529310</v>
      </c>
      <c r="G97" s="565">
        <f>IF(D97="PCFP",'6.8 Alloc of Residual Rev. YR2'!J99,('1.4 FY 2020 Revenue Received'!S93*0.5)+'1.4 FY 2020 Revenue Received'!T93)</f>
        <v>0</v>
      </c>
      <c r="H97" s="570">
        <f>IF(D97="PCFP",'6.8 Alloc of Residual Rev. YR2'!K99,('1.4 FY 2020 Revenue Received'!S93*0.5)+'1.4 FY 2020 Revenue Received'!U93)</f>
        <v>0</v>
      </c>
      <c r="I97" s="570">
        <f>IF(D97="PCFP",'6.8 Alloc of Residual Rev. YR2'!L99,'1.4 FY 2020 Revenue Received'!V93)</f>
        <v>0</v>
      </c>
      <c r="J97" s="581">
        <f>SUM(G97:I97)</f>
        <v>0</v>
      </c>
      <c r="L97" s="130">
        <v>0</v>
      </c>
      <c r="M97" s="130">
        <v>0</v>
      </c>
      <c r="N97" s="130">
        <v>0</v>
      </c>
      <c r="O97" s="559">
        <f>SUM(L97:N97)</f>
        <v>0</v>
      </c>
      <c r="Q97" s="530">
        <f>IF(D97="PCFP",'6.8 Alloc of Residual Rev. YR2'!I99,'1.4 FY 2020 Revenue Received'!Y93)</f>
        <v>0</v>
      </c>
      <c r="S97" s="559">
        <f>O97+J97+E97+Q97</f>
        <v>1529310</v>
      </c>
    </row>
    <row r="98" spans="1:21" x14ac:dyDescent="0.3">
      <c r="A98" s="181"/>
      <c r="B98" s="183">
        <f>'5.2 Budgeted Enrollment YR2'!E97</f>
        <v>0</v>
      </c>
      <c r="C98" s="183"/>
      <c r="D98" s="168" t="str">
        <f>IF('2.9 PCFP Funding Comparison YR1'!$K$25="Yes","PCFP","FY 2020 Baseline")</f>
        <v>PCFP</v>
      </c>
      <c r="E98" s="575">
        <f>ROUND(IF(D98="PCFP",'6.8 Alloc of Residual Rev. YR2'!G100,'1.4 FY 2020 Revenue Received'!Z93),0)</f>
        <v>0</v>
      </c>
      <c r="G98" s="566">
        <f>IF(D98="PCFP",'6.8 Alloc of Residual Rev. YR2'!J100,('1.4 FY 2020 Revenue Received'!S94*0.5)+'1.4 FY 2020 Revenue Received'!T94)</f>
        <v>0</v>
      </c>
      <c r="H98" s="577">
        <f>IF(D98="PCFP",'6.8 Alloc of Residual Rev. YR2'!K100,('1.4 FY 2020 Revenue Received'!S94*0.5)+'1.4 FY 2020 Revenue Received'!U94)</f>
        <v>0</v>
      </c>
      <c r="I98" s="577">
        <f>IF(D98="PCFP",'6.8 Alloc of Residual Rev. YR2'!L100,'1.4 FY 2020 Revenue Received'!V94)</f>
        <v>0</v>
      </c>
      <c r="J98" s="578">
        <f>SUM(G98:I98)</f>
        <v>0</v>
      </c>
      <c r="L98" s="223">
        <v>0</v>
      </c>
      <c r="M98" s="223">
        <v>0</v>
      </c>
      <c r="N98" s="223">
        <v>0</v>
      </c>
      <c r="O98" s="561">
        <f>SUM(L98:N98)</f>
        <v>0</v>
      </c>
      <c r="Q98" s="530">
        <f>'6.2 Spec Ed Local YR2'!J93</f>
        <v>0</v>
      </c>
      <c r="S98" s="559">
        <f>O98+J98+E98+Q98</f>
        <v>0</v>
      </c>
    </row>
    <row r="99" spans="1:21" s="4" customFormat="1" x14ac:dyDescent="0.3">
      <c r="B99" s="4" t="str">
        <f>'1.2 Budgeted Enrollment YR1'!E102</f>
        <v>Al Seeliger Elementary</v>
      </c>
      <c r="E99" s="580">
        <f>SUM(E97:E98)</f>
        <v>1529310</v>
      </c>
      <c r="G99" s="571">
        <f>SUM(G97:G98)</f>
        <v>0</v>
      </c>
      <c r="H99" s="572">
        <f>SUM(H97:H98)</f>
        <v>0</v>
      </c>
      <c r="I99" s="572">
        <f>SUM(I97:I98)</f>
        <v>0</v>
      </c>
      <c r="J99" s="563">
        <f>SUM(J97:J98)</f>
        <v>0</v>
      </c>
      <c r="L99" s="149">
        <f>SUM(L97:L98)</f>
        <v>0</v>
      </c>
      <c r="M99" s="149">
        <f>SUM(M97:M98)</f>
        <v>0</v>
      </c>
      <c r="N99" s="149">
        <f>SUM(N97:N98)</f>
        <v>0</v>
      </c>
      <c r="O99" s="563">
        <f>SUM(O97:O98)</f>
        <v>0</v>
      </c>
      <c r="Q99" s="562">
        <f>SUM(Q97:Q98)</f>
        <v>0</v>
      </c>
      <c r="S99" s="562">
        <f>SUM(S97:S98)</f>
        <v>1529310</v>
      </c>
      <c r="U99" s="202"/>
    </row>
  </sheetData>
  <sheetProtection algorithmName="SHA-512" hashValue="prjLfxRSR57CdF0HMdXfZeyc8Hg7mqd2GDt3wUtriHxaynKA1V6V+0VCH8vPIUe7qQ+v4CYd/0/kjK0CWUHdcQ==" saltValue="GyRWNqBxw/JihRp5AEWLag==" spinCount="100000" sheet="1" objects="1" scenarios="1"/>
  <pageMargins left="0.7" right="0.7" top="0.75" bottom="0.75" header="0.3" footer="0.3"/>
  <pageSetup paperSize="3" scale="71" fitToHeight="0" orientation="landscape" r:id="rId1"/>
  <headerFooter>
    <oddHeader>&amp;R&amp;"Arial Narrow,Regular"&amp;10&amp;A
&amp;P</oddHeader>
  </headerFooter>
  <rowBreaks count="2" manualBreakCount="2">
    <brk id="30" max="16383" man="1"/>
    <brk id="78" max="15"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49009-A229-44E5-B225-8C0217A9C7EE}">
  <sheetPr>
    <tabColor theme="3" tint="-0.499984740745262"/>
    <pageSetUpPr autoPageBreaks="0" fitToPage="1"/>
  </sheetPr>
  <dimension ref="A1:AC100"/>
  <sheetViews>
    <sheetView zoomScale="85" zoomScaleNormal="85" workbookViewId="0"/>
  </sheetViews>
  <sheetFormatPr defaultColWidth="9" defaultRowHeight="16.5" x14ac:dyDescent="0.3"/>
  <cols>
    <col min="1" max="1" width="7.140625" style="10" customWidth="1"/>
    <col min="2" max="2" width="38.42578125" style="10" bestFit="1" customWidth="1"/>
    <col min="3" max="3" width="2.7109375" style="10" customWidth="1"/>
    <col min="4" max="4" width="19.140625" style="10" hidden="1" customWidth="1"/>
    <col min="5" max="5" width="15" style="10" bestFit="1" customWidth="1"/>
    <col min="6" max="6" width="16.85546875" style="10" bestFit="1" customWidth="1"/>
    <col min="7" max="7" width="15.140625" style="10" customWidth="1"/>
    <col min="8" max="8" width="2.7109375" style="4" customWidth="1"/>
    <col min="9" max="10" width="13.140625" style="10" bestFit="1" customWidth="1"/>
    <col min="11" max="11" width="12" style="10" bestFit="1" customWidth="1"/>
    <col min="12" max="12" width="14.5703125" style="10" bestFit="1" customWidth="1"/>
    <col min="13" max="13" width="2.5703125" style="4" customWidth="1"/>
    <col min="14" max="14" width="14.5703125" style="10" bestFit="1" customWidth="1"/>
    <col min="15" max="15" width="14.28515625" style="10" bestFit="1" customWidth="1"/>
    <col min="16" max="16" width="13.5703125" style="10" customWidth="1"/>
    <col min="17" max="17" width="13.140625" style="10" bestFit="1" customWidth="1"/>
    <col min="18" max="18" width="2.42578125" style="4" customWidth="1"/>
    <col min="19" max="19" width="14" style="10" customWidth="1"/>
    <col min="20" max="20" width="2.7109375" style="4" customWidth="1"/>
    <col min="21" max="21" width="18" style="10" bestFit="1" customWidth="1"/>
    <col min="22" max="22" width="2.7109375" style="4" customWidth="1"/>
    <col min="23" max="24" width="14.5703125" style="10" bestFit="1" customWidth="1"/>
    <col min="25" max="25" width="20.85546875" style="10" bestFit="1" customWidth="1"/>
    <col min="26" max="26" width="15.7109375" style="10" customWidth="1"/>
    <col min="27" max="27" width="15" style="10" bestFit="1" customWidth="1"/>
    <col min="28" max="28" width="14.5703125" style="10" bestFit="1" customWidth="1"/>
    <col min="29" max="16384" width="9" style="10"/>
  </cols>
  <sheetData>
    <row r="1" spans="1:29" s="4" customFormat="1" x14ac:dyDescent="0.3">
      <c r="A1" s="4" t="s">
        <v>602</v>
      </c>
      <c r="J1" s="13" t="s">
        <v>1032</v>
      </c>
      <c r="K1" s="28">
        <v>1</v>
      </c>
    </row>
    <row r="2" spans="1:29" ht="17.25" thickBot="1" x14ac:dyDescent="0.35">
      <c r="A2" s="10" t="str">
        <f>CONCATENATE("Pupil Center Funding Plan | FY",'5.1 Assumption Control YR2'!D5)</f>
        <v>Pupil Center Funding Plan | FY2025</v>
      </c>
      <c r="J2" s="13" t="s">
        <v>1033</v>
      </c>
      <c r="K2" s="28">
        <f>'7.1a Initial Allocations YR2'!U32</f>
        <v>-1.4888554873469634E-3</v>
      </c>
    </row>
    <row r="3" spans="1:29" ht="17.25" thickBot="1" x14ac:dyDescent="0.35">
      <c r="A3" s="10" t="s">
        <v>1193</v>
      </c>
      <c r="J3" s="13" t="s">
        <v>1034</v>
      </c>
      <c r="K3" s="317">
        <f>SUM(K1:K2)</f>
        <v>0.99851114451265299</v>
      </c>
    </row>
    <row r="4" spans="1:29" x14ac:dyDescent="0.3">
      <c r="F4" s="15"/>
      <c r="W4" s="352"/>
    </row>
    <row r="5" spans="1:29" s="4" customFormat="1" ht="19.5" thickBot="1" x14ac:dyDescent="0.35">
      <c r="A5" s="332"/>
      <c r="B5" s="170"/>
      <c r="C5" s="170"/>
      <c r="D5" s="170"/>
      <c r="E5" s="1433" t="s">
        <v>1383</v>
      </c>
      <c r="F5" s="1433" t="s">
        <v>1378</v>
      </c>
      <c r="G5" s="1192"/>
      <c r="H5" s="1193"/>
      <c r="I5" s="1434" t="s">
        <v>1379</v>
      </c>
      <c r="J5" s="1434" t="s">
        <v>1380</v>
      </c>
      <c r="K5" s="1434" t="s">
        <v>1381</v>
      </c>
      <c r="L5" s="1192"/>
      <c r="M5" s="1193"/>
      <c r="N5" s="1434" t="s">
        <v>1382</v>
      </c>
      <c r="O5" s="1192"/>
      <c r="P5" s="1434" t="s">
        <v>1384</v>
      </c>
      <c r="Q5" s="1192"/>
      <c r="R5" s="1192"/>
      <c r="S5" s="1434" t="s">
        <v>1385</v>
      </c>
      <c r="U5" s="170"/>
      <c r="W5" s="170"/>
    </row>
    <row r="6" spans="1:29" s="4" customFormat="1" x14ac:dyDescent="0.3">
      <c r="A6" s="323"/>
      <c r="B6" s="324"/>
      <c r="C6" s="324"/>
      <c r="D6" s="325" t="s">
        <v>1039</v>
      </c>
      <c r="E6" s="326">
        <f>'1.1 Assumption Control YR1'!D5</f>
        <v>2024</v>
      </c>
      <c r="F6" s="327" t="s">
        <v>745</v>
      </c>
      <c r="G6" s="327">
        <f>E6</f>
        <v>2024</v>
      </c>
      <c r="I6" s="325" t="s">
        <v>101</v>
      </c>
      <c r="J6" s="328"/>
      <c r="K6" s="328" t="s">
        <v>105</v>
      </c>
      <c r="L6" s="327" t="s">
        <v>0</v>
      </c>
      <c r="N6" s="327" t="s">
        <v>0</v>
      </c>
      <c r="O6" s="327" t="s">
        <v>1045</v>
      </c>
      <c r="P6" s="327" t="s">
        <v>0</v>
      </c>
      <c r="Q6" s="327" t="s">
        <v>0</v>
      </c>
      <c r="S6" s="327" t="s">
        <v>0</v>
      </c>
      <c r="U6" s="351" t="s">
        <v>0</v>
      </c>
      <c r="W6" s="351" t="s">
        <v>1043</v>
      </c>
      <c r="Y6" s="351" t="s">
        <v>1058</v>
      </c>
      <c r="Z6" s="351" t="s">
        <v>1055</v>
      </c>
      <c r="AA6" s="445" t="s">
        <v>1363</v>
      </c>
      <c r="AB6" s="1427" t="s">
        <v>1800</v>
      </c>
    </row>
    <row r="7" spans="1:29" s="4" customFormat="1" x14ac:dyDescent="0.3">
      <c r="A7" s="329"/>
      <c r="D7" s="123" t="s">
        <v>1040</v>
      </c>
      <c r="E7" s="124" t="s">
        <v>1113</v>
      </c>
      <c r="F7" s="150" t="s">
        <v>737</v>
      </c>
      <c r="G7" s="150" t="s">
        <v>1035</v>
      </c>
      <c r="I7" s="123" t="s">
        <v>103</v>
      </c>
      <c r="J7" s="17" t="s">
        <v>20</v>
      </c>
      <c r="K7" s="17" t="s">
        <v>102</v>
      </c>
      <c r="L7" s="150" t="s">
        <v>867</v>
      </c>
      <c r="N7" s="150" t="s">
        <v>62</v>
      </c>
      <c r="O7" s="150" t="s">
        <v>62</v>
      </c>
      <c r="P7" s="150" t="s">
        <v>919</v>
      </c>
      <c r="Q7" s="150" t="s">
        <v>895</v>
      </c>
      <c r="S7" s="150" t="s">
        <v>1022</v>
      </c>
      <c r="U7" s="150" t="s">
        <v>106</v>
      </c>
      <c r="W7" s="150" t="s">
        <v>1044</v>
      </c>
      <c r="Y7" s="349" t="s">
        <v>956</v>
      </c>
      <c r="Z7" s="150" t="s">
        <v>1056</v>
      </c>
      <c r="AA7" s="684" t="s">
        <v>1364</v>
      </c>
      <c r="AB7" s="1430" t="s">
        <v>1462</v>
      </c>
    </row>
    <row r="8" spans="1:29" s="4" customFormat="1" ht="17.25" thickBot="1" x14ac:dyDescent="0.35">
      <c r="A8" s="330"/>
      <c r="B8" s="129"/>
      <c r="C8" s="129"/>
      <c r="D8" s="241" t="s">
        <v>1041</v>
      </c>
      <c r="E8" s="151" t="s">
        <v>1047</v>
      </c>
      <c r="F8" s="178" t="s">
        <v>894</v>
      </c>
      <c r="G8" s="178" t="s">
        <v>78</v>
      </c>
      <c r="I8" s="179" t="s">
        <v>894</v>
      </c>
      <c r="J8" s="140" t="s">
        <v>894</v>
      </c>
      <c r="K8" s="140" t="s">
        <v>894</v>
      </c>
      <c r="L8" s="178" t="s">
        <v>894</v>
      </c>
      <c r="N8" s="178" t="s">
        <v>88</v>
      </c>
      <c r="O8" s="178" t="s">
        <v>88</v>
      </c>
      <c r="P8" s="178" t="s">
        <v>88</v>
      </c>
      <c r="Q8" s="178" t="s">
        <v>88</v>
      </c>
      <c r="S8" s="178" t="s">
        <v>88</v>
      </c>
      <c r="U8" s="150" t="s">
        <v>88</v>
      </c>
      <c r="W8" s="150" t="s">
        <v>914</v>
      </c>
      <c r="Y8" s="150" t="s">
        <v>1047</v>
      </c>
      <c r="Z8" s="150" t="s">
        <v>1057</v>
      </c>
      <c r="AA8" s="684" t="s">
        <v>1115</v>
      </c>
      <c r="AB8" s="1428" t="s">
        <v>1463</v>
      </c>
    </row>
    <row r="9" spans="1:29" s="4" customFormat="1" ht="17.25" thickBot="1" x14ac:dyDescent="0.35">
      <c r="A9" s="331"/>
      <c r="B9" s="200"/>
      <c r="C9" s="315" t="s">
        <v>879</v>
      </c>
      <c r="D9" s="322"/>
      <c r="E9" s="322"/>
      <c r="F9" s="205" t="s">
        <v>1433</v>
      </c>
      <c r="G9" s="1268" t="s">
        <v>1434</v>
      </c>
      <c r="I9" s="204" t="s">
        <v>1433</v>
      </c>
      <c r="J9" s="204" t="s">
        <v>1433</v>
      </c>
      <c r="K9" s="204" t="s">
        <v>1433</v>
      </c>
      <c r="L9" s="204" t="s">
        <v>1433</v>
      </c>
      <c r="N9" s="204" t="s">
        <v>1433</v>
      </c>
      <c r="O9" s="204" t="s">
        <v>1433</v>
      </c>
      <c r="P9" s="204" t="s">
        <v>1433</v>
      </c>
      <c r="Q9" s="204" t="s">
        <v>1433</v>
      </c>
      <c r="S9" s="204" t="s">
        <v>1433</v>
      </c>
      <c r="U9" s="799" t="s">
        <v>1120</v>
      </c>
      <c r="W9" s="799" t="s">
        <v>1435</v>
      </c>
      <c r="Y9" s="749"/>
      <c r="Z9" s="1165" t="s">
        <v>957</v>
      </c>
      <c r="AA9" s="1006" t="s">
        <v>1365</v>
      </c>
      <c r="AB9" s="1429" t="s">
        <v>1464</v>
      </c>
    </row>
    <row r="10" spans="1:29" x14ac:dyDescent="0.3">
      <c r="A10" s="329" t="s">
        <v>87</v>
      </c>
      <c r="F10" s="132"/>
      <c r="G10" s="128"/>
      <c r="I10" s="132"/>
      <c r="L10" s="128"/>
      <c r="N10" s="128"/>
      <c r="O10" s="128"/>
      <c r="P10" s="128"/>
      <c r="Q10" s="128"/>
      <c r="S10" s="128"/>
      <c r="U10" s="128"/>
      <c r="W10" s="128"/>
      <c r="Y10" s="128"/>
      <c r="Z10" s="350"/>
      <c r="AA10" s="143"/>
      <c r="AB10" s="128"/>
    </row>
    <row r="11" spans="1:29" x14ac:dyDescent="0.3">
      <c r="A11" s="259"/>
      <c r="B11" s="10" t="str">
        <f>'5.2 Budgeted Enrollment YR2'!E9</f>
        <v>Carson City</v>
      </c>
      <c r="D11" s="10" t="str">
        <f>IF('2.9 PCFP Funding Comparison YR1'!K8="Yes","PCFP","Hold Harmless")</f>
        <v>PCFP</v>
      </c>
      <c r="E11" s="741" t="str">
        <f>'7.1a Initial Allocations YR2'!D11</f>
        <v>PCFP</v>
      </c>
      <c r="F11" s="565">
        <f>ROUND('7.1a Initial Allocations YR2'!E11*$K$3,0)</f>
        <v>72893595</v>
      </c>
      <c r="G11" s="559">
        <f>ROUND(F11/'6.9 PCFP Funding Comparison YR2'!D8,0)</f>
        <v>10114</v>
      </c>
      <c r="I11" s="565">
        <f>ROUND('7.1a Initial Allocations YR2'!G11*$K$3,2)</f>
        <v>3045887.75</v>
      </c>
      <c r="J11" s="565">
        <f>ROUND('7.1a Initial Allocations YR2'!H11*$K$3,2)</f>
        <v>952222.36</v>
      </c>
      <c r="K11" s="565">
        <f>ROUND('7.1a Initial Allocations YR2'!I11*$K$3,2)</f>
        <v>434925.09</v>
      </c>
      <c r="L11" s="559">
        <f>ROUND('7.1a Initial Allocations YR2'!J11*$K$3,2)</f>
        <v>4433035.21</v>
      </c>
      <c r="N11" s="559">
        <f>ROUND('7.1a Initial Allocations YR2'!L11*$K$3,2)</f>
        <v>2582626.5</v>
      </c>
      <c r="O11" s="559">
        <f>ROUND('7.1a Initial Allocations YR2'!M11*$K$3,2)</f>
        <v>0</v>
      </c>
      <c r="P11" s="559">
        <f>ROUND('7.1a Initial Allocations YR2'!N11*$K$3,2)</f>
        <v>416182.19</v>
      </c>
      <c r="Q11" s="559">
        <f>ROUND('7.1a Initial Allocations YR2'!O11*$K$3,2)</f>
        <v>2998808.69</v>
      </c>
      <c r="S11" s="559">
        <f>ROUND('7.1a Initial Allocations YR2'!Q11*$K$3,2)</f>
        <v>6414035.1900000004</v>
      </c>
      <c r="U11" s="581">
        <f>ROUNDDOWN(F11+L11+Q11+S11,2)</f>
        <v>86739474.090000004</v>
      </c>
      <c r="W11" s="130">
        <f>ROUND(U11/'6.9 PCFP Funding Comparison YR2'!D8,0)</f>
        <v>12035</v>
      </c>
      <c r="X11" s="280"/>
      <c r="Y11" s="128" t="str">
        <f>'6.9 PCFP Funding Comparison YR2'!V8</f>
        <v>PCFP</v>
      </c>
      <c r="Z11" s="581">
        <f>U11-'6.9 PCFP Funding Comparison YR2'!H8</f>
        <v>13905298.090000004</v>
      </c>
      <c r="AA11" s="1262" t="str">
        <f>IF('6.9 PCFP Funding Comparison YR2'!K8="Yes","PCFP","FY 2020 Baseline")</f>
        <v>PCFP</v>
      </c>
      <c r="AB11" s="148">
        <f>U11-'Biennial Comparison'!C7</f>
        <v>14765065.275817737</v>
      </c>
      <c r="AC11" s="12"/>
    </row>
    <row r="12" spans="1:29" x14ac:dyDescent="0.3">
      <c r="A12" s="259"/>
      <c r="B12" s="10" t="str">
        <f>'5.2 Budgeted Enrollment YR2'!E10</f>
        <v>Churchill</v>
      </c>
      <c r="D12" s="10" t="str">
        <f>IF('2.9 PCFP Funding Comparison YR1'!K9="Yes","PCFP","Hold Harmless")</f>
        <v>PCFP</v>
      </c>
      <c r="E12" s="741" t="str">
        <f>'7.1a Initial Allocations YR2'!D12</f>
        <v>PCFP</v>
      </c>
      <c r="F12" s="565">
        <f>ROUND('7.1a Initial Allocations YR2'!E12*$K$3,0)</f>
        <v>34058558</v>
      </c>
      <c r="G12" s="559">
        <f>ROUND(F12/'6.9 PCFP Funding Comparison YR2'!D9,0)</f>
        <v>10662</v>
      </c>
      <c r="I12" s="565">
        <f>ROUND('7.1a Initial Allocations YR2'!G12*$K$3,2)</f>
        <v>470227.46</v>
      </c>
      <c r="J12" s="565">
        <f>ROUND('7.1a Initial Allocations YR2'!H12*$K$3,2)</f>
        <v>583195.01</v>
      </c>
      <c r="K12" s="565">
        <f>ROUND('7.1a Initial Allocations YR2'!I12*$K$3,2)</f>
        <v>0</v>
      </c>
      <c r="L12" s="559">
        <f>ROUND('7.1a Initial Allocations YR2'!J12*$K$3,2)</f>
        <v>1053422.47</v>
      </c>
      <c r="N12" s="559">
        <f>ROUND('7.1a Initial Allocations YR2'!L12*$K$3,2)</f>
        <v>1652175.98</v>
      </c>
      <c r="O12" s="559">
        <f>ROUND('7.1a Initial Allocations YR2'!M12*$K$3,2)</f>
        <v>0</v>
      </c>
      <c r="P12" s="559">
        <f>ROUND('7.1a Initial Allocations YR2'!N12*$K$3,2)</f>
        <v>12481.51</v>
      </c>
      <c r="Q12" s="559">
        <f>ROUND('7.1a Initial Allocations YR2'!O12*$K$3,2)</f>
        <v>1664657.49</v>
      </c>
      <c r="S12" s="559">
        <f>ROUND('7.1a Initial Allocations YR2'!Q12*$K$3,2)</f>
        <v>1636666.77</v>
      </c>
      <c r="U12" s="581">
        <f t="shared" ref="U12:U27" si="0">ROUND(F12+L12+Q12+S12,2)</f>
        <v>38413304.729999997</v>
      </c>
      <c r="W12" s="130">
        <f>ROUND(U12/'6.9 PCFP Funding Comparison YR2'!D9,0)</f>
        <v>12026</v>
      </c>
      <c r="X12" s="280"/>
      <c r="Y12" s="128" t="str">
        <f>'6.9 PCFP Funding Comparison YR2'!V9</f>
        <v>PCFP</v>
      </c>
      <c r="Z12" s="555">
        <f>U12-'6.9 PCFP Funding Comparison YR2'!H9</f>
        <v>9020425.7299999967</v>
      </c>
      <c r="AA12" s="1262" t="str">
        <f>IF('6.9 PCFP Funding Comparison YR2'!K9="Yes","PCFP","FY 2020 Baseline")</f>
        <v>PCFP</v>
      </c>
      <c r="AB12" s="148">
        <f>U12-'Biennial Comparison'!C8</f>
        <v>7354837.010033913</v>
      </c>
      <c r="AC12" s="12"/>
    </row>
    <row r="13" spans="1:29" x14ac:dyDescent="0.3">
      <c r="A13" s="259"/>
      <c r="B13" s="10" t="str">
        <f>'5.2 Budgeted Enrollment YR2'!E11</f>
        <v>Clark</v>
      </c>
      <c r="D13" s="10" t="str">
        <f>IF('2.9 PCFP Funding Comparison YR1'!K10="Yes","PCFP","Hold Harmless")</f>
        <v>PCFP</v>
      </c>
      <c r="E13" s="741" t="str">
        <f>'7.1a Initial Allocations YR2'!D13</f>
        <v>PCFP</v>
      </c>
      <c r="F13" s="565">
        <f>ROUND('7.1a Initial Allocations YR2'!E13*$K$3,0)</f>
        <v>2787499284</v>
      </c>
      <c r="G13" s="559">
        <f>ROUND(F13/'6.9 PCFP Funding Comparison YR2'!D10,0)</f>
        <v>9497</v>
      </c>
      <c r="I13" s="565">
        <f>ROUND('7.1a Initial Allocations YR2'!G13*$K$3,2)</f>
        <v>159419816.22</v>
      </c>
      <c r="J13" s="565">
        <f>ROUND('7.1a Initial Allocations YR2'!H13*$K$3,2)</f>
        <v>173554881.77000001</v>
      </c>
      <c r="K13" s="565">
        <f>ROUND('7.1a Initial Allocations YR2'!I13*$K$3,2)</f>
        <v>5134375.46</v>
      </c>
      <c r="L13" s="559">
        <f>ROUND('7.1a Initial Allocations YR2'!J13*$K$3,2)</f>
        <v>338109073.44999999</v>
      </c>
      <c r="N13" s="559">
        <f>ROUND('7.1a Initial Allocations YR2'!L13*$K$3,2)</f>
        <v>140702048.06</v>
      </c>
      <c r="O13" s="559">
        <f>ROUND('7.1a Initial Allocations YR2'!M13*$K$3,2)</f>
        <v>0</v>
      </c>
      <c r="P13" s="559">
        <f>ROUND('7.1a Initial Allocations YR2'!N13*$K$3,2)</f>
        <v>0</v>
      </c>
      <c r="Q13" s="559">
        <f>ROUND('7.1a Initial Allocations YR2'!O13*$K$3,2)</f>
        <v>140702048.06</v>
      </c>
      <c r="S13" s="559">
        <f>ROUND('7.1a Initial Allocations YR2'!Q13*$K$3,2)</f>
        <v>383965616.27999997</v>
      </c>
      <c r="U13" s="581">
        <f>ROUNDDOWN(F13+L13+Q13+S13,0)</f>
        <v>3650276021</v>
      </c>
      <c r="W13" s="130">
        <f>ROUND(U13/'6.9 PCFP Funding Comparison YR2'!D10,0)</f>
        <v>12437</v>
      </c>
      <c r="X13" s="280"/>
      <c r="Y13" s="128" t="str">
        <f>'6.9 PCFP Funding Comparison YR2'!V10</f>
        <v>PCFP</v>
      </c>
      <c r="Z13" s="555">
        <f>U13-'6.9 PCFP Funding Comparison YR2'!H10</f>
        <v>1065788521</v>
      </c>
      <c r="AA13" s="1262" t="str">
        <f>IF('6.9 PCFP Funding Comparison YR2'!K10="Yes","PCFP","FY 2020 Baseline")</f>
        <v>PCFP</v>
      </c>
      <c r="AB13" s="148">
        <f>U13-'Biennial Comparison'!C9</f>
        <v>765495123.3060236</v>
      </c>
      <c r="AC13" s="12"/>
    </row>
    <row r="14" spans="1:29" x14ac:dyDescent="0.3">
      <c r="A14" s="259"/>
      <c r="B14" s="10" t="str">
        <f>'5.2 Budgeted Enrollment YR2'!E12</f>
        <v>Douglas</v>
      </c>
      <c r="D14" s="10" t="str">
        <f>IF('2.9 PCFP Funding Comparison YR1'!K11="Yes","PCFP","Hold Harmless")</f>
        <v>PCFP</v>
      </c>
      <c r="E14" s="741" t="str">
        <f>'7.1a Initial Allocations YR2'!D14</f>
        <v>PCFP</v>
      </c>
      <c r="F14" s="565">
        <f>ROUND('7.1a Initial Allocations YR2'!E14*$K$3,0)</f>
        <v>54800651</v>
      </c>
      <c r="G14" s="559">
        <f>ROUND(F14/'6.9 PCFP Funding Comparison YR2'!D11,0)</f>
        <v>10598</v>
      </c>
      <c r="I14" s="565">
        <f>ROUND('7.1a Initial Allocations YR2'!G14*$K$3,2)</f>
        <v>715931.89</v>
      </c>
      <c r="J14" s="565">
        <f>ROUND('7.1a Initial Allocations YR2'!H14*$K$3,2)</f>
        <v>563425.68999999994</v>
      </c>
      <c r="K14" s="565">
        <f>ROUND('7.1a Initial Allocations YR2'!I14*$K$3,2)</f>
        <v>51965.08</v>
      </c>
      <c r="L14" s="559">
        <f>ROUND('7.1a Initial Allocations YR2'!J14*$K$3,2)</f>
        <v>1331322.6599999999</v>
      </c>
      <c r="N14" s="559">
        <f>ROUND('7.1a Initial Allocations YR2'!L14*$K$3,2)</f>
        <v>3883992.22</v>
      </c>
      <c r="O14" s="559">
        <f>ROUND('7.1a Initial Allocations YR2'!M14*$K$3,2)</f>
        <v>0</v>
      </c>
      <c r="P14" s="559">
        <f>ROUND('7.1a Initial Allocations YR2'!N14*$K$3,2)</f>
        <v>0</v>
      </c>
      <c r="Q14" s="559">
        <f>ROUND('7.1a Initial Allocations YR2'!O14*$K$3,2)</f>
        <v>3883992.22</v>
      </c>
      <c r="S14" s="559">
        <f>ROUND('7.1a Initial Allocations YR2'!Q14*$K$3,2)</f>
        <v>4007828.03</v>
      </c>
      <c r="U14" s="581">
        <f t="shared" si="0"/>
        <v>64023793.909999996</v>
      </c>
      <c r="W14" s="130">
        <f>ROUND(U14/'6.9 PCFP Funding Comparison YR2'!D11,0)</f>
        <v>12382</v>
      </c>
      <c r="X14" s="280"/>
      <c r="Y14" s="128" t="str">
        <f>'6.9 PCFP Funding Comparison YR2'!V11</f>
        <v>PCFP</v>
      </c>
      <c r="Z14" s="555">
        <f>U14-'6.9 PCFP Funding Comparison YR2'!H11</f>
        <v>7277768.9099999964</v>
      </c>
      <c r="AA14" s="1262" t="str">
        <f>IF('6.9 PCFP Funding Comparison YR2'!K11="Yes","PCFP","FY 2020 Baseline")</f>
        <v>PCFP</v>
      </c>
      <c r="AB14" s="148">
        <f>U14-'Biennial Comparison'!C10</f>
        <v>6419774.5806231201</v>
      </c>
      <c r="AC14" s="12"/>
    </row>
    <row r="15" spans="1:29" x14ac:dyDescent="0.3">
      <c r="A15" s="259"/>
      <c r="B15" s="10" t="str">
        <f>'5.2 Budgeted Enrollment YR2'!E13</f>
        <v>Elko</v>
      </c>
      <c r="D15" s="10" t="str">
        <f>IF('2.9 PCFP Funding Comparison YR1'!K12="Yes","PCFP","Hold Harmless")</f>
        <v>PCFP</v>
      </c>
      <c r="E15" s="741" t="str">
        <f>'7.1a Initial Allocations YR2'!D15</f>
        <v>PCFP</v>
      </c>
      <c r="F15" s="565">
        <f>ROUND('7.1a Initial Allocations YR2'!E15*$K$3,0)</f>
        <v>113567476</v>
      </c>
      <c r="G15" s="559">
        <f>ROUND(F15/'6.9 PCFP Funding Comparison YR2'!D12,0)</f>
        <v>11567</v>
      </c>
      <c r="I15" s="565">
        <f>ROUND('7.1a Initial Allocations YR2'!G15*$K$3,2)</f>
        <v>2867963.85</v>
      </c>
      <c r="J15" s="565">
        <f>ROUND('7.1a Initial Allocations YR2'!H15*$K$3,2)</f>
        <v>2079073.74</v>
      </c>
      <c r="K15" s="565">
        <f>ROUND('7.1a Initial Allocations YR2'!I15*$K$3,2)</f>
        <v>109578.53</v>
      </c>
      <c r="L15" s="559">
        <f>ROUND('7.1a Initial Allocations YR2'!J15*$K$3,2)</f>
        <v>5056616.12</v>
      </c>
      <c r="N15" s="559">
        <f>ROUND('7.1a Initial Allocations YR2'!L15*$K$3,2)</f>
        <v>4700733.1100000003</v>
      </c>
      <c r="O15" s="559">
        <f>ROUND('7.1a Initial Allocations YR2'!M15*$K$3,2)</f>
        <v>0</v>
      </c>
      <c r="P15" s="559">
        <f>ROUND('7.1a Initial Allocations YR2'!N15*$K$3,2)</f>
        <v>383607.54</v>
      </c>
      <c r="Q15" s="559">
        <f>ROUND('7.1a Initial Allocations YR2'!O15*$K$3,2)</f>
        <v>5084340.6500000004</v>
      </c>
      <c r="S15" s="559">
        <f>ROUND('7.1a Initial Allocations YR2'!Q15*$K$3,2)</f>
        <v>5046023</v>
      </c>
      <c r="U15" s="581">
        <f t="shared" si="0"/>
        <v>128754455.77</v>
      </c>
      <c r="W15" s="130">
        <f>ROUND(U15/'6.9 PCFP Funding Comparison YR2'!D12,0)</f>
        <v>13114</v>
      </c>
      <c r="X15" s="280"/>
      <c r="Y15" s="128" t="str">
        <f>'6.9 PCFP Funding Comparison YR2'!V12</f>
        <v>PCFP</v>
      </c>
      <c r="Z15" s="555">
        <f>U15-'6.9 PCFP Funding Comparison YR2'!H12</f>
        <v>26420509.769999996</v>
      </c>
      <c r="AA15" s="1262" t="str">
        <f>IF('6.9 PCFP Funding Comparison YR2'!K12="Yes","PCFP","FY 2020 Baseline")</f>
        <v>PCFP</v>
      </c>
      <c r="AB15" s="148">
        <f>U15-'Biennial Comparison'!C11</f>
        <v>26597145.122724593</v>
      </c>
      <c r="AC15" s="12"/>
    </row>
    <row r="16" spans="1:29" x14ac:dyDescent="0.3">
      <c r="A16" s="259"/>
      <c r="B16" s="10" t="str">
        <f>'5.2 Budgeted Enrollment YR2'!E14</f>
        <v>Esmeralda</v>
      </c>
      <c r="D16" s="10" t="str">
        <f>IF('2.9 PCFP Funding Comparison YR1'!K13="Yes","PCFP","Hold Harmless")</f>
        <v>Hold Harmless</v>
      </c>
      <c r="E16" s="741" t="str">
        <f>'7.1a Initial Allocations YR2'!D16</f>
        <v>FY 2020 Baseline</v>
      </c>
      <c r="F16" s="565">
        <f>ROUND('7.1a Initial Allocations YR2'!E16*$K$3,0)</f>
        <v>2415763</v>
      </c>
      <c r="G16" s="559">
        <f>ROUND(F16/'6.9 PCFP Funding Comparison YR2'!D13,0)</f>
        <v>31214</v>
      </c>
      <c r="I16" s="565">
        <f>ROUND('7.1a Initial Allocations YR2'!G16*$K$3,2)</f>
        <v>17404.36</v>
      </c>
      <c r="J16" s="565">
        <f>ROUND('7.1a Initial Allocations YR2'!H16*$K$3,2)</f>
        <v>8387.49</v>
      </c>
      <c r="K16" s="565">
        <f>ROUND('7.1a Initial Allocations YR2'!I16*$K$3,2)</f>
        <v>0</v>
      </c>
      <c r="L16" s="559">
        <f>ROUND('7.1a Initial Allocations YR2'!J16*$K$3,2)</f>
        <v>25791.85</v>
      </c>
      <c r="N16" s="559">
        <f>ROUND('7.1a Initial Allocations YR2'!L16*$K$3,2)</f>
        <v>328060.42</v>
      </c>
      <c r="O16" s="559">
        <f>ROUND('7.1a Initial Allocations YR2'!M16*$K$3,2)</f>
        <v>0</v>
      </c>
      <c r="P16" s="559">
        <f>ROUND('7.1a Initial Allocations YR2'!N16*$K$3,2)</f>
        <v>49210.62</v>
      </c>
      <c r="Q16" s="559">
        <f>ROUND('7.1a Initial Allocations YR2'!O16*$K$3,2)</f>
        <v>377271.03999999998</v>
      </c>
      <c r="S16" s="559">
        <f>ROUND('7.1a Initial Allocations YR2'!Q16*$K$3,2)</f>
        <v>44553.57</v>
      </c>
      <c r="U16" s="581">
        <f t="shared" si="0"/>
        <v>2863379.46</v>
      </c>
      <c r="W16" s="130">
        <f>ROUND(U16/'6.9 PCFP Funding Comparison YR2'!D13,0)</f>
        <v>36998</v>
      </c>
      <c r="X16" s="280"/>
      <c r="Y16" s="128" t="str">
        <f>'6.9 PCFP Funding Comparison YR2'!V13</f>
        <v>FY 2020 Baseline</v>
      </c>
      <c r="Z16" s="555">
        <f>U16-'6.9 PCFP Funding Comparison YR2'!H13</f>
        <v>243451.45999999996</v>
      </c>
      <c r="AA16" s="1262" t="str">
        <f>IF('6.9 PCFP Funding Comparison YR2'!K13="Yes","PCFP","FY 2020 Baseline")</f>
        <v>FY 2020 Baseline</v>
      </c>
      <c r="AB16" s="148">
        <f>U16-'Biennial Comparison'!C12</f>
        <v>295512.46005141642</v>
      </c>
      <c r="AC16" s="12"/>
    </row>
    <row r="17" spans="1:29" x14ac:dyDescent="0.3">
      <c r="A17" s="259"/>
      <c r="B17" s="10" t="str">
        <f>'5.2 Budgeted Enrollment YR2'!E15</f>
        <v>Eureka</v>
      </c>
      <c r="D17" s="10" t="str">
        <f>IF('2.9 PCFP Funding Comparison YR1'!K14="Yes","PCFP","Hold Harmless")</f>
        <v>Hold Harmless</v>
      </c>
      <c r="E17" s="741" t="str">
        <f>'7.1a Initial Allocations YR2'!D17</f>
        <v>FY 2020 Baseline</v>
      </c>
      <c r="F17" s="565">
        <f>ROUND('7.1a Initial Allocations YR2'!E17*$K$3,0)</f>
        <v>11683576</v>
      </c>
      <c r="G17" s="559">
        <f>ROUND(F17/'6.9 PCFP Funding Comparison YR2'!D14,0)</f>
        <v>36057</v>
      </c>
      <c r="I17" s="565">
        <f>ROUND('7.1a Initial Allocations YR2'!G17*$K$3,2)</f>
        <v>10215.08</v>
      </c>
      <c r="J17" s="565">
        <f>ROUND('7.1a Initial Allocations YR2'!H17*$K$3,2)</f>
        <v>1198.21</v>
      </c>
      <c r="K17" s="565">
        <f>ROUND('7.1a Initial Allocations YR2'!I17*$K$3,2)</f>
        <v>0</v>
      </c>
      <c r="L17" s="559">
        <f>ROUND('7.1a Initial Allocations YR2'!J17*$K$3,2)</f>
        <v>11413.29</v>
      </c>
      <c r="N17" s="559">
        <f>ROUND('7.1a Initial Allocations YR2'!L17*$K$3,2)</f>
        <v>433612.45</v>
      </c>
      <c r="O17" s="559">
        <f>ROUND('7.1a Initial Allocations YR2'!M17*$K$3,2)</f>
        <v>0</v>
      </c>
      <c r="P17" s="559">
        <f>ROUND('7.1a Initial Allocations YR2'!N17*$K$3,2)</f>
        <v>398628.61</v>
      </c>
      <c r="Q17" s="559">
        <f>ROUND('7.1a Initial Allocations YR2'!O17*$K$3,2)</f>
        <v>832241.07</v>
      </c>
      <c r="S17" s="559">
        <f>ROUND('7.1a Initial Allocations YR2'!Q17*$K$3,2)</f>
        <v>199702.23</v>
      </c>
      <c r="U17" s="581">
        <f t="shared" si="0"/>
        <v>12726932.59</v>
      </c>
      <c r="W17" s="130">
        <f>ROUND(U17/'6.9 PCFP Funding Comparison YR2'!D14,0)</f>
        <v>39277</v>
      </c>
      <c r="X17" s="280"/>
      <c r="Y17" s="128" t="str">
        <f>'6.9 PCFP Funding Comparison YR2'!V14</f>
        <v>FY 2020 Baseline</v>
      </c>
      <c r="Z17" s="555">
        <f>U17-'6.9 PCFP Funding Comparison YR2'!H14</f>
        <v>682237.58999999985</v>
      </c>
      <c r="AA17" s="1262" t="str">
        <f>IF('6.9 PCFP Funding Comparison YR2'!K14="Yes","PCFP","FY 2020 Baseline")</f>
        <v>FY 2020 Baseline</v>
      </c>
      <c r="AB17" s="148">
        <f>U17-'Biennial Comparison'!C13</f>
        <v>755195.84336560965</v>
      </c>
      <c r="AC17" s="12"/>
    </row>
    <row r="18" spans="1:29" x14ac:dyDescent="0.3">
      <c r="A18" s="259"/>
      <c r="B18" s="10" t="str">
        <f>'5.2 Budgeted Enrollment YR2'!E16</f>
        <v>Humboldt</v>
      </c>
      <c r="D18" s="10" t="str">
        <f>IF('2.9 PCFP Funding Comparison YR1'!K15="Yes","PCFP","Hold Harmless")</f>
        <v>PCFP</v>
      </c>
      <c r="E18" s="741" t="str">
        <f>'7.1a Initial Allocations YR2'!D18</f>
        <v>PCFP</v>
      </c>
      <c r="F18" s="565">
        <f>ROUND('7.1a Initial Allocations YR2'!E18*$K$3,0)</f>
        <v>36716562</v>
      </c>
      <c r="G18" s="559">
        <f>ROUND(F18/'6.9 PCFP Funding Comparison YR2'!D15,0)</f>
        <v>11525</v>
      </c>
      <c r="I18" s="565">
        <f>ROUND('7.1a Initial Allocations YR2'!G18*$K$3,2)</f>
        <v>859965.53</v>
      </c>
      <c r="J18" s="565">
        <f>ROUND('7.1a Initial Allocations YR2'!H18*$K$3,2)</f>
        <v>266885.84999999998</v>
      </c>
      <c r="K18" s="565">
        <f>ROUND('7.1a Initial Allocations YR2'!I18*$K$3,2)</f>
        <v>0</v>
      </c>
      <c r="L18" s="559">
        <f>ROUND('7.1a Initial Allocations YR2'!J18*$K$3,2)</f>
        <v>1126851.3799999999</v>
      </c>
      <c r="N18" s="559">
        <f>ROUND('7.1a Initial Allocations YR2'!L18*$K$3,2)</f>
        <v>2014961.26</v>
      </c>
      <c r="O18" s="559">
        <f>ROUND('7.1a Initial Allocations YR2'!M18*$K$3,2)</f>
        <v>0</v>
      </c>
      <c r="P18" s="559">
        <f>ROUND('7.1a Initial Allocations YR2'!N18*$K$3,2)</f>
        <v>19062.080000000002</v>
      </c>
      <c r="Q18" s="559">
        <f>ROUND('7.1a Initial Allocations YR2'!O18*$K$3,2)</f>
        <v>2034023.33</v>
      </c>
      <c r="S18" s="559">
        <f>ROUND('7.1a Initial Allocations YR2'!Q18*$K$3,2)</f>
        <v>2354958.58</v>
      </c>
      <c r="U18" s="581">
        <f t="shared" si="0"/>
        <v>42232395.289999999</v>
      </c>
      <c r="W18" s="130">
        <f>ROUND(U18/'6.9 PCFP Funding Comparison YR2'!D15,0)</f>
        <v>13256</v>
      </c>
      <c r="X18" s="280"/>
      <c r="Y18" s="128" t="str">
        <f>'6.9 PCFP Funding Comparison YR2'!V15</f>
        <v>PCFP</v>
      </c>
      <c r="Z18" s="555">
        <f>U18-'6.9 PCFP Funding Comparison YR2'!H15</f>
        <v>4128904.2899999991</v>
      </c>
      <c r="AA18" s="1262" t="str">
        <f>IF('6.9 PCFP Funding Comparison YR2'!K15="Yes","PCFP","FY 2020 Baseline")</f>
        <v>PCFP</v>
      </c>
      <c r="AB18" s="148">
        <f>U18-'Biennial Comparison'!C14</f>
        <v>5310327.4608133957</v>
      </c>
      <c r="AC18" s="12"/>
    </row>
    <row r="19" spans="1:29" x14ac:dyDescent="0.3">
      <c r="A19" s="259"/>
      <c r="B19" s="10" t="str">
        <f>'5.2 Budgeted Enrollment YR2'!E17</f>
        <v>Lander</v>
      </c>
      <c r="D19" s="10" t="str">
        <f>IF('2.9 PCFP Funding Comparison YR1'!K16="Yes","PCFP","Hold Harmless")</f>
        <v>PCFP</v>
      </c>
      <c r="E19" s="741" t="str">
        <f>'7.1a Initial Allocations YR2'!D19</f>
        <v>PCFP</v>
      </c>
      <c r="F19" s="565">
        <f>ROUND('7.1a Initial Allocations YR2'!E19*$K$3,0)</f>
        <v>14049259</v>
      </c>
      <c r="G19" s="559">
        <f>ROUND(F19/'6.9 PCFP Funding Comparison YR2'!D16,0)</f>
        <v>13995</v>
      </c>
      <c r="I19" s="565">
        <f>ROUND('7.1a Initial Allocations YR2'!G19*$K$3,2)</f>
        <v>139797.35</v>
      </c>
      <c r="J19" s="565">
        <f>ROUND('7.1a Initial Allocations YR2'!H19*$K$3,2)</f>
        <v>322898.93</v>
      </c>
      <c r="K19" s="565">
        <f>ROUND('7.1a Initial Allocations YR2'!I19*$K$3,2)</f>
        <v>0</v>
      </c>
      <c r="L19" s="559">
        <f>ROUND('7.1a Initial Allocations YR2'!J19*$K$3,2)</f>
        <v>462696.28</v>
      </c>
      <c r="N19" s="559">
        <f>ROUND('7.1a Initial Allocations YR2'!L19*$K$3,2)</f>
        <v>413336.55</v>
      </c>
      <c r="O19" s="559">
        <f>ROUND('7.1a Initial Allocations YR2'!M19*$K$3,2)</f>
        <v>0</v>
      </c>
      <c r="P19" s="559">
        <f>ROUND('7.1a Initial Allocations YR2'!N19*$K$3,2)</f>
        <v>24962.78</v>
      </c>
      <c r="Q19" s="559">
        <f>ROUND('7.1a Initial Allocations YR2'!O19*$K$3,2)</f>
        <v>438299.33</v>
      </c>
      <c r="S19" s="559">
        <f>ROUND('7.1a Initial Allocations YR2'!Q19*$K$3,2)</f>
        <v>1051427.24</v>
      </c>
      <c r="U19" s="581">
        <f t="shared" si="0"/>
        <v>16001681.85</v>
      </c>
      <c r="W19" s="130">
        <f>ROUND(U19/'6.9 PCFP Funding Comparison YR2'!D16,0)</f>
        <v>15940</v>
      </c>
      <c r="X19" s="280"/>
      <c r="Y19" s="128" t="str">
        <f>'6.9 PCFP Funding Comparison YR2'!V16</f>
        <v>PCFP</v>
      </c>
      <c r="Z19" s="555">
        <f>U19-'6.9 PCFP Funding Comparison YR2'!H16</f>
        <v>4173461.8499999996</v>
      </c>
      <c r="AA19" s="1262" t="str">
        <f>IF('6.9 PCFP Funding Comparison YR2'!K16="Yes","PCFP","FY 2020 Baseline")</f>
        <v>PCFP</v>
      </c>
      <c r="AB19" s="148">
        <f>U19-'Biennial Comparison'!C15</f>
        <v>3788063.2662352156</v>
      </c>
      <c r="AC19" s="12"/>
    </row>
    <row r="20" spans="1:29" x14ac:dyDescent="0.3">
      <c r="A20" s="259"/>
      <c r="B20" s="10" t="str">
        <f>'5.2 Budgeted Enrollment YR2'!E18</f>
        <v>Lincoln</v>
      </c>
      <c r="D20" s="10" t="str">
        <f>IF('2.9 PCFP Funding Comparison YR1'!K17="Yes","PCFP","Hold Harmless")</f>
        <v>PCFP</v>
      </c>
      <c r="E20" s="741" t="str">
        <f>'7.1a Initial Allocations YR2'!D20</f>
        <v>PCFP</v>
      </c>
      <c r="F20" s="565">
        <f>ROUND('7.1a Initial Allocations YR2'!E20*$K$3,0)</f>
        <v>15142927</v>
      </c>
      <c r="G20" s="559">
        <f>ROUND(F20/'6.9 PCFP Funding Comparison YR2'!D17,0)</f>
        <v>17132</v>
      </c>
      <c r="I20" s="565">
        <f>ROUND('7.1a Initial Allocations YR2'!G20*$K$3,2)</f>
        <v>25417.7</v>
      </c>
      <c r="J20" s="565">
        <f>ROUND('7.1a Initial Allocations YR2'!H20*$K$3,2)</f>
        <v>141680.14000000001</v>
      </c>
      <c r="K20" s="565">
        <f>ROUND('7.1a Initial Allocations YR2'!I20*$K$3,2)</f>
        <v>0</v>
      </c>
      <c r="L20" s="559">
        <f>ROUND('7.1a Initial Allocations YR2'!J20*$K$3,2)</f>
        <v>167097.84</v>
      </c>
      <c r="N20" s="559">
        <f>ROUND('7.1a Initial Allocations YR2'!L20*$K$3,2)</f>
        <v>622092.31999999995</v>
      </c>
      <c r="O20" s="559">
        <f>ROUND('7.1a Initial Allocations YR2'!M20*$K$3,2)</f>
        <v>0</v>
      </c>
      <c r="P20" s="559">
        <f>ROUND('7.1a Initial Allocations YR2'!N20*$K$3,2)</f>
        <v>60229.69</v>
      </c>
      <c r="Q20" s="559">
        <f>ROUND('7.1a Initial Allocations YR2'!O20*$K$3,2)</f>
        <v>682322.02</v>
      </c>
      <c r="S20" s="559">
        <f>ROUND('7.1a Initial Allocations YR2'!Q20*$K$3,2)</f>
        <v>327227.08</v>
      </c>
      <c r="U20" s="581">
        <f t="shared" si="0"/>
        <v>16319573.939999999</v>
      </c>
      <c r="W20" s="130">
        <f>ROUND(U20/'6.9 PCFP Funding Comparison YR2'!D17,0)</f>
        <v>18463</v>
      </c>
      <c r="X20" s="280"/>
      <c r="Y20" s="128" t="str">
        <f>'6.9 PCFP Funding Comparison YR2'!V17</f>
        <v>PCFP</v>
      </c>
      <c r="Z20" s="555">
        <f>U20-'6.9 PCFP Funding Comparison YR2'!H17</f>
        <v>3597836.9399999995</v>
      </c>
      <c r="AA20" s="1262" t="str">
        <f>IF('6.9 PCFP Funding Comparison YR2'!K17="Yes","PCFP","FY 2020 Baseline")</f>
        <v>PCFP</v>
      </c>
      <c r="AB20" s="148">
        <f>U20-'Biennial Comparison'!C16</f>
        <v>3702067.8412485179</v>
      </c>
      <c r="AC20" s="12"/>
    </row>
    <row r="21" spans="1:29" x14ac:dyDescent="0.3">
      <c r="A21" s="259"/>
      <c r="B21" s="10" t="str">
        <f>'5.2 Budgeted Enrollment YR2'!E19</f>
        <v>Lyon</v>
      </c>
      <c r="D21" s="10" t="str">
        <f>IF('2.9 PCFP Funding Comparison YR1'!K18="Yes","PCFP","Hold Harmless")</f>
        <v>PCFP</v>
      </c>
      <c r="E21" s="741" t="str">
        <f>'7.1a Initial Allocations YR2'!D21</f>
        <v>PCFP</v>
      </c>
      <c r="F21" s="565">
        <f>ROUND('7.1a Initial Allocations YR2'!E21*$K$3,0)</f>
        <v>103912574</v>
      </c>
      <c r="G21" s="559">
        <f>ROUND(F21/'6.9 PCFP Funding Comparison YR2'!D18,0)</f>
        <v>11488</v>
      </c>
      <c r="I21" s="565">
        <f>ROUND('7.1a Initial Allocations YR2'!G21*$K$3,2)</f>
        <v>2054597.44</v>
      </c>
      <c r="J21" s="565">
        <f>ROUND('7.1a Initial Allocations YR2'!H21*$K$3,2)</f>
        <v>1733110.6</v>
      </c>
      <c r="K21" s="565">
        <f>ROUND('7.1a Initial Allocations YR2'!I21*$K$3,2)</f>
        <v>0</v>
      </c>
      <c r="L21" s="559">
        <f>ROUND('7.1a Initial Allocations YR2'!J21*$K$3,2)</f>
        <v>3787708.04</v>
      </c>
      <c r="N21" s="559">
        <f>ROUND('7.1a Initial Allocations YR2'!L21*$K$3,2)</f>
        <v>5008399.7699999996</v>
      </c>
      <c r="O21" s="559">
        <f>ROUND('7.1a Initial Allocations YR2'!M21*$K$3,2)</f>
        <v>0</v>
      </c>
      <c r="P21" s="559">
        <f>ROUND('7.1a Initial Allocations YR2'!N21*$K$3,2)</f>
        <v>0</v>
      </c>
      <c r="Q21" s="559">
        <f>ROUND('7.1a Initial Allocations YR2'!O21*$K$3,2)</f>
        <v>5008399.7699999996</v>
      </c>
      <c r="S21" s="559">
        <f>ROUND('7.1a Initial Allocations YR2'!Q21*$K$3,2)</f>
        <v>9568684.3699999992</v>
      </c>
      <c r="U21" s="581">
        <f t="shared" si="0"/>
        <v>122277366.18000001</v>
      </c>
      <c r="W21" s="130">
        <f>ROUND(U21/'6.9 PCFP Funding Comparison YR2'!D18,0)</f>
        <v>13519</v>
      </c>
      <c r="X21" s="280"/>
      <c r="Y21" s="128" t="str">
        <f>'6.9 PCFP Funding Comparison YR2'!V18</f>
        <v>PCFP</v>
      </c>
      <c r="Z21" s="555">
        <f>U21-'6.9 PCFP Funding Comparison YR2'!H18</f>
        <v>37901243.180000007</v>
      </c>
      <c r="AA21" s="1262" t="str">
        <f>IF('6.9 PCFP Funding Comparison YR2'!K18="Yes","PCFP","FY 2020 Baseline")</f>
        <v>PCFP</v>
      </c>
      <c r="AB21" s="148">
        <f>U21-'Biennial Comparison'!C17</f>
        <v>29879887.687377855</v>
      </c>
      <c r="AC21" s="12"/>
    </row>
    <row r="22" spans="1:29" x14ac:dyDescent="0.3">
      <c r="A22" s="259"/>
      <c r="B22" s="10" t="str">
        <f>'5.2 Budgeted Enrollment YR2'!E20</f>
        <v>Mineral</v>
      </c>
      <c r="D22" s="10" t="str">
        <f>IF('2.9 PCFP Funding Comparison YR1'!K19="Yes","PCFP","Hold Harmless")</f>
        <v>PCFP</v>
      </c>
      <c r="E22" s="741" t="str">
        <f>'7.1a Initial Allocations YR2'!D22</f>
        <v>PCFP</v>
      </c>
      <c r="F22" s="565">
        <f>ROUND('7.1a Initial Allocations YR2'!E22*$K$3,0)</f>
        <v>9208499</v>
      </c>
      <c r="G22" s="559">
        <f>ROUND(F22/'6.9 PCFP Funding Comparison YR2'!D19,0)</f>
        <v>16212</v>
      </c>
      <c r="I22" s="565">
        <f>ROUND('7.1a Initial Allocations YR2'!G22*$K$3,2)</f>
        <v>144033.63</v>
      </c>
      <c r="J22" s="565">
        <f>ROUND('7.1a Initial Allocations YR2'!H22*$K$3,2)</f>
        <v>171334.13</v>
      </c>
      <c r="K22" s="565">
        <f>ROUND('7.1a Initial Allocations YR2'!I22*$K$3,2)</f>
        <v>0</v>
      </c>
      <c r="L22" s="559">
        <f>ROUND('7.1a Initial Allocations YR2'!J22*$K$3,2)</f>
        <v>315367.76</v>
      </c>
      <c r="N22" s="559">
        <f>ROUND('7.1a Initial Allocations YR2'!L22*$K$3,2)</f>
        <v>315577.71999999997</v>
      </c>
      <c r="O22" s="559">
        <f>ROUND('7.1a Initial Allocations YR2'!M22*$K$3,2)</f>
        <v>0</v>
      </c>
      <c r="P22" s="559">
        <f>ROUND('7.1a Initial Allocations YR2'!N22*$K$3,2)</f>
        <v>158788.23000000001</v>
      </c>
      <c r="Q22" s="559">
        <f>ROUND('7.1a Initial Allocations YR2'!O22*$K$3,2)</f>
        <v>474365.95</v>
      </c>
      <c r="S22" s="559">
        <f>ROUND('7.1a Initial Allocations YR2'!Q22*$K$3,2)</f>
        <v>215343.91</v>
      </c>
      <c r="U22" s="581">
        <f t="shared" si="0"/>
        <v>10213576.619999999</v>
      </c>
      <c r="W22" s="130">
        <f>ROUND(U22/'6.9 PCFP Funding Comparison YR2'!D19,0)</f>
        <v>17982</v>
      </c>
      <c r="X22" s="280"/>
      <c r="Y22" s="128" t="str">
        <f>'6.9 PCFP Funding Comparison YR2'!V19</f>
        <v>PCFP</v>
      </c>
      <c r="Z22" s="555">
        <f>U22-'6.9 PCFP Funding Comparison YR2'!H19</f>
        <v>2692316.6199999992</v>
      </c>
      <c r="AA22" s="1262" t="str">
        <f>IF('6.9 PCFP Funding Comparison YR2'!K19="Yes","PCFP","FY 2020 Baseline")</f>
        <v>PCFP</v>
      </c>
      <c r="AB22" s="148">
        <f>U22-'Biennial Comparison'!C18</f>
        <v>2497630.4180731792</v>
      </c>
      <c r="AC22" s="12"/>
    </row>
    <row r="23" spans="1:29" x14ac:dyDescent="0.3">
      <c r="A23" s="259"/>
      <c r="B23" s="10" t="str">
        <f>'5.2 Budgeted Enrollment YR2'!E21</f>
        <v>Nye</v>
      </c>
      <c r="D23" s="10" t="str">
        <f>IF('2.9 PCFP Funding Comparison YR1'!K20="Yes","PCFP","Hold Harmless")</f>
        <v>PCFP</v>
      </c>
      <c r="E23" s="741" t="str">
        <f>'7.1a Initial Allocations YR2'!D23</f>
        <v>PCFP</v>
      </c>
      <c r="F23" s="565">
        <f>ROUND('7.1a Initial Allocations YR2'!E23*$K$3,0)</f>
        <v>64363345</v>
      </c>
      <c r="G23" s="559">
        <f>ROUND(F23/'6.9 PCFP Funding Comparison YR2'!D20,0)</f>
        <v>11505</v>
      </c>
      <c r="I23" s="565">
        <f>ROUND('7.1a Initial Allocations YR2'!G23*$K$3,2)</f>
        <v>1372555.82</v>
      </c>
      <c r="J23" s="565">
        <f>ROUND('7.1a Initial Allocations YR2'!H23*$K$3,2)</f>
        <v>1479404.3</v>
      </c>
      <c r="K23" s="565">
        <f>ROUND('7.1a Initial Allocations YR2'!I23*$K$3,2)</f>
        <v>0</v>
      </c>
      <c r="L23" s="559">
        <f>ROUND('7.1a Initial Allocations YR2'!J23*$K$3,2)</f>
        <v>2851960.11</v>
      </c>
      <c r="N23" s="559">
        <f>ROUND('7.1a Initial Allocations YR2'!L23*$K$3,2)</f>
        <v>4261953.41</v>
      </c>
      <c r="O23" s="559">
        <f>ROUND('7.1a Initial Allocations YR2'!M23*$K$3,2)</f>
        <v>0</v>
      </c>
      <c r="P23" s="559">
        <f>ROUND('7.1a Initial Allocations YR2'!N23*$K$3,2)</f>
        <v>0</v>
      </c>
      <c r="Q23" s="559">
        <f>ROUND('7.1a Initial Allocations YR2'!O23*$K$3,2)</f>
        <v>4261953.41</v>
      </c>
      <c r="S23" s="559">
        <f>ROUND('7.1a Initial Allocations YR2'!Q23*$K$3,2)</f>
        <v>8302564.25</v>
      </c>
      <c r="U23" s="581">
        <f t="shared" si="0"/>
        <v>79779822.769999996</v>
      </c>
      <c r="W23" s="130">
        <f>ROUND(U23/'6.9 PCFP Funding Comparison YR2'!D20,0)</f>
        <v>14260</v>
      </c>
      <c r="X23" s="280"/>
      <c r="Y23" s="128" t="str">
        <f>'6.9 PCFP Funding Comparison YR2'!V20</f>
        <v>PCFP</v>
      </c>
      <c r="Z23" s="555">
        <f>U23-'6.9 PCFP Funding Comparison YR2'!H20</f>
        <v>22171121.769999996</v>
      </c>
      <c r="AA23" s="1262" t="str">
        <f>IF('6.9 PCFP Funding Comparison YR2'!K20="Yes","PCFP","FY 2020 Baseline")</f>
        <v>PCFP</v>
      </c>
      <c r="AB23" s="148">
        <f>U23-'Biennial Comparison'!C19</f>
        <v>19371814.029723115</v>
      </c>
      <c r="AC23" s="12"/>
    </row>
    <row r="24" spans="1:29" x14ac:dyDescent="0.3">
      <c r="A24" s="259"/>
      <c r="B24" s="10" t="str">
        <f>'5.2 Budgeted Enrollment YR2'!E22</f>
        <v>Pershing</v>
      </c>
      <c r="D24" s="10" t="str">
        <f>IF('2.9 PCFP Funding Comparison YR1'!K21="Yes","PCFP","Hold Harmless")</f>
        <v>PCFP</v>
      </c>
      <c r="E24" s="741" t="str">
        <f>'7.1a Initial Allocations YR2'!D24</f>
        <v>PCFP</v>
      </c>
      <c r="F24" s="565">
        <f>ROUND('7.1a Initial Allocations YR2'!E24*$K$3,0)</f>
        <v>10019792</v>
      </c>
      <c r="G24" s="559">
        <f>ROUND(F24/'6.9 PCFP Funding Comparison YR2'!D21,0)</f>
        <v>15163</v>
      </c>
      <c r="I24" s="565">
        <f>ROUND('7.1a Initial Allocations YR2'!G24*$K$3,2)</f>
        <v>97434.52</v>
      </c>
      <c r="J24" s="565">
        <f>ROUND('7.1a Initial Allocations YR2'!H24*$K$3,2)</f>
        <v>128500.6</v>
      </c>
      <c r="K24" s="565">
        <f>ROUND('7.1a Initial Allocations YR2'!I24*$K$3,2)</f>
        <v>0</v>
      </c>
      <c r="L24" s="559">
        <f>ROUND('7.1a Initial Allocations YR2'!J24*$K$3,2)</f>
        <v>225935.11</v>
      </c>
      <c r="N24" s="559">
        <f>ROUND('7.1a Initial Allocations YR2'!L24*$K$3,2)</f>
        <v>799228.88</v>
      </c>
      <c r="O24" s="559">
        <f>ROUND('7.1a Initial Allocations YR2'!M24*$K$3,2)</f>
        <v>0</v>
      </c>
      <c r="P24" s="559">
        <f>ROUND('7.1a Initial Allocations YR2'!N24*$K$3,2)</f>
        <v>25187.19</v>
      </c>
      <c r="Q24" s="559">
        <f>ROUND('7.1a Initial Allocations YR2'!O24*$K$3,2)</f>
        <v>824416.08</v>
      </c>
      <c r="S24" s="559">
        <f>ROUND('7.1a Initial Allocations YR2'!Q24*$K$3,2)</f>
        <v>456134.87</v>
      </c>
      <c r="U24" s="581">
        <f t="shared" si="0"/>
        <v>11526278.060000001</v>
      </c>
      <c r="W24" s="130">
        <f>ROUND(U24/'6.9 PCFP Funding Comparison YR2'!D21,0)</f>
        <v>17442</v>
      </c>
      <c r="X24" s="280"/>
      <c r="Y24" s="128" t="str">
        <f>'6.9 PCFP Funding Comparison YR2'!V21</f>
        <v>PCFP</v>
      </c>
      <c r="Z24" s="555">
        <f>U24-'6.9 PCFP Funding Comparison YR2'!H21</f>
        <v>2464868.0600000005</v>
      </c>
      <c r="AA24" s="1262" t="str">
        <f>IF('6.9 PCFP Funding Comparison YR2'!K21="Yes","PCFP","FY 2020 Baseline")</f>
        <v>PCFP</v>
      </c>
      <c r="AB24" s="148">
        <f>U24-'Biennial Comparison'!C20</f>
        <v>2457868.5874799713</v>
      </c>
      <c r="AC24" s="12"/>
    </row>
    <row r="25" spans="1:29" x14ac:dyDescent="0.3">
      <c r="A25" s="259"/>
      <c r="B25" s="10" t="str">
        <f>'5.2 Budgeted Enrollment YR2'!E23</f>
        <v>Storey</v>
      </c>
      <c r="D25" s="10" t="str">
        <f>IF('2.9 PCFP Funding Comparison YR1'!K22="Yes","PCFP","Hold Harmless")</f>
        <v>Hold Harmless</v>
      </c>
      <c r="E25" s="741" t="str">
        <f>'7.1a Initial Allocations YR2'!D25</f>
        <v>FY 2020 Baseline</v>
      </c>
      <c r="F25" s="565">
        <f>ROUND('7.1a Initial Allocations YR2'!E25*$K$3,0)</f>
        <v>10082124</v>
      </c>
      <c r="G25" s="559">
        <f>ROUND(F25/'6.9 PCFP Funding Comparison YR2'!D22,0)</f>
        <v>24384</v>
      </c>
      <c r="I25" s="565">
        <f>ROUND('7.1a Initial Allocations YR2'!G25*$K$3,2)</f>
        <v>13779.45</v>
      </c>
      <c r="J25" s="565">
        <f>ROUND('7.1a Initial Allocations YR2'!H25*$K$3,2)</f>
        <v>13779.45</v>
      </c>
      <c r="K25" s="565">
        <f>ROUND('7.1a Initial Allocations YR2'!I25*$K$3,2)</f>
        <v>0</v>
      </c>
      <c r="L25" s="559">
        <f>ROUND('7.1a Initial Allocations YR2'!J25*$K$3,2)</f>
        <v>27558.91</v>
      </c>
      <c r="N25" s="559">
        <f>ROUND('7.1a Initial Allocations YR2'!L25*$K$3,2)</f>
        <v>546560.04</v>
      </c>
      <c r="O25" s="559">
        <f>ROUND('7.1a Initial Allocations YR2'!M25*$K$3,2)</f>
        <v>0</v>
      </c>
      <c r="P25" s="559">
        <f>ROUND('7.1a Initial Allocations YR2'!N25*$K$3,2)</f>
        <v>22967.75</v>
      </c>
      <c r="Q25" s="559">
        <f>ROUND('7.1a Initial Allocations YR2'!O25*$K$3,2)</f>
        <v>569527.79</v>
      </c>
      <c r="S25" s="559">
        <f>ROUND('7.1a Initial Allocations YR2'!Q25*$K$3,2)</f>
        <v>54966.04</v>
      </c>
      <c r="U25" s="581">
        <f t="shared" si="0"/>
        <v>10734176.74</v>
      </c>
      <c r="W25" s="130">
        <f>ROUND(U25/'6.9 PCFP Funding Comparison YR2'!D22,0)</f>
        <v>25961</v>
      </c>
      <c r="X25" s="12"/>
      <c r="Y25" s="128" t="str">
        <f>'6.9 PCFP Funding Comparison YR2'!V22</f>
        <v>FY 2020 Baseline</v>
      </c>
      <c r="Z25" s="555">
        <f>U25-'6.9 PCFP Funding Comparison YR2'!H22</f>
        <v>-649046.25999999978</v>
      </c>
      <c r="AA25" s="1262" t="str">
        <f>IF('6.9 PCFP Funding Comparison YR2'!K22="Yes","PCFP","FY 2020 Baseline")</f>
        <v>FY 2020 Baseline</v>
      </c>
      <c r="AB25" s="148">
        <f>U25-'Biennial Comparison'!C21</f>
        <v>-580094.84813632816</v>
      </c>
      <c r="AC25" s="12"/>
    </row>
    <row r="26" spans="1:29" x14ac:dyDescent="0.3">
      <c r="A26" s="259"/>
      <c r="B26" s="10" t="str">
        <f>'5.2 Budgeted Enrollment YR2'!E24</f>
        <v>Washoe</v>
      </c>
      <c r="D26" s="10" t="str">
        <f>IF('2.9 PCFP Funding Comparison YR1'!K23="Yes","PCFP","Hold Harmless")</f>
        <v>PCFP</v>
      </c>
      <c r="E26" s="741" t="str">
        <f>'7.1a Initial Allocations YR2'!D26</f>
        <v>PCFP</v>
      </c>
      <c r="F26" s="565">
        <f>ROUND('7.1a Initial Allocations YR2'!E26*$K$3,0)</f>
        <v>588231084</v>
      </c>
      <c r="G26" s="559">
        <f>ROUND(F26/'6.9 PCFP Funding Comparison YR2'!D23,0)</f>
        <v>9705</v>
      </c>
      <c r="I26" s="565">
        <f>ROUND('7.1a Initial Allocations YR2'!G26*$K$3,2)</f>
        <v>28493242.030000001</v>
      </c>
      <c r="J26" s="565">
        <f>ROUND('7.1a Initial Allocations YR2'!H26*$K$3,2)</f>
        <v>16184485.310000001</v>
      </c>
      <c r="K26" s="565">
        <f>ROUND('7.1a Initial Allocations YR2'!I26*$K$3,2)</f>
        <v>1422261.54</v>
      </c>
      <c r="L26" s="559">
        <f>ROUND('7.1a Initial Allocations YR2'!J26*$K$3,2)</f>
        <v>46099988.880000003</v>
      </c>
      <c r="N26" s="559">
        <f>ROUND('7.1a Initial Allocations YR2'!L26*$K$3,2)</f>
        <v>23705454.149999999</v>
      </c>
      <c r="O26" s="559">
        <f>ROUND('7.1a Initial Allocations YR2'!M26*$K$3,2)</f>
        <v>0</v>
      </c>
      <c r="P26" s="559">
        <f>ROUND('7.1a Initial Allocations YR2'!N26*$K$3,2)</f>
        <v>0</v>
      </c>
      <c r="Q26" s="559">
        <f>ROUND('7.1a Initial Allocations YR2'!O26*$K$3,2)</f>
        <v>23705454.149999999</v>
      </c>
      <c r="S26" s="559">
        <f>ROUND('7.1a Initial Allocations YR2'!Q26*$K$3,2)</f>
        <v>44868407.82</v>
      </c>
      <c r="U26" s="581">
        <f>ROUNDDOWN(F26+L26+Q26+S26,0)</f>
        <v>702904934</v>
      </c>
      <c r="W26" s="130">
        <f>ROUND(U26/'6.9 PCFP Funding Comparison YR2'!D23,0)</f>
        <v>11598</v>
      </c>
      <c r="X26" s="280"/>
      <c r="Y26" s="128" t="str">
        <f>'6.9 PCFP Funding Comparison YR2'!V23</f>
        <v>PCFP</v>
      </c>
      <c r="Z26" s="555">
        <f>U26-'6.9 PCFP Funding Comparison YR2'!H23</f>
        <v>169018033</v>
      </c>
      <c r="AA26" s="1262" t="str">
        <f>IF('6.9 PCFP Funding Comparison YR2'!K23="Yes","PCFP","FY 2020 Baseline")</f>
        <v>PCFP</v>
      </c>
      <c r="AB26" s="148">
        <f>U26-'Biennial Comparison'!C22</f>
        <v>152410135.38395596</v>
      </c>
      <c r="AC26" s="12"/>
    </row>
    <row r="27" spans="1:29" x14ac:dyDescent="0.3">
      <c r="A27" s="259"/>
      <c r="B27" s="10" t="str">
        <f>'5.2 Budgeted Enrollment YR2'!E25</f>
        <v>White Pine</v>
      </c>
      <c r="D27" s="10" t="str">
        <f>IF('2.9 PCFP Funding Comparison YR1'!K23="Yes","PCFP","Hold Harmless")</f>
        <v>PCFP</v>
      </c>
      <c r="E27" s="741" t="str">
        <f>'7.1a Initial Allocations YR2'!D27</f>
        <v>PCFP</v>
      </c>
      <c r="F27" s="565">
        <f>ROUND('7.1a Initial Allocations YR2'!E27*$K$3,0)</f>
        <v>18734762</v>
      </c>
      <c r="G27" s="559">
        <f>ROUND(F27/'6.9 PCFP Funding Comparison YR2'!D24,0)</f>
        <v>14861</v>
      </c>
      <c r="I27" s="565">
        <f>ROUND('7.1a Initial Allocations YR2'!G27*$K$3,2)</f>
        <v>63544.25</v>
      </c>
      <c r="J27" s="565">
        <f>ROUND('7.1a Initial Allocations YR2'!H27*$K$3,2)</f>
        <v>359142.69</v>
      </c>
      <c r="K27" s="565">
        <f>ROUND('7.1a Initial Allocations YR2'!I27*$K$3,2)</f>
        <v>0</v>
      </c>
      <c r="L27" s="559">
        <f>ROUND('7.1a Initial Allocations YR2'!J27*$K$3,2)</f>
        <v>422686.94</v>
      </c>
      <c r="N27" s="559">
        <f>ROUND('7.1a Initial Allocations YR2'!L27*$K$3,2)</f>
        <v>1216933.45</v>
      </c>
      <c r="O27" s="559">
        <f>ROUND('7.1a Initial Allocations YR2'!M27*$K$3,2)</f>
        <v>0</v>
      </c>
      <c r="P27" s="559">
        <f>ROUND('7.1a Initial Allocations YR2'!N27*$K$3,2)</f>
        <v>48722.53</v>
      </c>
      <c r="Q27" s="559">
        <f>ROUND('7.1a Initial Allocations YR2'!O27*$K$3,2)</f>
        <v>1265655.98</v>
      </c>
      <c r="S27" s="559">
        <f>ROUND('7.1a Initial Allocations YR2'!Q27*$K$3,2)</f>
        <v>598723.26</v>
      </c>
      <c r="U27" s="581">
        <f t="shared" si="0"/>
        <v>21021828.18</v>
      </c>
      <c r="W27" s="130">
        <f>ROUND(U27/'6.9 PCFP Funding Comparison YR2'!D24,0)</f>
        <v>16675</v>
      </c>
      <c r="X27" s="280"/>
      <c r="Y27" s="128" t="str">
        <f>'6.9 PCFP Funding Comparison YR2'!V24</f>
        <v>PCFP</v>
      </c>
      <c r="Z27" s="555">
        <f>U27-'6.9 PCFP Funding Comparison YR2'!H24</f>
        <v>5791255.1799999997</v>
      </c>
      <c r="AA27" s="1262" t="str">
        <f>IF('6.9 PCFP Funding Comparison YR2'!K24="Yes","PCFP","FY 2020 Baseline")</f>
        <v>PCFP</v>
      </c>
      <c r="AB27" s="148">
        <f>U27-'Biennial Comparison'!C23</f>
        <v>5040910.995021183</v>
      </c>
      <c r="AC27" s="12"/>
    </row>
    <row r="28" spans="1:29" x14ac:dyDescent="0.3">
      <c r="A28" s="259"/>
      <c r="B28" s="10" t="str">
        <f>'5.2 Budgeted Enrollment YR2'!E26</f>
        <v>Charter Schools (Combined)</v>
      </c>
      <c r="D28" s="10" t="str">
        <f>IF('2.9 PCFP Funding Comparison YR1'!K24="Yes","PCFP","Hold Harmless")</f>
        <v>PCFP</v>
      </c>
      <c r="E28" s="741" t="str">
        <f>'7.1a Initial Allocations YR2'!D28</f>
        <v>PCFP</v>
      </c>
      <c r="F28" s="565">
        <f>F94</f>
        <v>652502815.93000007</v>
      </c>
      <c r="G28" s="559">
        <f>ROUND(F28/'6.9 PCFP Funding Comparison YR2'!D25,0)</f>
        <v>9447</v>
      </c>
      <c r="I28" s="565">
        <f>I94</f>
        <v>23341921.410000008</v>
      </c>
      <c r="J28" s="565">
        <f>J94</f>
        <v>10049405.609999999</v>
      </c>
      <c r="K28" s="565">
        <f>K94</f>
        <v>1239255</v>
      </c>
      <c r="L28" s="559">
        <f>L94</f>
        <v>34630581.120000005</v>
      </c>
      <c r="N28" s="559">
        <f>N94</f>
        <v>0</v>
      </c>
      <c r="O28" s="559">
        <f>O94</f>
        <v>0</v>
      </c>
      <c r="P28" s="559">
        <f>P94</f>
        <v>0</v>
      </c>
      <c r="Q28" s="559">
        <f>Q94</f>
        <v>0</v>
      </c>
      <c r="S28" s="559">
        <f>S94</f>
        <v>14761439.740000002</v>
      </c>
      <c r="U28" s="581">
        <f>ROUNDDOWN(U94,0)</f>
        <v>701894836</v>
      </c>
      <c r="W28" s="130">
        <f>ROUND(U28/'6.9 PCFP Funding Comparison YR2'!D25,0)</f>
        <v>10162</v>
      </c>
      <c r="X28" s="280"/>
      <c r="Y28" s="128" t="str">
        <f>'6.9 PCFP Funding Comparison YR2'!V25</f>
        <v>PCFP</v>
      </c>
      <c r="Z28" s="555">
        <f>U28-'6.9 PCFP Funding Comparison YR2'!H25</f>
        <v>268088310</v>
      </c>
      <c r="AA28" s="1262" t="str">
        <f>IF('6.9 PCFP Funding Comparison YR2'!K25="Yes","PCFP","FY 2020 Baseline")</f>
        <v>PCFP</v>
      </c>
      <c r="AB28" s="148">
        <f>U28-'Biennial Comparison'!C24</f>
        <v>211007334.73884052</v>
      </c>
      <c r="AC28" s="12"/>
    </row>
    <row r="29" spans="1:29" x14ac:dyDescent="0.3">
      <c r="A29" s="261"/>
      <c r="B29" s="10" t="str">
        <f>'5.2 Budgeted Enrollment YR2'!E27</f>
        <v>University Schools</v>
      </c>
      <c r="C29" s="183"/>
      <c r="D29" s="183" t="str">
        <f>IF('2.9 PCFP Funding Comparison YR1'!K25="Yes","PCFP","Hold Harmless")</f>
        <v>PCFP</v>
      </c>
      <c r="E29" s="741" t="str">
        <f>'7.1a Initial Allocations YR2'!D29</f>
        <v>PCFP</v>
      </c>
      <c r="F29" s="565">
        <f>ROUND('7.1a Initial Allocations YR2'!E29*$K$3,2)</f>
        <v>1527033.08</v>
      </c>
      <c r="G29" s="559">
        <f>ROUND(F29/'6.9 PCFP Funding Comparison YR2'!D26,0)</f>
        <v>9414</v>
      </c>
      <c r="I29" s="565">
        <f>I99</f>
        <v>0</v>
      </c>
      <c r="J29" s="565">
        <f>J99</f>
        <v>0</v>
      </c>
      <c r="K29" s="565">
        <f>K99</f>
        <v>0</v>
      </c>
      <c r="L29" s="561">
        <f>L99</f>
        <v>0</v>
      </c>
      <c r="N29" s="559">
        <f>N99</f>
        <v>0</v>
      </c>
      <c r="O29" s="559">
        <f>O99</f>
        <v>0</v>
      </c>
      <c r="P29" s="559">
        <f>P99</f>
        <v>0</v>
      </c>
      <c r="Q29" s="559">
        <f>Q99</f>
        <v>0</v>
      </c>
      <c r="S29" s="559">
        <f>S99</f>
        <v>0</v>
      </c>
      <c r="U29" s="581">
        <f>ROUND(F29+L29+Q29+S29,2)</f>
        <v>1527033.08</v>
      </c>
      <c r="W29" s="130">
        <f>ROUND(U29/'6.9 PCFP Funding Comparison YR2'!D26,0)</f>
        <v>9414</v>
      </c>
      <c r="X29" s="280"/>
      <c r="Y29" s="196" t="str">
        <f>'6.9 PCFP Funding Comparison YR2'!V26</f>
        <v>PCFP</v>
      </c>
      <c r="Z29" s="557">
        <f>U29-'6.9 PCFP Funding Comparison YR2'!H26</f>
        <v>365626.08000000007</v>
      </c>
      <c r="AA29" s="1263" t="str">
        <f>IF('6.9 PCFP Funding Comparison YR2'!K26="Yes","PCFP","FY 2020 Baseline")</f>
        <v>PCFP</v>
      </c>
      <c r="AB29" s="224">
        <f>U29-'Biennial Comparison'!C25</f>
        <v>297985.10072744358</v>
      </c>
      <c r="AC29" s="12"/>
    </row>
    <row r="30" spans="1:29" s="4" customFormat="1" x14ac:dyDescent="0.3">
      <c r="A30" s="425"/>
      <c r="B30" s="427" t="s">
        <v>89</v>
      </c>
      <c r="C30" s="427"/>
      <c r="D30" s="427"/>
      <c r="E30" s="427"/>
      <c r="F30" s="1436">
        <f>SUM(F11:F29)</f>
        <v>4601409680.0100002</v>
      </c>
      <c r="G30" s="564">
        <f>ROUND(F30/'6.9 PCFP Funding Comparison YR2'!D27,0)</f>
        <v>9754</v>
      </c>
      <c r="I30" s="1436">
        <f>ROUNDDOWN(SUM(I11:I29),0)</f>
        <v>223153735</v>
      </c>
      <c r="J30" s="1436">
        <f>ROUNDDOWN(SUM(J11:J29),0)</f>
        <v>208593011</v>
      </c>
      <c r="K30" s="1436">
        <f>ROUNDDOWN(SUM(K11:K29),0)</f>
        <v>8392360</v>
      </c>
      <c r="L30" s="564">
        <f>SUM(L11:L29)</f>
        <v>440139107.42000008</v>
      </c>
      <c r="N30" s="1432">
        <f>SUM(N11:N29)</f>
        <v>193187746.28999996</v>
      </c>
      <c r="O30" s="564">
        <f>SUM(O11:O29)</f>
        <v>0</v>
      </c>
      <c r="P30" s="1432">
        <f>ROUNDDOWN(SUM(P11:P29),0)</f>
        <v>1620030</v>
      </c>
      <c r="Q30" s="564">
        <f>N30+P30</f>
        <v>194807776.28999996</v>
      </c>
      <c r="S30" s="1432">
        <f>ROUND(SUM(S11:S29),2)</f>
        <v>483874302.23000002</v>
      </c>
      <c r="U30" s="562">
        <f>ROUND(SUM(U11:U29),0)</f>
        <v>5720230864</v>
      </c>
      <c r="W30" s="429">
        <f>ROUND(U30/'6.9 PCFP Funding Comparison YR2'!D27,0)</f>
        <v>12125</v>
      </c>
      <c r="X30" s="553">
        <f>U30-'6.9 PCFP Funding Comparison YR2'!T28</f>
        <v>-8529295</v>
      </c>
      <c r="Y30" s="812" t="s">
        <v>1067</v>
      </c>
      <c r="AB30" s="9">
        <f>SUM(AB11:AB29)</f>
        <v>1256866584.2600002</v>
      </c>
    </row>
    <row r="31" spans="1:29" x14ac:dyDescent="0.3">
      <c r="B31" s="263"/>
      <c r="C31" s="262"/>
      <c r="D31" s="262"/>
      <c r="E31" s="262"/>
      <c r="F31" s="516"/>
      <c r="G31" s="516"/>
      <c r="I31" s="275"/>
      <c r="J31" s="276"/>
      <c r="K31" s="276"/>
      <c r="L31" s="277"/>
      <c r="N31" s="277"/>
      <c r="O31" s="277"/>
      <c r="P31" s="277"/>
      <c r="Q31" s="530"/>
      <c r="S31" s="277"/>
      <c r="U31" s="278">
        <f>U30-'5.3 Budgeted Revenues YR2'!C35</f>
        <v>0</v>
      </c>
      <c r="W31" s="552"/>
      <c r="X31" s="558">
        <f>(U30-'5.3 Budgeted Revenues YR2'!C35)/U30</f>
        <v>0</v>
      </c>
      <c r="Y31" s="10" t="s">
        <v>1063</v>
      </c>
    </row>
    <row r="32" spans="1:29" x14ac:dyDescent="0.3">
      <c r="A32" s="425"/>
      <c r="B32" s="430"/>
      <c r="C32" s="303" t="s">
        <v>879</v>
      </c>
      <c r="D32" s="303"/>
      <c r="E32" s="303"/>
      <c r="F32" s="517" t="str">
        <f>F9</f>
        <v>Tab 7.1a * K3</v>
      </c>
      <c r="G32" s="517" t="str">
        <f>G9</f>
        <v>F / Tab 6.9</v>
      </c>
      <c r="I32" s="1532" t="str">
        <f>I9</f>
        <v>Tab 7.1a * K3</v>
      </c>
      <c r="J32" s="517" t="str">
        <f>J9</f>
        <v>Tab 7.1a * K3</v>
      </c>
      <c r="K32" s="1533" t="str">
        <f>K9</f>
        <v>Tab 7.1a * K3</v>
      </c>
      <c r="L32" s="517" t="str">
        <f>L9</f>
        <v>Tab 7.1a * K3</v>
      </c>
      <c r="N32" s="517" t="str">
        <f>N9</f>
        <v>Tab 7.1a * K3</v>
      </c>
      <c r="O32" s="517" t="str">
        <f>O9</f>
        <v>Tab 7.1a * K3</v>
      </c>
      <c r="P32" s="517" t="str">
        <f>P9</f>
        <v>Tab 7.1a * K3</v>
      </c>
      <c r="Q32" s="517" t="str">
        <f>Q9</f>
        <v>Tab 7.1a * K3</v>
      </c>
      <c r="S32" s="517" t="str">
        <f>S9</f>
        <v>Tab 7.1a * K3</v>
      </c>
      <c r="U32" s="517" t="str">
        <f>U9</f>
        <v>=F11+L11+Q11+S11</v>
      </c>
      <c r="W32" s="517" t="str">
        <f>W9</f>
        <v>= U / Tab 6.9</v>
      </c>
      <c r="X32" s="316"/>
    </row>
    <row r="33" spans="1:24" x14ac:dyDescent="0.3">
      <c r="A33" s="4" t="s">
        <v>740</v>
      </c>
      <c r="B33" s="132"/>
      <c r="F33" s="130"/>
      <c r="G33" s="130"/>
      <c r="I33" s="132"/>
      <c r="J33" s="128"/>
      <c r="L33" s="128"/>
      <c r="N33" s="128"/>
      <c r="O33" s="128"/>
      <c r="P33" s="128"/>
      <c r="Q33" s="128"/>
      <c r="S33" s="128"/>
      <c r="U33" s="128"/>
      <c r="W33" s="748"/>
      <c r="X33" s="321"/>
    </row>
    <row r="34" spans="1:24" x14ac:dyDescent="0.3">
      <c r="A34" s="4"/>
      <c r="B34" s="132" t="str">
        <f>'5.2 Budgeted Enrollment YR2'!E32</f>
        <v>100 Academy Of Excellence</v>
      </c>
      <c r="D34" s="10" t="str">
        <f>$D$29</f>
        <v>PCFP</v>
      </c>
      <c r="E34" s="10" t="str">
        <f>$E$28</f>
        <v>PCFP</v>
      </c>
      <c r="F34" s="559">
        <f>ROUND(SUM('7.1a Initial Allocations YR2'!E34:E34)*$K$3,2)</f>
        <v>2990214.73</v>
      </c>
      <c r="G34" s="559">
        <f>ROUND(IF(F34=0,0,F34/'6.9 PCFP Funding Comparison YR2'!D30),0)</f>
        <v>9414</v>
      </c>
      <c r="I34" s="565">
        <f>ROUND('7.1a Initial Allocations YR2'!G34*$K$3,2)</f>
        <v>127088.5</v>
      </c>
      <c r="J34" s="559">
        <f>ROUND('7.1a Initial Allocations YR2'!H34*$K$3,2)</f>
        <v>530476.81999999995</v>
      </c>
      <c r="K34" s="570">
        <f>ROUND('7.1a Initial Allocations YR2'!I34*$K$3,0)</f>
        <v>0</v>
      </c>
      <c r="L34" s="559">
        <f>ROUND('7.1a Initial Allocations YR2'!J34*$K$3,2)</f>
        <v>657565.31999999995</v>
      </c>
      <c r="N34" s="130">
        <v>0</v>
      </c>
      <c r="O34" s="130">
        <v>0</v>
      </c>
      <c r="P34" s="130">
        <v>0</v>
      </c>
      <c r="Q34" s="559">
        <f>SUM(N34:P34)</f>
        <v>0</v>
      </c>
      <c r="S34" s="559">
        <f>ROUND('7.1a Initial Allocations YR2'!Q34*$K$3,2)</f>
        <v>129770.5</v>
      </c>
      <c r="U34" s="559">
        <f>ROUND(Q34+L34+F34+S34,2)</f>
        <v>3777550.55</v>
      </c>
      <c r="W34" s="559">
        <f>IF(F34=0,0,IF(U34=0,0,U34/'6.9 PCFP Funding Comparison YR2'!D30))</f>
        <v>11892.937808121254</v>
      </c>
      <c r="X34" s="321"/>
    </row>
    <row r="35" spans="1:24" x14ac:dyDescent="0.3">
      <c r="A35" s="4"/>
      <c r="B35" s="132" t="str">
        <f>'5.2 Budgeted Enrollment YR2'!E33</f>
        <v>Academy For Career Education</v>
      </c>
      <c r="D35" s="10" t="str">
        <f t="shared" ref="D35:D93" si="1">$D$29</f>
        <v>PCFP</v>
      </c>
      <c r="E35" s="10" t="str">
        <f t="shared" ref="E35:E93" si="2">$E$28</f>
        <v>PCFP</v>
      </c>
      <c r="F35" s="559">
        <f>ROUND(SUM('7.1a Initial Allocations YR2'!E35:E35)*$K$3,2)</f>
        <v>2197261.69</v>
      </c>
      <c r="G35" s="559">
        <f>ROUND(IF(F35=0,0,F35/'6.9 PCFP Funding Comparison YR2'!D31),0)</f>
        <v>9414</v>
      </c>
      <c r="I35" s="565">
        <f>ROUND('7.1a Initial Allocations YR2'!G35*$K$3,2)</f>
        <v>93198.23</v>
      </c>
      <c r="J35" s="559">
        <f>ROUND('7.1a Initial Allocations YR2'!H35*$K$3,2)</f>
        <v>6589.77</v>
      </c>
      <c r="K35" s="570">
        <f>ROUND('7.1a Initial Allocations YR2'!I35*$K$3,0)</f>
        <v>0</v>
      </c>
      <c r="L35" s="559">
        <f>ROUND('7.1a Initial Allocations YR2'!J35*$K$3,2)</f>
        <v>99788.01</v>
      </c>
      <c r="N35" s="130">
        <v>0</v>
      </c>
      <c r="O35" s="130">
        <v>0</v>
      </c>
      <c r="P35" s="130">
        <v>0</v>
      </c>
      <c r="Q35" s="559">
        <f t="shared" ref="Q35:Q93" si="3">SUM(N35:P35)</f>
        <v>0</v>
      </c>
      <c r="S35" s="559">
        <f>ROUND('7.1a Initial Allocations YR2'!Q35*$K$3,2)</f>
        <v>95053.27</v>
      </c>
      <c r="U35" s="559">
        <f t="shared" ref="U35:U93" si="4">ROUND(Q35+L35+F35+S35,2)</f>
        <v>2392102.9700000002</v>
      </c>
      <c r="W35" s="559">
        <f>IF(F35=0,0,IF(U35=0,0,U35/'6.9 PCFP Funding Comparison YR2'!D31))</f>
        <v>10248.948900063617</v>
      </c>
    </row>
    <row r="36" spans="1:24" x14ac:dyDescent="0.3">
      <c r="A36" s="4"/>
      <c r="B36" s="132" t="str">
        <f>'5.2 Budgeted Enrollment YR2'!E34</f>
        <v xml:space="preserve">Alpine Academy </v>
      </c>
      <c r="D36" s="10" t="str">
        <f t="shared" si="1"/>
        <v>PCFP</v>
      </c>
      <c r="E36" s="10" t="str">
        <f t="shared" si="2"/>
        <v>PCFP</v>
      </c>
      <c r="F36" s="559">
        <f>ROUND(SUM('7.1a Initial Allocations YR2'!E36:E36)*$K$3,2)</f>
        <v>1392945.34</v>
      </c>
      <c r="G36" s="559">
        <f>ROUND(IF(F36=0,0,F36/'6.9 PCFP Funding Comparison YR2'!D32),0)</f>
        <v>9414</v>
      </c>
      <c r="I36" s="565">
        <f>ROUND('7.1a Initial Allocations YR2'!G36*$K$3,2)</f>
        <v>0</v>
      </c>
      <c r="J36" s="559">
        <f>ROUND('7.1a Initial Allocations YR2'!H36*$K$3,2)</f>
        <v>16474.439999999999</v>
      </c>
      <c r="K36" s="570">
        <f>ROUND('7.1a Initial Allocations YR2'!I36*$K$3,0)</f>
        <v>0</v>
      </c>
      <c r="L36" s="559">
        <f>ROUND('7.1a Initial Allocations YR2'!J36*$K$3,2)</f>
        <v>16474.439999999999</v>
      </c>
      <c r="N36" s="130">
        <v>0</v>
      </c>
      <c r="O36" s="130">
        <v>0</v>
      </c>
      <c r="P36" s="130">
        <v>0</v>
      </c>
      <c r="Q36" s="559">
        <f t="shared" si="3"/>
        <v>0</v>
      </c>
      <c r="S36" s="559">
        <f>ROUND('7.1a Initial Allocations YR2'!Q36*$K$3,2)</f>
        <v>79356.67</v>
      </c>
      <c r="U36" s="559">
        <f t="shared" si="4"/>
        <v>1488776.45</v>
      </c>
      <c r="W36" s="559">
        <f>IF(F36=0,0,IF(U36=0,0,U36/'6.9 PCFP Funding Comparison YR2'!D32))</f>
        <v>10061.82258720659</v>
      </c>
    </row>
    <row r="37" spans="1:24" x14ac:dyDescent="0.3">
      <c r="A37" s="4"/>
      <c r="B37" s="132" t="str">
        <f>'5.2 Budgeted Enrollment YR2'!E35</f>
        <v xml:space="preserve">Amplus (Formerly American Preparatory Academy) </v>
      </c>
      <c r="D37" s="10" t="str">
        <f t="shared" si="1"/>
        <v>PCFP</v>
      </c>
      <c r="E37" s="10" t="str">
        <f t="shared" si="2"/>
        <v>PCFP</v>
      </c>
      <c r="F37" s="559">
        <f>ROUND(SUM('7.1a Initial Allocations YR2'!E37:E37)*$K$3,2)</f>
        <v>21369904.190000001</v>
      </c>
      <c r="G37" s="559">
        <f>ROUND(IF(F37=0,0,F37/'6.9 PCFP Funding Comparison YR2'!D33),0)</f>
        <v>9414</v>
      </c>
      <c r="I37" s="565">
        <f>ROUND('7.1a Initial Allocations YR2'!G37*$K$3,2)</f>
        <v>737113.31</v>
      </c>
      <c r="J37" s="559">
        <f>ROUND('7.1a Initial Allocations YR2'!H37*$K$3,2)</f>
        <v>128500.6</v>
      </c>
      <c r="K37" s="570">
        <f>ROUND('7.1a Initial Allocations YR2'!I37*$K$3,0)</f>
        <v>45187</v>
      </c>
      <c r="L37" s="559">
        <f>ROUND('7.1a Initial Allocations YR2'!J37*$K$3,2)</f>
        <v>910800.93</v>
      </c>
      <c r="N37" s="130">
        <v>0</v>
      </c>
      <c r="O37" s="130">
        <v>0</v>
      </c>
      <c r="P37" s="130">
        <v>0</v>
      </c>
      <c r="Q37" s="559">
        <f t="shared" si="3"/>
        <v>0</v>
      </c>
      <c r="S37" s="559">
        <f>ROUND('7.1a Initial Allocations YR2'!Q37*$K$3,2)</f>
        <v>23548.89</v>
      </c>
      <c r="U37" s="559">
        <f t="shared" si="4"/>
        <v>22304254.010000002</v>
      </c>
      <c r="W37" s="559">
        <f>IF(F37=0,0,IF(U37=0,0,U37/'6.9 PCFP Funding Comparison YR2'!D33))</f>
        <v>9825.7648716100648</v>
      </c>
    </row>
    <row r="38" spans="1:24" x14ac:dyDescent="0.3">
      <c r="A38" s="4"/>
      <c r="B38" s="132" t="str">
        <f>'5.2 Budgeted Enrollment YR2'!E36</f>
        <v>Bailey Charter School</v>
      </c>
      <c r="D38" s="10" t="str">
        <f t="shared" si="1"/>
        <v>PCFP</v>
      </c>
      <c r="E38" s="10" t="str">
        <f t="shared" si="2"/>
        <v>PCFP</v>
      </c>
      <c r="F38" s="559">
        <f>ROUND(SUM('7.1a Initial Allocations YR2'!E38:E38)*$K$3,2)</f>
        <v>1652228.74</v>
      </c>
      <c r="G38" s="559">
        <f>ROUND(IF(F38=0,0,F38/'6.9 PCFP Funding Comparison YR2'!D34),0)</f>
        <v>9414</v>
      </c>
      <c r="I38" s="565">
        <f>ROUND('7.1a Initial Allocations YR2'!G38*$K$3,2)</f>
        <v>317721.25</v>
      </c>
      <c r="J38" s="559">
        <f>ROUND('7.1a Initial Allocations YR2'!H38*$K$3,2)</f>
        <v>121910.82</v>
      </c>
      <c r="K38" s="570">
        <f>ROUND('7.1a Initial Allocations YR2'!I38*$K$3,0)</f>
        <v>0</v>
      </c>
      <c r="L38" s="559">
        <f>ROUND('7.1a Initial Allocations YR2'!J38*$K$3,2)</f>
        <v>439632.08</v>
      </c>
      <c r="N38" s="130">
        <v>0</v>
      </c>
      <c r="O38" s="130">
        <v>0</v>
      </c>
      <c r="P38" s="130">
        <v>0</v>
      </c>
      <c r="Q38" s="559">
        <f t="shared" si="3"/>
        <v>0</v>
      </c>
      <c r="S38" s="559">
        <f>ROUND('7.1a Initial Allocations YR2'!Q38*$K$3,2)</f>
        <v>67668.100000000006</v>
      </c>
      <c r="U38" s="559">
        <f t="shared" si="4"/>
        <v>2159528.92</v>
      </c>
      <c r="W38" s="559">
        <f>IF(F38=0,0,IF(U38=0,0,U38/'6.9 PCFP Funding Comparison YR2'!D34))</f>
        <v>12304.673440924447</v>
      </c>
    </row>
    <row r="39" spans="1:24" x14ac:dyDescent="0.3">
      <c r="A39" s="4"/>
      <c r="B39" s="132" t="str">
        <f>'5.2 Budgeted Enrollment YR2'!E37</f>
        <v>Battle Born Academy</v>
      </c>
      <c r="D39" s="10" t="str">
        <f t="shared" si="1"/>
        <v>PCFP</v>
      </c>
      <c r="E39" s="10" t="str">
        <f t="shared" si="2"/>
        <v>PCFP</v>
      </c>
      <c r="F39" s="559">
        <f>ROUND(SUM('7.1a Initial Allocations YR2'!E39:E39)*$K$3,2)</f>
        <v>1245521.32</v>
      </c>
      <c r="G39" s="559">
        <f>ROUND(IF(F39=0,0,F39/'6.9 PCFP Funding Comparison YR2'!D35),0)</f>
        <v>9414</v>
      </c>
      <c r="I39" s="565">
        <f>ROUND('7.1a Initial Allocations YR2'!G39*$K$3,2)</f>
        <v>237231.87</v>
      </c>
      <c r="J39" s="559">
        <f>ROUND('7.1a Initial Allocations YR2'!H39*$K$3,2)</f>
        <v>0</v>
      </c>
      <c r="K39" s="570">
        <f>ROUND('7.1a Initial Allocations YR2'!I39*$K$3,0)</f>
        <v>0</v>
      </c>
      <c r="L39" s="559">
        <f>ROUND('7.1a Initial Allocations YR2'!J39*$K$3,2)</f>
        <v>237231.87</v>
      </c>
      <c r="N39" s="130">
        <v>0</v>
      </c>
      <c r="O39" s="130">
        <v>0</v>
      </c>
      <c r="P39" s="130">
        <v>0</v>
      </c>
      <c r="Q39" s="559">
        <f t="shared" si="3"/>
        <v>0</v>
      </c>
      <c r="S39" s="559">
        <f>ROUND('7.1a Initial Allocations YR2'!Q39*$K$3,2)</f>
        <v>0</v>
      </c>
      <c r="U39" s="559">
        <f t="shared" si="4"/>
        <v>1482753.19</v>
      </c>
      <c r="W39" s="559">
        <f>IF(F39=0,0,IF(U39=0,0,U39/'6.9 PCFP Funding Comparison YR2'!D35))</f>
        <v>11207.246872168213</v>
      </c>
    </row>
    <row r="40" spans="1:24" x14ac:dyDescent="0.3">
      <c r="A40" s="4"/>
      <c r="B40" s="132" t="str">
        <f>'5.2 Budgeted Enrollment YR2'!E38</f>
        <v>Beacon Academy</v>
      </c>
      <c r="D40" s="10" t="str">
        <f t="shared" si="1"/>
        <v>PCFP</v>
      </c>
      <c r="E40" s="10" t="str">
        <f t="shared" si="2"/>
        <v>PCFP</v>
      </c>
      <c r="F40" s="559">
        <f>ROUND(SUM('7.1a Initial Allocations YR2'!E40:E40)*$K$3,2)</f>
        <v>5665530.5</v>
      </c>
      <c r="G40" s="559">
        <f>ROUND(IF(F40=0,0,F40/'6.9 PCFP Funding Comparison YR2'!D36),0)</f>
        <v>9414</v>
      </c>
      <c r="I40" s="565">
        <f>ROUND('7.1a Initial Allocations YR2'!G40*$K$3,2)</f>
        <v>237231.87</v>
      </c>
      <c r="J40" s="559">
        <f>ROUND('7.1a Initial Allocations YR2'!H40*$K$3,2)</f>
        <v>553541.03</v>
      </c>
      <c r="K40" s="570">
        <f>ROUND('7.1a Initial Allocations YR2'!I40*$K$3,0)</f>
        <v>0</v>
      </c>
      <c r="L40" s="559">
        <f>ROUND('7.1a Initial Allocations YR2'!J40*$K$3,2)</f>
        <v>790772.9</v>
      </c>
      <c r="N40" s="130">
        <v>0</v>
      </c>
      <c r="O40" s="130">
        <v>0</v>
      </c>
      <c r="P40" s="130">
        <v>0</v>
      </c>
      <c r="Q40" s="559">
        <f t="shared" si="3"/>
        <v>0</v>
      </c>
      <c r="S40" s="559">
        <f>ROUND('7.1a Initial Allocations YR2'!Q40*$K$3,2)</f>
        <v>275446.28999999998</v>
      </c>
      <c r="U40" s="559">
        <f t="shared" si="4"/>
        <v>6731749.6900000004</v>
      </c>
      <c r="W40" s="559">
        <f>IF(F40=0,0,IF(U40=0,0,U40/'6.9 PCFP Funding Comparison YR2'!D36))</f>
        <v>11185.840378450725</v>
      </c>
    </row>
    <row r="41" spans="1:24" x14ac:dyDescent="0.3">
      <c r="A41" s="4"/>
      <c r="B41" s="132" t="str">
        <f>'5.2 Budgeted Enrollment YR2'!E39</f>
        <v>Cactus Park</v>
      </c>
      <c r="D41" s="10" t="str">
        <f t="shared" si="1"/>
        <v>PCFP</v>
      </c>
      <c r="E41" s="10" t="str">
        <f t="shared" si="2"/>
        <v>PCFP</v>
      </c>
      <c r="F41" s="559">
        <f>ROUND(SUM('7.1a Initial Allocations YR2'!E41:E41)*$K$3,2)</f>
        <v>1022736.06</v>
      </c>
      <c r="G41" s="559">
        <f>ROUND(IF(F41=0,0,F41/'6.9 PCFP Funding Comparison YR2'!D37),0)</f>
        <v>9414</v>
      </c>
      <c r="I41" s="565">
        <f>ROUND('7.1a Initial Allocations YR2'!G41*$K$3,2)</f>
        <v>93198.23</v>
      </c>
      <c r="J41" s="559">
        <f>ROUND('7.1a Initial Allocations YR2'!H41*$K$3,2)</f>
        <v>0</v>
      </c>
      <c r="K41" s="570">
        <f>ROUND('7.1a Initial Allocations YR2'!I41*$K$3,0)</f>
        <v>0</v>
      </c>
      <c r="L41" s="559">
        <f>ROUND('7.1a Initial Allocations YR2'!J41*$K$3,2)</f>
        <v>93198.23</v>
      </c>
      <c r="N41" s="130">
        <v>0</v>
      </c>
      <c r="O41" s="130">
        <v>0</v>
      </c>
      <c r="P41" s="130">
        <v>0</v>
      </c>
      <c r="Q41" s="559">
        <f t="shared" si="3"/>
        <v>0</v>
      </c>
      <c r="S41" s="559">
        <f>ROUND('7.1a Initial Allocations YR2'!Q41*$K$3,2)</f>
        <v>0</v>
      </c>
      <c r="U41" s="559">
        <f t="shared" si="4"/>
        <v>1115934.29</v>
      </c>
      <c r="W41" s="559">
        <f>IF(F41=0,0,IF(U41=0,0,U41/'6.9 PCFP Funding Comparison YR2'!D37))</f>
        <v>10272.030328408129</v>
      </c>
    </row>
    <row r="42" spans="1:24" x14ac:dyDescent="0.3">
      <c r="A42" s="4"/>
      <c r="B42" s="132" t="str">
        <f>'5.2 Budgeted Enrollment YR2'!E40</f>
        <v>Carson Montessori</v>
      </c>
      <c r="D42" s="10" t="str">
        <f t="shared" si="1"/>
        <v>PCFP</v>
      </c>
      <c r="E42" s="10" t="str">
        <f t="shared" si="2"/>
        <v>PCFP</v>
      </c>
      <c r="F42" s="559">
        <f>ROUND(SUM('7.1a Initial Allocations YR2'!E42:E42)*$K$3,2)</f>
        <v>2898171.4</v>
      </c>
      <c r="G42" s="559">
        <f>ROUND(IF(F42=0,0,F42/'6.9 PCFP Funding Comparison YR2'!D38),0)</f>
        <v>10114</v>
      </c>
      <c r="I42" s="565">
        <f>ROUND('7.1a Initial Allocations YR2'!G42*$K$3,2)</f>
        <v>38126.550000000003</v>
      </c>
      <c r="J42" s="559">
        <f>ROUND('7.1a Initial Allocations YR2'!H42*$K$3,2)</f>
        <v>9884.66</v>
      </c>
      <c r="K42" s="570">
        <f>ROUND('7.1a Initial Allocations YR2'!I42*$K$3,0)</f>
        <v>0</v>
      </c>
      <c r="L42" s="559">
        <f>ROUND('7.1a Initial Allocations YR2'!J42*$K$3,2)</f>
        <v>48011.21</v>
      </c>
      <c r="N42" s="130">
        <v>0</v>
      </c>
      <c r="O42" s="130">
        <v>0</v>
      </c>
      <c r="P42" s="130">
        <v>0</v>
      </c>
      <c r="Q42" s="559">
        <f t="shared" si="3"/>
        <v>0</v>
      </c>
      <c r="S42" s="559">
        <f>ROUND('7.1a Initial Allocations YR2'!Q42*$K$3,2)</f>
        <v>144381.72</v>
      </c>
      <c r="U42" s="559">
        <f t="shared" si="4"/>
        <v>3090564.33</v>
      </c>
      <c r="W42" s="559">
        <f>IF(F42=0,0,IF(U42=0,0,U42/'6.9 PCFP Funding Comparison YR2'!D38))</f>
        <v>10784.959326180347</v>
      </c>
    </row>
    <row r="43" spans="1:24" x14ac:dyDescent="0.3">
      <c r="A43" s="4"/>
      <c r="B43" s="132" t="str">
        <f>'5.2 Budgeted Enrollment YR2'!E41</f>
        <v>CIVICA Nevada Career &amp; Collegiate Academy</v>
      </c>
      <c r="D43" s="10" t="str">
        <f t="shared" si="1"/>
        <v>PCFP</v>
      </c>
      <c r="E43" s="10" t="str">
        <f t="shared" si="2"/>
        <v>PCFP</v>
      </c>
      <c r="F43" s="559">
        <f>ROUND(SUM('7.1a Initial Allocations YR2'!E43:E43)*$K$3,2)</f>
        <v>7218996.5899999999</v>
      </c>
      <c r="G43" s="559">
        <f>ROUND(IF(F43=0,0,F43/'6.9 PCFP Funding Comparison YR2'!D39),0)</f>
        <v>9414</v>
      </c>
      <c r="I43" s="565">
        <f>ROUND('7.1a Initial Allocations YR2'!G43*$K$3,2)</f>
        <v>1020944.29</v>
      </c>
      <c r="J43" s="559">
        <f>ROUND('7.1a Initial Allocations YR2'!H43*$K$3,2)</f>
        <v>161449.47</v>
      </c>
      <c r="K43" s="570">
        <f>ROUND('7.1a Initial Allocations YR2'!I43*$K$3,0)</f>
        <v>0</v>
      </c>
      <c r="L43" s="559">
        <f>ROUND('7.1a Initial Allocations YR2'!J43*$K$3,2)</f>
        <v>1182393.76</v>
      </c>
      <c r="N43" s="130">
        <v>0</v>
      </c>
      <c r="O43" s="130">
        <v>0</v>
      </c>
      <c r="P43" s="130">
        <v>0</v>
      </c>
      <c r="Q43" s="559">
        <f t="shared" si="3"/>
        <v>0</v>
      </c>
      <c r="S43" s="559">
        <f>ROUND('7.1a Initial Allocations YR2'!Q43*$K$3,2)</f>
        <v>257688.77</v>
      </c>
      <c r="U43" s="559">
        <f t="shared" si="4"/>
        <v>8659079.1199999992</v>
      </c>
      <c r="W43" s="559">
        <f>IF(F43=0,0,IF(U43=0,0,U43/'6.9 PCFP Funding Comparison YR2'!D39))</f>
        <v>11292.136293918105</v>
      </c>
    </row>
    <row r="44" spans="1:24" x14ac:dyDescent="0.3">
      <c r="A44" s="4"/>
      <c r="B44" s="132" t="str">
        <f>'5.2 Budgeted Enrollment YR2'!E42</f>
        <v>Coral Academy of Science Las Vegas</v>
      </c>
      <c r="D44" s="10" t="str">
        <f t="shared" si="1"/>
        <v>PCFP</v>
      </c>
      <c r="E44" s="10" t="str">
        <f t="shared" si="2"/>
        <v>PCFP</v>
      </c>
      <c r="F44" s="559">
        <f>ROUND(SUM('7.1a Initial Allocations YR2'!E44:E44)*$K$3,2)</f>
        <v>48780869.049999997</v>
      </c>
      <c r="G44" s="559">
        <f>ROUND(IF(F44=0,0,F44/'6.9 PCFP Funding Comparison YR2'!D40),0)</f>
        <v>9414</v>
      </c>
      <c r="I44" s="565">
        <f>ROUND('7.1a Initial Allocations YR2'!G44*$K$3,2)</f>
        <v>919273.49</v>
      </c>
      <c r="J44" s="559">
        <f>ROUND('7.1a Initial Allocations YR2'!H44*$K$3,2)</f>
        <v>95551.73</v>
      </c>
      <c r="K44" s="570">
        <f>ROUND('7.1a Initial Allocations YR2'!I44*$K$3,0)</f>
        <v>25983</v>
      </c>
      <c r="L44" s="559">
        <f>ROUND('7.1a Initial Allocations YR2'!J44*$K$3,2)</f>
        <v>1040807.76</v>
      </c>
      <c r="N44" s="130">
        <v>0</v>
      </c>
      <c r="O44" s="130">
        <v>0</v>
      </c>
      <c r="P44" s="130">
        <v>0</v>
      </c>
      <c r="Q44" s="559">
        <f t="shared" si="3"/>
        <v>0</v>
      </c>
      <c r="S44" s="559">
        <f>ROUND('7.1a Initial Allocations YR2'!Q44*$K$3,2)</f>
        <v>620999.04</v>
      </c>
      <c r="U44" s="559">
        <f t="shared" si="4"/>
        <v>50442675.850000001</v>
      </c>
      <c r="W44" s="559">
        <f>IF(F44=0,0,IF(U44=0,0,U44/'6.9 PCFP Funding Comparison YR2'!D40))</f>
        <v>9734.8625425625851</v>
      </c>
    </row>
    <row r="45" spans="1:24" ht="15.75" customHeight="1" x14ac:dyDescent="0.3">
      <c r="A45" s="4"/>
      <c r="B45" s="132" t="str">
        <f>'5.2 Budgeted Enrollment YR2'!E43</f>
        <v>Coral Academy Washoe</v>
      </c>
      <c r="D45" s="10" t="str">
        <f t="shared" si="1"/>
        <v>PCFP</v>
      </c>
      <c r="E45" s="10" t="str">
        <f t="shared" si="2"/>
        <v>PCFP</v>
      </c>
      <c r="F45" s="559">
        <f>ROUND(SUM('7.1a Initial Allocations YR2'!E45:E45)*$K$3,2)</f>
        <v>16614352.23</v>
      </c>
      <c r="G45" s="559">
        <f>ROUND(IF(F45=0,0,F45/'6.9 PCFP Funding Comparison YR2'!D41),0)</f>
        <v>9414</v>
      </c>
      <c r="I45" s="565">
        <f>ROUND('7.1a Initial Allocations YR2'!G45*$K$3,2)</f>
        <v>542244.27</v>
      </c>
      <c r="J45" s="559">
        <f>ROUND('7.1a Initial Allocations YR2'!H45*$K$3,2)</f>
        <v>138385.26</v>
      </c>
      <c r="K45" s="570">
        <f>ROUND('7.1a Initial Allocations YR2'!I45*$K$3,0)</f>
        <v>4519</v>
      </c>
      <c r="L45" s="559">
        <f>ROUND('7.1a Initial Allocations YR2'!J45*$K$3,2)</f>
        <v>685148.23</v>
      </c>
      <c r="N45" s="130">
        <v>0</v>
      </c>
      <c r="O45" s="130">
        <v>0</v>
      </c>
      <c r="P45" s="130">
        <v>0</v>
      </c>
      <c r="Q45" s="559">
        <f t="shared" si="3"/>
        <v>0</v>
      </c>
      <c r="S45" s="559">
        <f>ROUND('7.1a Initial Allocations YR2'!Q45*$K$3,2)</f>
        <v>229721.47</v>
      </c>
      <c r="U45" s="559">
        <f t="shared" si="4"/>
        <v>17529221.93</v>
      </c>
      <c r="W45" s="559">
        <f>IF(F45=0,0,IF(U45=0,0,U45/'6.9 PCFP Funding Comparison YR2'!D41))</f>
        <v>9932.543283396486</v>
      </c>
    </row>
    <row r="46" spans="1:24" x14ac:dyDescent="0.3">
      <c r="B46" s="132" t="str">
        <f>'5.2 Budgeted Enrollment YR2'!E44</f>
        <v>Delta Academy</v>
      </c>
      <c r="D46" s="10" t="str">
        <f t="shared" si="1"/>
        <v>PCFP</v>
      </c>
      <c r="E46" s="10" t="str">
        <f t="shared" si="2"/>
        <v>PCFP</v>
      </c>
      <c r="F46" s="559">
        <f>ROUND(SUM('7.1a Initial Allocations YR2'!E46:E46)*$K$3,2)</f>
        <v>11865827.390000001</v>
      </c>
      <c r="G46" s="559">
        <f>ROUND(IF(F46=0,0,F46/'6.9 PCFP Funding Comparison YR2'!D42),0)</f>
        <v>9414</v>
      </c>
      <c r="I46" s="565">
        <f>ROUND('7.1a Initial Allocations YR2'!G46*$K$3,2)</f>
        <v>427864.62</v>
      </c>
      <c r="J46" s="559">
        <f>ROUND('7.1a Initial Allocations YR2'!H46*$K$3,2)</f>
        <v>1093902.51</v>
      </c>
      <c r="K46" s="570">
        <f>ROUND('7.1a Initial Allocations YR2'!I46*$K$3,0)</f>
        <v>0</v>
      </c>
      <c r="L46" s="559">
        <f>ROUND('7.1a Initial Allocations YR2'!J46*$K$3,2)</f>
        <v>1521767.13</v>
      </c>
      <c r="N46" s="130">
        <v>0</v>
      </c>
      <c r="O46" s="130">
        <v>0</v>
      </c>
      <c r="P46" s="130">
        <v>0</v>
      </c>
      <c r="Q46" s="559">
        <f t="shared" si="3"/>
        <v>0</v>
      </c>
      <c r="S46" s="559">
        <f>ROUND('7.1a Initial Allocations YR2'!Q46*$K$3,2)</f>
        <v>314971.34999999998</v>
      </c>
      <c r="U46" s="559">
        <f t="shared" si="4"/>
        <v>13702565.869999999</v>
      </c>
      <c r="W46" s="559">
        <f>IF(F46=0,0,IF(U46=0,0,U46/'6.9 PCFP Funding Comparison YR2'!D42))</f>
        <v>10871.39091220772</v>
      </c>
    </row>
    <row r="47" spans="1:24" x14ac:dyDescent="0.3">
      <c r="A47" s="4"/>
      <c r="B47" s="132" t="str">
        <f>'5.2 Budgeted Enrollment YR2'!E45</f>
        <v>Democracy Prep</v>
      </c>
      <c r="D47" s="10" t="str">
        <f t="shared" si="1"/>
        <v>PCFP</v>
      </c>
      <c r="E47" s="10" t="str">
        <f t="shared" si="2"/>
        <v>PCFP</v>
      </c>
      <c r="F47" s="559">
        <f>ROUND(SUM('7.1a Initial Allocations YR2'!E47:E47)*$K$3,2)</f>
        <v>11339556.880000001</v>
      </c>
      <c r="G47" s="559">
        <f>ROUND(IF(F47=0,0,F47/'6.9 PCFP Funding Comparison YR2'!D43),0)</f>
        <v>9414</v>
      </c>
      <c r="I47" s="565">
        <f>ROUND('7.1a Initial Allocations YR2'!G47*$K$3,2)</f>
        <v>457518.61</v>
      </c>
      <c r="J47" s="559">
        <f>ROUND('7.1a Initial Allocations YR2'!H47*$K$3,2)</f>
        <v>639208.09</v>
      </c>
      <c r="K47" s="570">
        <f>ROUND('7.1a Initial Allocations YR2'!I47*$K$3,0)</f>
        <v>0</v>
      </c>
      <c r="L47" s="559">
        <f>ROUND('7.1a Initial Allocations YR2'!J47*$K$3,2)</f>
        <v>1096726.7</v>
      </c>
      <c r="N47" s="130">
        <v>0</v>
      </c>
      <c r="O47" s="130">
        <v>0</v>
      </c>
      <c r="P47" s="130">
        <v>0</v>
      </c>
      <c r="Q47" s="559">
        <f t="shared" si="3"/>
        <v>0</v>
      </c>
      <c r="S47" s="559">
        <f>ROUND('7.1a Initial Allocations YR2'!Q47*$K$3,2)</f>
        <v>0</v>
      </c>
      <c r="U47" s="559">
        <f t="shared" si="4"/>
        <v>12436283.58</v>
      </c>
      <c r="W47" s="559">
        <f>IF(F47=0,0,IF(U47=0,0,U47/'6.9 PCFP Funding Comparison YR2'!D43))</f>
        <v>10324.660332117204</v>
      </c>
    </row>
    <row r="48" spans="1:24" x14ac:dyDescent="0.3">
      <c r="A48" s="4"/>
      <c r="B48" s="132" t="str">
        <f>'5.2 Budgeted Enrollment YR2'!E46</f>
        <v>Discovery Charter</v>
      </c>
      <c r="D48" s="10" t="str">
        <f t="shared" si="1"/>
        <v>PCFP</v>
      </c>
      <c r="E48" s="10" t="str">
        <f t="shared" si="2"/>
        <v>PCFP</v>
      </c>
      <c r="F48" s="559">
        <f>ROUND(SUM('7.1a Initial Allocations YR2'!E48:E48)*$K$3,2)</f>
        <v>4638374.93</v>
      </c>
      <c r="G48" s="559">
        <f>ROUND(IF(F48=0,0,F48/'6.9 PCFP Funding Comparison YR2'!D44),0)</f>
        <v>9414</v>
      </c>
      <c r="I48" s="565">
        <f>ROUND('7.1a Initial Allocations YR2'!G48*$K$3,2)</f>
        <v>97434.52</v>
      </c>
      <c r="J48" s="559">
        <f>ROUND('7.1a Initial Allocations YR2'!H48*$K$3,2)</f>
        <v>29653.98</v>
      </c>
      <c r="K48" s="570">
        <f>ROUND('7.1a Initial Allocations YR2'!I48*$K$3,0)</f>
        <v>48576</v>
      </c>
      <c r="L48" s="559">
        <f>ROUND('7.1a Initial Allocations YR2'!J48*$K$3,2)</f>
        <v>175664.55</v>
      </c>
      <c r="N48" s="130">
        <v>0</v>
      </c>
      <c r="O48" s="130">
        <v>0</v>
      </c>
      <c r="P48" s="130">
        <v>0</v>
      </c>
      <c r="Q48" s="559">
        <f t="shared" si="3"/>
        <v>0</v>
      </c>
      <c r="S48" s="559">
        <f>ROUND('7.1a Initial Allocations YR2'!Q48*$K$3,2)</f>
        <v>18467.46</v>
      </c>
      <c r="U48" s="559">
        <f t="shared" si="4"/>
        <v>4832506.9400000004</v>
      </c>
      <c r="W48" s="559">
        <f>IF(F48=0,0,IF(U48=0,0,U48/'6.9 PCFP Funding Comparison YR2'!D44))</f>
        <v>9808.1675385950657</v>
      </c>
    </row>
    <row r="49" spans="1:23" x14ac:dyDescent="0.3">
      <c r="A49" s="4"/>
      <c r="B49" s="132" t="str">
        <f>'5.2 Budgeted Enrollment YR2'!E47</f>
        <v>Doral Academy</v>
      </c>
      <c r="D49" s="10" t="str">
        <f t="shared" si="1"/>
        <v>PCFP</v>
      </c>
      <c r="E49" s="10" t="str">
        <f t="shared" si="2"/>
        <v>PCFP</v>
      </c>
      <c r="F49" s="559">
        <f>ROUND(SUM('7.1a Initial Allocations YR2'!E49:E49)*$K$3,2)</f>
        <v>59181285.049999997</v>
      </c>
      <c r="G49" s="559">
        <f>ROUND(IF(F49=0,0,F49/'6.9 PCFP Funding Comparison YR2'!D45),0)</f>
        <v>9414</v>
      </c>
      <c r="I49" s="565">
        <f>ROUND('7.1a Initial Allocations YR2'!G49*$K$3,2)</f>
        <v>944691.19</v>
      </c>
      <c r="J49" s="559">
        <f>ROUND('7.1a Initial Allocations YR2'!H49*$K$3,2)</f>
        <v>121910.82</v>
      </c>
      <c r="K49" s="570">
        <f>ROUND('7.1a Initial Allocations YR2'!I49*$K$3,0)</f>
        <v>380701</v>
      </c>
      <c r="L49" s="559">
        <f>ROUND('7.1a Initial Allocations YR2'!J49*$K$3,2)</f>
        <v>1447302.68</v>
      </c>
      <c r="N49" s="130">
        <v>0</v>
      </c>
      <c r="O49" s="130">
        <v>0</v>
      </c>
      <c r="P49" s="130">
        <v>0</v>
      </c>
      <c r="Q49" s="559">
        <f t="shared" si="3"/>
        <v>0</v>
      </c>
      <c r="S49" s="559">
        <f>ROUND('7.1a Initial Allocations YR2'!Q49*$K$3,2)</f>
        <v>1944665.36</v>
      </c>
      <c r="U49" s="559">
        <f t="shared" si="4"/>
        <v>62573253.090000004</v>
      </c>
      <c r="W49" s="559">
        <f>IF(F49=0,0,IF(U49=0,0,U49/'6.9 PCFP Funding Comparison YR2'!D45))</f>
        <v>9953.723738563709</v>
      </c>
    </row>
    <row r="50" spans="1:23" x14ac:dyDescent="0.3">
      <c r="A50" s="4"/>
      <c r="B50" s="132" t="str">
        <f>'5.2 Budgeted Enrollment YR2'!E48</f>
        <v>Doral Academy of Northern Nevada</v>
      </c>
      <c r="D50" s="10" t="str">
        <f t="shared" si="1"/>
        <v>PCFP</v>
      </c>
      <c r="E50" s="10" t="str">
        <f t="shared" si="2"/>
        <v>PCFP</v>
      </c>
      <c r="F50" s="559">
        <f>ROUND(SUM('7.1a Initial Allocations YR2'!E50:E50)*$K$3,2)</f>
        <v>9022300.3200000003</v>
      </c>
      <c r="G50" s="559">
        <f>ROUND(IF(F50=0,0,F50/'6.9 PCFP Funding Comparison YR2'!D46),0)</f>
        <v>9414</v>
      </c>
      <c r="I50" s="565">
        <f>ROUND('7.1a Initial Allocations YR2'!G50*$K$3,2)</f>
        <v>8472.57</v>
      </c>
      <c r="J50" s="559">
        <f>ROUND('7.1a Initial Allocations YR2'!H50*$K$3,2)</f>
        <v>0</v>
      </c>
      <c r="K50" s="570">
        <f>ROUND('7.1a Initial Allocations YR2'!I50*$K$3,0)</f>
        <v>73429</v>
      </c>
      <c r="L50" s="559">
        <f>ROUND('7.1a Initial Allocations YR2'!J50*$K$3,2)</f>
        <v>81901.48</v>
      </c>
      <c r="N50" s="130">
        <v>0</v>
      </c>
      <c r="O50" s="130">
        <v>0</v>
      </c>
      <c r="P50" s="130">
        <v>0</v>
      </c>
      <c r="Q50" s="559">
        <f t="shared" si="3"/>
        <v>0</v>
      </c>
      <c r="S50" s="559">
        <f>ROUND('7.1a Initial Allocations YR2'!Q50*$K$3,2)</f>
        <v>85066.16</v>
      </c>
      <c r="U50" s="559">
        <f t="shared" si="4"/>
        <v>9189267.9600000009</v>
      </c>
      <c r="W50" s="559">
        <f>IF(F50=0,0,IF(U50=0,0,U50/'6.9 PCFP Funding Comparison YR2'!D46))</f>
        <v>9588.372035104203</v>
      </c>
    </row>
    <row r="51" spans="1:23" x14ac:dyDescent="0.3">
      <c r="A51" s="4"/>
      <c r="B51" s="132" t="str">
        <f>'5.2 Budgeted Enrollment YR2'!E49</f>
        <v>Eagle Charter School</v>
      </c>
      <c r="D51" s="10" t="str">
        <f t="shared" si="1"/>
        <v>PCFP</v>
      </c>
      <c r="E51" s="10" t="str">
        <f t="shared" si="2"/>
        <v>PCFP</v>
      </c>
      <c r="F51" s="559">
        <f>ROUND(SUM('7.1a Initial Allocations YR2'!E51:E51)*$K$3,2)</f>
        <v>5088726.13</v>
      </c>
      <c r="G51" s="559">
        <f>ROUND(IF(F51=0,0,F51/'6.9 PCFP Funding Comparison YR2'!D47),0)</f>
        <v>9414</v>
      </c>
      <c r="I51" s="565">
        <f>ROUND('7.1a Initial Allocations YR2'!G51*$K$3,2)</f>
        <v>0</v>
      </c>
      <c r="J51" s="559">
        <f>ROUND('7.1a Initial Allocations YR2'!H51*$K$3,2)</f>
        <v>0</v>
      </c>
      <c r="K51" s="570">
        <f>ROUND('7.1a Initial Allocations YR2'!I51*$K$3,0)</f>
        <v>0</v>
      </c>
      <c r="L51" s="559">
        <f>ROUND('7.1a Initial Allocations YR2'!J51*$K$3,2)</f>
        <v>0</v>
      </c>
      <c r="N51" s="130">
        <v>0</v>
      </c>
      <c r="O51" s="130">
        <v>0</v>
      </c>
      <c r="P51" s="130">
        <v>0</v>
      </c>
      <c r="Q51" s="559">
        <f t="shared" si="3"/>
        <v>0</v>
      </c>
      <c r="S51" s="559">
        <f>ROUND('7.1a Initial Allocations YR2'!Q51*$K$3,2)</f>
        <v>0</v>
      </c>
      <c r="U51" s="559">
        <f t="shared" si="4"/>
        <v>5088726.13</v>
      </c>
      <c r="W51" s="559">
        <f>IF(F51=0,0,IF(U51=0,0,U51/'6.9 PCFP Funding Comparison YR2'!D47))</f>
        <v>9414.1527546527559</v>
      </c>
    </row>
    <row r="52" spans="1:23" x14ac:dyDescent="0.3">
      <c r="A52" s="4"/>
      <c r="B52" s="132" t="str">
        <f>'5.2 Budgeted Enrollment YR2'!E50</f>
        <v>Elko Institute for Academic Achievement</v>
      </c>
      <c r="D52" s="10" t="str">
        <f t="shared" si="1"/>
        <v>PCFP</v>
      </c>
      <c r="E52" s="10" t="str">
        <f t="shared" si="2"/>
        <v>PCFP</v>
      </c>
      <c r="F52" s="559">
        <f>ROUND(SUM('7.1a Initial Allocations YR2'!E52:E52)*$K$3,2)</f>
        <v>2004625.48</v>
      </c>
      <c r="G52" s="559">
        <f>ROUND(IF(F52=0,0,F52/'6.9 PCFP Funding Comparison YR2'!D48),0)</f>
        <v>10153</v>
      </c>
      <c r="I52" s="565">
        <f>ROUND('7.1a Initial Allocations YR2'!G52*$K$3,2)</f>
        <v>8472.57</v>
      </c>
      <c r="J52" s="559">
        <f>ROUND('7.1a Initial Allocations YR2'!H52*$K$3,2)</f>
        <v>16474.439999999999</v>
      </c>
      <c r="K52" s="570">
        <f>ROUND('7.1a Initial Allocations YR2'!I52*$K$3,0)</f>
        <v>0</v>
      </c>
      <c r="L52" s="559">
        <f>ROUND('7.1a Initial Allocations YR2'!J52*$K$3,2)</f>
        <v>24947</v>
      </c>
      <c r="N52" s="130">
        <v>0</v>
      </c>
      <c r="O52" s="130">
        <v>0</v>
      </c>
      <c r="P52" s="130">
        <v>0</v>
      </c>
      <c r="Q52" s="559">
        <f t="shared" si="3"/>
        <v>0</v>
      </c>
      <c r="S52" s="559">
        <f>ROUND('7.1a Initial Allocations YR2'!Q52*$K$3,2)</f>
        <v>38929.949999999997</v>
      </c>
      <c r="U52" s="559">
        <f t="shared" si="4"/>
        <v>2068502.43</v>
      </c>
      <c r="W52" s="559">
        <f>IF(F52=0,0,IF(U52=0,0,U52/'6.9 PCFP Funding Comparison YR2'!D48))</f>
        <v>10476.571916891673</v>
      </c>
    </row>
    <row r="53" spans="1:23" x14ac:dyDescent="0.3">
      <c r="A53" s="4"/>
      <c r="B53" s="132" t="str">
        <f>'5.2 Budgeted Enrollment YR2'!E51</f>
        <v>enCompass Academy</v>
      </c>
      <c r="D53" s="10" t="str">
        <f t="shared" si="1"/>
        <v>PCFP</v>
      </c>
      <c r="E53" s="10" t="str">
        <f t="shared" si="2"/>
        <v>PCFP</v>
      </c>
      <c r="F53" s="559">
        <f>ROUND(SUM('7.1a Initial Allocations YR2'!E53:E53)*$K$3,2)</f>
        <v>1082521.0900000001</v>
      </c>
      <c r="G53" s="559">
        <f>ROUND(IF(F53=0,0,F53/'6.9 PCFP Funding Comparison YR2'!D49),0)</f>
        <v>9414</v>
      </c>
      <c r="I53" s="565">
        <f>ROUND('7.1a Initial Allocations YR2'!G53*$K$3,2)</f>
        <v>25417.7</v>
      </c>
      <c r="J53" s="559">
        <f>ROUND('7.1a Initial Allocations YR2'!H53*$K$3,2)</f>
        <v>65897.740000000005</v>
      </c>
      <c r="K53" s="570">
        <f>ROUND('7.1a Initial Allocations YR2'!I53*$K$3,0)</f>
        <v>0</v>
      </c>
      <c r="L53" s="559">
        <f>ROUND('7.1a Initial Allocations YR2'!J53*$K$3,2)</f>
        <v>91315.44</v>
      </c>
      <c r="N53" s="130">
        <v>0</v>
      </c>
      <c r="O53" s="130">
        <v>0</v>
      </c>
      <c r="P53" s="130">
        <v>0</v>
      </c>
      <c r="Q53" s="559">
        <f t="shared" si="3"/>
        <v>0</v>
      </c>
      <c r="S53" s="559">
        <f>ROUND('7.1a Initial Allocations YR2'!Q53*$K$3,2)</f>
        <v>72586.77</v>
      </c>
      <c r="U53" s="559">
        <f t="shared" si="4"/>
        <v>1246423.3</v>
      </c>
      <c r="W53" s="559">
        <f>IF(F53=0,0,IF(U53=0,0,U53/'6.9 PCFP Funding Comparison YR2'!D49))</f>
        <v>10839.529585560083</v>
      </c>
    </row>
    <row r="54" spans="1:23" x14ac:dyDescent="0.3">
      <c r="A54" s="4"/>
      <c r="B54" s="132" t="str">
        <f>'5.2 Budgeted Enrollment YR2'!E52</f>
        <v>Equipo Academy</v>
      </c>
      <c r="D54" s="10" t="str">
        <f t="shared" si="1"/>
        <v>PCFP</v>
      </c>
      <c r="E54" s="10" t="str">
        <f t="shared" si="2"/>
        <v>PCFP</v>
      </c>
      <c r="F54" s="559">
        <f>ROUND(SUM('7.1a Initial Allocations YR2'!E54:E54)*$K$3,2)</f>
        <v>7530565.4800000004</v>
      </c>
      <c r="G54" s="559">
        <f>ROUND(IF(F54=0,0,F54/'6.9 PCFP Funding Comparison YR2'!D50),0)</f>
        <v>9414</v>
      </c>
      <c r="I54" s="565">
        <f>ROUND('7.1a Initial Allocations YR2'!G54*$K$3,2)</f>
        <v>711695.61</v>
      </c>
      <c r="J54" s="559">
        <f>ROUND('7.1a Initial Allocations YR2'!H54*$K$3,2)</f>
        <v>95551.73</v>
      </c>
      <c r="K54" s="570">
        <f>ROUND('7.1a Initial Allocations YR2'!I54*$K$3,0)</f>
        <v>0</v>
      </c>
      <c r="L54" s="559">
        <f>ROUND('7.1a Initial Allocations YR2'!J54*$K$3,2)</f>
        <v>807247.33</v>
      </c>
      <c r="N54" s="130">
        <v>0</v>
      </c>
      <c r="O54" s="130">
        <v>0</v>
      </c>
      <c r="P54" s="130">
        <v>0</v>
      </c>
      <c r="Q54" s="559">
        <f t="shared" si="3"/>
        <v>0</v>
      </c>
      <c r="S54" s="559">
        <f>ROUND('7.1a Initial Allocations YR2'!Q54*$K$3,2)</f>
        <v>97271</v>
      </c>
      <c r="U54" s="559">
        <f t="shared" si="4"/>
        <v>8435083.8100000005</v>
      </c>
      <c r="W54" s="559">
        <f>IF(F54=0,0,IF(U54=0,0,U54/'6.9 PCFP Funding Comparison YR2'!D50))</f>
        <v>10544.914269505998</v>
      </c>
    </row>
    <row r="55" spans="1:23" x14ac:dyDescent="0.3">
      <c r="A55" s="4"/>
      <c r="B55" s="132" t="str">
        <f>'5.2 Budgeted Enrollment YR2'!E53</f>
        <v>Explore Academy</v>
      </c>
      <c r="D55" s="10" t="str">
        <f t="shared" si="1"/>
        <v>PCFP</v>
      </c>
      <c r="E55" s="10" t="str">
        <f t="shared" si="2"/>
        <v>PCFP</v>
      </c>
      <c r="F55" s="559">
        <f>ROUND(SUM('7.1a Initial Allocations YR2'!E55:E55)*$K$3,2)</f>
        <v>2588967.2200000002</v>
      </c>
      <c r="G55" s="559">
        <f>ROUND(IF(F55=0,0,F55/'6.9 PCFP Funding Comparison YR2'!D51),0)</f>
        <v>9414</v>
      </c>
      <c r="I55" s="565">
        <f>ROUND('7.1a Initial Allocations YR2'!G55*$K$3,2)</f>
        <v>46599.12</v>
      </c>
      <c r="J55" s="559">
        <f>ROUND('7.1a Initial Allocations YR2'!H55*$K$3,2)</f>
        <v>6589.77</v>
      </c>
      <c r="K55" s="570">
        <f>ROUND('7.1a Initial Allocations YR2'!I55*$K$3,0)</f>
        <v>0</v>
      </c>
      <c r="L55" s="559">
        <f>ROUND('7.1a Initial Allocations YR2'!J55*$K$3,2)</f>
        <v>53188.89</v>
      </c>
      <c r="N55" s="130">
        <v>0</v>
      </c>
      <c r="O55" s="130">
        <v>0</v>
      </c>
      <c r="P55" s="130">
        <v>0</v>
      </c>
      <c r="Q55" s="559">
        <f t="shared" si="3"/>
        <v>0</v>
      </c>
      <c r="S55" s="559">
        <f>ROUND('7.1a Initial Allocations YR2'!Q55*$K$3,2)</f>
        <v>0</v>
      </c>
      <c r="U55" s="559">
        <f t="shared" si="4"/>
        <v>2642156.11</v>
      </c>
      <c r="W55" s="559">
        <f>IF(F55=0,0,IF(U55=0,0,U55/'6.9 PCFP Funding Comparison YR2'!D51))</f>
        <v>9607.5612531037277</v>
      </c>
    </row>
    <row r="56" spans="1:23" x14ac:dyDescent="0.3">
      <c r="A56" s="4"/>
      <c r="B56" s="132" t="str">
        <f>'5.2 Budgeted Enrollment YR2'!E54</f>
        <v>Explore Knowledge Academy</v>
      </c>
      <c r="D56" s="10" t="str">
        <f t="shared" si="1"/>
        <v>PCFP</v>
      </c>
      <c r="E56" s="10" t="str">
        <f t="shared" si="2"/>
        <v>PCFP</v>
      </c>
      <c r="F56" s="559">
        <f>ROUND(SUM('7.1a Initial Allocations YR2'!E56:E56)*$K$3,2)</f>
        <v>6330926.4900000002</v>
      </c>
      <c r="G56" s="559">
        <f>ROUND(IF(F56=0,0,F56/'6.9 PCFP Funding Comparison YR2'!D52),0)</f>
        <v>9414</v>
      </c>
      <c r="I56" s="565">
        <f>ROUND('7.1a Initial Allocations YR2'!G56*$K$3,2)</f>
        <v>249940.72</v>
      </c>
      <c r="J56" s="559">
        <f>ROUND('7.1a Initial Allocations YR2'!H56*$K$3,2)</f>
        <v>144975.03</v>
      </c>
      <c r="K56" s="570">
        <f>ROUND('7.1a Initial Allocations YR2'!I56*$K$3,0)</f>
        <v>0</v>
      </c>
      <c r="L56" s="559">
        <f>ROUND('7.1a Initial Allocations YR2'!J56*$K$3,2)</f>
        <v>394915.75</v>
      </c>
      <c r="N56" s="130">
        <v>0</v>
      </c>
      <c r="O56" s="130">
        <v>0</v>
      </c>
      <c r="P56" s="130">
        <v>0</v>
      </c>
      <c r="Q56" s="559">
        <f t="shared" si="3"/>
        <v>0</v>
      </c>
      <c r="S56" s="559">
        <f>ROUND('7.1a Initial Allocations YR2'!Q56*$K$3,2)</f>
        <v>179084.97</v>
      </c>
      <c r="U56" s="559">
        <f t="shared" si="4"/>
        <v>6904927.21</v>
      </c>
      <c r="W56" s="559">
        <f>IF(F56=0,0,IF(U56=0,0,U56/'6.9 PCFP Funding Comparison YR2'!D52))</f>
        <v>10267.697699785407</v>
      </c>
    </row>
    <row r="57" spans="1:23" x14ac:dyDescent="0.3">
      <c r="A57" s="4"/>
      <c r="B57" s="132" t="str">
        <f>'5.2 Budgeted Enrollment YR2'!E55</f>
        <v>Founders Academy of Las Vegas</v>
      </c>
      <c r="D57" s="10" t="str">
        <f t="shared" si="1"/>
        <v>PCFP</v>
      </c>
      <c r="E57" s="10" t="str">
        <f t="shared" si="2"/>
        <v>PCFP</v>
      </c>
      <c r="F57" s="559">
        <f>ROUND(SUM('7.1a Initial Allocations YR2'!E57:E57)*$K$3,2)</f>
        <v>8879968.5199999996</v>
      </c>
      <c r="G57" s="559">
        <f>ROUND(IF(F57=0,0,F57/'6.9 PCFP Funding Comparison YR2'!D53),0)</f>
        <v>9414</v>
      </c>
      <c r="I57" s="565">
        <f>ROUND('7.1a Initial Allocations YR2'!G57*$K$3,2)</f>
        <v>241468.15</v>
      </c>
      <c r="J57" s="559">
        <f>ROUND('7.1a Initial Allocations YR2'!H57*$K$3,2)</f>
        <v>75782.399999999994</v>
      </c>
      <c r="K57" s="570">
        <f>ROUND('7.1a Initial Allocations YR2'!I57*$K$3,0)</f>
        <v>0</v>
      </c>
      <c r="L57" s="559">
        <f>ROUND('7.1a Initial Allocations YR2'!J57*$K$3,2)</f>
        <v>317250.56</v>
      </c>
      <c r="N57" s="130">
        <v>0</v>
      </c>
      <c r="O57" s="130">
        <v>0</v>
      </c>
      <c r="P57" s="130">
        <v>0</v>
      </c>
      <c r="Q57" s="559">
        <f t="shared" si="3"/>
        <v>0</v>
      </c>
      <c r="S57" s="559">
        <f>ROUND('7.1a Initial Allocations YR2'!Q57*$K$3,2)</f>
        <v>111638.54</v>
      </c>
      <c r="U57" s="559">
        <f t="shared" si="4"/>
        <v>9308857.6199999992</v>
      </c>
      <c r="W57" s="559">
        <f>IF(F57=0,0,IF(U57=0,0,U57/'6.9 PCFP Funding Comparison YR2'!D53))</f>
        <v>9868.8421326742464</v>
      </c>
    </row>
    <row r="58" spans="1:23" x14ac:dyDescent="0.3">
      <c r="A58" s="4"/>
      <c r="B58" s="132" t="str">
        <f>'5.2 Budgeted Enrollment YR2'!E56</f>
        <v>Freedom Classical Academy</v>
      </c>
      <c r="D58" s="10" t="str">
        <f t="shared" si="1"/>
        <v>PCFP</v>
      </c>
      <c r="E58" s="10" t="str">
        <f t="shared" si="2"/>
        <v>PCFP</v>
      </c>
      <c r="F58" s="559">
        <f>ROUND(SUM('7.1a Initial Allocations YR2'!E58:E58)*$K$3,2)</f>
        <v>9847186.6899999995</v>
      </c>
      <c r="G58" s="559">
        <f>ROUND(IF(F58=0,0,F58/'6.9 PCFP Funding Comparison YR2'!D54),0)</f>
        <v>9414</v>
      </c>
      <c r="I58" s="565">
        <f>ROUND('7.1a Initial Allocations YR2'!G58*$K$3,2)</f>
        <v>351611.52</v>
      </c>
      <c r="J58" s="559">
        <f>ROUND('7.1a Initial Allocations YR2'!H58*$K$3,2)</f>
        <v>158154.57999999999</v>
      </c>
      <c r="K58" s="570">
        <f>ROUND('7.1a Initial Allocations YR2'!I58*$K$3,0)</f>
        <v>0</v>
      </c>
      <c r="L58" s="559">
        <f>ROUND('7.1a Initial Allocations YR2'!J58*$K$3,2)</f>
        <v>509766.1</v>
      </c>
      <c r="N58" s="130">
        <v>0</v>
      </c>
      <c r="O58" s="130">
        <v>0</v>
      </c>
      <c r="P58" s="130">
        <v>0</v>
      </c>
      <c r="Q58" s="559">
        <f t="shared" si="3"/>
        <v>0</v>
      </c>
      <c r="S58" s="559">
        <f>ROUND('7.1a Initial Allocations YR2'!Q58*$K$3,2)</f>
        <v>301436.53999999998</v>
      </c>
      <c r="U58" s="559">
        <f t="shared" si="4"/>
        <v>10658389.33</v>
      </c>
      <c r="W58" s="559">
        <f>IF(F58=0,0,IF(U58=0,0,U58/'6.9 PCFP Funding Comparison YR2'!D54))</f>
        <v>10189.682416327329</v>
      </c>
    </row>
    <row r="59" spans="1:23" x14ac:dyDescent="0.3">
      <c r="A59" s="4"/>
      <c r="B59" s="132" t="str">
        <f>'5.2 Budgeted Enrollment YR2'!E57</f>
        <v>Futuro Academy Elementary</v>
      </c>
      <c r="D59" s="10" t="str">
        <f t="shared" si="1"/>
        <v>PCFP</v>
      </c>
      <c r="E59" s="10" t="str">
        <f t="shared" si="2"/>
        <v>PCFP</v>
      </c>
      <c r="F59" s="559">
        <f>ROUND(SUM('7.1a Initial Allocations YR2'!E59:E59)*$K$3,2)</f>
        <v>4369776.33</v>
      </c>
      <c r="G59" s="559">
        <f>ROUND(IF(F59=0,0,F59/'6.9 PCFP Funding Comparison YR2'!D55),0)</f>
        <v>9414</v>
      </c>
      <c r="I59" s="565">
        <f>ROUND('7.1a Initial Allocations YR2'!G59*$K$3,2)</f>
        <v>796421.28</v>
      </c>
      <c r="J59" s="559">
        <f>ROUND('7.1a Initial Allocations YR2'!H59*$K$3,2)</f>
        <v>131795.48000000001</v>
      </c>
      <c r="K59" s="570">
        <f>ROUND('7.1a Initial Allocations YR2'!I59*$K$3,0)</f>
        <v>0</v>
      </c>
      <c r="L59" s="559">
        <f>ROUND('7.1a Initial Allocations YR2'!J59*$K$3,2)</f>
        <v>928216.76</v>
      </c>
      <c r="N59" s="130">
        <v>0</v>
      </c>
      <c r="O59" s="130">
        <v>0</v>
      </c>
      <c r="P59" s="130">
        <v>0</v>
      </c>
      <c r="Q59" s="559">
        <f t="shared" si="3"/>
        <v>0</v>
      </c>
      <c r="S59" s="559">
        <f>ROUND('7.1a Initial Allocations YR2'!Q59*$K$3,2)</f>
        <v>252266.85</v>
      </c>
      <c r="U59" s="559">
        <f t="shared" si="4"/>
        <v>5550259.9400000004</v>
      </c>
      <c r="W59" s="559">
        <f>IF(F59=0,0,IF(U59=0,0,U59/'6.9 PCFP Funding Comparison YR2'!D55))</f>
        <v>11957.361385197974</v>
      </c>
    </row>
    <row r="60" spans="1:23" x14ac:dyDescent="0.3">
      <c r="A60" s="4"/>
      <c r="B60" s="132" t="str">
        <f>'5.2 Budgeted Enrollment YR2'!E58</f>
        <v>Girls Athletic Leadership Schools</v>
      </c>
      <c r="D60" s="10" t="str">
        <f t="shared" si="1"/>
        <v>PCFP</v>
      </c>
      <c r="E60" s="10" t="str">
        <f t="shared" si="2"/>
        <v>PCFP</v>
      </c>
      <c r="F60" s="559">
        <f>ROUND(SUM('7.1a Initial Allocations YR2'!E60:E60)*$K$3,2)</f>
        <v>0</v>
      </c>
      <c r="G60" s="559">
        <f>ROUND(IF(F60=0,0,F60/'6.9 PCFP Funding Comparison YR2'!D56),0)</f>
        <v>0</v>
      </c>
      <c r="I60" s="565">
        <f>ROUND('7.1a Initial Allocations YR2'!G60*$K$3,2)</f>
        <v>0</v>
      </c>
      <c r="J60" s="559">
        <f>ROUND('7.1a Initial Allocations YR2'!H60*$K$3,2)</f>
        <v>0</v>
      </c>
      <c r="K60" s="570">
        <f>ROUND('7.1a Initial Allocations YR2'!I60*$K$3,0)</f>
        <v>0</v>
      </c>
      <c r="L60" s="559">
        <f>ROUND('7.1a Initial Allocations YR2'!J60*$K$3,2)</f>
        <v>0</v>
      </c>
      <c r="N60" s="130">
        <v>0</v>
      </c>
      <c r="O60" s="130">
        <v>0</v>
      </c>
      <c r="P60" s="130">
        <v>0</v>
      </c>
      <c r="Q60" s="559">
        <f t="shared" si="3"/>
        <v>0</v>
      </c>
      <c r="S60" s="559">
        <f>ROUND('7.1a Initial Allocations YR2'!Q60*$K$3,2)</f>
        <v>0</v>
      </c>
      <c r="U60" s="559">
        <f t="shared" si="4"/>
        <v>0</v>
      </c>
      <c r="W60" s="559">
        <f>IF(F60=0,0,IF(U60=0,0,U60/'6.9 PCFP Funding Comparison YR2'!D56))</f>
        <v>0</v>
      </c>
    </row>
    <row r="61" spans="1:23" x14ac:dyDescent="0.3">
      <c r="A61" s="4"/>
      <c r="B61" s="132" t="str">
        <f>'5.2 Budgeted Enrollment YR2'!E59</f>
        <v>High Desert Montessori</v>
      </c>
      <c r="D61" s="10" t="str">
        <f t="shared" si="1"/>
        <v>PCFP</v>
      </c>
      <c r="E61" s="10" t="str">
        <f t="shared" si="2"/>
        <v>PCFP</v>
      </c>
      <c r="F61" s="559">
        <f>ROUND(SUM('7.1a Initial Allocations YR2'!E61:E61)*$K$3,2)</f>
        <v>3697150.56</v>
      </c>
      <c r="G61" s="559">
        <f>ROUND(IF(F61=0,0,F61/'6.9 PCFP Funding Comparison YR2'!D57),0)</f>
        <v>9414</v>
      </c>
      <c r="I61" s="565">
        <f>ROUND('7.1a Initial Allocations YR2'!G61*$K$3,2)</f>
        <v>101670.8</v>
      </c>
      <c r="J61" s="559">
        <f>ROUND('7.1a Initial Allocations YR2'!H61*$K$3,2)</f>
        <v>36243.760000000002</v>
      </c>
      <c r="K61" s="570">
        <f>ROUND('7.1a Initial Allocations YR2'!I61*$K$3,0)</f>
        <v>0</v>
      </c>
      <c r="L61" s="559">
        <f>ROUND('7.1a Initial Allocations YR2'!J61*$K$3,2)</f>
        <v>137914.56</v>
      </c>
      <c r="N61" s="130">
        <v>0</v>
      </c>
      <c r="O61" s="130">
        <v>0</v>
      </c>
      <c r="P61" s="130">
        <v>0</v>
      </c>
      <c r="Q61" s="559">
        <f t="shared" si="3"/>
        <v>0</v>
      </c>
      <c r="S61" s="559">
        <f>ROUND('7.1a Initial Allocations YR2'!Q61*$K$3,2)</f>
        <v>163954.53</v>
      </c>
      <c r="U61" s="559">
        <f t="shared" si="4"/>
        <v>3999019.65</v>
      </c>
      <c r="W61" s="559">
        <f>IF(F61=0,0,IF(U61=0,0,U61/'6.9 PCFP Funding Comparison YR2'!D57))</f>
        <v>10182.810035343517</v>
      </c>
    </row>
    <row r="62" spans="1:23" x14ac:dyDescent="0.3">
      <c r="A62" s="4"/>
      <c r="B62" s="132" t="str">
        <f>'5.2 Budgeted Enrollment YR2'!E60</f>
        <v>Honors Academy of Literature</v>
      </c>
      <c r="D62" s="10" t="str">
        <f t="shared" si="1"/>
        <v>PCFP</v>
      </c>
      <c r="E62" s="10" t="str">
        <f t="shared" si="2"/>
        <v>PCFP</v>
      </c>
      <c r="F62" s="559">
        <f>ROUND(SUM('7.1a Initial Allocations YR2'!E62:E62)*$K$3,2)</f>
        <v>2040808.72</v>
      </c>
      <c r="G62" s="559">
        <f>ROUND(IF(F62=0,0,F62/'6.9 PCFP Funding Comparison YR2'!D58),0)</f>
        <v>9414</v>
      </c>
      <c r="I62" s="565">
        <f>ROUND('7.1a Initial Allocations YR2'!G62*$K$3,2)</f>
        <v>16945.13</v>
      </c>
      <c r="J62" s="559">
        <f>ROUND('7.1a Initial Allocations YR2'!H62*$K$3,2)</f>
        <v>9884.66</v>
      </c>
      <c r="K62" s="570">
        <f>ROUND('7.1a Initial Allocations YR2'!I62*$K$3,0)</f>
        <v>0</v>
      </c>
      <c r="L62" s="559">
        <f>ROUND('7.1a Initial Allocations YR2'!J62*$K$3,2)</f>
        <v>26829.79</v>
      </c>
      <c r="N62" s="130">
        <v>0</v>
      </c>
      <c r="O62" s="130">
        <v>0</v>
      </c>
      <c r="P62" s="130">
        <v>0</v>
      </c>
      <c r="Q62" s="559">
        <f t="shared" si="3"/>
        <v>0</v>
      </c>
      <c r="S62" s="559">
        <f>ROUND('7.1a Initial Allocations YR2'!Q62*$K$3,2)</f>
        <v>27308.28</v>
      </c>
      <c r="U62" s="559">
        <f t="shared" si="4"/>
        <v>2094946.79</v>
      </c>
      <c r="W62" s="559">
        <f>IF(F62=0,0,IF(U62=0,0,U62/'6.9 PCFP Funding Comparison YR2'!D58))</f>
        <v>9663.8890525736861</v>
      </c>
    </row>
    <row r="63" spans="1:23" x14ac:dyDescent="0.3">
      <c r="A63" s="4"/>
      <c r="B63" s="132" t="str">
        <f>'5.2 Budgeted Enrollment YR2'!E61</f>
        <v>Imagine School Mountain View</v>
      </c>
      <c r="D63" s="10" t="str">
        <f t="shared" si="1"/>
        <v>PCFP</v>
      </c>
      <c r="E63" s="10" t="str">
        <f t="shared" si="2"/>
        <v>PCFP</v>
      </c>
      <c r="F63" s="559">
        <f>ROUND(SUM('7.1a Initial Allocations YR2'!E63:E63)*$K$3,2)</f>
        <v>6326777.4400000004</v>
      </c>
      <c r="G63" s="559">
        <f>ROUND(IF(F63=0,0,F63/'6.9 PCFP Funding Comparison YR2'!D59),0)</f>
        <v>9414</v>
      </c>
      <c r="I63" s="565">
        <f>ROUND('7.1a Initial Allocations YR2'!G63*$K$3,2)</f>
        <v>296539.84000000003</v>
      </c>
      <c r="J63" s="559">
        <f>ROUND('7.1a Initial Allocations YR2'!H63*$K$3,2)</f>
        <v>6589.77</v>
      </c>
      <c r="K63" s="570">
        <f>ROUND('7.1a Initial Allocations YR2'!I63*$K$3,0)</f>
        <v>0</v>
      </c>
      <c r="L63" s="559">
        <f>ROUND('7.1a Initial Allocations YR2'!J63*$K$3,2)</f>
        <v>303129.61</v>
      </c>
      <c r="N63" s="130">
        <v>0</v>
      </c>
      <c r="O63" s="130">
        <v>0</v>
      </c>
      <c r="P63" s="130">
        <v>0</v>
      </c>
      <c r="Q63" s="559">
        <f t="shared" si="3"/>
        <v>0</v>
      </c>
      <c r="S63" s="559">
        <f>ROUND('7.1a Initial Allocations YR2'!Q63*$K$3,2)</f>
        <v>170046.35</v>
      </c>
      <c r="U63" s="559">
        <f t="shared" si="4"/>
        <v>6799953.4000000004</v>
      </c>
      <c r="W63" s="559">
        <f>IF(F63=0,0,IF(U63=0,0,U63/'6.9 PCFP Funding Comparison YR2'!D59))</f>
        <v>10118.231678463442</v>
      </c>
    </row>
    <row r="64" spans="1:23" x14ac:dyDescent="0.3">
      <c r="A64" s="4"/>
      <c r="B64" s="132" t="str">
        <f>'5.2 Budgeted Enrollment YR2'!E62</f>
        <v>Innovations Int'l Charter</v>
      </c>
      <c r="D64" s="10" t="str">
        <f t="shared" si="1"/>
        <v>PCFP</v>
      </c>
      <c r="E64" s="10" t="str">
        <f t="shared" si="2"/>
        <v>PCFP</v>
      </c>
      <c r="F64" s="559">
        <f>ROUND(SUM('7.1a Initial Allocations YR2'!E64:E64)*$K$3,2)</f>
        <v>6946042.4500000002</v>
      </c>
      <c r="G64" s="559">
        <f>ROUND(IF(F64=0,0,F64/'6.9 PCFP Funding Comparison YR2'!D60),0)</f>
        <v>9414</v>
      </c>
      <c r="I64" s="565">
        <f>ROUND('7.1a Initial Allocations YR2'!G64*$K$3,2)</f>
        <v>800657.56</v>
      </c>
      <c r="J64" s="559">
        <f>ROUND('7.1a Initial Allocations YR2'!H64*$K$3,2)</f>
        <v>576605.24</v>
      </c>
      <c r="K64" s="570">
        <f>ROUND('7.1a Initial Allocations YR2'!I64*$K$3,0)</f>
        <v>0</v>
      </c>
      <c r="L64" s="559">
        <f>ROUND('7.1a Initial Allocations YR2'!J64*$K$3,2)</f>
        <v>1377262.8</v>
      </c>
      <c r="N64" s="130">
        <v>0</v>
      </c>
      <c r="O64" s="130">
        <v>0</v>
      </c>
      <c r="P64" s="130">
        <v>0</v>
      </c>
      <c r="Q64" s="559">
        <f t="shared" si="3"/>
        <v>0</v>
      </c>
      <c r="S64" s="559">
        <f>ROUND('7.1a Initial Allocations YR2'!Q64*$K$3,2)</f>
        <v>0</v>
      </c>
      <c r="U64" s="559">
        <f t="shared" si="4"/>
        <v>8323305.25</v>
      </c>
      <c r="W64" s="559">
        <f>IF(F64=0,0,IF(U64=0,0,U64/'6.9 PCFP Funding Comparison YR2'!D60))</f>
        <v>11280.792979797805</v>
      </c>
    </row>
    <row r="65" spans="1:23" x14ac:dyDescent="0.3">
      <c r="A65" s="4"/>
      <c r="B65" s="132" t="str">
        <f>'5.2 Budgeted Enrollment YR2'!E63</f>
        <v>Leadership Academy of Nevada</v>
      </c>
      <c r="D65" s="10" t="str">
        <f t="shared" si="1"/>
        <v>PCFP</v>
      </c>
      <c r="E65" s="10" t="str">
        <f t="shared" si="2"/>
        <v>PCFP</v>
      </c>
      <c r="F65" s="559">
        <f>ROUND(SUM('7.1a Initial Allocations YR2'!E65:E65)*$K$3,2)</f>
        <v>2522120.4</v>
      </c>
      <c r="G65" s="559">
        <f>ROUND(IF(F65=0,0,F65/'6.9 PCFP Funding Comparison YR2'!D61),0)</f>
        <v>9414</v>
      </c>
      <c r="I65" s="565">
        <f>ROUND('7.1a Initial Allocations YR2'!G65*$K$3,2)</f>
        <v>4236.28</v>
      </c>
      <c r="J65" s="559">
        <f>ROUND('7.1a Initial Allocations YR2'!H65*$K$3,2)</f>
        <v>49423.31</v>
      </c>
      <c r="K65" s="570">
        <f>ROUND('7.1a Initial Allocations YR2'!I65*$K$3,0)</f>
        <v>0</v>
      </c>
      <c r="L65" s="559">
        <f>ROUND('7.1a Initial Allocations YR2'!J65*$K$3,2)</f>
        <v>53659.59</v>
      </c>
      <c r="N65" s="130">
        <v>0</v>
      </c>
      <c r="O65" s="130">
        <v>0</v>
      </c>
      <c r="P65" s="130">
        <v>0</v>
      </c>
      <c r="Q65" s="559">
        <f t="shared" si="3"/>
        <v>0</v>
      </c>
      <c r="S65" s="559">
        <f>ROUND('7.1a Initial Allocations YR2'!Q65*$K$3,2)</f>
        <v>0</v>
      </c>
      <c r="U65" s="559">
        <f t="shared" si="4"/>
        <v>2575779.9900000002</v>
      </c>
      <c r="W65" s="559">
        <f>IF(F65=0,0,IF(U65=0,0,U65/'6.9 PCFP Funding Comparison YR2'!D61))</f>
        <v>9614.4443695585323</v>
      </c>
    </row>
    <row r="66" spans="1:23" x14ac:dyDescent="0.3">
      <c r="A66" s="4"/>
      <c r="B66" s="132" t="str">
        <f>'5.2 Budgeted Enrollment YR2'!E64</f>
        <v>Learning Bridge</v>
      </c>
      <c r="D66" s="10" t="str">
        <f t="shared" si="1"/>
        <v>PCFP</v>
      </c>
      <c r="E66" s="10" t="str">
        <f t="shared" si="2"/>
        <v>PCFP</v>
      </c>
      <c r="F66" s="559">
        <f>ROUND(SUM('7.1a Initial Allocations YR2'!E66:E66)*$K$3,2)</f>
        <v>2390096.63</v>
      </c>
      <c r="G66" s="559">
        <f>ROUND(IF(F66=0,0,F66/'6.9 PCFP Funding Comparison YR2'!D62),0)</f>
        <v>13629</v>
      </c>
      <c r="I66" s="565">
        <f>ROUND('7.1a Initial Allocations YR2'!G66*$K$3,2)</f>
        <v>8472.57</v>
      </c>
      <c r="J66" s="559">
        <f>ROUND('7.1a Initial Allocations YR2'!H66*$K$3,2)</f>
        <v>0</v>
      </c>
      <c r="K66" s="570">
        <f>ROUND('7.1a Initial Allocations YR2'!I66*$K$3,0)</f>
        <v>0</v>
      </c>
      <c r="L66" s="559">
        <f>ROUND('7.1a Initial Allocations YR2'!J66*$K$3,2)</f>
        <v>8472.57</v>
      </c>
      <c r="N66" s="130">
        <v>0</v>
      </c>
      <c r="O66" s="130">
        <v>0</v>
      </c>
      <c r="P66" s="130">
        <v>0</v>
      </c>
      <c r="Q66" s="559">
        <f t="shared" si="3"/>
        <v>0</v>
      </c>
      <c r="S66" s="559">
        <f>ROUND('7.1a Initial Allocations YR2'!Q66*$K$3,2)</f>
        <v>0</v>
      </c>
      <c r="U66" s="559">
        <f t="shared" si="4"/>
        <v>2398569.2000000002</v>
      </c>
      <c r="W66" s="559">
        <f>IF(F66=0,0,IF(U66=0,0,U66/'6.9 PCFP Funding Comparison YR2'!D62))</f>
        <v>13676.922883597252</v>
      </c>
    </row>
    <row r="67" spans="1:23" x14ac:dyDescent="0.3">
      <c r="A67" s="4"/>
      <c r="B67" s="132" t="str">
        <f>'5.2 Budgeted Enrollment YR2'!E65</f>
        <v>Legacy Traditional Schools</v>
      </c>
      <c r="D67" s="10" t="str">
        <f t="shared" si="1"/>
        <v>PCFP</v>
      </c>
      <c r="E67" s="10" t="str">
        <f t="shared" si="2"/>
        <v>PCFP</v>
      </c>
      <c r="F67" s="559">
        <f>ROUND(SUM('7.1a Initial Allocations YR2'!E67:E67)*$K$3,2)</f>
        <v>37829630.719999999</v>
      </c>
      <c r="G67" s="559">
        <f>ROUND(IF(F67=0,0,F67/'6.9 PCFP Funding Comparison YR2'!D63),0)</f>
        <v>9414</v>
      </c>
      <c r="I67" s="565">
        <f>ROUND('7.1a Initial Allocations YR2'!G67*$K$3,2)</f>
        <v>1118378.81</v>
      </c>
      <c r="J67" s="559">
        <f>ROUND('7.1a Initial Allocations YR2'!H67*$K$3,2)</f>
        <v>520592.16</v>
      </c>
      <c r="K67" s="570">
        <f>ROUND('7.1a Initial Allocations YR2'!I67*$K$3,0)</f>
        <v>202212</v>
      </c>
      <c r="L67" s="559">
        <f>ROUND('7.1a Initial Allocations YR2'!J67*$K$3,2)</f>
        <v>1841182.9</v>
      </c>
      <c r="N67" s="130">
        <v>0</v>
      </c>
      <c r="O67" s="130">
        <v>0</v>
      </c>
      <c r="P67" s="130">
        <v>0</v>
      </c>
      <c r="Q67" s="559">
        <f t="shared" si="3"/>
        <v>0</v>
      </c>
      <c r="S67" s="559">
        <f>ROUND('7.1a Initial Allocations YR2'!Q67*$K$3,2)</f>
        <v>0</v>
      </c>
      <c r="U67" s="559">
        <f t="shared" si="4"/>
        <v>39670813.619999997</v>
      </c>
      <c r="W67" s="559">
        <f>IF(F67=0,0,IF(U67=0,0,U67/'6.9 PCFP Funding Comparison YR2'!D63))</f>
        <v>9872.3432278349173</v>
      </c>
    </row>
    <row r="68" spans="1:23" x14ac:dyDescent="0.3">
      <c r="A68" s="4"/>
      <c r="B68" s="132" t="str">
        <f>'5.2 Budgeted Enrollment YR2'!E66</f>
        <v>Mariposa Dual Language Academy</v>
      </c>
      <c r="D68" s="10" t="str">
        <f t="shared" si="1"/>
        <v>PCFP</v>
      </c>
      <c r="E68" s="10" t="str">
        <f t="shared" si="2"/>
        <v>PCFP</v>
      </c>
      <c r="F68" s="559">
        <f>ROUND(SUM('7.1a Initial Allocations YR2'!E68:E68)*$K$3,2)</f>
        <v>1509300.2</v>
      </c>
      <c r="G68" s="559">
        <f>ROUND(IF(F68=0,0,F68/'6.9 PCFP Funding Comparison YR2'!D64),0)</f>
        <v>9414</v>
      </c>
      <c r="I68" s="565">
        <f>ROUND('7.1a Initial Allocations YR2'!G68*$K$3,2)</f>
        <v>148269.92000000001</v>
      </c>
      <c r="J68" s="559">
        <f>ROUND('7.1a Initial Allocations YR2'!H68*$K$3,2)</f>
        <v>3294.89</v>
      </c>
      <c r="K68" s="570">
        <f>ROUND('7.1a Initial Allocations YR2'!I68*$K$3,0)</f>
        <v>0</v>
      </c>
      <c r="L68" s="559">
        <f>ROUND('7.1a Initial Allocations YR2'!J68*$K$3,2)</f>
        <v>151564.81</v>
      </c>
      <c r="N68" s="130">
        <v>0</v>
      </c>
      <c r="O68" s="130">
        <v>0</v>
      </c>
      <c r="P68" s="130">
        <v>0</v>
      </c>
      <c r="Q68" s="559">
        <f t="shared" si="3"/>
        <v>0</v>
      </c>
      <c r="S68" s="559">
        <f>ROUND('7.1a Initial Allocations YR2'!Q68*$K$3,2)</f>
        <v>128656.16</v>
      </c>
      <c r="U68" s="559">
        <f t="shared" si="4"/>
        <v>1789521.17</v>
      </c>
      <c r="W68" s="559">
        <f>IF(F68=0,0,IF(U68=0,0,U68/'6.9 PCFP Funding Comparison YR2'!D64))</f>
        <v>11162.011143516866</v>
      </c>
    </row>
    <row r="69" spans="1:23" x14ac:dyDescent="0.3">
      <c r="A69" s="4"/>
      <c r="B69" s="132" t="str">
        <f>'5.2 Budgeted Enrollment YR2'!E67</f>
        <v>Mater Academy</v>
      </c>
      <c r="D69" s="10" t="str">
        <f t="shared" si="1"/>
        <v>PCFP</v>
      </c>
      <c r="E69" s="10" t="str">
        <f t="shared" si="2"/>
        <v>PCFP</v>
      </c>
      <c r="F69" s="559">
        <f>ROUND(SUM('7.1a Initial Allocations YR2'!E69:E69)*$K$3,2)</f>
        <v>37293276.18</v>
      </c>
      <c r="G69" s="559">
        <f>ROUND(IF(F69=0,0,F69/'6.9 PCFP Funding Comparison YR2'!D65),0)</f>
        <v>9414</v>
      </c>
      <c r="I69" s="565">
        <f>ROUND('7.1a Initial Allocations YR2'!G69*$K$3,2)</f>
        <v>5816417.0800000001</v>
      </c>
      <c r="J69" s="559">
        <f>ROUND('7.1a Initial Allocations YR2'!H69*$K$3,2)</f>
        <v>148269.92000000001</v>
      </c>
      <c r="K69" s="570">
        <f>ROUND('7.1a Initial Allocations YR2'!I69*$K$3,0)</f>
        <v>0</v>
      </c>
      <c r="L69" s="559">
        <f>ROUND('7.1a Initial Allocations YR2'!J69*$K$3,2)</f>
        <v>5964687</v>
      </c>
      <c r="N69" s="130">
        <v>0</v>
      </c>
      <c r="O69" s="130">
        <v>0</v>
      </c>
      <c r="P69" s="130">
        <v>0</v>
      </c>
      <c r="Q69" s="559">
        <f t="shared" si="3"/>
        <v>0</v>
      </c>
      <c r="S69" s="559">
        <f>ROUND('7.1a Initial Allocations YR2'!Q69*$K$3,2)</f>
        <v>680455.11</v>
      </c>
      <c r="U69" s="559">
        <f t="shared" si="4"/>
        <v>43938418.289999999</v>
      </c>
      <c r="W69" s="559">
        <f>IF(F69=0,0,IF(U69=0,0,U69/'6.9 PCFP Funding Comparison YR2'!D65))</f>
        <v>11091.623562700881</v>
      </c>
    </row>
    <row r="70" spans="1:23" x14ac:dyDescent="0.3">
      <c r="A70" s="4"/>
      <c r="B70" s="132" t="str">
        <f>'5.2 Budgeted Enrollment YR2'!E68</f>
        <v>Mater Academy of Northern Nevada</v>
      </c>
      <c r="D70" s="10" t="str">
        <f t="shared" si="1"/>
        <v>PCFP</v>
      </c>
      <c r="E70" s="10" t="str">
        <f t="shared" si="2"/>
        <v>PCFP</v>
      </c>
      <c r="F70" s="559">
        <f>ROUND(SUM('7.1a Initial Allocations YR2'!E70:E70)*$K$3,2)</f>
        <v>4631450.25</v>
      </c>
      <c r="G70" s="559">
        <f>ROUND(IF(F70=0,0,F70/'6.9 PCFP Funding Comparison YR2'!D66),0)</f>
        <v>9414</v>
      </c>
      <c r="I70" s="565">
        <f>ROUND('7.1a Initial Allocations YR2'!G70*$K$3,2)</f>
        <v>643915.06999999995</v>
      </c>
      <c r="J70" s="559">
        <f>ROUND('7.1a Initial Allocations YR2'!H70*$K$3,2)</f>
        <v>13179.55</v>
      </c>
      <c r="K70" s="570">
        <f>ROUND('7.1a Initial Allocations YR2'!I70*$K$3,0)</f>
        <v>0</v>
      </c>
      <c r="L70" s="559">
        <f>ROUND('7.1a Initial Allocations YR2'!J70*$K$3,2)</f>
        <v>657094.62</v>
      </c>
      <c r="N70" s="130">
        <v>0</v>
      </c>
      <c r="O70" s="130">
        <v>0</v>
      </c>
      <c r="P70" s="130">
        <v>0</v>
      </c>
      <c r="Q70" s="559">
        <f t="shared" si="3"/>
        <v>0</v>
      </c>
      <c r="S70" s="559">
        <f>ROUND('7.1a Initial Allocations YR2'!Q70*$K$3,2)</f>
        <v>53872.67</v>
      </c>
      <c r="U70" s="559">
        <f t="shared" si="4"/>
        <v>5342417.54</v>
      </c>
      <c r="W70" s="559">
        <f>IF(F70=0,0,IF(U70=0,0,U70/'6.9 PCFP Funding Comparison YR2'!D66))</f>
        <v>10859.305841289979</v>
      </c>
    </row>
    <row r="71" spans="1:23" x14ac:dyDescent="0.3">
      <c r="A71" s="4"/>
      <c r="B71" s="132" t="str">
        <f>'5.2 Budgeted Enrollment YR2'!E69</f>
        <v>Nevada Connections Academy</v>
      </c>
      <c r="D71" s="10" t="str">
        <f t="shared" si="1"/>
        <v>PCFP</v>
      </c>
      <c r="E71" s="10" t="str">
        <f t="shared" si="2"/>
        <v>PCFP</v>
      </c>
      <c r="F71" s="559">
        <f>ROUND(SUM('7.1a Initial Allocations YR2'!E71:E71)*$K$3,2)</f>
        <v>10044966.630000001</v>
      </c>
      <c r="G71" s="559">
        <f>ROUND(IF(F71=0,0,F71/'6.9 PCFP Funding Comparison YR2'!D67),0)</f>
        <v>9414</v>
      </c>
      <c r="I71" s="565">
        <f>ROUND('7.1a Initial Allocations YR2'!G71*$K$3,2)</f>
        <v>101670.8</v>
      </c>
      <c r="J71" s="559">
        <f>ROUND('7.1a Initial Allocations YR2'!H71*$K$3,2)</f>
        <v>92256.84</v>
      </c>
      <c r="K71" s="570">
        <f>ROUND('7.1a Initial Allocations YR2'!I71*$K$3,0)</f>
        <v>0</v>
      </c>
      <c r="L71" s="559">
        <f>ROUND('7.1a Initial Allocations YR2'!J71*$K$3,2)</f>
        <v>193927.64</v>
      </c>
      <c r="N71" s="130">
        <v>0</v>
      </c>
      <c r="O71" s="130">
        <v>0</v>
      </c>
      <c r="P71" s="130">
        <v>0</v>
      </c>
      <c r="Q71" s="559">
        <f t="shared" si="3"/>
        <v>0</v>
      </c>
      <c r="S71" s="559">
        <f>ROUND('7.1a Initial Allocations YR2'!Q71*$K$3,2)</f>
        <v>0</v>
      </c>
      <c r="U71" s="559">
        <f t="shared" si="4"/>
        <v>10238894.27</v>
      </c>
      <c r="W71" s="559">
        <f>IF(F71=0,0,IF(U71=0,0,U71/'6.9 PCFP Funding Comparison YR2'!D67))</f>
        <v>9595.9019142427551</v>
      </c>
    </row>
    <row r="72" spans="1:23" x14ac:dyDescent="0.3">
      <c r="A72" s="4"/>
      <c r="B72" s="132" t="str">
        <f>'5.2 Budgeted Enrollment YR2'!E70</f>
        <v>Nevada Prep</v>
      </c>
      <c r="D72" s="10" t="str">
        <f t="shared" si="1"/>
        <v>PCFP</v>
      </c>
      <c r="E72" s="10" t="str">
        <f t="shared" si="2"/>
        <v>PCFP</v>
      </c>
      <c r="F72" s="559">
        <f>ROUND(SUM('7.1a Initial Allocations YR2'!E72:E72)*$K$3,2)</f>
        <v>2651192.73</v>
      </c>
      <c r="G72" s="559">
        <f>ROUND(IF(F72=0,0,F72/'6.9 PCFP Funding Comparison YR2'!D68),0)</f>
        <v>9414</v>
      </c>
      <c r="I72" s="565">
        <f>ROUND('7.1a Initial Allocations YR2'!G72*$K$3,2)</f>
        <v>288067.27</v>
      </c>
      <c r="J72" s="559">
        <f>ROUND('7.1a Initial Allocations YR2'!H72*$K$3,2)</f>
        <v>39538.639999999999</v>
      </c>
      <c r="K72" s="570">
        <f>ROUND('7.1a Initial Allocations YR2'!I72*$K$3,0)</f>
        <v>0</v>
      </c>
      <c r="L72" s="559">
        <f>ROUND('7.1a Initial Allocations YR2'!J72*$K$3,2)</f>
        <v>327605.90999999997</v>
      </c>
      <c r="N72" s="130">
        <v>0</v>
      </c>
      <c r="O72" s="130">
        <v>0</v>
      </c>
      <c r="P72" s="130">
        <v>0</v>
      </c>
      <c r="Q72" s="559">
        <f t="shared" si="3"/>
        <v>0</v>
      </c>
      <c r="S72" s="559">
        <f>ROUND('7.1a Initial Allocations YR2'!Q72*$K$3,2)</f>
        <v>106017.92</v>
      </c>
      <c r="U72" s="559">
        <f t="shared" si="4"/>
        <v>3084816.56</v>
      </c>
      <c r="W72" s="559">
        <f>IF(F72=0,0,IF(U72=0,0,U72/'6.9 PCFP Funding Comparison YR2'!D68))</f>
        <v>10953.912879356982</v>
      </c>
    </row>
    <row r="73" spans="1:23" x14ac:dyDescent="0.3">
      <c r="A73" s="4"/>
      <c r="B73" s="132" t="str">
        <f>'5.2 Budgeted Enrollment YR2'!E71</f>
        <v xml:space="preserve">Nevada Rise </v>
      </c>
      <c r="D73" s="10" t="str">
        <f t="shared" si="1"/>
        <v>PCFP</v>
      </c>
      <c r="E73" s="10" t="str">
        <f t="shared" si="2"/>
        <v>PCFP</v>
      </c>
      <c r="F73" s="559">
        <f>ROUND(SUM('7.1a Initial Allocations YR2'!E73:E73)*$K$3,2)</f>
        <v>4315133.37</v>
      </c>
      <c r="G73" s="559">
        <f>ROUND(IF(F73=0,0,F73/'6.9 PCFP Funding Comparison YR2'!D69),0)</f>
        <v>9414</v>
      </c>
      <c r="I73" s="565">
        <f>ROUND('7.1a Initial Allocations YR2'!G73*$K$3,2)</f>
        <v>309248.69</v>
      </c>
      <c r="J73" s="559">
        <f>ROUND('7.1a Initial Allocations YR2'!H73*$K$3,2)</f>
        <v>220757.43</v>
      </c>
      <c r="K73" s="570">
        <f>ROUND('7.1a Initial Allocations YR2'!I73*$K$3,0)</f>
        <v>0</v>
      </c>
      <c r="L73" s="559">
        <f>ROUND('7.1a Initial Allocations YR2'!J73*$K$3,2)</f>
        <v>530006.12</v>
      </c>
      <c r="N73" s="130">
        <v>0</v>
      </c>
      <c r="O73" s="130">
        <v>0</v>
      </c>
      <c r="P73" s="130">
        <v>0</v>
      </c>
      <c r="Q73" s="559">
        <f t="shared" si="3"/>
        <v>0</v>
      </c>
      <c r="S73" s="559">
        <f>ROUND('7.1a Initial Allocations YR2'!Q73*$K$3,2)</f>
        <v>164482.74</v>
      </c>
      <c r="U73" s="559">
        <f t="shared" si="4"/>
        <v>5009622.2300000004</v>
      </c>
      <c r="W73" s="559">
        <f>IF(F73=0,0,IF(U73=0,0,U73/'6.9 PCFP Funding Comparison YR2'!D69))</f>
        <v>10929.291131726135</v>
      </c>
    </row>
    <row r="74" spans="1:23" x14ac:dyDescent="0.3">
      <c r="A74" s="4"/>
      <c r="B74" s="132" t="str">
        <f>'5.2 Budgeted Enrollment YR2'!E72</f>
        <v>Nevada State High School</v>
      </c>
      <c r="D74" s="10" t="str">
        <f t="shared" si="1"/>
        <v>PCFP</v>
      </c>
      <c r="E74" s="10" t="str">
        <f t="shared" si="2"/>
        <v>PCFP</v>
      </c>
      <c r="F74" s="559">
        <f>ROUND(SUM('7.1a Initial Allocations YR2'!E74:E74)*$K$3,2)</f>
        <v>9266353.8499999996</v>
      </c>
      <c r="G74" s="559">
        <f>ROUND(IF(F74=0,0,F74/'6.9 PCFP Funding Comparison YR2'!D70),0)</f>
        <v>9414</v>
      </c>
      <c r="I74" s="565">
        <f>ROUND('7.1a Initial Allocations YR2'!G74*$K$3,2)</f>
        <v>186396.47</v>
      </c>
      <c r="J74" s="559">
        <f>ROUND('7.1a Initial Allocations YR2'!H74*$K$3,2)</f>
        <v>3294.89</v>
      </c>
      <c r="K74" s="570">
        <f>ROUND('7.1a Initial Allocations YR2'!I74*$K$3,0)</f>
        <v>0</v>
      </c>
      <c r="L74" s="559">
        <f>ROUND('7.1a Initial Allocations YR2'!J74*$K$3,2)</f>
        <v>189691.36</v>
      </c>
      <c r="N74" s="130">
        <v>0</v>
      </c>
      <c r="O74" s="130">
        <v>0</v>
      </c>
      <c r="P74" s="130">
        <v>0</v>
      </c>
      <c r="Q74" s="559">
        <f t="shared" si="3"/>
        <v>0</v>
      </c>
      <c r="S74" s="559">
        <f>ROUND('7.1a Initial Allocations YR2'!Q74*$K$3,2)</f>
        <v>0</v>
      </c>
      <c r="U74" s="559">
        <f t="shared" si="4"/>
        <v>9456045.2100000009</v>
      </c>
      <c r="W74" s="559">
        <f>IF(F74=0,0,IF(U74=0,0,U74/'6.9 PCFP Funding Comparison YR2'!D70))</f>
        <v>9606.8696861840635</v>
      </c>
    </row>
    <row r="75" spans="1:23" x14ac:dyDescent="0.3">
      <c r="A75" s="4"/>
      <c r="B75" s="132" t="str">
        <f>'5.2 Budgeted Enrollment YR2'!E73</f>
        <v>Nevada State High School-Meadowwood</v>
      </c>
      <c r="D75" s="10" t="str">
        <f t="shared" si="1"/>
        <v>PCFP</v>
      </c>
      <c r="E75" s="10" t="str">
        <f t="shared" si="2"/>
        <v>PCFP</v>
      </c>
      <c r="F75" s="559">
        <f>ROUND(SUM('7.1a Initial Allocations YR2'!E75:E75)*$K$3,2)</f>
        <v>299871.2</v>
      </c>
      <c r="G75" s="559">
        <f>ROUND(IF(F75=0,0,F75/'6.9 PCFP Funding Comparison YR2'!D71),0)</f>
        <v>9414</v>
      </c>
      <c r="I75" s="565">
        <f>ROUND('7.1a Initial Allocations YR2'!G75*$K$3,2)</f>
        <v>0</v>
      </c>
      <c r="J75" s="559">
        <f>ROUND('7.1a Initial Allocations YR2'!H75*$K$3,2)</f>
        <v>0</v>
      </c>
      <c r="K75" s="570">
        <f>ROUND('7.1a Initial Allocations YR2'!I75*$K$3,0)</f>
        <v>0</v>
      </c>
      <c r="L75" s="559">
        <f>ROUND('7.1a Initial Allocations YR2'!J75*$K$3,2)</f>
        <v>0</v>
      </c>
      <c r="N75" s="130">
        <v>0</v>
      </c>
      <c r="O75" s="130">
        <v>0</v>
      </c>
      <c r="P75" s="130">
        <v>0</v>
      </c>
      <c r="Q75" s="559">
        <f t="shared" si="3"/>
        <v>0</v>
      </c>
      <c r="S75" s="559">
        <f>ROUND('7.1a Initial Allocations YR2'!Q75*$K$3,2)</f>
        <v>0</v>
      </c>
      <c r="U75" s="559">
        <f t="shared" si="4"/>
        <v>299871.2</v>
      </c>
      <c r="W75" s="559">
        <f>IF(F75=0,0,IF(U75=0,0,U75/'6.9 PCFP Funding Comparison YR2'!D71))</f>
        <v>9414.1527813432622</v>
      </c>
    </row>
    <row r="76" spans="1:23" x14ac:dyDescent="0.3">
      <c r="A76" s="4"/>
      <c r="B76" s="132" t="str">
        <f>'5.2 Budgeted Enrollment YR2'!E74</f>
        <v>Nevada Virtual Academy</v>
      </c>
      <c r="D76" s="10" t="str">
        <f t="shared" si="1"/>
        <v>PCFP</v>
      </c>
      <c r="E76" s="10" t="str">
        <f t="shared" si="2"/>
        <v>PCFP</v>
      </c>
      <c r="F76" s="559">
        <f>ROUND(SUM('7.1a Initial Allocations YR2'!E76:E76)*$K$3,2)</f>
        <v>20339786.850000001</v>
      </c>
      <c r="G76" s="559">
        <f>ROUND(IF(F76=0,0,F76/'6.9 PCFP Funding Comparison YR2'!D72),0)</f>
        <v>9414</v>
      </c>
      <c r="I76" s="565">
        <f>ROUND('7.1a Initial Allocations YR2'!G76*$K$3,2)</f>
        <v>355847.8</v>
      </c>
      <c r="J76" s="559">
        <f>ROUND('7.1a Initial Allocations YR2'!H76*$K$3,2)</f>
        <v>527181.93000000005</v>
      </c>
      <c r="K76" s="570">
        <f>ROUND('7.1a Initial Allocations YR2'!I76*$K$3,0)</f>
        <v>0</v>
      </c>
      <c r="L76" s="559">
        <f>ROUND('7.1a Initial Allocations YR2'!J76*$K$3,2)</f>
        <v>883029.74</v>
      </c>
      <c r="N76" s="130">
        <v>0</v>
      </c>
      <c r="O76" s="130">
        <v>0</v>
      </c>
      <c r="P76" s="130">
        <v>0</v>
      </c>
      <c r="Q76" s="559">
        <f t="shared" si="3"/>
        <v>0</v>
      </c>
      <c r="S76" s="559">
        <f>ROUND('7.1a Initial Allocations YR2'!Q76*$K$3,2)</f>
        <v>0</v>
      </c>
      <c r="U76" s="559">
        <f t="shared" si="4"/>
        <v>21222816.59</v>
      </c>
      <c r="W76" s="559">
        <f>IF(F76=0,0,IF(U76=0,0,U76/'6.9 PCFP Funding Comparison YR2'!D72))</f>
        <v>9822.8579429314068</v>
      </c>
    </row>
    <row r="77" spans="1:23" x14ac:dyDescent="0.3">
      <c r="A77" s="4"/>
      <c r="B77" s="132" t="str">
        <f>'5.2 Budgeted Enrollment YR2'!E75</f>
        <v>Oasis Academy</v>
      </c>
      <c r="D77" s="10" t="str">
        <f t="shared" si="1"/>
        <v>PCFP</v>
      </c>
      <c r="E77" s="10" t="str">
        <f t="shared" si="2"/>
        <v>PCFP</v>
      </c>
      <c r="F77" s="559">
        <f>ROUND(SUM('7.1a Initial Allocations YR2'!E77:E77)*$K$3,2)</f>
        <v>7836088.6399999997</v>
      </c>
      <c r="G77" s="559">
        <f>ROUND(IF(F77=0,0,F77/'6.9 PCFP Funding Comparison YR2'!D73),0)</f>
        <v>10662</v>
      </c>
      <c r="I77" s="565">
        <f>ROUND('7.1a Initial Allocations YR2'!G77*$K$3,2)</f>
        <v>118615.93</v>
      </c>
      <c r="J77" s="559">
        <f>ROUND('7.1a Initial Allocations YR2'!H77*$K$3,2)</f>
        <v>9884.66</v>
      </c>
      <c r="K77" s="570">
        <f>ROUND('7.1a Initial Allocations YR2'!I77*$K$3,0)</f>
        <v>0</v>
      </c>
      <c r="L77" s="559">
        <f>ROUND('7.1a Initial Allocations YR2'!J77*$K$3,2)</f>
        <v>128500.6</v>
      </c>
      <c r="N77" s="130">
        <v>0</v>
      </c>
      <c r="O77" s="130">
        <v>0</v>
      </c>
      <c r="P77" s="130">
        <v>0</v>
      </c>
      <c r="Q77" s="559">
        <f t="shared" si="3"/>
        <v>0</v>
      </c>
      <c r="S77" s="559">
        <f>ROUND('7.1a Initial Allocations YR2'!Q77*$K$3,2)</f>
        <v>303426.57</v>
      </c>
      <c r="U77" s="559">
        <f t="shared" si="4"/>
        <v>8268015.8099999996</v>
      </c>
      <c r="W77" s="559">
        <f>IF(F77=0,0,IF(U77=0,0,U77/'6.9 PCFP Funding Comparison YR2'!D73))</f>
        <v>11249.937107303544</v>
      </c>
    </row>
    <row r="78" spans="1:23" x14ac:dyDescent="0.3">
      <c r="A78" s="4"/>
      <c r="B78" s="132" t="str">
        <f>'5.2 Budgeted Enrollment YR2'!E76</f>
        <v>Odyssey Charter Schools</v>
      </c>
      <c r="D78" s="10" t="str">
        <f t="shared" si="1"/>
        <v>PCFP</v>
      </c>
      <c r="E78" s="10" t="str">
        <f t="shared" si="2"/>
        <v>PCFP</v>
      </c>
      <c r="F78" s="559">
        <f>ROUND(SUM('7.1a Initial Allocations YR2'!E78:E78)*$K$3,2)</f>
        <v>21911959.93</v>
      </c>
      <c r="G78" s="559">
        <f>ROUND(IF(F78=0,0,F78/'6.9 PCFP Funding Comparison YR2'!D74),0)</f>
        <v>9414</v>
      </c>
      <c r="I78" s="565">
        <f>ROUND('7.1a Initial Allocations YR2'!G78*$K$3,2)</f>
        <v>423628.34</v>
      </c>
      <c r="J78" s="559">
        <f>ROUND('7.1a Initial Allocations YR2'!H78*$K$3,2)</f>
        <v>906093.95</v>
      </c>
      <c r="K78" s="570">
        <f>ROUND('7.1a Initial Allocations YR2'!I78*$K$3,0)</f>
        <v>0</v>
      </c>
      <c r="L78" s="559">
        <f>ROUND('7.1a Initial Allocations YR2'!J78*$K$3,2)</f>
        <v>1329722.28</v>
      </c>
      <c r="N78" s="130">
        <v>0</v>
      </c>
      <c r="O78" s="130">
        <v>0</v>
      </c>
      <c r="P78" s="130">
        <v>0</v>
      </c>
      <c r="Q78" s="559">
        <f t="shared" si="3"/>
        <v>0</v>
      </c>
      <c r="S78" s="559">
        <f>ROUND('7.1a Initial Allocations YR2'!Q78*$K$3,2)</f>
        <v>2206326.2000000002</v>
      </c>
      <c r="U78" s="559">
        <f t="shared" si="4"/>
        <v>25448008.41</v>
      </c>
      <c r="W78" s="559">
        <f>IF(F78=0,0,IF(U78=0,0,U78/'6.9 PCFP Funding Comparison YR2'!D74))</f>
        <v>10933.36418524498</v>
      </c>
    </row>
    <row r="79" spans="1:23" x14ac:dyDescent="0.3">
      <c r="A79" s="4"/>
      <c r="B79" s="132" t="str">
        <f>'5.2 Budgeted Enrollment YR2'!E77</f>
        <v>Pinecrest Academy of Northern Nevada</v>
      </c>
      <c r="D79" s="10" t="str">
        <f t="shared" si="1"/>
        <v>PCFP</v>
      </c>
      <c r="E79" s="10" t="str">
        <f t="shared" si="2"/>
        <v>PCFP</v>
      </c>
      <c r="F79" s="559">
        <f>ROUND(SUM('7.1a Initial Allocations YR2'!E79:E79)*$K$3,2)</f>
        <v>8735406.5600000005</v>
      </c>
      <c r="G79" s="559">
        <f>ROUND(IF(F79=0,0,F79/'6.9 PCFP Funding Comparison YR2'!D75),0)</f>
        <v>9414</v>
      </c>
      <c r="I79" s="565">
        <f>ROUND('7.1a Initial Allocations YR2'!G79*$K$3,2)</f>
        <v>76253.100000000006</v>
      </c>
      <c r="J79" s="559">
        <f>ROUND('7.1a Initial Allocations YR2'!H79*$K$3,2)</f>
        <v>0</v>
      </c>
      <c r="K79" s="570">
        <f>ROUND('7.1a Initial Allocations YR2'!I79*$K$3,0)</f>
        <v>38409</v>
      </c>
      <c r="L79" s="559">
        <f>ROUND('7.1a Initial Allocations YR2'!J79*$K$3,2)</f>
        <v>114662.07</v>
      </c>
      <c r="N79" s="130">
        <v>0</v>
      </c>
      <c r="O79" s="130">
        <v>0</v>
      </c>
      <c r="P79" s="130">
        <v>0</v>
      </c>
      <c r="Q79" s="559">
        <f t="shared" si="3"/>
        <v>0</v>
      </c>
      <c r="S79" s="559">
        <f>ROUND('7.1a Initial Allocations YR2'!Q79*$K$3,2)</f>
        <v>143922.4</v>
      </c>
      <c r="U79" s="559">
        <f t="shared" si="4"/>
        <v>8993991.0299999993</v>
      </c>
      <c r="W79" s="559">
        <f>IF(F79=0,0,IF(U79=0,0,U79/'6.9 PCFP Funding Comparison YR2'!D75))</f>
        <v>9692.8293752064346</v>
      </c>
    </row>
    <row r="80" spans="1:23" x14ac:dyDescent="0.3">
      <c r="A80" s="4"/>
      <c r="B80" s="132" t="str">
        <f>'5.2 Budgeted Enrollment YR2'!E78</f>
        <v>Pinecrest Academy of Nevada</v>
      </c>
      <c r="D80" s="10" t="str">
        <f t="shared" si="1"/>
        <v>PCFP</v>
      </c>
      <c r="E80" s="10" t="str">
        <f t="shared" si="2"/>
        <v>PCFP</v>
      </c>
      <c r="F80" s="559">
        <f>ROUND(SUM('7.1a Initial Allocations YR2'!E80:E80)*$K$3,2)</f>
        <v>69795129.150000006</v>
      </c>
      <c r="G80" s="559">
        <f>ROUND(IF(F80=0,0,F80/'6.9 PCFP Funding Comparison YR2'!D76),0)</f>
        <v>9414</v>
      </c>
      <c r="I80" s="565">
        <f>ROUND('7.1a Initial Allocations YR2'!G80*$K$3,2)</f>
        <v>677805.34</v>
      </c>
      <c r="J80" s="559">
        <f>ROUND('7.1a Initial Allocations YR2'!H80*$K$3,2)</f>
        <v>668862.07999999996</v>
      </c>
      <c r="K80" s="570">
        <f>ROUND('7.1a Initial Allocations YR2'!I80*$K$3,0)</f>
        <v>292586</v>
      </c>
      <c r="L80" s="559">
        <f>ROUND('7.1a Initial Allocations YR2'!J80*$K$3,2)</f>
        <v>1639253.39</v>
      </c>
      <c r="N80" s="130">
        <v>0</v>
      </c>
      <c r="O80" s="130">
        <v>0</v>
      </c>
      <c r="P80" s="130">
        <v>0</v>
      </c>
      <c r="Q80" s="559">
        <f t="shared" si="3"/>
        <v>0</v>
      </c>
      <c r="S80" s="559">
        <f>ROUND('7.1a Initial Allocations YR2'!Q80*$K$3,2)</f>
        <v>1249174.3899999999</v>
      </c>
      <c r="U80" s="559">
        <f t="shared" si="4"/>
        <v>72683556.930000007</v>
      </c>
      <c r="W80" s="559">
        <f>IF(F80=0,0,IF(U80=0,0,U80/'6.9 PCFP Funding Comparison YR2'!D76))</f>
        <v>9803.7515614295535</v>
      </c>
    </row>
    <row r="81" spans="1:23" x14ac:dyDescent="0.3">
      <c r="A81" s="4"/>
      <c r="B81" s="132" t="str">
        <f>'5.2 Budgeted Enrollment YR2'!E79</f>
        <v>Quest Academy</v>
      </c>
      <c r="D81" s="10" t="str">
        <f t="shared" si="1"/>
        <v>PCFP</v>
      </c>
      <c r="E81" s="10" t="str">
        <f t="shared" si="2"/>
        <v>PCFP</v>
      </c>
      <c r="F81" s="559">
        <f>ROUND(SUM('7.1a Initial Allocations YR2'!E81:E81)*$K$3,2)</f>
        <v>4098022.21</v>
      </c>
      <c r="G81" s="559">
        <f>ROUND(IF(F81=0,0,F81/'6.9 PCFP Funding Comparison YR2'!D77),0)</f>
        <v>9414</v>
      </c>
      <c r="I81" s="565">
        <f>ROUND('7.1a Initial Allocations YR2'!G81*$K$3,2)</f>
        <v>144033.63</v>
      </c>
      <c r="J81" s="559">
        <f>ROUND('7.1a Initial Allocations YR2'!H81*$K$3,2)</f>
        <v>138385.26</v>
      </c>
      <c r="K81" s="570">
        <f>ROUND('7.1a Initial Allocations YR2'!I81*$K$3,0)</f>
        <v>0</v>
      </c>
      <c r="L81" s="559">
        <f>ROUND('7.1a Initial Allocations YR2'!J81*$K$3,2)</f>
        <v>282418.89</v>
      </c>
      <c r="N81" s="130">
        <v>0</v>
      </c>
      <c r="O81" s="130">
        <v>0</v>
      </c>
      <c r="P81" s="130">
        <v>0</v>
      </c>
      <c r="Q81" s="559">
        <f t="shared" si="3"/>
        <v>0</v>
      </c>
      <c r="S81" s="559">
        <f>ROUND('7.1a Initial Allocations YR2'!Q81*$K$3,2)</f>
        <v>46212.09</v>
      </c>
      <c r="U81" s="559">
        <f t="shared" si="4"/>
        <v>4426653.1900000004</v>
      </c>
      <c r="W81" s="559">
        <f>IF(F81=0,0,IF(U81=0,0,U81/'6.9 PCFP Funding Comparison YR2'!D77))</f>
        <v>10169.097956196922</v>
      </c>
    </row>
    <row r="82" spans="1:23" x14ac:dyDescent="0.3">
      <c r="A82" s="4"/>
      <c r="B82" s="132" t="str">
        <f>'5.2 Budgeted Enrollment YR2'!E80</f>
        <v>Rainbow Dreams Academy</v>
      </c>
      <c r="D82" s="10" t="str">
        <f t="shared" si="1"/>
        <v>PCFP</v>
      </c>
      <c r="E82" s="10" t="str">
        <f t="shared" si="2"/>
        <v>PCFP</v>
      </c>
      <c r="F82" s="559">
        <f>ROUND(SUM('7.1a Initial Allocations YR2'!E82:E82)*$K$3,2)</f>
        <v>661867.06999999995</v>
      </c>
      <c r="G82" s="559">
        <f>ROUND(IF(F82=0,0,F82/'6.9 PCFP Funding Comparison YR2'!D78),0)</f>
        <v>9414</v>
      </c>
      <c r="I82" s="565">
        <f>ROUND('7.1a Initial Allocations YR2'!G82*$K$3,2)</f>
        <v>33890.269999999997</v>
      </c>
      <c r="J82" s="559">
        <f>ROUND('7.1a Initial Allocations YR2'!H82*$K$3,2)</f>
        <v>112026.16</v>
      </c>
      <c r="K82" s="570">
        <f>ROUND('7.1a Initial Allocations YR2'!I82*$K$3,0)</f>
        <v>0</v>
      </c>
      <c r="L82" s="559">
        <f>ROUND('7.1a Initial Allocations YR2'!J82*$K$3,2)</f>
        <v>145916.43</v>
      </c>
      <c r="N82" s="130">
        <v>0</v>
      </c>
      <c r="O82" s="130">
        <v>0</v>
      </c>
      <c r="P82" s="130">
        <v>0</v>
      </c>
      <c r="Q82" s="559">
        <f t="shared" si="3"/>
        <v>0</v>
      </c>
      <c r="S82" s="559">
        <f>ROUND('7.1a Initial Allocations YR2'!Q82*$K$3,2)</f>
        <v>40641.4</v>
      </c>
      <c r="U82" s="559">
        <f t="shared" si="4"/>
        <v>848424.9</v>
      </c>
      <c r="W82" s="559">
        <f>IF(F82=0,0,IF(U82=0,0,U82/'6.9 PCFP Funding Comparison YR2'!D78))</f>
        <v>12067.682428646425</v>
      </c>
    </row>
    <row r="83" spans="1:23" x14ac:dyDescent="0.3">
      <c r="A83" s="4"/>
      <c r="B83" s="132" t="str">
        <f>'5.2 Budgeted Enrollment YR2'!E81</f>
        <v>Rooted Charter School</v>
      </c>
      <c r="D83" s="10" t="str">
        <f t="shared" si="1"/>
        <v>PCFP</v>
      </c>
      <c r="E83" s="10" t="str">
        <f t="shared" si="2"/>
        <v>PCFP</v>
      </c>
      <c r="F83" s="559">
        <f>ROUND(SUM('7.1a Initial Allocations YR2'!E83:E83)*$K$3,2)</f>
        <v>1696242.05</v>
      </c>
      <c r="G83" s="559">
        <f>ROUND(IF(F83=0,0,F83/'6.9 PCFP Funding Comparison YR2'!D79),0)</f>
        <v>9414</v>
      </c>
      <c r="I83" s="565">
        <f>ROUND('7.1a Initial Allocations YR2'!G83*$K$3,2)</f>
        <v>0</v>
      </c>
      <c r="J83" s="559">
        <f>ROUND('7.1a Initial Allocations YR2'!H83*$K$3,2)</f>
        <v>0</v>
      </c>
      <c r="K83" s="570">
        <f>ROUND('7.1a Initial Allocations YR2'!I83*$K$3,0)</f>
        <v>0</v>
      </c>
      <c r="L83" s="559">
        <f>ROUND('7.1a Initial Allocations YR2'!J83*$K$3,2)</f>
        <v>0</v>
      </c>
      <c r="N83" s="130">
        <v>0</v>
      </c>
      <c r="O83" s="130">
        <v>0</v>
      </c>
      <c r="P83" s="130">
        <v>0</v>
      </c>
      <c r="Q83" s="559">
        <f t="shared" ref="Q83" si="5">SUM(N83:P83)</f>
        <v>0</v>
      </c>
      <c r="S83" s="559">
        <f>ROUND('7.1a Initial Allocations YR2'!Q83*$K$3,2)</f>
        <v>0</v>
      </c>
      <c r="U83" s="559">
        <f t="shared" si="4"/>
        <v>1696242.05</v>
      </c>
      <c r="W83" s="559">
        <f>IF(F83=0,0,IF(U83=0,0,U83/'6.9 PCFP Funding Comparison YR2'!D79))</f>
        <v>9414.1527916527921</v>
      </c>
    </row>
    <row r="84" spans="1:23" x14ac:dyDescent="0.3">
      <c r="A84" s="4"/>
      <c r="B84" s="132" t="str">
        <f>'5.2 Budgeted Enrollment YR2'!E82</f>
        <v>Sage Collegiate Academy</v>
      </c>
      <c r="D84" s="10" t="str">
        <f t="shared" si="1"/>
        <v>PCFP</v>
      </c>
      <c r="E84" s="10" t="str">
        <f t="shared" si="2"/>
        <v>PCFP</v>
      </c>
      <c r="F84" s="559">
        <f>ROUND(SUM('7.1a Initial Allocations YR2'!E84:E84)*$K$3,2)</f>
        <v>1874140.68</v>
      </c>
      <c r="G84" s="559">
        <f>ROUND(IF(F84=0,0,F84/'6.9 PCFP Funding Comparison YR2'!D80),0)</f>
        <v>9414</v>
      </c>
      <c r="I84" s="565">
        <f>ROUND('7.1a Initial Allocations YR2'!G84*$K$3,2)</f>
        <v>76253.100000000006</v>
      </c>
      <c r="J84" s="559">
        <f>ROUND('7.1a Initial Allocations YR2'!H84*$K$3,2)</f>
        <v>0</v>
      </c>
      <c r="K84" s="570">
        <f>ROUND('7.1a Initial Allocations YR2'!I84*$K$3,0)</f>
        <v>0</v>
      </c>
      <c r="L84" s="559">
        <f>ROUND('7.1a Initial Allocations YR2'!J84*$K$3,2)</f>
        <v>76253.100000000006</v>
      </c>
      <c r="N84" s="130">
        <v>0</v>
      </c>
      <c r="O84" s="130">
        <v>0</v>
      </c>
      <c r="P84" s="130">
        <v>0</v>
      </c>
      <c r="Q84" s="559">
        <f t="shared" si="3"/>
        <v>0</v>
      </c>
      <c r="S84" s="559">
        <f>ROUND('7.1a Initial Allocations YR2'!Q84*$K$3,2)</f>
        <v>0</v>
      </c>
      <c r="U84" s="559">
        <f t="shared" si="4"/>
        <v>1950393.78</v>
      </c>
      <c r="W84" s="559">
        <f>IF(F84=0,0,IF(U84=0,0,U84/'6.9 PCFP Funding Comparison YR2'!D80))</f>
        <v>9797.1860137386375</v>
      </c>
    </row>
    <row r="85" spans="1:23" x14ac:dyDescent="0.3">
      <c r="A85" s="4"/>
      <c r="B85" s="132" t="str">
        <f>'5.2 Budgeted Enrollment YR2'!E83</f>
        <v>Sierra Nevada Academy Charter</v>
      </c>
      <c r="D85" s="10" t="str">
        <f t="shared" si="1"/>
        <v>PCFP</v>
      </c>
      <c r="E85" s="10" t="str">
        <f t="shared" si="2"/>
        <v>PCFP</v>
      </c>
      <c r="F85" s="559">
        <f>ROUND(SUM('7.1a Initial Allocations YR2'!E85:E85)*$K$3,2)</f>
        <v>3293978.8</v>
      </c>
      <c r="G85" s="559">
        <f>ROUND(IF(F85=0,0,F85/'6.9 PCFP Funding Comparison YR2'!D81),0)</f>
        <v>10158</v>
      </c>
      <c r="I85" s="565">
        <f>ROUND('7.1a Initial Allocations YR2'!G85*$K$3,2)</f>
        <v>84725.67</v>
      </c>
      <c r="J85" s="559">
        <f>ROUND('7.1a Initial Allocations YR2'!H85*$K$3,2)</f>
        <v>105436.39</v>
      </c>
      <c r="K85" s="570">
        <f>ROUND('7.1a Initial Allocations YR2'!I85*$K$3,0)</f>
        <v>0</v>
      </c>
      <c r="L85" s="559">
        <f>ROUND('7.1a Initial Allocations YR2'!J85*$K$3,2)</f>
        <v>190162.05</v>
      </c>
      <c r="N85" s="130">
        <v>0</v>
      </c>
      <c r="O85" s="130">
        <v>0</v>
      </c>
      <c r="P85" s="130">
        <v>0</v>
      </c>
      <c r="Q85" s="559">
        <f t="shared" si="3"/>
        <v>0</v>
      </c>
      <c r="S85" s="559">
        <f>ROUND('7.1a Initial Allocations YR2'!Q85*$K$3,2)</f>
        <v>119100.41</v>
      </c>
      <c r="U85" s="559">
        <f t="shared" si="4"/>
        <v>3603241.26</v>
      </c>
      <c r="W85" s="559">
        <f>IF(F85=0,0,IF(U85=0,0,U85/'6.9 PCFP Funding Comparison YR2'!D81))</f>
        <v>11111.207456779372</v>
      </c>
    </row>
    <row r="86" spans="1:23" x14ac:dyDescent="0.3">
      <c r="A86" s="4"/>
      <c r="B86" s="132" t="str">
        <f>'5.2 Budgeted Enrollment YR2'!E84</f>
        <v>Signature Preparatory</v>
      </c>
      <c r="D86" s="10" t="str">
        <f t="shared" si="1"/>
        <v>PCFP</v>
      </c>
      <c r="E86" s="10" t="str">
        <f t="shared" si="2"/>
        <v>PCFP</v>
      </c>
      <c r="F86" s="559">
        <f>ROUND(SUM('7.1a Initial Allocations YR2'!E86:E86)*$K$3,2)</f>
        <v>9175495.75</v>
      </c>
      <c r="G86" s="559">
        <f>ROUND(IF(F86=0,0,F86/'6.9 PCFP Funding Comparison YR2'!D82),0)</f>
        <v>9414</v>
      </c>
      <c r="I86" s="565">
        <f>ROUND('7.1a Initial Allocations YR2'!G86*$K$3,2)</f>
        <v>317721.25</v>
      </c>
      <c r="J86" s="559">
        <f>ROUND('7.1a Initial Allocations YR2'!H86*$K$3,2)</f>
        <v>16474.439999999999</v>
      </c>
      <c r="K86" s="570">
        <f>ROUND('7.1a Initial Allocations YR2'!I86*$K$3,0)</f>
        <v>0</v>
      </c>
      <c r="L86" s="559">
        <f>ROUND('7.1a Initial Allocations YR2'!J86*$K$3,2)</f>
        <v>334195.69</v>
      </c>
      <c r="N86" s="130">
        <v>0</v>
      </c>
      <c r="O86" s="130">
        <v>0</v>
      </c>
      <c r="P86" s="130">
        <v>0</v>
      </c>
      <c r="Q86" s="559">
        <f t="shared" si="3"/>
        <v>0</v>
      </c>
      <c r="S86" s="559">
        <f>ROUND('7.1a Initial Allocations YR2'!Q86*$K$3,2)</f>
        <v>290704.06</v>
      </c>
      <c r="U86" s="559">
        <f t="shared" si="4"/>
        <v>9800395.5</v>
      </c>
      <c r="W86" s="559">
        <f>IF(F86=0,0,IF(U86=0,0,U86/'6.9 PCFP Funding Comparison YR2'!D82))</f>
        <v>10055.306290029403</v>
      </c>
    </row>
    <row r="87" spans="1:23" x14ac:dyDescent="0.3">
      <c r="A87" s="4"/>
      <c r="B87" s="132" t="str">
        <f>'5.2 Budgeted Enrollment YR2'!E85</f>
        <v>Silver Sands Montessori</v>
      </c>
      <c r="D87" s="10" t="str">
        <f t="shared" si="1"/>
        <v>PCFP</v>
      </c>
      <c r="E87" s="10" t="str">
        <f t="shared" si="2"/>
        <v>PCFP</v>
      </c>
      <c r="F87" s="559">
        <f>ROUND(SUM('7.1a Initial Allocations YR2'!E87:E87)*$K$3,2)</f>
        <v>2263045.98</v>
      </c>
      <c r="G87" s="559">
        <f>ROUND(IF(F87=0,0,F87/'6.9 PCFP Funding Comparison YR2'!D83),0)</f>
        <v>9414</v>
      </c>
      <c r="I87" s="565">
        <f>ROUND('7.1a Initial Allocations YR2'!G87*$K$3,2)</f>
        <v>46599.12</v>
      </c>
      <c r="J87" s="559">
        <f>ROUND('7.1a Initial Allocations YR2'!H87*$K$3,2)</f>
        <v>39538.639999999999</v>
      </c>
      <c r="K87" s="570">
        <f>ROUND('7.1a Initial Allocations YR2'!I87*$K$3,0)</f>
        <v>0</v>
      </c>
      <c r="L87" s="559">
        <f>ROUND('7.1a Initial Allocations YR2'!J87*$K$3,2)</f>
        <v>86137.76</v>
      </c>
      <c r="N87" s="130">
        <v>0</v>
      </c>
      <c r="O87" s="130">
        <v>0</v>
      </c>
      <c r="P87" s="130">
        <v>0</v>
      </c>
      <c r="Q87" s="559">
        <f t="shared" si="3"/>
        <v>0</v>
      </c>
      <c r="S87" s="559">
        <f>ROUND('7.1a Initial Allocations YR2'!Q87*$K$3,2)</f>
        <v>0</v>
      </c>
      <c r="U87" s="559">
        <f t="shared" si="4"/>
        <v>2349183.7400000002</v>
      </c>
      <c r="W87" s="559">
        <f>IF(F87=0,0,IF(U87=0,0,U87/'6.9 PCFP Funding Comparison YR2'!D83))</f>
        <v>9772.4813125072906</v>
      </c>
    </row>
    <row r="88" spans="1:23" x14ac:dyDescent="0.3">
      <c r="A88" s="4"/>
      <c r="B88" s="132" t="str">
        <f>'5.2 Budgeted Enrollment YR2'!E86</f>
        <v>Somerset Academy</v>
      </c>
      <c r="D88" s="10" t="str">
        <f t="shared" si="1"/>
        <v>PCFP</v>
      </c>
      <c r="E88" s="10" t="str">
        <f t="shared" si="2"/>
        <v>PCFP</v>
      </c>
      <c r="F88" s="559">
        <f>ROUND(SUM('7.1a Initial Allocations YR2'!E88:E88)*$K$3,2)</f>
        <v>89205086.659999996</v>
      </c>
      <c r="G88" s="559">
        <f>ROUND(IF(F88=0,0,F88/'6.9 PCFP Funding Comparison YR2'!D84),0)</f>
        <v>9414</v>
      </c>
      <c r="I88" s="565">
        <f>ROUND('7.1a Initial Allocations YR2'!G88*$K$3,2)</f>
        <v>1448808.92</v>
      </c>
      <c r="J88" s="559">
        <f>ROUND('7.1a Initial Allocations YR2'!H88*$K$3,2)</f>
        <v>995055.9</v>
      </c>
      <c r="K88" s="570">
        <f>ROUND('7.1a Initial Allocations YR2'!I88*$K$3,0)</f>
        <v>127653</v>
      </c>
      <c r="L88" s="559">
        <f>ROUND('7.1a Initial Allocations YR2'!J88*$K$3,2)</f>
        <v>2571518.15</v>
      </c>
      <c r="N88" s="130">
        <v>0</v>
      </c>
      <c r="O88" s="130">
        <v>0</v>
      </c>
      <c r="P88" s="130">
        <v>0</v>
      </c>
      <c r="Q88" s="559">
        <f t="shared" si="3"/>
        <v>0</v>
      </c>
      <c r="S88" s="559">
        <f>ROUND('7.1a Initial Allocations YR2'!Q88*$K$3,2)</f>
        <v>2718345.74</v>
      </c>
      <c r="U88" s="559">
        <f t="shared" si="4"/>
        <v>94494950.549999997</v>
      </c>
      <c r="W88" s="559">
        <f>IF(F88=0,0,IF(U88=0,0,U88/'6.9 PCFP Funding Comparison YR2'!D84))</f>
        <v>9972.4122312143136</v>
      </c>
    </row>
    <row r="89" spans="1:23" x14ac:dyDescent="0.3">
      <c r="A89" s="4"/>
      <c r="B89" s="132" t="str">
        <f>'5.2 Budgeted Enrollment YR2'!E87</f>
        <v>Southern Nevada Trade High School</v>
      </c>
      <c r="D89" s="10" t="str">
        <f t="shared" si="1"/>
        <v>PCFP</v>
      </c>
      <c r="E89" s="10" t="str">
        <f t="shared" si="2"/>
        <v>PCFP</v>
      </c>
      <c r="F89" s="559">
        <f>ROUND(SUM('7.1a Initial Allocations YR2'!E89:E89)*$K$3,2)</f>
        <v>1884713.38</v>
      </c>
      <c r="G89" s="559">
        <f>ROUND(IF(F89=0,0,F89/'6.9 PCFP Funding Comparison YR2'!D85),0)</f>
        <v>9414</v>
      </c>
      <c r="I89" s="565">
        <f>ROUND('7.1a Initial Allocations YR2'!G89*$K$3,2)</f>
        <v>0</v>
      </c>
      <c r="J89" s="559">
        <f>ROUND('7.1a Initial Allocations YR2'!H89*$K$3,2)</f>
        <v>0</v>
      </c>
      <c r="K89" s="570">
        <f>ROUND('7.1a Initial Allocations YR2'!I89*$K$3,0)</f>
        <v>0</v>
      </c>
      <c r="L89" s="559">
        <f>ROUND('7.1a Initial Allocations YR2'!J89*$K$3,2)</f>
        <v>0</v>
      </c>
      <c r="N89" s="130">
        <v>0</v>
      </c>
      <c r="O89" s="130">
        <v>0</v>
      </c>
      <c r="P89" s="130">
        <v>0</v>
      </c>
      <c r="Q89" s="559">
        <f t="shared" ref="Q89" si="6">SUM(N89:P89)</f>
        <v>0</v>
      </c>
      <c r="S89" s="559">
        <f>ROUND('7.1a Initial Allocations YR2'!Q89*$K$3,2)</f>
        <v>0</v>
      </c>
      <c r="U89" s="559">
        <f t="shared" si="4"/>
        <v>1884713.38</v>
      </c>
      <c r="W89" s="559">
        <f>IF(F89=0,0,IF(U89=0,0,U89/'6.9 PCFP Funding Comparison YR2'!D85))</f>
        <v>9414.1527472527468</v>
      </c>
    </row>
    <row r="90" spans="1:23" x14ac:dyDescent="0.3">
      <c r="A90" s="4"/>
      <c r="B90" s="132" t="str">
        <f>'5.2 Budgeted Enrollment YR2'!E88</f>
        <v>Sports Leadership and Management Academy</v>
      </c>
      <c r="D90" s="10" t="str">
        <f t="shared" si="1"/>
        <v>PCFP</v>
      </c>
      <c r="E90" s="10" t="str">
        <f t="shared" si="2"/>
        <v>PCFP</v>
      </c>
      <c r="F90" s="559">
        <f>ROUND(SUM('7.1a Initial Allocations YR2'!E90:E90)*$K$3,2)</f>
        <v>16832620.609999999</v>
      </c>
      <c r="G90" s="559">
        <f>ROUND(IF(F90=0,0,F90/'6.9 PCFP Funding Comparison YR2'!D86),0)</f>
        <v>9414</v>
      </c>
      <c r="I90" s="565">
        <f>ROUND('7.1a Initial Allocations YR2'!G90*$K$3,2)</f>
        <v>686277.91</v>
      </c>
      <c r="J90" s="559">
        <f>ROUND('7.1a Initial Allocations YR2'!H90*$K$3,2)</f>
        <v>408566</v>
      </c>
      <c r="K90" s="570">
        <f>ROUND('7.1a Initial Allocations YR2'!I90*$K$3,0)</f>
        <v>0</v>
      </c>
      <c r="L90" s="559">
        <f>ROUND('7.1a Initial Allocations YR2'!J90*$K$3,2)</f>
        <v>1094843.9099999999</v>
      </c>
      <c r="N90" s="130">
        <v>0</v>
      </c>
      <c r="O90" s="130">
        <v>0</v>
      </c>
      <c r="P90" s="130">
        <v>0</v>
      </c>
      <c r="Q90" s="559">
        <f t="shared" si="3"/>
        <v>0</v>
      </c>
      <c r="S90" s="559">
        <f>ROUND('7.1a Initial Allocations YR2'!Q90*$K$3,2)</f>
        <v>760595.89</v>
      </c>
      <c r="U90" s="559">
        <f t="shared" si="4"/>
        <v>18688060.41</v>
      </c>
      <c r="W90" s="559">
        <f>IF(F90=0,0,IF(U90=0,0,U90/'6.9 PCFP Funding Comparison YR2'!D86))</f>
        <v>10451.863626042516</v>
      </c>
    </row>
    <row r="91" spans="1:23" x14ac:dyDescent="0.3">
      <c r="A91" s="4"/>
      <c r="B91" s="132" t="str">
        <f>'5.2 Budgeted Enrollment YR2'!E89</f>
        <v>Strong Start Academy</v>
      </c>
      <c r="D91" s="10" t="str">
        <f t="shared" si="1"/>
        <v>PCFP</v>
      </c>
      <c r="E91" s="10" t="str">
        <f t="shared" si="2"/>
        <v>PCFP</v>
      </c>
      <c r="F91" s="559">
        <f>ROUND(SUM('7.1a Initial Allocations YR2'!E91:E91)*$K$3,2)</f>
        <v>759825.45</v>
      </c>
      <c r="G91" s="559">
        <f>ROUND(IF(F91=0,0,F91/'6.9 PCFP Funding Comparison YR2'!D87),0)</f>
        <v>9414</v>
      </c>
      <c r="I91" s="565">
        <f>ROUND('7.1a Initial Allocations YR2'!G91*$K$3,2)</f>
        <v>67780.53</v>
      </c>
      <c r="J91" s="559">
        <f>ROUND('7.1a Initial Allocations YR2'!H91*$K$3,2)</f>
        <v>0</v>
      </c>
      <c r="K91" s="570">
        <f>ROUND('7.1a Initial Allocations YR2'!I91*$K$3,0)</f>
        <v>0</v>
      </c>
      <c r="L91" s="559">
        <f>ROUND('7.1a Initial Allocations YR2'!J91*$K$3,2)</f>
        <v>67780.53</v>
      </c>
      <c r="N91" s="130">
        <v>0</v>
      </c>
      <c r="O91" s="130">
        <v>0</v>
      </c>
      <c r="P91" s="130">
        <v>0</v>
      </c>
      <c r="Q91" s="559">
        <f t="shared" si="3"/>
        <v>0</v>
      </c>
      <c r="S91" s="559">
        <f>ROUND('7.1a Initial Allocations YR2'!Q91*$K$3,2)</f>
        <v>0</v>
      </c>
      <c r="U91" s="559">
        <f t="shared" si="4"/>
        <v>827605.98</v>
      </c>
      <c r="W91" s="559">
        <f>IF(F91=0,0,IF(U91=0,0,U91/'6.9 PCFP Funding Comparison YR2'!D87))</f>
        <v>10253.945943716488</v>
      </c>
    </row>
    <row r="92" spans="1:23" x14ac:dyDescent="0.3">
      <c r="A92" s="4"/>
      <c r="B92" s="132" t="str">
        <f>'5.2 Budgeted Enrollment YR2'!E90</f>
        <v>TEACH Las Vegas</v>
      </c>
      <c r="D92" s="10" t="str">
        <f t="shared" si="1"/>
        <v>PCFP</v>
      </c>
      <c r="E92" s="10" t="str">
        <f t="shared" si="2"/>
        <v>PCFP</v>
      </c>
      <c r="F92" s="559">
        <f>ROUND(SUM('7.1a Initial Allocations YR2'!E92:E92)*$K$3,2)</f>
        <v>3024813.18</v>
      </c>
      <c r="G92" s="559">
        <f>ROUND(IF(F92=0,0,F92/'6.9 PCFP Funding Comparison YR2'!D88),0)</f>
        <v>9414</v>
      </c>
      <c r="I92" s="565">
        <f>ROUND('7.1a Initial Allocations YR2'!G92*$K$3,2)</f>
        <v>190632.75</v>
      </c>
      <c r="J92" s="559">
        <f>ROUND('7.1a Initial Allocations YR2'!H92*$K$3,2)</f>
        <v>59307.97</v>
      </c>
      <c r="K92" s="570">
        <f>ROUND('7.1a Initial Allocations YR2'!I92*$K$3,0)</f>
        <v>0</v>
      </c>
      <c r="L92" s="559">
        <f>ROUND('7.1a Initial Allocations YR2'!J92*$K$3,2)</f>
        <v>249940.72</v>
      </c>
      <c r="N92" s="130">
        <v>0</v>
      </c>
      <c r="O92" s="130">
        <v>0</v>
      </c>
      <c r="P92" s="130">
        <v>0</v>
      </c>
      <c r="Q92" s="559">
        <f t="shared" si="3"/>
        <v>0</v>
      </c>
      <c r="S92" s="559">
        <f>ROUND('7.1a Initial Allocations YR2'!Q92*$K$3,2)</f>
        <v>48177.16</v>
      </c>
      <c r="U92" s="559">
        <f t="shared" si="4"/>
        <v>3322931.06</v>
      </c>
      <c r="W92" s="559">
        <f>IF(F92=0,0,IF(U92=0,0,U92/'6.9 PCFP Funding Comparison YR2'!D88))</f>
        <v>10341.987672190211</v>
      </c>
    </row>
    <row r="93" spans="1:23" x14ac:dyDescent="0.3">
      <c r="A93" s="4"/>
      <c r="B93" s="195" t="str">
        <f>'5.2 Budgeted Enrollment YR2'!E91</f>
        <v>Young Women's Leadership Academy</v>
      </c>
      <c r="C93" s="183"/>
      <c r="D93" s="183" t="str">
        <f t="shared" si="1"/>
        <v>PCFP</v>
      </c>
      <c r="E93" s="183" t="str">
        <f t="shared" si="2"/>
        <v>PCFP</v>
      </c>
      <c r="F93" s="561">
        <f>ROUND(SUM('7.1a Initial Allocations YR2'!E93:E93)*$K$3,2)</f>
        <v>531081.81000000006</v>
      </c>
      <c r="G93" s="561">
        <f>ROUND(IF(F93=0,0,F93/'6.9 PCFP Funding Comparison YR2'!D89),0)</f>
        <v>9414</v>
      </c>
      <c r="I93" s="566">
        <f>ROUND('7.1a Initial Allocations YR2'!G93*$K$3,2)</f>
        <v>21181.42</v>
      </c>
      <c r="J93" s="561">
        <f>ROUND('7.1a Initial Allocations YR2'!H93*$K$3,2)</f>
        <v>0</v>
      </c>
      <c r="K93" s="577">
        <f>ROUND('7.1a Initial Allocations YR2'!I93*$K$3,0)</f>
        <v>0</v>
      </c>
      <c r="L93" s="561">
        <f>ROUND('7.1a Initial Allocations YR2'!J93*$K$3,2)</f>
        <v>21181.42</v>
      </c>
      <c r="N93" s="223">
        <v>0</v>
      </c>
      <c r="O93" s="223">
        <v>0</v>
      </c>
      <c r="P93" s="223">
        <v>0</v>
      </c>
      <c r="Q93" s="561">
        <f t="shared" si="3"/>
        <v>0</v>
      </c>
      <c r="S93" s="561">
        <f>ROUND('7.1a Initial Allocations YR2'!Q93*$K$3,2)</f>
        <v>0</v>
      </c>
      <c r="U93" s="561">
        <f t="shared" si="4"/>
        <v>552263.23</v>
      </c>
      <c r="W93" s="561">
        <f>IF(F93=0,0,IF(U93=0,0,U93/'6.9 PCFP Funding Comparison YR2'!D89))</f>
        <v>9789.6225081917164</v>
      </c>
    </row>
    <row r="94" spans="1:23" s="4" customFormat="1" x14ac:dyDescent="0.3">
      <c r="B94" s="304" t="str">
        <f>'1.2 Budgeted Enrollment YR1'!E92</f>
        <v>Total Charter Schools</v>
      </c>
      <c r="C94" s="181"/>
      <c r="D94" s="181"/>
      <c r="E94" s="1006"/>
      <c r="F94" s="573">
        <f>SUM(F34:F93)</f>
        <v>652502815.93000007</v>
      </c>
      <c r="G94" s="573">
        <f>G28</f>
        <v>9447</v>
      </c>
      <c r="I94" s="573">
        <f>SUM(I34:I93)</f>
        <v>23341921.410000008</v>
      </c>
      <c r="J94" s="573">
        <f>SUM(J34:J93)</f>
        <v>10049405.609999999</v>
      </c>
      <c r="K94" s="573">
        <f>SUM(K34:K93)</f>
        <v>1239255</v>
      </c>
      <c r="L94" s="573">
        <f>SUM(L34:L93)</f>
        <v>34630581.120000005</v>
      </c>
      <c r="N94" s="563">
        <f>SUM(N34:N93)</f>
        <v>0</v>
      </c>
      <c r="O94" s="563">
        <f>SUM(O34:O93)</f>
        <v>0</v>
      </c>
      <c r="P94" s="563">
        <f>SUM(P34:P93)</f>
        <v>0</v>
      </c>
      <c r="Q94" s="563">
        <f>SUM(Q34:Q93)</f>
        <v>0</v>
      </c>
      <c r="S94" s="573">
        <f>SUM(S34:S93)</f>
        <v>14761439.740000002</v>
      </c>
      <c r="U94" s="573">
        <f>SUM(U34:U93)</f>
        <v>701894836.78999984</v>
      </c>
    </row>
    <row r="95" spans="1:23" x14ac:dyDescent="0.3">
      <c r="F95" s="12">
        <f>F28-F94</f>
        <v>0</v>
      </c>
      <c r="G95" s="12">
        <f>G28-G94</f>
        <v>0</v>
      </c>
      <c r="I95" s="800">
        <f>I94-I28</f>
        <v>0</v>
      </c>
      <c r="J95" s="800">
        <f>J94-J28</f>
        <v>0</v>
      </c>
      <c r="K95" s="800">
        <f>K94-K28</f>
        <v>0</v>
      </c>
      <c r="L95" s="800">
        <f>L94-L28</f>
        <v>0</v>
      </c>
      <c r="N95" s="800">
        <f>N94-N28</f>
        <v>0</v>
      </c>
      <c r="O95" s="800">
        <f>O94-O28</f>
        <v>0</v>
      </c>
      <c r="P95" s="800">
        <f>P94-P28</f>
        <v>0</v>
      </c>
      <c r="Q95" s="800">
        <f>Q94-Q28</f>
        <v>0</v>
      </c>
      <c r="S95" s="800">
        <f>S94-S28</f>
        <v>0</v>
      </c>
      <c r="U95" s="175">
        <f>U94-U28</f>
        <v>0.78999984264373779</v>
      </c>
    </row>
    <row r="96" spans="1:23" x14ac:dyDescent="0.3">
      <c r="A96" s="4" t="s">
        <v>1259</v>
      </c>
      <c r="B96" s="183"/>
      <c r="C96" s="183"/>
      <c r="D96" s="183"/>
      <c r="E96" s="183"/>
      <c r="F96" s="183"/>
      <c r="G96" s="183"/>
      <c r="I96" s="801"/>
      <c r="J96" s="801"/>
      <c r="K96" s="801"/>
      <c r="L96" s="801"/>
      <c r="N96" s="801"/>
      <c r="O96" s="801"/>
      <c r="P96" s="801"/>
      <c r="Q96" s="801"/>
      <c r="S96" s="801"/>
      <c r="U96" s="802"/>
    </row>
    <row r="97" spans="1:23" x14ac:dyDescent="0.3">
      <c r="A97" s="4"/>
      <c r="B97" s="132" t="str">
        <f>'5.2 Budgeted Enrollment YR2'!E96</f>
        <v>Davidson Academy</v>
      </c>
      <c r="D97" s="10" t="str">
        <f>$D$29</f>
        <v>PCFP</v>
      </c>
      <c r="E97" s="143" t="str">
        <f>$E$29</f>
        <v>PCFP</v>
      </c>
      <c r="F97" s="559">
        <f>ROUND('7.1a Initial Allocations YR2'!E97*$K$3,0)</f>
        <v>1527033</v>
      </c>
      <c r="G97" s="559">
        <f>ROUND(IF(F97=0,0,F97/'6.9 PCFP Funding Comparison YR2'!D95),0)</f>
        <v>9414</v>
      </c>
      <c r="I97" s="565">
        <f>'7.1a Initial Allocations YR2'!G97*$K$3</f>
        <v>0</v>
      </c>
      <c r="J97" s="565">
        <f>'3.1a Initial Allocations YR1'!H98*'3.1b Allocation Adj. YR1 '!$K$3</f>
        <v>0</v>
      </c>
      <c r="K97" s="565">
        <f>'3.1a Initial Allocations YR1'!I98*'3.1b Allocation Adj. YR1 '!$K$3</f>
        <v>0</v>
      </c>
      <c r="L97" s="559">
        <f>'3.1a Initial Allocations YR1'!J98*'3.1b Allocation Adj. YR1 '!$K$3</f>
        <v>0</v>
      </c>
      <c r="N97" s="130">
        <v>0</v>
      </c>
      <c r="O97" s="130">
        <v>0</v>
      </c>
      <c r="P97" s="130">
        <v>0</v>
      </c>
      <c r="Q97" s="559">
        <f>SUM(N97:P97)</f>
        <v>0</v>
      </c>
      <c r="S97" s="559">
        <f>'3.1a Initial Allocations YR1'!Q98*'3.1b Allocation Adj. YR1 '!$K$3</f>
        <v>0</v>
      </c>
      <c r="U97" s="559">
        <f>ROUND(Q97+L97+F97+S97,0)</f>
        <v>1527033</v>
      </c>
      <c r="W97" s="560">
        <f>IF(U97=0,0,U97/'6.9 PCFP Funding Comparison YR2'!D95)</f>
        <v>9414.1510790973553</v>
      </c>
    </row>
    <row r="98" spans="1:23" x14ac:dyDescent="0.3">
      <c r="A98" s="4"/>
      <c r="B98" s="132">
        <f>'5.2 Budgeted Enrollment YR2'!E97</f>
        <v>0</v>
      </c>
      <c r="C98" s="183"/>
      <c r="D98" s="168" t="str">
        <f>$D$29</f>
        <v>PCFP</v>
      </c>
      <c r="E98" s="168" t="str">
        <f>$E$29</f>
        <v>PCFP</v>
      </c>
      <c r="F98" s="559">
        <f>'7.1a Initial Allocations YR2'!E98*$K$3</f>
        <v>0</v>
      </c>
      <c r="G98" s="561">
        <f>IF(F98=0,0,F98/'2.9 PCFP Funding Comparison YR1'!D96)</f>
        <v>0</v>
      </c>
      <c r="I98" s="566">
        <f>'3.1a Initial Allocations YR1'!G99*$K$3</f>
        <v>0</v>
      </c>
      <c r="J98" s="566">
        <f>'3.1a Initial Allocations YR1'!H99*'3.1b Allocation Adj. YR1 '!$K$3</f>
        <v>0</v>
      </c>
      <c r="K98" s="566">
        <f>'3.1a Initial Allocations YR1'!I99*'3.1b Allocation Adj. YR1 '!$K$3</f>
        <v>0</v>
      </c>
      <c r="L98" s="561">
        <f>'3.1a Initial Allocations YR1'!J99*'3.1b Allocation Adj. YR1 '!$K$3</f>
        <v>0</v>
      </c>
      <c r="N98" s="223">
        <v>0</v>
      </c>
      <c r="O98" s="223">
        <v>0</v>
      </c>
      <c r="P98" s="223">
        <v>0</v>
      </c>
      <c r="Q98" s="561">
        <f>SUM(N98:P98)</f>
        <v>0</v>
      </c>
      <c r="S98" s="559">
        <f>'3.1a Initial Allocations YR1'!Q99*'3.1b Allocation Adj. YR1 '!$K$3</f>
        <v>0</v>
      </c>
      <c r="U98" s="559">
        <f>Q98+L98+F98+S98</f>
        <v>0</v>
      </c>
      <c r="W98" s="561">
        <f>IF(U98=0,0,U98/'2.9 PCFP Funding Comparison YR1'!#REF!)</f>
        <v>0</v>
      </c>
    </row>
    <row r="99" spans="1:23" s="4" customFormat="1" x14ac:dyDescent="0.3">
      <c r="B99" s="1601" t="str">
        <f>'1.2 Budgeted Enrollment YR1'!E98</f>
        <v>Total University Schools</v>
      </c>
      <c r="C99" s="1602"/>
      <c r="D99" s="1602"/>
      <c r="E99" s="1603"/>
      <c r="F99" s="564">
        <f>SUM(F97:F98)</f>
        <v>1527033</v>
      </c>
      <c r="G99" s="1044">
        <f>G97</f>
        <v>9414</v>
      </c>
      <c r="I99" s="571">
        <f>SUM(I97:I98)</f>
        <v>0</v>
      </c>
      <c r="J99" s="572">
        <f>SUM(J97:J98)</f>
        <v>0</v>
      </c>
      <c r="K99" s="572">
        <f>SUM(K97:K98)</f>
        <v>0</v>
      </c>
      <c r="L99" s="563">
        <f>SUM(L97:L98)</f>
        <v>0</v>
      </c>
      <c r="N99" s="563">
        <f>SUM(N97:N98)</f>
        <v>0</v>
      </c>
      <c r="O99" s="563">
        <f>SUM(O97:O98)</f>
        <v>0</v>
      </c>
      <c r="P99" s="563">
        <f>SUM(P97:P98)</f>
        <v>0</v>
      </c>
      <c r="Q99" s="563">
        <f>SUM(Q97:Q98)</f>
        <v>0</v>
      </c>
      <c r="S99" s="562">
        <f>SUM(S97:S98)</f>
        <v>0</v>
      </c>
      <c r="U99" s="562">
        <f>SUM(U97:U98)</f>
        <v>1527033</v>
      </c>
    </row>
    <row r="100" spans="1:23" x14ac:dyDescent="0.3">
      <c r="F100" s="12">
        <f>F99-F29</f>
        <v>-8.0000000074505806E-2</v>
      </c>
      <c r="G100" s="12">
        <f>G99-G29</f>
        <v>0</v>
      </c>
      <c r="H100" s="12">
        <f t="shared" ref="H100:S100" si="7">-H99-H29</f>
        <v>0</v>
      </c>
      <c r="I100" s="12">
        <f t="shared" si="7"/>
        <v>0</v>
      </c>
      <c r="J100" s="12">
        <f t="shared" si="7"/>
        <v>0</v>
      </c>
      <c r="K100" s="12">
        <f t="shared" si="7"/>
        <v>0</v>
      </c>
      <c r="L100" s="12">
        <f t="shared" si="7"/>
        <v>0</v>
      </c>
      <c r="M100" s="12">
        <f t="shared" si="7"/>
        <v>0</v>
      </c>
      <c r="N100" s="12">
        <f t="shared" si="7"/>
        <v>0</v>
      </c>
      <c r="O100" s="12">
        <f t="shared" si="7"/>
        <v>0</v>
      </c>
      <c r="P100" s="12">
        <f t="shared" si="7"/>
        <v>0</v>
      </c>
      <c r="Q100" s="12">
        <f t="shared" si="7"/>
        <v>0</v>
      </c>
      <c r="R100" s="12">
        <f t="shared" si="7"/>
        <v>0</v>
      </c>
      <c r="S100" s="12">
        <f t="shared" si="7"/>
        <v>0</v>
      </c>
      <c r="T100" s="12"/>
      <c r="U100" s="12">
        <f>U99-U29</f>
        <v>-8.0000000074505806E-2</v>
      </c>
    </row>
  </sheetData>
  <sheetProtection algorithmName="SHA-512" hashValue="1bm4IFzJ9xpDBMq5WXdHpGAeiqh0uRJG9lTxwEkXHq57imikYVFrTXdGqT1p1tKBsieEwKVrAOEAjN6/hkVQyA==" saltValue="a+mzKt6mQAAcTfum04JO2A==" spinCount="100000" sheet="1" objects="1" scenarios="1"/>
  <mergeCells count="1">
    <mergeCell ref="B99:E99"/>
  </mergeCells>
  <printOptions horizontalCentered="1"/>
  <pageMargins left="0.2" right="0.2" top="0.75" bottom="0.75" header="0.3" footer="0.3"/>
  <pageSetup scale="51" fitToHeight="0" orientation="landscape" r:id="rId1"/>
  <rowBreaks count="2" manualBreakCount="2">
    <brk id="30" max="16383" man="1"/>
    <brk id="71" max="23" man="1"/>
  </rowBreaks>
  <ignoredErrors>
    <ignoredError sqref="U13:U28" formula="1"/>
  </ignoredErrors>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EFC04-9033-49C8-A481-EAF0DF19B4E8}">
  <sheetPr>
    <tabColor theme="2" tint="-0.499984740745262"/>
  </sheetPr>
  <dimension ref="A1:AD95"/>
  <sheetViews>
    <sheetView zoomScale="85" zoomScaleNormal="85" workbookViewId="0">
      <selection activeCell="A15" sqref="A15"/>
    </sheetView>
  </sheetViews>
  <sheetFormatPr defaultRowHeight="16.5" x14ac:dyDescent="0.3"/>
  <cols>
    <col min="1" max="1" width="44.140625" customWidth="1"/>
    <col min="2" max="2" width="12.140625" bestFit="1" customWidth="1"/>
    <col min="3" max="4" width="13.7109375" bestFit="1" customWidth="1"/>
    <col min="5" max="6" width="13.28515625" style="10" bestFit="1" customWidth="1"/>
    <col min="7" max="7" width="14.5703125" style="10" bestFit="1" customWidth="1"/>
    <col min="8" max="8" width="15.7109375" style="10" bestFit="1" customWidth="1"/>
    <col min="9" max="9" width="5.7109375" style="4" customWidth="1"/>
    <col min="10" max="10" width="11.5703125" bestFit="1" customWidth="1"/>
    <col min="11" max="12" width="13.7109375" bestFit="1" customWidth="1"/>
    <col min="13" max="14" width="13.28515625" style="10" bestFit="1" customWidth="1"/>
    <col min="15" max="15" width="15" style="10" bestFit="1" customWidth="1"/>
    <col min="16" max="16" width="15.7109375" style="10" bestFit="1" customWidth="1"/>
    <col min="17" max="17" width="5.7109375" style="4" customWidth="1"/>
    <col min="18" max="18" width="11.28515625" bestFit="1" customWidth="1"/>
    <col min="19" max="20" width="13.7109375" bestFit="1" customWidth="1"/>
    <col min="21" max="22" width="13.28515625" style="10" bestFit="1" customWidth="1"/>
    <col min="23" max="23" width="13.5703125" style="10" bestFit="1" customWidth="1"/>
    <col min="24" max="24" width="15.7109375" style="10" bestFit="1" customWidth="1"/>
    <col min="25" max="25" width="5.7109375" style="4" customWidth="1"/>
    <col min="26" max="27" width="15" style="10" bestFit="1" customWidth="1"/>
    <col min="28" max="28" width="15.5703125" style="10" bestFit="1" customWidth="1"/>
    <col min="29" max="30" width="5.85546875" style="10" customWidth="1"/>
  </cols>
  <sheetData>
    <row r="1" spans="1:30" x14ac:dyDescent="0.3">
      <c r="A1" s="4" t="s">
        <v>602</v>
      </c>
      <c r="B1" s="5" t="s">
        <v>1108</v>
      </c>
      <c r="C1" s="4"/>
      <c r="E1" s="4"/>
      <c r="F1" s="4"/>
      <c r="G1" s="4"/>
      <c r="H1" s="4"/>
      <c r="M1" s="4"/>
      <c r="N1" s="4"/>
      <c r="O1" s="4"/>
      <c r="P1" s="4"/>
      <c r="U1" s="4"/>
      <c r="V1" s="4"/>
      <c r="W1" s="4"/>
      <c r="X1" s="4"/>
      <c r="Z1" s="4"/>
      <c r="AA1" s="4"/>
      <c r="AB1" s="4"/>
      <c r="AC1" s="4"/>
      <c r="AD1" s="4"/>
    </row>
    <row r="2" spans="1:30" x14ac:dyDescent="0.3">
      <c r="A2" s="4" t="str">
        <f>CONCATENATE("Pupil Center Funding Plan | FY",'1.1 Assumption Control YR1'!D5)</f>
        <v>Pupil Center Funding Plan | FY2024</v>
      </c>
      <c r="B2" s="5" t="s">
        <v>1109</v>
      </c>
      <c r="C2" s="10"/>
    </row>
    <row r="3" spans="1:30" x14ac:dyDescent="0.3">
      <c r="A3" s="4" t="s">
        <v>1297</v>
      </c>
      <c r="B3" s="5" t="s">
        <v>746</v>
      </c>
      <c r="C3" s="10"/>
    </row>
    <row r="4" spans="1:30" x14ac:dyDescent="0.3">
      <c r="E4" s="4"/>
      <c r="F4" s="4"/>
      <c r="G4" s="16"/>
      <c r="H4" s="16"/>
      <c r="M4" s="4"/>
      <c r="N4" s="4"/>
      <c r="O4" s="16"/>
      <c r="P4" s="16"/>
      <c r="U4" s="4"/>
      <c r="V4" s="4"/>
      <c r="W4" s="16"/>
      <c r="X4" s="16"/>
      <c r="Z4" s="353"/>
      <c r="AA4" s="353"/>
      <c r="AB4" s="353"/>
      <c r="AC4" s="353"/>
      <c r="AD4" s="353"/>
    </row>
    <row r="5" spans="1:30" x14ac:dyDescent="0.3">
      <c r="B5" s="369" t="s">
        <v>1077</v>
      </c>
      <c r="C5" s="354" t="s">
        <v>1070</v>
      </c>
      <c r="D5" s="369" t="s">
        <v>1070</v>
      </c>
      <c r="E5" s="385" t="s">
        <v>1081</v>
      </c>
      <c r="F5" s="369" t="s">
        <v>1080</v>
      </c>
      <c r="G5" s="354" t="s">
        <v>1080</v>
      </c>
      <c r="H5" s="369" t="s">
        <v>1076</v>
      </c>
      <c r="J5" s="369" t="s">
        <v>1077</v>
      </c>
      <c r="K5" s="354" t="s">
        <v>1070</v>
      </c>
      <c r="L5" s="369" t="s">
        <v>1070</v>
      </c>
      <c r="M5" s="385" t="s">
        <v>1081</v>
      </c>
      <c r="N5" s="369" t="s">
        <v>1080</v>
      </c>
      <c r="O5" s="354" t="s">
        <v>1080</v>
      </c>
      <c r="P5" s="369" t="s">
        <v>1076</v>
      </c>
      <c r="R5" s="369" t="s">
        <v>1077</v>
      </c>
      <c r="S5" s="354" t="s">
        <v>1070</v>
      </c>
      <c r="T5" s="369" t="s">
        <v>1070</v>
      </c>
      <c r="U5" s="385" t="s">
        <v>1081</v>
      </c>
      <c r="V5" s="369" t="s">
        <v>1080</v>
      </c>
      <c r="W5" s="354" t="s">
        <v>1080</v>
      </c>
      <c r="X5" s="369" t="s">
        <v>1076</v>
      </c>
    </row>
    <row r="6" spans="1:30" x14ac:dyDescent="0.3">
      <c r="A6" s="405" t="s">
        <v>738</v>
      </c>
      <c r="B6" s="370" t="s">
        <v>1078</v>
      </c>
      <c r="C6" s="216" t="s">
        <v>1079</v>
      </c>
      <c r="D6" s="370" t="s">
        <v>1071</v>
      </c>
      <c r="E6" s="386" t="s">
        <v>1078</v>
      </c>
      <c r="F6" s="370" t="s">
        <v>1070</v>
      </c>
      <c r="G6" s="216" t="s">
        <v>1070</v>
      </c>
      <c r="H6" s="370" t="s">
        <v>894</v>
      </c>
      <c r="J6" s="370" t="s">
        <v>1078</v>
      </c>
      <c r="K6" s="216" t="s">
        <v>1079</v>
      </c>
      <c r="L6" s="370" t="s">
        <v>1071</v>
      </c>
      <c r="M6" s="386" t="s">
        <v>1078</v>
      </c>
      <c r="N6" s="370" t="s">
        <v>1070</v>
      </c>
      <c r="O6" s="216" t="s">
        <v>1070</v>
      </c>
      <c r="P6" s="370" t="s">
        <v>894</v>
      </c>
      <c r="R6" s="370" t="s">
        <v>1078</v>
      </c>
      <c r="S6" s="216" t="s">
        <v>1079</v>
      </c>
      <c r="T6" s="370" t="s">
        <v>1071</v>
      </c>
      <c r="U6" s="386" t="s">
        <v>1078</v>
      </c>
      <c r="V6" s="370" t="s">
        <v>1070</v>
      </c>
      <c r="W6" s="216" t="s">
        <v>1070</v>
      </c>
      <c r="X6" s="370" t="s">
        <v>894</v>
      </c>
      <c r="Z6" s="17"/>
      <c r="AA6" s="17"/>
      <c r="AB6" s="17"/>
      <c r="AC6" s="17"/>
      <c r="AD6" s="17"/>
    </row>
    <row r="7" spans="1:30" x14ac:dyDescent="0.3">
      <c r="A7" s="405" t="s">
        <v>746</v>
      </c>
      <c r="B7" s="370" t="s">
        <v>101</v>
      </c>
      <c r="C7" s="216" t="s">
        <v>101</v>
      </c>
      <c r="D7" s="370" t="s">
        <v>21</v>
      </c>
      <c r="E7" s="386" t="s">
        <v>101</v>
      </c>
      <c r="F7" s="370" t="s">
        <v>101</v>
      </c>
      <c r="G7" s="216" t="s">
        <v>101</v>
      </c>
      <c r="H7" s="370" t="s">
        <v>1183</v>
      </c>
      <c r="J7" s="370" t="s">
        <v>20</v>
      </c>
      <c r="K7" s="370" t="s">
        <v>20</v>
      </c>
      <c r="L7" s="370" t="s">
        <v>21</v>
      </c>
      <c r="M7" s="386" t="s">
        <v>20</v>
      </c>
      <c r="N7" s="386" t="s">
        <v>20</v>
      </c>
      <c r="O7" s="386" t="s">
        <v>20</v>
      </c>
      <c r="P7" s="370" t="s">
        <v>1183</v>
      </c>
      <c r="R7" s="370" t="s">
        <v>1072</v>
      </c>
      <c r="S7" s="370" t="s">
        <v>1072</v>
      </c>
      <c r="T7" s="370" t="s">
        <v>21</v>
      </c>
      <c r="U7" s="386" t="s">
        <v>1072</v>
      </c>
      <c r="V7" s="386" t="s">
        <v>1072</v>
      </c>
      <c r="W7" s="386" t="s">
        <v>1072</v>
      </c>
      <c r="X7" s="370" t="s">
        <v>1183</v>
      </c>
      <c r="Z7" s="17"/>
      <c r="AA7" s="17"/>
      <c r="AB7" s="17"/>
      <c r="AC7" s="17"/>
      <c r="AD7" s="17"/>
    </row>
    <row r="8" spans="1:30" x14ac:dyDescent="0.3">
      <c r="B8" s="370" t="s">
        <v>103</v>
      </c>
      <c r="C8" s="216" t="s">
        <v>103</v>
      </c>
      <c r="D8" s="370" t="s">
        <v>1073</v>
      </c>
      <c r="E8" s="386" t="s">
        <v>103</v>
      </c>
      <c r="F8" s="370" t="s">
        <v>103</v>
      </c>
      <c r="G8" s="216" t="s">
        <v>103</v>
      </c>
      <c r="H8" s="370" t="s">
        <v>1092</v>
      </c>
      <c r="J8" s="370" t="s">
        <v>1087</v>
      </c>
      <c r="K8" s="370" t="s">
        <v>1087</v>
      </c>
      <c r="L8" s="370" t="s">
        <v>1073</v>
      </c>
      <c r="M8" s="386" t="s">
        <v>1087</v>
      </c>
      <c r="N8" s="386" t="s">
        <v>1087</v>
      </c>
      <c r="O8" s="386" t="s">
        <v>1087</v>
      </c>
      <c r="P8" s="370" t="s">
        <v>1092</v>
      </c>
      <c r="R8" s="370" t="s">
        <v>102</v>
      </c>
      <c r="S8" s="370" t="s">
        <v>102</v>
      </c>
      <c r="T8" s="370" t="s">
        <v>1073</v>
      </c>
      <c r="U8" s="386" t="s">
        <v>102</v>
      </c>
      <c r="V8" s="386" t="s">
        <v>102</v>
      </c>
      <c r="W8" s="386" t="s">
        <v>102</v>
      </c>
      <c r="X8" s="370" t="s">
        <v>1092</v>
      </c>
      <c r="Z8" s="375" t="s">
        <v>1091</v>
      </c>
      <c r="AA8" s="351" t="s">
        <v>1070</v>
      </c>
      <c r="AB8" s="367" t="s">
        <v>1088</v>
      </c>
      <c r="AC8" s="17"/>
      <c r="AD8" s="17"/>
    </row>
    <row r="9" spans="1:30" x14ac:dyDescent="0.3">
      <c r="B9" s="387" t="s">
        <v>21</v>
      </c>
      <c r="C9" s="372" t="s">
        <v>21</v>
      </c>
      <c r="D9" s="373" t="s">
        <v>1074</v>
      </c>
      <c r="E9" s="388" t="s">
        <v>934</v>
      </c>
      <c r="F9" s="387" t="s">
        <v>21</v>
      </c>
      <c r="G9" s="389" t="s">
        <v>894</v>
      </c>
      <c r="H9" s="390">
        <f>'7.1b Allocation Adj. YR2'!K3</f>
        <v>0.99851114451265299</v>
      </c>
      <c r="J9" s="387" t="s">
        <v>21</v>
      </c>
      <c r="K9" s="372" t="s">
        <v>21</v>
      </c>
      <c r="L9" s="373" t="s">
        <v>1074</v>
      </c>
      <c r="M9" s="388" t="s">
        <v>934</v>
      </c>
      <c r="N9" s="387" t="s">
        <v>21</v>
      </c>
      <c r="O9" s="389" t="s">
        <v>894</v>
      </c>
      <c r="P9" s="390">
        <f>H9</f>
        <v>0.99851114451265299</v>
      </c>
      <c r="R9" s="387" t="s">
        <v>21</v>
      </c>
      <c r="S9" s="372" t="s">
        <v>21</v>
      </c>
      <c r="T9" s="373" t="s">
        <v>1074</v>
      </c>
      <c r="U9" s="388" t="s">
        <v>934</v>
      </c>
      <c r="V9" s="387" t="s">
        <v>21</v>
      </c>
      <c r="W9" s="389" t="s">
        <v>894</v>
      </c>
      <c r="X9" s="390">
        <f>P9</f>
        <v>0.99851114451265299</v>
      </c>
      <c r="Z9" s="399" t="s">
        <v>1089</v>
      </c>
      <c r="AA9" s="861" t="s">
        <v>1080</v>
      </c>
      <c r="AB9" s="365" t="s">
        <v>1073</v>
      </c>
      <c r="AC9" s="355"/>
      <c r="AD9" s="355"/>
    </row>
    <row r="10" spans="1:30" x14ac:dyDescent="0.3">
      <c r="B10" s="371">
        <v>44835</v>
      </c>
      <c r="C10" s="368">
        <v>45200</v>
      </c>
      <c r="D10" s="374" t="s">
        <v>1082</v>
      </c>
      <c r="E10" s="391" t="s">
        <v>1417</v>
      </c>
      <c r="F10" s="394" t="s">
        <v>1101</v>
      </c>
      <c r="G10" s="393" t="s">
        <v>1084</v>
      </c>
      <c r="H10" s="394" t="s">
        <v>1085</v>
      </c>
      <c r="J10" s="371">
        <v>44105</v>
      </c>
      <c r="K10" s="368">
        <v>44470</v>
      </c>
      <c r="L10" s="374" t="s">
        <v>1097</v>
      </c>
      <c r="M10" s="391" t="s">
        <v>1417</v>
      </c>
      <c r="N10" s="392" t="s">
        <v>1095</v>
      </c>
      <c r="O10" s="393" t="s">
        <v>1094</v>
      </c>
      <c r="P10" s="394" t="s">
        <v>1099</v>
      </c>
      <c r="R10" s="371">
        <v>44105</v>
      </c>
      <c r="S10" s="368">
        <v>44470</v>
      </c>
      <c r="T10" s="374" t="s">
        <v>1098</v>
      </c>
      <c r="U10" s="391" t="s">
        <v>1417</v>
      </c>
      <c r="V10" s="392" t="s">
        <v>1096</v>
      </c>
      <c r="W10" s="393" t="s">
        <v>1093</v>
      </c>
      <c r="X10" s="394" t="s">
        <v>1100</v>
      </c>
      <c r="Z10" s="241" t="s">
        <v>1090</v>
      </c>
      <c r="AA10" s="862" t="s">
        <v>1090</v>
      </c>
      <c r="AB10" s="400" t="s">
        <v>1074</v>
      </c>
      <c r="AC10" s="13"/>
      <c r="AD10" s="13"/>
    </row>
    <row r="11" spans="1:30" x14ac:dyDescent="0.3">
      <c r="A11" s="216" t="s">
        <v>1086</v>
      </c>
      <c r="B11" s="232"/>
      <c r="D11" s="232"/>
      <c r="E11" s="132"/>
      <c r="F11" s="128"/>
      <c r="H11" s="128"/>
      <c r="J11" s="232"/>
      <c r="L11" s="232"/>
      <c r="M11" s="132"/>
      <c r="N11" s="128"/>
      <c r="P11" s="128"/>
      <c r="R11" s="232"/>
      <c r="T11" s="232"/>
      <c r="U11" s="132"/>
      <c r="V11" s="128"/>
      <c r="X11" s="128"/>
      <c r="Z11" s="132"/>
      <c r="AA11" s="128"/>
      <c r="AB11" s="143"/>
    </row>
    <row r="12" spans="1:30" x14ac:dyDescent="0.3">
      <c r="A12" t="str">
        <f>'1.2 Budgeted Enrollment YR1'!E9</f>
        <v>Carson City</v>
      </c>
      <c r="B12" s="381">
        <f>'5.2 Budgeted Enrollment YR2'!H9</f>
        <v>719</v>
      </c>
      <c r="C12" s="357"/>
      <c r="D12" s="649">
        <f>IF(B12="",0,C12-B12)</f>
        <v>-719</v>
      </c>
      <c r="E12" s="395">
        <f>'6.7 Weighted Funding YR2'!D10</f>
        <v>4242.6000000000004</v>
      </c>
      <c r="F12" s="379">
        <f>C12</f>
        <v>0</v>
      </c>
      <c r="G12" s="650" t="str">
        <f>IF($B$3="No","",E12*F12)</f>
        <v/>
      </c>
      <c r="H12" s="651" t="str">
        <f>IF($B$3="No","",G12*$H$9)</f>
        <v/>
      </c>
      <c r="J12" s="381">
        <f>'5.2 Budgeted Enrollment YR2'!I9</f>
        <v>289</v>
      </c>
      <c r="K12" s="357"/>
      <c r="L12" s="649">
        <f>IF(J12="",0,K12-J12)</f>
        <v>-289</v>
      </c>
      <c r="M12" s="395">
        <f>'6.7 Weighted Funding YR2'!H10</f>
        <v>3299.7999999999997</v>
      </c>
      <c r="N12" s="379">
        <f>K12</f>
        <v>0</v>
      </c>
      <c r="O12" s="650" t="str">
        <f>IF($B$3="No","",M12*N12)</f>
        <v/>
      </c>
      <c r="P12" s="651" t="str">
        <f>IF($B$3="No","",O12*$P$9)</f>
        <v/>
      </c>
      <c r="R12" s="381">
        <f>'5.2 Budgeted Enrollment YR2'!J9</f>
        <v>385</v>
      </c>
      <c r="S12" s="357"/>
      <c r="T12" s="649">
        <f>IF(R12="",0,S12-R12)</f>
        <v>-385</v>
      </c>
      <c r="U12" s="395">
        <f>'6.7 Weighted Funding YR2'!L10</f>
        <v>1131.3599999999999</v>
      </c>
      <c r="V12" s="296">
        <f>S12</f>
        <v>0</v>
      </c>
      <c r="W12" s="650" t="str">
        <f>IF($B$3="No","",U12*V12)</f>
        <v/>
      </c>
      <c r="X12" s="651" t="str">
        <f>IF($B$3="No","",W12*$X$9)</f>
        <v/>
      </c>
      <c r="Z12" s="657" t="str">
        <f>IF($B$3="No","",'3.1b Allocation Adj. YR1 '!L12)</f>
        <v/>
      </c>
      <c r="AA12" s="651" t="str">
        <f>IF($B$3="No","",X12+P12+H12)</f>
        <v/>
      </c>
      <c r="AB12" s="654" t="str">
        <f>IF($B$3="No","",AA12-Z12)</f>
        <v/>
      </c>
      <c r="AC12" s="356"/>
      <c r="AD12" s="356"/>
    </row>
    <row r="13" spans="1:30" x14ac:dyDescent="0.3">
      <c r="A13" t="str">
        <f>'1.2 Budgeted Enrollment YR1'!E10</f>
        <v>Churchill</v>
      </c>
      <c r="B13" s="381">
        <f>'5.2 Budgeted Enrollment YR2'!H10</f>
        <v>111</v>
      </c>
      <c r="C13" s="357"/>
      <c r="D13" s="649">
        <f t="shared" ref="D13:D28" si="0">IF(B13="",0,C13-B13)</f>
        <v>-111</v>
      </c>
      <c r="E13" s="395">
        <f>E12</f>
        <v>4242.6000000000004</v>
      </c>
      <c r="F13" s="379">
        <f t="shared" ref="F13:F28" si="1">C13</f>
        <v>0</v>
      </c>
      <c r="G13" s="650" t="str">
        <f t="shared" ref="G13:G28" si="2">IF($B$3="No","",E13*F13)</f>
        <v/>
      </c>
      <c r="H13" s="651" t="str">
        <f t="shared" ref="H13:H29" si="3">IF($B$3="No","",G13*$H$9)</f>
        <v/>
      </c>
      <c r="J13" s="381">
        <f>'5.2 Budgeted Enrollment YR2'!I10</f>
        <v>177</v>
      </c>
      <c r="K13" s="357"/>
      <c r="L13" s="649">
        <f>IF(J13="",0,K13-J13)</f>
        <v>-177</v>
      </c>
      <c r="M13" s="395">
        <f>M12</f>
        <v>3299.7999999999997</v>
      </c>
      <c r="N13" s="379">
        <f t="shared" ref="N13:N28" si="4">K13</f>
        <v>0</v>
      </c>
      <c r="O13" s="650" t="str">
        <f t="shared" ref="O13:O29" si="5">IF($B$3="No","",M13*N13)</f>
        <v/>
      </c>
      <c r="P13" s="651" t="str">
        <f t="shared" ref="P13:P29" si="6">IF($B$3="No","",O13*$P$9)</f>
        <v/>
      </c>
      <c r="R13" s="381">
        <f>'5.2 Budgeted Enrollment YR2'!J10</f>
        <v>0</v>
      </c>
      <c r="S13" s="357"/>
      <c r="T13" s="649">
        <f>IF(R13="",0,S13-R13)</f>
        <v>0</v>
      </c>
      <c r="U13" s="395">
        <f>U12</f>
        <v>1131.3599999999999</v>
      </c>
      <c r="V13" s="296">
        <f t="shared" ref="V13:V28" si="7">S13</f>
        <v>0</v>
      </c>
      <c r="W13" s="650" t="str">
        <f t="shared" ref="W13:W29" si="8">IF($B$3="No","",U13*V13)</f>
        <v/>
      </c>
      <c r="X13" s="651" t="str">
        <f t="shared" ref="X13:X29" si="9">IF($B$3="No","",W13*$X$9)</f>
        <v/>
      </c>
      <c r="Z13" s="657" t="str">
        <f>IF($B$3="No","",'3.1b Allocation Adj. YR1 '!L13)</f>
        <v/>
      </c>
      <c r="AA13" s="651" t="str">
        <f t="shared" ref="AA13:AA29" si="10">IF($B$3="No","",X13+P13+H13)</f>
        <v/>
      </c>
      <c r="AB13" s="654" t="str">
        <f t="shared" ref="AB13:AB29" si="11">IF($B$3="No","",AA13-Z13)</f>
        <v/>
      </c>
      <c r="AC13" s="356"/>
      <c r="AD13" s="356"/>
    </row>
    <row r="14" spans="1:30" x14ac:dyDescent="0.3">
      <c r="A14" t="str">
        <f>'1.2 Budgeted Enrollment YR1'!E11</f>
        <v>Clark</v>
      </c>
      <c r="B14" s="381">
        <f>'5.2 Budgeted Enrollment YR2'!H11</f>
        <v>37632</v>
      </c>
      <c r="C14" s="357"/>
      <c r="D14" s="649">
        <f t="shared" si="0"/>
        <v>-37632</v>
      </c>
      <c r="E14" s="395">
        <f t="shared" ref="E14:E29" si="12">E13</f>
        <v>4242.6000000000004</v>
      </c>
      <c r="F14" s="379">
        <f t="shared" si="1"/>
        <v>0</v>
      </c>
      <c r="G14" s="650" t="str">
        <f t="shared" si="2"/>
        <v/>
      </c>
      <c r="H14" s="651" t="str">
        <f t="shared" si="3"/>
        <v/>
      </c>
      <c r="J14" s="381">
        <f>'5.2 Budgeted Enrollment YR2'!I11</f>
        <v>52674</v>
      </c>
      <c r="K14" s="357"/>
      <c r="L14" s="649">
        <f t="shared" ref="L14:L29" si="13">IF(J14="",0,K14-J14)</f>
        <v>-52674</v>
      </c>
      <c r="M14" s="395">
        <f t="shared" ref="M14:M30" si="14">M13</f>
        <v>3299.7999999999997</v>
      </c>
      <c r="N14" s="379">
        <f t="shared" si="4"/>
        <v>0</v>
      </c>
      <c r="O14" s="650" t="str">
        <f t="shared" si="5"/>
        <v/>
      </c>
      <c r="P14" s="651" t="str">
        <f t="shared" si="6"/>
        <v/>
      </c>
      <c r="R14" s="381">
        <f>'5.2 Budgeted Enrollment YR2'!J11</f>
        <v>4545</v>
      </c>
      <c r="S14" s="357"/>
      <c r="T14" s="649">
        <f t="shared" ref="T14:T29" si="15">IF(R14="",0,S14-R14)</f>
        <v>-4545</v>
      </c>
      <c r="U14" s="395">
        <f t="shared" ref="U14:U30" si="16">U13</f>
        <v>1131.3599999999999</v>
      </c>
      <c r="V14" s="296">
        <f t="shared" si="7"/>
        <v>0</v>
      </c>
      <c r="W14" s="650" t="str">
        <f t="shared" si="8"/>
        <v/>
      </c>
      <c r="X14" s="651" t="str">
        <f t="shared" si="9"/>
        <v/>
      </c>
      <c r="Z14" s="657" t="str">
        <f>IF($B$3="No","",'3.1b Allocation Adj. YR1 '!L14)</f>
        <v/>
      </c>
      <c r="AA14" s="651" t="str">
        <f t="shared" si="10"/>
        <v/>
      </c>
      <c r="AB14" s="654" t="str">
        <f t="shared" si="11"/>
        <v/>
      </c>
      <c r="AC14" s="356"/>
      <c r="AD14" s="356"/>
    </row>
    <row r="15" spans="1:30" x14ac:dyDescent="0.3">
      <c r="A15" t="str">
        <f>'1.2 Budgeted Enrollment YR1'!E12</f>
        <v>Douglas</v>
      </c>
      <c r="B15" s="381">
        <f>'5.2 Budgeted Enrollment YR2'!H12</f>
        <v>169</v>
      </c>
      <c r="C15" s="357"/>
      <c r="D15" s="649">
        <f t="shared" si="0"/>
        <v>-169</v>
      </c>
      <c r="E15" s="395">
        <f t="shared" si="12"/>
        <v>4242.6000000000004</v>
      </c>
      <c r="F15" s="379">
        <f t="shared" si="1"/>
        <v>0</v>
      </c>
      <c r="G15" s="650" t="str">
        <f t="shared" si="2"/>
        <v/>
      </c>
      <c r="H15" s="651" t="str">
        <f t="shared" si="3"/>
        <v/>
      </c>
      <c r="J15" s="381">
        <f>'5.2 Budgeted Enrollment YR2'!I12</f>
        <v>171</v>
      </c>
      <c r="K15" s="357"/>
      <c r="L15" s="649">
        <f t="shared" si="13"/>
        <v>-171</v>
      </c>
      <c r="M15" s="395">
        <f t="shared" si="14"/>
        <v>3299.7999999999997</v>
      </c>
      <c r="N15" s="379">
        <f t="shared" si="4"/>
        <v>0</v>
      </c>
      <c r="O15" s="650" t="str">
        <f t="shared" si="5"/>
        <v/>
      </c>
      <c r="P15" s="651" t="str">
        <f t="shared" si="6"/>
        <v/>
      </c>
      <c r="R15" s="381">
        <f>'5.2 Budgeted Enrollment YR2'!J12</f>
        <v>46</v>
      </c>
      <c r="S15" s="357"/>
      <c r="T15" s="649">
        <f t="shared" si="15"/>
        <v>-46</v>
      </c>
      <c r="U15" s="395">
        <f t="shared" si="16"/>
        <v>1131.3599999999999</v>
      </c>
      <c r="V15" s="296">
        <f t="shared" si="7"/>
        <v>0</v>
      </c>
      <c r="W15" s="650" t="str">
        <f t="shared" si="8"/>
        <v/>
      </c>
      <c r="X15" s="651" t="str">
        <f t="shared" si="9"/>
        <v/>
      </c>
      <c r="Z15" s="657" t="str">
        <f>IF($B$3="No","",'3.1b Allocation Adj. YR1 '!L15)</f>
        <v/>
      </c>
      <c r="AA15" s="651" t="str">
        <f t="shared" si="10"/>
        <v/>
      </c>
      <c r="AB15" s="654" t="str">
        <f t="shared" si="11"/>
        <v/>
      </c>
      <c r="AC15" s="356"/>
      <c r="AD15" s="356"/>
    </row>
    <row r="16" spans="1:30" x14ac:dyDescent="0.3">
      <c r="A16" t="str">
        <f>'1.2 Budgeted Enrollment YR1'!E13</f>
        <v>Elko</v>
      </c>
      <c r="B16" s="381">
        <f>'5.2 Budgeted Enrollment YR2'!H13</f>
        <v>677</v>
      </c>
      <c r="C16" s="357"/>
      <c r="D16" s="649">
        <f t="shared" si="0"/>
        <v>-677</v>
      </c>
      <c r="E16" s="395">
        <f t="shared" si="12"/>
        <v>4242.6000000000004</v>
      </c>
      <c r="F16" s="379">
        <f t="shared" si="1"/>
        <v>0</v>
      </c>
      <c r="G16" s="650" t="str">
        <f t="shared" si="2"/>
        <v/>
      </c>
      <c r="H16" s="651" t="str">
        <f t="shared" si="3"/>
        <v/>
      </c>
      <c r="J16" s="381">
        <f>'5.2 Budgeted Enrollment YR2'!I13</f>
        <v>631</v>
      </c>
      <c r="K16" s="357"/>
      <c r="L16" s="649">
        <f t="shared" si="13"/>
        <v>-631</v>
      </c>
      <c r="M16" s="395">
        <f t="shared" si="14"/>
        <v>3299.7999999999997</v>
      </c>
      <c r="N16" s="379">
        <f t="shared" si="4"/>
        <v>0</v>
      </c>
      <c r="O16" s="650" t="str">
        <f t="shared" si="5"/>
        <v/>
      </c>
      <c r="P16" s="651" t="str">
        <f t="shared" si="6"/>
        <v/>
      </c>
      <c r="R16" s="381">
        <f>'5.2 Budgeted Enrollment YR2'!J13</f>
        <v>97</v>
      </c>
      <c r="S16" s="357"/>
      <c r="T16" s="649">
        <f t="shared" si="15"/>
        <v>-97</v>
      </c>
      <c r="U16" s="395">
        <f t="shared" si="16"/>
        <v>1131.3599999999999</v>
      </c>
      <c r="V16" s="296">
        <f t="shared" si="7"/>
        <v>0</v>
      </c>
      <c r="W16" s="650" t="str">
        <f t="shared" si="8"/>
        <v/>
      </c>
      <c r="X16" s="651" t="str">
        <f t="shared" si="9"/>
        <v/>
      </c>
      <c r="Z16" s="657" t="str">
        <f>IF($B$3="No","",'3.1b Allocation Adj. YR1 '!L16)</f>
        <v/>
      </c>
      <c r="AA16" s="651" t="str">
        <f t="shared" si="10"/>
        <v/>
      </c>
      <c r="AB16" s="654" t="str">
        <f t="shared" si="11"/>
        <v/>
      </c>
      <c r="AC16" s="356"/>
      <c r="AD16" s="356"/>
    </row>
    <row r="17" spans="1:30" x14ac:dyDescent="0.3">
      <c r="A17" t="str">
        <f>'1.2 Budgeted Enrollment YR1'!E14</f>
        <v>Esmeralda</v>
      </c>
      <c r="B17" s="381">
        <f>'5.2 Budgeted Enrollment YR2'!H14</f>
        <v>7</v>
      </c>
      <c r="C17" s="357"/>
      <c r="D17" s="649">
        <f t="shared" si="0"/>
        <v>-7</v>
      </c>
      <c r="E17" s="395">
        <f t="shared" si="12"/>
        <v>4242.6000000000004</v>
      </c>
      <c r="F17" s="379">
        <f t="shared" si="1"/>
        <v>0</v>
      </c>
      <c r="G17" s="650" t="str">
        <f t="shared" si="2"/>
        <v/>
      </c>
      <c r="H17" s="651" t="str">
        <f t="shared" si="3"/>
        <v/>
      </c>
      <c r="J17" s="381">
        <f>'5.2 Budgeted Enrollment YR2'!I14</f>
        <v>8</v>
      </c>
      <c r="K17" s="357"/>
      <c r="L17" s="649">
        <f t="shared" si="13"/>
        <v>-8</v>
      </c>
      <c r="M17" s="395">
        <f t="shared" si="14"/>
        <v>3299.7999999999997</v>
      </c>
      <c r="N17" s="379">
        <f t="shared" si="4"/>
        <v>0</v>
      </c>
      <c r="O17" s="650" t="str">
        <f t="shared" si="5"/>
        <v/>
      </c>
      <c r="P17" s="651" t="str">
        <f t="shared" si="6"/>
        <v/>
      </c>
      <c r="R17" s="381">
        <f>'5.2 Budgeted Enrollment YR2'!J14</f>
        <v>0</v>
      </c>
      <c r="S17" s="357"/>
      <c r="T17" s="649">
        <f t="shared" si="15"/>
        <v>0</v>
      </c>
      <c r="U17" s="395">
        <f t="shared" si="16"/>
        <v>1131.3599999999999</v>
      </c>
      <c r="V17" s="296">
        <f t="shared" si="7"/>
        <v>0</v>
      </c>
      <c r="W17" s="650" t="str">
        <f t="shared" si="8"/>
        <v/>
      </c>
      <c r="X17" s="651" t="str">
        <f t="shared" si="9"/>
        <v/>
      </c>
      <c r="Z17" s="657" t="str">
        <f>IF($B$3="No","",'3.1b Allocation Adj. YR1 '!L17)</f>
        <v/>
      </c>
      <c r="AA17" s="651" t="str">
        <f t="shared" si="10"/>
        <v/>
      </c>
      <c r="AB17" s="654" t="str">
        <f t="shared" si="11"/>
        <v/>
      </c>
      <c r="AC17" s="356"/>
      <c r="AD17" s="356"/>
    </row>
    <row r="18" spans="1:30" x14ac:dyDescent="0.3">
      <c r="A18" t="str">
        <f>'1.2 Budgeted Enrollment YR1'!E15</f>
        <v>Eureka</v>
      </c>
      <c r="B18" s="381">
        <f>'5.2 Budgeted Enrollment YR2'!H15</f>
        <v>3</v>
      </c>
      <c r="C18" s="357"/>
      <c r="D18" s="649">
        <f t="shared" si="0"/>
        <v>-3</v>
      </c>
      <c r="E18" s="395">
        <f t="shared" si="12"/>
        <v>4242.6000000000004</v>
      </c>
      <c r="F18" s="379">
        <f t="shared" si="1"/>
        <v>0</v>
      </c>
      <c r="G18" s="650" t="str">
        <f t="shared" si="2"/>
        <v/>
      </c>
      <c r="H18" s="651" t="str">
        <f t="shared" si="3"/>
        <v/>
      </c>
      <c r="J18" s="381">
        <f>'5.2 Budgeted Enrollment YR2'!I15</f>
        <v>4</v>
      </c>
      <c r="K18" s="357"/>
      <c r="L18" s="649">
        <f t="shared" si="13"/>
        <v>-4</v>
      </c>
      <c r="M18" s="395">
        <f t="shared" si="14"/>
        <v>3299.7999999999997</v>
      </c>
      <c r="N18" s="379">
        <f t="shared" si="4"/>
        <v>0</v>
      </c>
      <c r="O18" s="650" t="str">
        <f t="shared" si="5"/>
        <v/>
      </c>
      <c r="P18" s="651" t="str">
        <f t="shared" si="6"/>
        <v/>
      </c>
      <c r="R18" s="381">
        <f>'5.2 Budgeted Enrollment YR2'!J15</f>
        <v>0</v>
      </c>
      <c r="S18" s="357"/>
      <c r="T18" s="649">
        <f t="shared" si="15"/>
        <v>0</v>
      </c>
      <c r="U18" s="395">
        <f t="shared" si="16"/>
        <v>1131.3599999999999</v>
      </c>
      <c r="V18" s="296">
        <f t="shared" si="7"/>
        <v>0</v>
      </c>
      <c r="W18" s="650" t="str">
        <f t="shared" si="8"/>
        <v/>
      </c>
      <c r="X18" s="651" t="str">
        <f t="shared" si="9"/>
        <v/>
      </c>
      <c r="Z18" s="657" t="str">
        <f>IF($B$3="No","",'3.1b Allocation Adj. YR1 '!L18)</f>
        <v/>
      </c>
      <c r="AA18" s="651" t="str">
        <f t="shared" si="10"/>
        <v/>
      </c>
      <c r="AB18" s="654" t="str">
        <f t="shared" si="11"/>
        <v/>
      </c>
      <c r="AC18" s="356"/>
      <c r="AD18" s="356"/>
    </row>
    <row r="19" spans="1:30" x14ac:dyDescent="0.3">
      <c r="A19" t="str">
        <f>'1.2 Budgeted Enrollment YR1'!E16</f>
        <v>Humboldt</v>
      </c>
      <c r="B19" s="381">
        <f>'5.2 Budgeted Enrollment YR2'!H16</f>
        <v>203</v>
      </c>
      <c r="C19" s="357"/>
      <c r="D19" s="649">
        <f t="shared" si="0"/>
        <v>-203</v>
      </c>
      <c r="E19" s="395">
        <f t="shared" si="12"/>
        <v>4242.6000000000004</v>
      </c>
      <c r="F19" s="379">
        <f t="shared" si="1"/>
        <v>0</v>
      </c>
      <c r="G19" s="650" t="str">
        <f t="shared" si="2"/>
        <v/>
      </c>
      <c r="H19" s="651" t="str">
        <f t="shared" si="3"/>
        <v/>
      </c>
      <c r="J19" s="381">
        <f>'5.2 Budgeted Enrollment YR2'!I16</f>
        <v>81</v>
      </c>
      <c r="K19" s="357"/>
      <c r="L19" s="649">
        <f t="shared" si="13"/>
        <v>-81</v>
      </c>
      <c r="M19" s="395">
        <f t="shared" si="14"/>
        <v>3299.7999999999997</v>
      </c>
      <c r="N19" s="379">
        <f t="shared" si="4"/>
        <v>0</v>
      </c>
      <c r="O19" s="650" t="str">
        <f t="shared" si="5"/>
        <v/>
      </c>
      <c r="P19" s="651" t="str">
        <f t="shared" si="6"/>
        <v/>
      </c>
      <c r="R19" s="381">
        <f>'5.2 Budgeted Enrollment YR2'!J16</f>
        <v>0</v>
      </c>
      <c r="S19" s="357"/>
      <c r="T19" s="649">
        <f t="shared" si="15"/>
        <v>0</v>
      </c>
      <c r="U19" s="395">
        <f t="shared" si="16"/>
        <v>1131.3599999999999</v>
      </c>
      <c r="V19" s="296">
        <f t="shared" si="7"/>
        <v>0</v>
      </c>
      <c r="W19" s="650" t="str">
        <f t="shared" si="8"/>
        <v/>
      </c>
      <c r="X19" s="651" t="str">
        <f t="shared" si="9"/>
        <v/>
      </c>
      <c r="Z19" s="657" t="str">
        <f>IF($B$3="No","",'3.1b Allocation Adj. YR1 '!L19)</f>
        <v/>
      </c>
      <c r="AA19" s="651" t="str">
        <f t="shared" si="10"/>
        <v/>
      </c>
      <c r="AB19" s="654" t="str">
        <f t="shared" si="11"/>
        <v/>
      </c>
      <c r="AC19" s="356"/>
      <c r="AD19" s="356"/>
    </row>
    <row r="20" spans="1:30" x14ac:dyDescent="0.3">
      <c r="A20" t="str">
        <f>'1.2 Budgeted Enrollment YR1'!E17</f>
        <v>Lander</v>
      </c>
      <c r="B20" s="381">
        <f>'5.2 Budgeted Enrollment YR2'!H17</f>
        <v>33</v>
      </c>
      <c r="C20" s="357"/>
      <c r="D20" s="649">
        <f t="shared" si="0"/>
        <v>-33</v>
      </c>
      <c r="E20" s="395">
        <f t="shared" si="12"/>
        <v>4242.6000000000004</v>
      </c>
      <c r="F20" s="379">
        <f t="shared" si="1"/>
        <v>0</v>
      </c>
      <c r="G20" s="650" t="str">
        <f t="shared" si="2"/>
        <v/>
      </c>
      <c r="H20" s="651" t="str">
        <f t="shared" si="3"/>
        <v/>
      </c>
      <c r="J20" s="381">
        <f>'5.2 Budgeted Enrollment YR2'!I17</f>
        <v>98</v>
      </c>
      <c r="K20" s="357"/>
      <c r="L20" s="649">
        <f t="shared" si="13"/>
        <v>-98</v>
      </c>
      <c r="M20" s="395">
        <f t="shared" si="14"/>
        <v>3299.7999999999997</v>
      </c>
      <c r="N20" s="379">
        <f t="shared" si="4"/>
        <v>0</v>
      </c>
      <c r="O20" s="650" t="str">
        <f t="shared" si="5"/>
        <v/>
      </c>
      <c r="P20" s="651" t="str">
        <f t="shared" si="6"/>
        <v/>
      </c>
      <c r="R20" s="381">
        <f>'5.2 Budgeted Enrollment YR2'!J17</f>
        <v>0</v>
      </c>
      <c r="S20" s="357"/>
      <c r="T20" s="649">
        <f t="shared" si="15"/>
        <v>0</v>
      </c>
      <c r="U20" s="395">
        <f t="shared" si="16"/>
        <v>1131.3599999999999</v>
      </c>
      <c r="V20" s="296">
        <f t="shared" si="7"/>
        <v>0</v>
      </c>
      <c r="W20" s="650" t="str">
        <f t="shared" si="8"/>
        <v/>
      </c>
      <c r="X20" s="651" t="str">
        <f t="shared" si="9"/>
        <v/>
      </c>
      <c r="Z20" s="657" t="str">
        <f>IF($B$3="No","",'3.1b Allocation Adj. YR1 '!L20)</f>
        <v/>
      </c>
      <c r="AA20" s="651" t="str">
        <f t="shared" si="10"/>
        <v/>
      </c>
      <c r="AB20" s="654" t="str">
        <f t="shared" si="11"/>
        <v/>
      </c>
      <c r="AC20" s="356"/>
      <c r="AD20" s="356"/>
    </row>
    <row r="21" spans="1:30" x14ac:dyDescent="0.3">
      <c r="A21" t="str">
        <f>'1.2 Budgeted Enrollment YR1'!E18</f>
        <v>Lincoln</v>
      </c>
      <c r="B21" s="381">
        <f>'5.2 Budgeted Enrollment YR2'!H18</f>
        <v>6</v>
      </c>
      <c r="C21" s="357"/>
      <c r="D21" s="649">
        <f t="shared" si="0"/>
        <v>-6</v>
      </c>
      <c r="E21" s="395">
        <f t="shared" si="12"/>
        <v>4242.6000000000004</v>
      </c>
      <c r="F21" s="379">
        <f t="shared" si="1"/>
        <v>0</v>
      </c>
      <c r="G21" s="650" t="str">
        <f t="shared" si="2"/>
        <v/>
      </c>
      <c r="H21" s="651" t="str">
        <f t="shared" si="3"/>
        <v/>
      </c>
      <c r="J21" s="381">
        <f>'5.2 Budgeted Enrollment YR2'!I18</f>
        <v>43</v>
      </c>
      <c r="K21" s="357"/>
      <c r="L21" s="649">
        <f t="shared" si="13"/>
        <v>-43</v>
      </c>
      <c r="M21" s="395">
        <f t="shared" si="14"/>
        <v>3299.7999999999997</v>
      </c>
      <c r="N21" s="379">
        <f t="shared" si="4"/>
        <v>0</v>
      </c>
      <c r="O21" s="650" t="str">
        <f t="shared" si="5"/>
        <v/>
      </c>
      <c r="P21" s="651" t="str">
        <f t="shared" si="6"/>
        <v/>
      </c>
      <c r="R21" s="381">
        <f>'5.2 Budgeted Enrollment YR2'!J18</f>
        <v>0</v>
      </c>
      <c r="S21" s="357"/>
      <c r="T21" s="649">
        <f t="shared" si="15"/>
        <v>0</v>
      </c>
      <c r="U21" s="395">
        <f t="shared" si="16"/>
        <v>1131.3599999999999</v>
      </c>
      <c r="V21" s="296">
        <f t="shared" si="7"/>
        <v>0</v>
      </c>
      <c r="W21" s="650" t="str">
        <f t="shared" si="8"/>
        <v/>
      </c>
      <c r="X21" s="651" t="str">
        <f t="shared" si="9"/>
        <v/>
      </c>
      <c r="Z21" s="657" t="str">
        <f>IF($B$3="No","",'3.1b Allocation Adj. YR1 '!L21)</f>
        <v/>
      </c>
      <c r="AA21" s="651" t="str">
        <f t="shared" si="10"/>
        <v/>
      </c>
      <c r="AB21" s="654" t="str">
        <f t="shared" si="11"/>
        <v/>
      </c>
      <c r="AC21" s="356"/>
      <c r="AD21" s="356"/>
    </row>
    <row r="22" spans="1:30" x14ac:dyDescent="0.3">
      <c r="A22" t="str">
        <f>'1.2 Budgeted Enrollment YR1'!E19</f>
        <v>Lyon</v>
      </c>
      <c r="B22" s="381">
        <f>'5.2 Budgeted Enrollment YR2'!H19</f>
        <v>485</v>
      </c>
      <c r="C22" s="357"/>
      <c r="D22" s="649">
        <f t="shared" si="0"/>
        <v>-485</v>
      </c>
      <c r="E22" s="395">
        <f t="shared" si="12"/>
        <v>4242.6000000000004</v>
      </c>
      <c r="F22" s="379">
        <f t="shared" si="1"/>
        <v>0</v>
      </c>
      <c r="G22" s="650" t="str">
        <f t="shared" si="2"/>
        <v/>
      </c>
      <c r="H22" s="651" t="str">
        <f t="shared" si="3"/>
        <v/>
      </c>
      <c r="J22" s="381">
        <f>'5.2 Budgeted Enrollment YR2'!I19</f>
        <v>526</v>
      </c>
      <c r="K22" s="357"/>
      <c r="L22" s="649">
        <f t="shared" si="13"/>
        <v>-526</v>
      </c>
      <c r="M22" s="395">
        <f t="shared" si="14"/>
        <v>3299.7999999999997</v>
      </c>
      <c r="N22" s="379">
        <f t="shared" si="4"/>
        <v>0</v>
      </c>
      <c r="O22" s="650" t="str">
        <f t="shared" si="5"/>
        <v/>
      </c>
      <c r="P22" s="651" t="str">
        <f t="shared" si="6"/>
        <v/>
      </c>
      <c r="R22" s="381">
        <f>'5.2 Budgeted Enrollment YR2'!J19</f>
        <v>0</v>
      </c>
      <c r="S22" s="357"/>
      <c r="T22" s="649">
        <f t="shared" si="15"/>
        <v>0</v>
      </c>
      <c r="U22" s="395">
        <f t="shared" si="16"/>
        <v>1131.3599999999999</v>
      </c>
      <c r="V22" s="296">
        <f t="shared" si="7"/>
        <v>0</v>
      </c>
      <c r="W22" s="650" t="str">
        <f t="shared" si="8"/>
        <v/>
      </c>
      <c r="X22" s="651" t="str">
        <f t="shared" si="9"/>
        <v/>
      </c>
      <c r="Z22" s="657" t="str">
        <f>IF($B$3="No","",'3.1b Allocation Adj. YR1 '!L22)</f>
        <v/>
      </c>
      <c r="AA22" s="651" t="str">
        <f t="shared" si="10"/>
        <v/>
      </c>
      <c r="AB22" s="654" t="str">
        <f t="shared" si="11"/>
        <v/>
      </c>
      <c r="AC22" s="356"/>
      <c r="AD22" s="356"/>
    </row>
    <row r="23" spans="1:30" x14ac:dyDescent="0.3">
      <c r="A23" t="str">
        <f>'1.2 Budgeted Enrollment YR1'!E20</f>
        <v>Mineral</v>
      </c>
      <c r="B23" s="381">
        <f>'5.2 Budgeted Enrollment YR2'!H20</f>
        <v>34</v>
      </c>
      <c r="C23" s="357"/>
      <c r="D23" s="649">
        <f t="shared" si="0"/>
        <v>-34</v>
      </c>
      <c r="E23" s="395">
        <f t="shared" si="12"/>
        <v>4242.6000000000004</v>
      </c>
      <c r="F23" s="379">
        <f t="shared" si="1"/>
        <v>0</v>
      </c>
      <c r="G23" s="650" t="str">
        <f t="shared" si="2"/>
        <v/>
      </c>
      <c r="H23" s="651" t="str">
        <f t="shared" si="3"/>
        <v/>
      </c>
      <c r="J23" s="381">
        <f>'5.2 Budgeted Enrollment YR2'!I20</f>
        <v>52</v>
      </c>
      <c r="K23" s="357"/>
      <c r="L23" s="649">
        <f t="shared" si="13"/>
        <v>-52</v>
      </c>
      <c r="M23" s="395">
        <f t="shared" si="14"/>
        <v>3299.7999999999997</v>
      </c>
      <c r="N23" s="379">
        <f t="shared" si="4"/>
        <v>0</v>
      </c>
      <c r="O23" s="650" t="str">
        <f t="shared" si="5"/>
        <v/>
      </c>
      <c r="P23" s="651" t="str">
        <f t="shared" si="6"/>
        <v/>
      </c>
      <c r="R23" s="381">
        <f>'5.2 Budgeted Enrollment YR2'!J20</f>
        <v>0</v>
      </c>
      <c r="S23" s="357"/>
      <c r="T23" s="649">
        <f t="shared" si="15"/>
        <v>0</v>
      </c>
      <c r="U23" s="395">
        <f t="shared" si="16"/>
        <v>1131.3599999999999</v>
      </c>
      <c r="V23" s="296">
        <f t="shared" si="7"/>
        <v>0</v>
      </c>
      <c r="W23" s="650" t="str">
        <f t="shared" si="8"/>
        <v/>
      </c>
      <c r="X23" s="651" t="str">
        <f t="shared" si="9"/>
        <v/>
      </c>
      <c r="Z23" s="657" t="str">
        <f>IF($B$3="No","",'3.1b Allocation Adj. YR1 '!L23)</f>
        <v/>
      </c>
      <c r="AA23" s="651" t="str">
        <f t="shared" si="10"/>
        <v/>
      </c>
      <c r="AB23" s="654" t="str">
        <f t="shared" si="11"/>
        <v/>
      </c>
      <c r="AC23" s="356"/>
      <c r="AD23" s="356"/>
    </row>
    <row r="24" spans="1:30" x14ac:dyDescent="0.3">
      <c r="A24" t="str">
        <f>'1.2 Budgeted Enrollment YR1'!E21</f>
        <v>Nye</v>
      </c>
      <c r="B24" s="381">
        <f>'5.2 Budgeted Enrollment YR2'!H21</f>
        <v>324</v>
      </c>
      <c r="C24" s="357"/>
      <c r="D24" s="649">
        <f t="shared" si="0"/>
        <v>-324</v>
      </c>
      <c r="E24" s="395">
        <f t="shared" si="12"/>
        <v>4242.6000000000004</v>
      </c>
      <c r="F24" s="379">
        <f t="shared" si="1"/>
        <v>0</v>
      </c>
      <c r="G24" s="650" t="str">
        <f t="shared" si="2"/>
        <v/>
      </c>
      <c r="H24" s="651" t="str">
        <f t="shared" si="3"/>
        <v/>
      </c>
      <c r="J24" s="381">
        <f>'5.2 Budgeted Enrollment YR2'!I21</f>
        <v>449</v>
      </c>
      <c r="K24" s="357"/>
      <c r="L24" s="649">
        <f t="shared" si="13"/>
        <v>-449</v>
      </c>
      <c r="M24" s="395">
        <f t="shared" si="14"/>
        <v>3299.7999999999997</v>
      </c>
      <c r="N24" s="379">
        <f t="shared" si="4"/>
        <v>0</v>
      </c>
      <c r="O24" s="650" t="str">
        <f t="shared" si="5"/>
        <v/>
      </c>
      <c r="P24" s="651" t="str">
        <f t="shared" si="6"/>
        <v/>
      </c>
      <c r="R24" s="381">
        <f>'5.2 Budgeted Enrollment YR2'!J21</f>
        <v>0</v>
      </c>
      <c r="S24" s="357"/>
      <c r="T24" s="649">
        <f t="shared" si="15"/>
        <v>0</v>
      </c>
      <c r="U24" s="395">
        <f t="shared" si="16"/>
        <v>1131.3599999999999</v>
      </c>
      <c r="V24" s="296">
        <f t="shared" si="7"/>
        <v>0</v>
      </c>
      <c r="W24" s="650" t="str">
        <f t="shared" si="8"/>
        <v/>
      </c>
      <c r="X24" s="651" t="str">
        <f t="shared" si="9"/>
        <v/>
      </c>
      <c r="Z24" s="657" t="str">
        <f>IF($B$3="No","",'3.1b Allocation Adj. YR1 '!L24)</f>
        <v/>
      </c>
      <c r="AA24" s="651" t="str">
        <f t="shared" si="10"/>
        <v/>
      </c>
      <c r="AB24" s="654" t="str">
        <f t="shared" si="11"/>
        <v/>
      </c>
      <c r="AC24" s="356"/>
      <c r="AD24" s="356"/>
    </row>
    <row r="25" spans="1:30" x14ac:dyDescent="0.3">
      <c r="A25" t="str">
        <f>'1.2 Budgeted Enrollment YR1'!E22</f>
        <v>Pershing</v>
      </c>
      <c r="B25" s="381">
        <f>'5.2 Budgeted Enrollment YR2'!H22</f>
        <v>23</v>
      </c>
      <c r="C25" s="357"/>
      <c r="D25" s="649">
        <f t="shared" si="0"/>
        <v>-23</v>
      </c>
      <c r="E25" s="395">
        <f t="shared" si="12"/>
        <v>4242.6000000000004</v>
      </c>
      <c r="F25" s="379">
        <f t="shared" si="1"/>
        <v>0</v>
      </c>
      <c r="G25" s="650" t="str">
        <f t="shared" si="2"/>
        <v/>
      </c>
      <c r="H25" s="651" t="str">
        <f t="shared" si="3"/>
        <v/>
      </c>
      <c r="J25" s="381">
        <f>'5.2 Budgeted Enrollment YR2'!I22</f>
        <v>39</v>
      </c>
      <c r="K25" s="357"/>
      <c r="L25" s="649">
        <f t="shared" si="13"/>
        <v>-39</v>
      </c>
      <c r="M25" s="395">
        <f t="shared" si="14"/>
        <v>3299.7999999999997</v>
      </c>
      <c r="N25" s="379">
        <f t="shared" si="4"/>
        <v>0</v>
      </c>
      <c r="O25" s="650" t="str">
        <f t="shared" si="5"/>
        <v/>
      </c>
      <c r="P25" s="651" t="str">
        <f t="shared" si="6"/>
        <v/>
      </c>
      <c r="R25" s="381">
        <f>'5.2 Budgeted Enrollment YR2'!J22</f>
        <v>0</v>
      </c>
      <c r="S25" s="357"/>
      <c r="T25" s="649">
        <f t="shared" si="15"/>
        <v>0</v>
      </c>
      <c r="U25" s="395">
        <f t="shared" si="16"/>
        <v>1131.3599999999999</v>
      </c>
      <c r="V25" s="296">
        <f t="shared" si="7"/>
        <v>0</v>
      </c>
      <c r="W25" s="650" t="str">
        <f t="shared" si="8"/>
        <v/>
      </c>
      <c r="X25" s="651" t="str">
        <f t="shared" si="9"/>
        <v/>
      </c>
      <c r="Z25" s="657" t="str">
        <f>IF($B$3="No","",'3.1b Allocation Adj. YR1 '!L25)</f>
        <v/>
      </c>
      <c r="AA25" s="651" t="str">
        <f t="shared" si="10"/>
        <v/>
      </c>
      <c r="AB25" s="654" t="str">
        <f t="shared" si="11"/>
        <v/>
      </c>
      <c r="AC25" s="356"/>
      <c r="AD25" s="356"/>
    </row>
    <row r="26" spans="1:30" x14ac:dyDescent="0.3">
      <c r="A26" t="str">
        <f>'1.2 Budgeted Enrollment YR1'!E23</f>
        <v>Storey</v>
      </c>
      <c r="B26" s="381">
        <f>'5.2 Budgeted Enrollment YR2'!H23</f>
        <v>1</v>
      </c>
      <c r="C26" s="357"/>
      <c r="D26" s="649">
        <f t="shared" si="0"/>
        <v>-1</v>
      </c>
      <c r="E26" s="395">
        <f t="shared" si="12"/>
        <v>4242.6000000000004</v>
      </c>
      <c r="F26" s="379">
        <f t="shared" si="1"/>
        <v>0</v>
      </c>
      <c r="G26" s="650" t="str">
        <f t="shared" si="2"/>
        <v/>
      </c>
      <c r="H26" s="651" t="str">
        <f t="shared" si="3"/>
        <v/>
      </c>
      <c r="J26" s="381">
        <f>'5.2 Budgeted Enrollment YR2'!I23</f>
        <v>12</v>
      </c>
      <c r="K26" s="357"/>
      <c r="L26" s="649">
        <f t="shared" si="13"/>
        <v>-12</v>
      </c>
      <c r="M26" s="395">
        <f t="shared" si="14"/>
        <v>3299.7999999999997</v>
      </c>
      <c r="N26" s="379">
        <f t="shared" si="4"/>
        <v>0</v>
      </c>
      <c r="O26" s="650" t="str">
        <f t="shared" si="5"/>
        <v/>
      </c>
      <c r="P26" s="651" t="str">
        <f t="shared" si="6"/>
        <v/>
      </c>
      <c r="R26" s="381">
        <f>'5.2 Budgeted Enrollment YR2'!J23</f>
        <v>5</v>
      </c>
      <c r="S26" s="357"/>
      <c r="T26" s="649">
        <f t="shared" si="15"/>
        <v>-5</v>
      </c>
      <c r="U26" s="395">
        <f t="shared" si="16"/>
        <v>1131.3599999999999</v>
      </c>
      <c r="V26" s="296">
        <f t="shared" si="7"/>
        <v>0</v>
      </c>
      <c r="W26" s="650" t="str">
        <f t="shared" si="8"/>
        <v/>
      </c>
      <c r="X26" s="651" t="str">
        <f t="shared" si="9"/>
        <v/>
      </c>
      <c r="Z26" s="657" t="str">
        <f>IF($B$3="No","",'3.1b Allocation Adj. YR1 '!L26)</f>
        <v/>
      </c>
      <c r="AA26" s="651" t="str">
        <f t="shared" si="10"/>
        <v/>
      </c>
      <c r="AB26" s="654" t="str">
        <f t="shared" si="11"/>
        <v/>
      </c>
      <c r="AC26" s="356"/>
      <c r="AD26" s="356"/>
    </row>
    <row r="27" spans="1:30" x14ac:dyDescent="0.3">
      <c r="A27" t="str">
        <f>'1.2 Budgeted Enrollment YR1'!E24</f>
        <v>Washoe</v>
      </c>
      <c r="B27" s="381">
        <f>'5.2 Budgeted Enrollment YR2'!H24</f>
        <v>6726</v>
      </c>
      <c r="C27" s="357"/>
      <c r="D27" s="649">
        <f t="shared" si="0"/>
        <v>-6726</v>
      </c>
      <c r="E27" s="395">
        <f t="shared" si="12"/>
        <v>4242.6000000000004</v>
      </c>
      <c r="F27" s="379">
        <f t="shared" si="1"/>
        <v>0</v>
      </c>
      <c r="G27" s="650" t="str">
        <f t="shared" si="2"/>
        <v/>
      </c>
      <c r="H27" s="651" t="str">
        <f t="shared" si="3"/>
        <v/>
      </c>
      <c r="J27" s="381">
        <f>'5.2 Budgeted Enrollment YR2'!I24</f>
        <v>4912</v>
      </c>
      <c r="K27" s="357"/>
      <c r="L27" s="649">
        <f t="shared" si="13"/>
        <v>-4912</v>
      </c>
      <c r="M27" s="395">
        <f t="shared" si="14"/>
        <v>3299.7999999999997</v>
      </c>
      <c r="N27" s="379">
        <f t="shared" si="4"/>
        <v>0</v>
      </c>
      <c r="O27" s="650" t="str">
        <f t="shared" si="5"/>
        <v/>
      </c>
      <c r="P27" s="651" t="str">
        <f t="shared" si="6"/>
        <v/>
      </c>
      <c r="R27" s="381">
        <f>'5.2 Budgeted Enrollment YR2'!J24</f>
        <v>1259</v>
      </c>
      <c r="S27" s="357"/>
      <c r="T27" s="649">
        <f t="shared" si="15"/>
        <v>-1259</v>
      </c>
      <c r="U27" s="395">
        <f t="shared" si="16"/>
        <v>1131.3599999999999</v>
      </c>
      <c r="V27" s="296">
        <f t="shared" si="7"/>
        <v>0</v>
      </c>
      <c r="W27" s="650" t="str">
        <f t="shared" si="8"/>
        <v/>
      </c>
      <c r="X27" s="651" t="str">
        <f t="shared" si="9"/>
        <v/>
      </c>
      <c r="Z27" s="657" t="str">
        <f>IF($B$3="No","",'3.1b Allocation Adj. YR1 '!L28)</f>
        <v/>
      </c>
      <c r="AA27" s="651" t="str">
        <f t="shared" si="10"/>
        <v/>
      </c>
      <c r="AB27" s="654" t="str">
        <f t="shared" si="11"/>
        <v/>
      </c>
      <c r="AC27" s="356"/>
      <c r="AD27" s="356"/>
    </row>
    <row r="28" spans="1:30" x14ac:dyDescent="0.3">
      <c r="A28" t="str">
        <f>'1.2 Budgeted Enrollment YR1'!E25</f>
        <v>White Pine</v>
      </c>
      <c r="B28" s="381">
        <f>'5.2 Budgeted Enrollment YR2'!H25</f>
        <v>15</v>
      </c>
      <c r="C28" s="357"/>
      <c r="D28" s="649">
        <f t="shared" si="0"/>
        <v>-15</v>
      </c>
      <c r="E28" s="395">
        <f t="shared" si="12"/>
        <v>4242.6000000000004</v>
      </c>
      <c r="F28" s="379">
        <f t="shared" si="1"/>
        <v>0</v>
      </c>
      <c r="G28" s="650" t="str">
        <f t="shared" si="2"/>
        <v/>
      </c>
      <c r="H28" s="651" t="str">
        <f t="shared" si="3"/>
        <v/>
      </c>
      <c r="J28" s="381">
        <f>'5.2 Budgeted Enrollment YR2'!I25</f>
        <v>109</v>
      </c>
      <c r="K28" s="357"/>
      <c r="L28" s="649">
        <f t="shared" si="13"/>
        <v>-109</v>
      </c>
      <c r="M28" s="395">
        <f t="shared" si="14"/>
        <v>3299.7999999999997</v>
      </c>
      <c r="N28" s="379">
        <f t="shared" si="4"/>
        <v>0</v>
      </c>
      <c r="O28" s="650" t="str">
        <f t="shared" si="5"/>
        <v/>
      </c>
      <c r="P28" s="651" t="str">
        <f t="shared" si="6"/>
        <v/>
      </c>
      <c r="R28" s="381">
        <f>'5.2 Budgeted Enrollment YR2'!J25</f>
        <v>0</v>
      </c>
      <c r="S28" s="357"/>
      <c r="T28" s="649">
        <f>IF(R28="",0,S28-R28)</f>
        <v>0</v>
      </c>
      <c r="U28" s="395">
        <f t="shared" si="16"/>
        <v>1131.3599999999999</v>
      </c>
      <c r="V28" s="296">
        <f t="shared" si="7"/>
        <v>0</v>
      </c>
      <c r="W28" s="650" t="str">
        <f t="shared" si="8"/>
        <v/>
      </c>
      <c r="X28" s="651" t="str">
        <f t="shared" si="9"/>
        <v/>
      </c>
      <c r="Z28" s="657" t="str">
        <f>IF($B$3="No","",'3.1b Allocation Adj. YR1 '!L29)</f>
        <v/>
      </c>
      <c r="AA28" s="651" t="str">
        <f t="shared" si="10"/>
        <v/>
      </c>
      <c r="AB28" s="654" t="str">
        <f t="shared" si="11"/>
        <v/>
      </c>
      <c r="AC28" s="356"/>
      <c r="AD28" s="356"/>
    </row>
    <row r="29" spans="1:30" x14ac:dyDescent="0.3">
      <c r="A29" t="str">
        <f>'1.2 Budgeted Enrollment YR1'!E26</f>
        <v>Charter Schools (Combined)</v>
      </c>
      <c r="B29" s="382">
        <f>B93</f>
        <v>5510</v>
      </c>
      <c r="C29" s="2">
        <f>C93</f>
        <v>0</v>
      </c>
      <c r="D29" s="649">
        <f>IF(B29=0,0,C29-B29)</f>
        <v>-5510</v>
      </c>
      <c r="E29" s="395">
        <f t="shared" si="12"/>
        <v>4242.6000000000004</v>
      </c>
      <c r="F29" s="296">
        <f>F93</f>
        <v>0</v>
      </c>
      <c r="G29" s="650" t="str">
        <f>IF($B$3="No","",E29*F29)</f>
        <v/>
      </c>
      <c r="H29" s="651" t="str">
        <f t="shared" si="3"/>
        <v/>
      </c>
      <c r="J29" s="381">
        <f>J93</f>
        <v>3050</v>
      </c>
      <c r="K29" s="2">
        <f>K93</f>
        <v>0</v>
      </c>
      <c r="L29" s="649">
        <f t="shared" si="13"/>
        <v>-3050</v>
      </c>
      <c r="M29" s="395">
        <f t="shared" si="14"/>
        <v>3299.7999999999997</v>
      </c>
      <c r="N29" s="376">
        <f>N93</f>
        <v>0</v>
      </c>
      <c r="O29" s="650" t="str">
        <f t="shared" si="5"/>
        <v/>
      </c>
      <c r="P29" s="651" t="str">
        <f t="shared" si="6"/>
        <v/>
      </c>
      <c r="R29" s="381">
        <f>R93</f>
        <v>1097</v>
      </c>
      <c r="S29" s="2">
        <f>S93</f>
        <v>0</v>
      </c>
      <c r="T29" s="649">
        <f t="shared" si="15"/>
        <v>-1097</v>
      </c>
      <c r="U29" s="395">
        <f t="shared" si="16"/>
        <v>1131.3599999999999</v>
      </c>
      <c r="V29" s="296">
        <f>V93</f>
        <v>0</v>
      </c>
      <c r="W29" s="650" t="str">
        <f t="shared" si="8"/>
        <v/>
      </c>
      <c r="X29" s="651" t="str">
        <f t="shared" si="9"/>
        <v/>
      </c>
      <c r="Z29" s="657" t="str">
        <f>IF($B$3="No","",'3.1b Allocation Adj. YR1 '!L30)</f>
        <v/>
      </c>
      <c r="AA29" s="651" t="str">
        <f t="shared" si="10"/>
        <v/>
      </c>
      <c r="AB29" s="654" t="str">
        <f t="shared" si="11"/>
        <v/>
      </c>
      <c r="AC29" s="356"/>
      <c r="AD29" s="356"/>
    </row>
    <row r="30" spans="1:30" s="216" customFormat="1" x14ac:dyDescent="0.3">
      <c r="A30" s="874" t="s">
        <v>86</v>
      </c>
      <c r="B30" s="646">
        <f>SUM(B12:B29)</f>
        <v>52678</v>
      </c>
      <c r="C30" s="865">
        <f>SUM(C12:C29)</f>
        <v>0</v>
      </c>
      <c r="D30" s="866">
        <f>SUM(D12:D29)</f>
        <v>-52678</v>
      </c>
      <c r="E30" s="867">
        <f>E29</f>
        <v>4242.6000000000004</v>
      </c>
      <c r="F30" s="868">
        <f>SUM(F12:F29)</f>
        <v>0</v>
      </c>
      <c r="G30" s="869">
        <f>SUM(G12:G29)</f>
        <v>0</v>
      </c>
      <c r="H30" s="867">
        <f>SUM(H12:H29)</f>
        <v>0</v>
      </c>
      <c r="I30" s="4"/>
      <c r="J30" s="646">
        <f>SUM(J12:J29)</f>
        <v>63325</v>
      </c>
      <c r="K30" s="865">
        <f>SUM(K12:K29)</f>
        <v>0</v>
      </c>
      <c r="L30" s="866">
        <f>SUM(L12:L29)</f>
        <v>-63325</v>
      </c>
      <c r="M30" s="867">
        <f t="shared" si="14"/>
        <v>3299.7999999999997</v>
      </c>
      <c r="N30" s="868">
        <f>SUM(N12:N29)</f>
        <v>0</v>
      </c>
      <c r="O30" s="869">
        <f>SUM(O12:O29)</f>
        <v>0</v>
      </c>
      <c r="P30" s="867">
        <f>SUM(P12:P29)</f>
        <v>0</v>
      </c>
      <c r="Q30" s="4"/>
      <c r="R30" s="646">
        <f>SUM(R12:R29)</f>
        <v>7434</v>
      </c>
      <c r="S30" s="865">
        <f>SUM(S12:S29)</f>
        <v>0</v>
      </c>
      <c r="T30" s="866">
        <f>SUM(T12:T29)</f>
        <v>-7434</v>
      </c>
      <c r="U30" s="867">
        <f t="shared" si="16"/>
        <v>1131.3599999999999</v>
      </c>
      <c r="V30" s="871">
        <f>SUM(V12:V29)</f>
        <v>0</v>
      </c>
      <c r="W30" s="869">
        <f>SUM(W12:W29)</f>
        <v>0</v>
      </c>
      <c r="X30" s="867">
        <f>SUM(X12:X29)</f>
        <v>0</v>
      </c>
      <c r="Y30" s="4"/>
      <c r="Z30" s="872">
        <f>SUM(Z12:Z29)</f>
        <v>0</v>
      </c>
      <c r="AA30" s="868">
        <f>SUM(AA12:AA29)</f>
        <v>0</v>
      </c>
      <c r="AB30" s="873">
        <f>SUM(AB12:AB29)</f>
        <v>0</v>
      </c>
      <c r="AC30" s="870"/>
      <c r="AD30" s="870"/>
    </row>
    <row r="31" spans="1:30" x14ac:dyDescent="0.3">
      <c r="B31" s="382">
        <f>B30-'5.2 Budgeted Enrollment YR2'!H28</f>
        <v>0</v>
      </c>
      <c r="D31" s="232"/>
      <c r="E31" s="396"/>
      <c r="F31" s="377"/>
      <c r="G31" s="397"/>
      <c r="H31" s="398"/>
      <c r="J31" s="382">
        <f>J30-'5.2 Budgeted Enrollment YR2'!I28</f>
        <v>0</v>
      </c>
      <c r="L31" s="232"/>
      <c r="M31" s="396"/>
      <c r="N31" s="377"/>
      <c r="O31" s="360"/>
      <c r="P31" s="377"/>
      <c r="R31" s="382">
        <f>R30-'5.2 Budgeted Enrollment YR2'!J28</f>
        <v>0</v>
      </c>
      <c r="T31" s="232"/>
      <c r="U31" s="359"/>
      <c r="V31" s="384"/>
      <c r="W31" s="360"/>
      <c r="X31" s="377"/>
      <c r="Z31" s="359"/>
      <c r="AA31" s="377"/>
      <c r="AB31" s="361"/>
      <c r="AC31" s="360"/>
      <c r="AD31" s="360"/>
    </row>
    <row r="32" spans="1:30" x14ac:dyDescent="0.3">
      <c r="A32" s="216" t="s">
        <v>84</v>
      </c>
      <c r="B32" s="232"/>
      <c r="D32" s="232"/>
      <c r="E32" s="214"/>
      <c r="F32" s="378"/>
      <c r="G32" s="146"/>
      <c r="H32" s="194"/>
      <c r="J32" s="232"/>
      <c r="L32" s="232"/>
      <c r="M32" s="214"/>
      <c r="N32" s="378"/>
      <c r="O32" s="363"/>
      <c r="P32" s="378"/>
      <c r="R32" s="232"/>
      <c r="T32" s="232"/>
      <c r="U32" s="362"/>
      <c r="V32" s="296"/>
      <c r="W32" s="363"/>
      <c r="X32" s="378"/>
      <c r="Z32" s="362"/>
      <c r="AA32" s="378"/>
      <c r="AB32" s="364"/>
      <c r="AC32" s="363"/>
      <c r="AD32" s="363"/>
    </row>
    <row r="33" spans="1:30" x14ac:dyDescent="0.3">
      <c r="A33" t="str">
        <f>'1.2 Budgeted Enrollment YR1'!E32</f>
        <v>100 Academy Of Excellence</v>
      </c>
      <c r="B33" s="383">
        <f>'5.2 Budgeted Enrollment YR2'!H32</f>
        <v>30</v>
      </c>
      <c r="C33" s="1033"/>
      <c r="D33" s="653">
        <f>IF(B33="",0,C33-B33)</f>
        <v>-30</v>
      </c>
      <c r="E33" s="395">
        <f>E29</f>
        <v>4242.6000000000004</v>
      </c>
      <c r="F33" s="380">
        <f>C33</f>
        <v>0</v>
      </c>
      <c r="G33" s="650" t="str">
        <f>IF($B$3="No","",E33*F33)</f>
        <v/>
      </c>
      <c r="H33" s="651" t="str">
        <f>IF($B$3="No","",G33*$H$9)</f>
        <v/>
      </c>
      <c r="J33" s="383">
        <f>'5.2 Budgeted Enrollment YR2'!I32</f>
        <v>161</v>
      </c>
      <c r="K33" s="1033"/>
      <c r="L33" s="653">
        <f>IF(J33="",0,K33-J33)</f>
        <v>-161</v>
      </c>
      <c r="M33" s="395">
        <f>M29</f>
        <v>3299.7999999999997</v>
      </c>
      <c r="N33" s="296">
        <f>K33</f>
        <v>0</v>
      </c>
      <c r="O33" s="650" t="str">
        <f>IF($B$3="No","",M33*N33)</f>
        <v/>
      </c>
      <c r="P33" s="651" t="str">
        <f>IF($B$3="No","",O33*$P$9)</f>
        <v/>
      </c>
      <c r="R33" s="383">
        <f>'5.2 Budgeted Enrollment YR2'!J32</f>
        <v>0</v>
      </c>
      <c r="S33" s="1033"/>
      <c r="T33" s="653">
        <f>IF(R33="",0,S33-R33)</f>
        <v>0</v>
      </c>
      <c r="U33" s="395">
        <f>U29</f>
        <v>1131.3599999999999</v>
      </c>
      <c r="V33" s="296">
        <f>S33</f>
        <v>0</v>
      </c>
      <c r="W33" s="650" t="str">
        <f>IF($B$3="No","",U33*V33)</f>
        <v/>
      </c>
      <c r="X33" s="651" t="str">
        <f>IF($B$3="No","",W33*$X$9)</f>
        <v/>
      </c>
      <c r="Z33" s="657" t="str">
        <f>IF($B$3="No","",'3.1b Allocation Adj. YR1 '!L34)</f>
        <v/>
      </c>
      <c r="AA33" s="863" t="str">
        <f>IF($B$3="No","",X33+P33+H33)</f>
        <v/>
      </c>
      <c r="AB33" s="654" t="str">
        <f>IF($B$3="No","",AA33-Z33)</f>
        <v/>
      </c>
      <c r="AC33" s="356"/>
      <c r="AD33" s="356"/>
    </row>
    <row r="34" spans="1:30" x14ac:dyDescent="0.3">
      <c r="A34" t="str">
        <f>'1.2 Budgeted Enrollment YR1'!E33</f>
        <v>Academy For Career Education</v>
      </c>
      <c r="B34" s="383">
        <f>'5.2 Budgeted Enrollment YR2'!H33</f>
        <v>22</v>
      </c>
      <c r="C34" s="1033"/>
      <c r="D34" s="653">
        <f t="shared" ref="D34:D41" si="17">IF(B34="",0,C34-B34)</f>
        <v>-22</v>
      </c>
      <c r="E34" s="395">
        <f>E33</f>
        <v>4242.6000000000004</v>
      </c>
      <c r="F34" s="380">
        <f t="shared" ref="F34:F41" si="18">C34</f>
        <v>0</v>
      </c>
      <c r="G34" s="650" t="str">
        <f t="shared" ref="G34:G41" si="19">IF($B$3="No","",E34*F34)</f>
        <v/>
      </c>
      <c r="H34" s="651" t="str">
        <f t="shared" ref="H34:H92" si="20">IF($B$3="No","",G34*$H$9)</f>
        <v/>
      </c>
      <c r="J34" s="383">
        <f>'5.2 Budgeted Enrollment YR2'!I33</f>
        <v>2</v>
      </c>
      <c r="K34" s="1033"/>
      <c r="L34" s="653">
        <f t="shared" ref="L34:L41" si="21">IF(J34="",0,K34-J34)</f>
        <v>-2</v>
      </c>
      <c r="M34" s="395">
        <f>M33</f>
        <v>3299.7999999999997</v>
      </c>
      <c r="N34" s="296">
        <f t="shared" ref="N34:N41" si="22">K34</f>
        <v>0</v>
      </c>
      <c r="O34" s="650" t="str">
        <f t="shared" ref="O34:O41" si="23">IF($B$3="No","",M34*N34)</f>
        <v/>
      </c>
      <c r="P34" s="651" t="str">
        <f t="shared" ref="P34:P92" si="24">IF($B$3="No","",O34*$P$9)</f>
        <v/>
      </c>
      <c r="R34" s="383">
        <f>'5.2 Budgeted Enrollment YR2'!J33</f>
        <v>0</v>
      </c>
      <c r="S34" s="1033"/>
      <c r="T34" s="653">
        <f t="shared" ref="T34:T41" si="25">IF(R34="",0,S34-R34)</f>
        <v>0</v>
      </c>
      <c r="U34" s="395">
        <f>U33</f>
        <v>1131.3599999999999</v>
      </c>
      <c r="V34" s="296">
        <f t="shared" ref="V34:V41" si="26">S34</f>
        <v>0</v>
      </c>
      <c r="W34" s="650" t="str">
        <f t="shared" ref="W34:W41" si="27">IF($B$3="No","",U34*V34)</f>
        <v/>
      </c>
      <c r="X34" s="651" t="str">
        <f t="shared" ref="X34:X92" si="28">IF($B$3="No","",W34*$X$9)</f>
        <v/>
      </c>
      <c r="Z34" s="657" t="str">
        <f>IF($B$3="No","",'3.1b Allocation Adj. YR1 '!L35)</f>
        <v/>
      </c>
      <c r="AA34" s="863" t="str">
        <f t="shared" ref="AA34:AA41" si="29">IF($B$3="No","",X34+P34+H34)</f>
        <v/>
      </c>
      <c r="AB34" s="654" t="str">
        <f t="shared" ref="AB34:AB41" si="30">IF($B$3="No","",AA34-Z34)</f>
        <v/>
      </c>
      <c r="AC34" s="356"/>
      <c r="AD34" s="356"/>
    </row>
    <row r="35" spans="1:30" x14ac:dyDescent="0.3">
      <c r="A35" t="str">
        <f>'1.2 Budgeted Enrollment YR1'!E34</f>
        <v xml:space="preserve">Alpine Academy </v>
      </c>
      <c r="B35" s="383">
        <f>'5.2 Budgeted Enrollment YR2'!H34</f>
        <v>0</v>
      </c>
      <c r="C35" s="1033"/>
      <c r="D35" s="653">
        <f t="shared" si="17"/>
        <v>0</v>
      </c>
      <c r="E35" s="395">
        <f t="shared" ref="E35:E92" si="31">E34</f>
        <v>4242.6000000000004</v>
      </c>
      <c r="F35" s="380">
        <f t="shared" si="18"/>
        <v>0</v>
      </c>
      <c r="G35" s="650" t="str">
        <f t="shared" si="19"/>
        <v/>
      </c>
      <c r="H35" s="651" t="str">
        <f t="shared" si="20"/>
        <v/>
      </c>
      <c r="J35" s="383">
        <f>'5.2 Budgeted Enrollment YR2'!I34</f>
        <v>5</v>
      </c>
      <c r="K35" s="1033"/>
      <c r="L35" s="653">
        <f t="shared" si="21"/>
        <v>-5</v>
      </c>
      <c r="M35" s="395">
        <f t="shared" ref="M35:M92" si="32">M34</f>
        <v>3299.7999999999997</v>
      </c>
      <c r="N35" s="296">
        <f t="shared" si="22"/>
        <v>0</v>
      </c>
      <c r="O35" s="650" t="str">
        <f t="shared" si="23"/>
        <v/>
      </c>
      <c r="P35" s="651" t="str">
        <f t="shared" si="24"/>
        <v/>
      </c>
      <c r="R35" s="383">
        <f>'5.2 Budgeted Enrollment YR2'!J34</f>
        <v>0</v>
      </c>
      <c r="S35" s="1033"/>
      <c r="T35" s="653">
        <f t="shared" si="25"/>
        <v>0</v>
      </c>
      <c r="U35" s="395">
        <f t="shared" ref="U35:U92" si="33">U34</f>
        <v>1131.3599999999999</v>
      </c>
      <c r="V35" s="296">
        <f t="shared" si="26"/>
        <v>0</v>
      </c>
      <c r="W35" s="650" t="str">
        <f t="shared" si="27"/>
        <v/>
      </c>
      <c r="X35" s="651" t="str">
        <f t="shared" si="28"/>
        <v/>
      </c>
      <c r="Z35" s="657" t="str">
        <f>IF($B$3="No","",'3.1b Allocation Adj. YR1 '!L36)</f>
        <v/>
      </c>
      <c r="AA35" s="863" t="str">
        <f t="shared" si="29"/>
        <v/>
      </c>
      <c r="AB35" s="654" t="str">
        <f t="shared" si="30"/>
        <v/>
      </c>
      <c r="AC35" s="356"/>
      <c r="AD35" s="356"/>
    </row>
    <row r="36" spans="1:30" x14ac:dyDescent="0.3">
      <c r="A36" t="str">
        <f>'1.2 Budgeted Enrollment YR1'!E35</f>
        <v xml:space="preserve">Amplus (Formerly American Preparatory Academy) </v>
      </c>
      <c r="B36" s="383">
        <f>'5.2 Budgeted Enrollment YR2'!H35</f>
        <v>174</v>
      </c>
      <c r="C36" s="1033"/>
      <c r="D36" s="653">
        <f t="shared" si="17"/>
        <v>-174</v>
      </c>
      <c r="E36" s="395">
        <f t="shared" si="31"/>
        <v>4242.6000000000004</v>
      </c>
      <c r="F36" s="380">
        <f t="shared" si="18"/>
        <v>0</v>
      </c>
      <c r="G36" s="650" t="str">
        <f t="shared" si="19"/>
        <v/>
      </c>
      <c r="H36" s="651" t="str">
        <f t="shared" si="20"/>
        <v/>
      </c>
      <c r="J36" s="383">
        <f>'5.2 Budgeted Enrollment YR2'!I35</f>
        <v>39</v>
      </c>
      <c r="K36" s="1033"/>
      <c r="L36" s="653">
        <f t="shared" si="21"/>
        <v>-39</v>
      </c>
      <c r="M36" s="395">
        <f t="shared" si="32"/>
        <v>3299.7999999999997</v>
      </c>
      <c r="N36" s="296">
        <f t="shared" si="22"/>
        <v>0</v>
      </c>
      <c r="O36" s="650" t="str">
        <f t="shared" si="23"/>
        <v/>
      </c>
      <c r="P36" s="651" t="str">
        <f t="shared" si="24"/>
        <v/>
      </c>
      <c r="R36" s="383">
        <f>'5.2 Budgeted Enrollment YR2'!J35</f>
        <v>40</v>
      </c>
      <c r="S36" s="1033"/>
      <c r="T36" s="653">
        <f t="shared" si="25"/>
        <v>-40</v>
      </c>
      <c r="U36" s="395">
        <f t="shared" si="33"/>
        <v>1131.3599999999999</v>
      </c>
      <c r="V36" s="296">
        <f t="shared" si="26"/>
        <v>0</v>
      </c>
      <c r="W36" s="650" t="str">
        <f t="shared" si="27"/>
        <v/>
      </c>
      <c r="X36" s="651" t="str">
        <f t="shared" si="28"/>
        <v/>
      </c>
      <c r="Z36" s="657" t="str">
        <f>IF($B$3="No","",'3.1b Allocation Adj. YR1 '!L37)</f>
        <v/>
      </c>
      <c r="AA36" s="863" t="str">
        <f t="shared" si="29"/>
        <v/>
      </c>
      <c r="AB36" s="654" t="str">
        <f t="shared" si="30"/>
        <v/>
      </c>
      <c r="AC36" s="356"/>
      <c r="AD36" s="356"/>
    </row>
    <row r="37" spans="1:30" x14ac:dyDescent="0.3">
      <c r="A37" t="str">
        <f>'1.2 Budgeted Enrollment YR1'!E36</f>
        <v>Bailey Charter School</v>
      </c>
      <c r="B37" s="383">
        <f>'5.2 Budgeted Enrollment YR2'!H36</f>
        <v>75</v>
      </c>
      <c r="C37" s="1033"/>
      <c r="D37" s="653">
        <f t="shared" si="17"/>
        <v>-75</v>
      </c>
      <c r="E37" s="395">
        <f t="shared" si="31"/>
        <v>4242.6000000000004</v>
      </c>
      <c r="F37" s="380">
        <f t="shared" si="18"/>
        <v>0</v>
      </c>
      <c r="G37" s="650" t="str">
        <f t="shared" si="19"/>
        <v/>
      </c>
      <c r="H37" s="651" t="str">
        <f t="shared" si="20"/>
        <v/>
      </c>
      <c r="J37" s="383">
        <f>'5.2 Budgeted Enrollment YR2'!I36</f>
        <v>37</v>
      </c>
      <c r="K37" s="1033"/>
      <c r="L37" s="653">
        <f t="shared" si="21"/>
        <v>-37</v>
      </c>
      <c r="M37" s="395">
        <f t="shared" si="32"/>
        <v>3299.7999999999997</v>
      </c>
      <c r="N37" s="296">
        <f t="shared" si="22"/>
        <v>0</v>
      </c>
      <c r="O37" s="650" t="str">
        <f t="shared" si="23"/>
        <v/>
      </c>
      <c r="P37" s="651" t="str">
        <f t="shared" si="24"/>
        <v/>
      </c>
      <c r="R37" s="383">
        <f>'5.2 Budgeted Enrollment YR2'!J36</f>
        <v>0</v>
      </c>
      <c r="S37" s="1033"/>
      <c r="T37" s="653">
        <f t="shared" si="25"/>
        <v>0</v>
      </c>
      <c r="U37" s="395">
        <f t="shared" si="33"/>
        <v>1131.3599999999999</v>
      </c>
      <c r="V37" s="296">
        <f t="shared" si="26"/>
        <v>0</v>
      </c>
      <c r="W37" s="650" t="str">
        <f t="shared" si="27"/>
        <v/>
      </c>
      <c r="X37" s="651" t="str">
        <f t="shared" si="28"/>
        <v/>
      </c>
      <c r="Z37" s="657" t="str">
        <f>IF($B$3="No","",'3.1b Allocation Adj. YR1 '!L38)</f>
        <v/>
      </c>
      <c r="AA37" s="863" t="str">
        <f t="shared" si="29"/>
        <v/>
      </c>
      <c r="AB37" s="654" t="str">
        <f t="shared" si="30"/>
        <v/>
      </c>
      <c r="AC37" s="356"/>
      <c r="AD37" s="356"/>
    </row>
    <row r="38" spans="1:30" x14ac:dyDescent="0.3">
      <c r="A38" t="str">
        <f>'1.2 Budgeted Enrollment YR1'!E37</f>
        <v>Battle Born Academy</v>
      </c>
      <c r="B38" s="383">
        <f>'5.2 Budgeted Enrollment YR2'!H37</f>
        <v>56</v>
      </c>
      <c r="C38" s="1033"/>
      <c r="D38" s="653">
        <f t="shared" si="17"/>
        <v>-56</v>
      </c>
      <c r="E38" s="395">
        <f t="shared" si="31"/>
        <v>4242.6000000000004</v>
      </c>
      <c r="F38" s="380">
        <f t="shared" si="18"/>
        <v>0</v>
      </c>
      <c r="G38" s="650" t="str">
        <f t="shared" si="19"/>
        <v/>
      </c>
      <c r="H38" s="651" t="str">
        <f t="shared" si="20"/>
        <v/>
      </c>
      <c r="J38" s="383">
        <f>'5.2 Budgeted Enrollment YR2'!I37</f>
        <v>0</v>
      </c>
      <c r="K38" s="1033"/>
      <c r="L38" s="653">
        <f t="shared" si="21"/>
        <v>0</v>
      </c>
      <c r="M38" s="395">
        <f t="shared" si="32"/>
        <v>3299.7999999999997</v>
      </c>
      <c r="N38" s="296">
        <f t="shared" si="22"/>
        <v>0</v>
      </c>
      <c r="O38" s="650" t="str">
        <f t="shared" si="23"/>
        <v/>
      </c>
      <c r="P38" s="651" t="str">
        <f t="shared" si="24"/>
        <v/>
      </c>
      <c r="R38" s="383">
        <f>'5.2 Budgeted Enrollment YR2'!J37</f>
        <v>0</v>
      </c>
      <c r="S38" s="1033"/>
      <c r="T38" s="653">
        <f t="shared" si="25"/>
        <v>0</v>
      </c>
      <c r="U38" s="395">
        <f t="shared" si="33"/>
        <v>1131.3599999999999</v>
      </c>
      <c r="V38" s="296">
        <f t="shared" si="26"/>
        <v>0</v>
      </c>
      <c r="W38" s="650" t="str">
        <f t="shared" si="27"/>
        <v/>
      </c>
      <c r="X38" s="651" t="str">
        <f t="shared" si="28"/>
        <v/>
      </c>
      <c r="Z38" s="657" t="str">
        <f>IF($B$3="No","",'3.1b Allocation Adj. YR1 '!L39)</f>
        <v/>
      </c>
      <c r="AA38" s="863" t="str">
        <f t="shared" si="29"/>
        <v/>
      </c>
      <c r="AB38" s="654" t="str">
        <f t="shared" si="30"/>
        <v/>
      </c>
      <c r="AC38" s="356"/>
      <c r="AD38" s="356"/>
    </row>
    <row r="39" spans="1:30" x14ac:dyDescent="0.3">
      <c r="A39" t="str">
        <f>'1.2 Budgeted Enrollment YR1'!E38</f>
        <v>Beacon Academy</v>
      </c>
      <c r="B39" s="383">
        <f>'5.2 Budgeted Enrollment YR2'!H38</f>
        <v>56</v>
      </c>
      <c r="C39" s="1033"/>
      <c r="D39" s="653">
        <f t="shared" si="17"/>
        <v>-56</v>
      </c>
      <c r="E39" s="395">
        <f t="shared" si="31"/>
        <v>4242.6000000000004</v>
      </c>
      <c r="F39" s="380">
        <f t="shared" si="18"/>
        <v>0</v>
      </c>
      <c r="G39" s="650" t="str">
        <f t="shared" si="19"/>
        <v/>
      </c>
      <c r="H39" s="651" t="str">
        <f t="shared" si="20"/>
        <v/>
      </c>
      <c r="J39" s="383">
        <f>'5.2 Budgeted Enrollment YR2'!I38</f>
        <v>168</v>
      </c>
      <c r="K39" s="1033"/>
      <c r="L39" s="653">
        <f t="shared" si="21"/>
        <v>-168</v>
      </c>
      <c r="M39" s="395">
        <f t="shared" si="32"/>
        <v>3299.7999999999997</v>
      </c>
      <c r="N39" s="296">
        <f t="shared" si="22"/>
        <v>0</v>
      </c>
      <c r="O39" s="650" t="str">
        <f t="shared" si="23"/>
        <v/>
      </c>
      <c r="P39" s="651" t="str">
        <f t="shared" si="24"/>
        <v/>
      </c>
      <c r="R39" s="383">
        <f>'5.2 Budgeted Enrollment YR2'!J38</f>
        <v>0</v>
      </c>
      <c r="S39" s="1033"/>
      <c r="T39" s="653">
        <f t="shared" si="25"/>
        <v>0</v>
      </c>
      <c r="U39" s="395">
        <f t="shared" si="33"/>
        <v>1131.3599999999999</v>
      </c>
      <c r="V39" s="296">
        <f t="shared" si="26"/>
        <v>0</v>
      </c>
      <c r="W39" s="650" t="str">
        <f t="shared" si="27"/>
        <v/>
      </c>
      <c r="X39" s="651" t="str">
        <f t="shared" si="28"/>
        <v/>
      </c>
      <c r="Z39" s="657" t="str">
        <f>IF($B$3="No","",'3.1b Allocation Adj. YR1 '!L40)</f>
        <v/>
      </c>
      <c r="AA39" s="863" t="str">
        <f t="shared" si="29"/>
        <v/>
      </c>
      <c r="AB39" s="654" t="str">
        <f t="shared" si="30"/>
        <v/>
      </c>
      <c r="AC39" s="356"/>
      <c r="AD39" s="356"/>
    </row>
    <row r="40" spans="1:30" x14ac:dyDescent="0.3">
      <c r="A40" t="str">
        <f>'1.2 Budgeted Enrollment YR1'!E39</f>
        <v>Cactus Park</v>
      </c>
      <c r="B40" s="383">
        <f>'5.2 Budgeted Enrollment YR2'!H39</f>
        <v>22</v>
      </c>
      <c r="C40" s="1033"/>
      <c r="D40" s="653">
        <f t="shared" si="17"/>
        <v>-22</v>
      </c>
      <c r="E40" s="395">
        <f t="shared" si="31"/>
        <v>4242.6000000000004</v>
      </c>
      <c r="F40" s="380">
        <f t="shared" si="18"/>
        <v>0</v>
      </c>
      <c r="G40" s="650" t="str">
        <f t="shared" si="19"/>
        <v/>
      </c>
      <c r="H40" s="651" t="str">
        <f t="shared" si="20"/>
        <v/>
      </c>
      <c r="J40" s="383">
        <f>'5.2 Budgeted Enrollment YR2'!I39</f>
        <v>0</v>
      </c>
      <c r="K40" s="1033"/>
      <c r="L40" s="653">
        <f t="shared" si="21"/>
        <v>0</v>
      </c>
      <c r="M40" s="395">
        <f t="shared" si="32"/>
        <v>3299.7999999999997</v>
      </c>
      <c r="N40" s="296">
        <f t="shared" si="22"/>
        <v>0</v>
      </c>
      <c r="O40" s="650" t="str">
        <f t="shared" si="23"/>
        <v/>
      </c>
      <c r="P40" s="651" t="str">
        <f t="shared" si="24"/>
        <v/>
      </c>
      <c r="R40" s="383">
        <f>'5.2 Budgeted Enrollment YR2'!J39</f>
        <v>0</v>
      </c>
      <c r="S40" s="1033"/>
      <c r="T40" s="653">
        <f t="shared" si="25"/>
        <v>0</v>
      </c>
      <c r="U40" s="395">
        <f t="shared" si="33"/>
        <v>1131.3599999999999</v>
      </c>
      <c r="V40" s="296">
        <f t="shared" si="26"/>
        <v>0</v>
      </c>
      <c r="W40" s="650" t="str">
        <f t="shared" si="27"/>
        <v/>
      </c>
      <c r="X40" s="651" t="str">
        <f t="shared" si="28"/>
        <v/>
      </c>
      <c r="Z40" s="657" t="str">
        <f>IF($B$3="No","",'3.1b Allocation Adj. YR1 '!L41)</f>
        <v/>
      </c>
      <c r="AA40" s="863" t="str">
        <f t="shared" si="29"/>
        <v/>
      </c>
      <c r="AB40" s="654" t="str">
        <f t="shared" si="30"/>
        <v/>
      </c>
      <c r="AC40" s="356"/>
      <c r="AD40" s="356"/>
    </row>
    <row r="41" spans="1:30" x14ac:dyDescent="0.3">
      <c r="A41" t="str">
        <f>'1.2 Budgeted Enrollment YR1'!E40</f>
        <v>Carson Montessori</v>
      </c>
      <c r="B41" s="383">
        <f>'5.2 Budgeted Enrollment YR2'!H40</f>
        <v>9</v>
      </c>
      <c r="C41" s="1033"/>
      <c r="D41" s="653">
        <f t="shared" si="17"/>
        <v>-9</v>
      </c>
      <c r="E41" s="395">
        <f t="shared" si="31"/>
        <v>4242.6000000000004</v>
      </c>
      <c r="F41" s="380">
        <f t="shared" si="18"/>
        <v>0</v>
      </c>
      <c r="G41" s="650" t="str">
        <f t="shared" si="19"/>
        <v/>
      </c>
      <c r="H41" s="651" t="str">
        <f t="shared" si="20"/>
        <v/>
      </c>
      <c r="J41" s="383">
        <f>'5.2 Budgeted Enrollment YR2'!I40</f>
        <v>3</v>
      </c>
      <c r="K41" s="1033"/>
      <c r="L41" s="653">
        <f t="shared" si="21"/>
        <v>-3</v>
      </c>
      <c r="M41" s="395">
        <f t="shared" si="32"/>
        <v>3299.7999999999997</v>
      </c>
      <c r="N41" s="296">
        <f t="shared" si="22"/>
        <v>0</v>
      </c>
      <c r="O41" s="650" t="str">
        <f t="shared" si="23"/>
        <v/>
      </c>
      <c r="P41" s="651" t="str">
        <f t="shared" si="24"/>
        <v/>
      </c>
      <c r="R41" s="383">
        <f>'5.2 Budgeted Enrollment YR2'!J40</f>
        <v>0</v>
      </c>
      <c r="S41" s="1033"/>
      <c r="T41" s="653">
        <f t="shared" si="25"/>
        <v>0</v>
      </c>
      <c r="U41" s="395">
        <f t="shared" si="33"/>
        <v>1131.3599999999999</v>
      </c>
      <c r="V41" s="296">
        <f t="shared" si="26"/>
        <v>0</v>
      </c>
      <c r="W41" s="650" t="str">
        <f t="shared" si="27"/>
        <v/>
      </c>
      <c r="X41" s="651" t="str">
        <f t="shared" si="28"/>
        <v/>
      </c>
      <c r="Z41" s="657" t="str">
        <f>IF($B$3="No","",'3.1b Allocation Adj. YR1 '!L42)</f>
        <v/>
      </c>
      <c r="AA41" s="863" t="str">
        <f t="shared" si="29"/>
        <v/>
      </c>
      <c r="AB41" s="654" t="str">
        <f t="shared" si="30"/>
        <v/>
      </c>
      <c r="AC41" s="356"/>
      <c r="AD41" s="356"/>
    </row>
    <row r="42" spans="1:30" x14ac:dyDescent="0.3">
      <c r="A42" t="str">
        <f>'1.2 Budgeted Enrollment YR1'!E41</f>
        <v>CIVICA Nevada Career &amp; Collegiate Academy</v>
      </c>
      <c r="B42" s="383">
        <f>'5.2 Budgeted Enrollment YR2'!H41</f>
        <v>241</v>
      </c>
      <c r="C42" s="1033"/>
      <c r="D42" s="653">
        <f t="shared" ref="D42:D92" si="34">IF(B42="",0,C42-B42)</f>
        <v>-241</v>
      </c>
      <c r="E42" s="395">
        <f t="shared" si="31"/>
        <v>4242.6000000000004</v>
      </c>
      <c r="F42" s="380">
        <f t="shared" ref="F42:F92" si="35">C42</f>
        <v>0</v>
      </c>
      <c r="G42" s="650" t="str">
        <f t="shared" ref="G42:G92" si="36">IF($B$3="No","",E42*F42)</f>
        <v/>
      </c>
      <c r="H42" s="651" t="str">
        <f t="shared" si="20"/>
        <v/>
      </c>
      <c r="J42" s="383">
        <f>'5.2 Budgeted Enrollment YR2'!I41</f>
        <v>49</v>
      </c>
      <c r="K42" s="1033"/>
      <c r="L42" s="653">
        <f t="shared" ref="L42:L92" si="37">IF(J42="",0,K42-J42)</f>
        <v>-49</v>
      </c>
      <c r="M42" s="395">
        <f t="shared" si="32"/>
        <v>3299.7999999999997</v>
      </c>
      <c r="N42" s="296">
        <f t="shared" ref="N42:N92" si="38">K42</f>
        <v>0</v>
      </c>
      <c r="O42" s="650" t="str">
        <f t="shared" ref="O42:O92" si="39">IF($B$3="No","",M42*N42)</f>
        <v/>
      </c>
      <c r="P42" s="651" t="str">
        <f t="shared" si="24"/>
        <v/>
      </c>
      <c r="R42" s="383">
        <f>'5.2 Budgeted Enrollment YR2'!J41</f>
        <v>0</v>
      </c>
      <c r="S42" s="1033"/>
      <c r="T42" s="653">
        <f t="shared" ref="T42:T92" si="40">IF(R42="",0,S42-R42)</f>
        <v>0</v>
      </c>
      <c r="U42" s="395">
        <f t="shared" si="33"/>
        <v>1131.3599999999999</v>
      </c>
      <c r="V42" s="296">
        <f t="shared" ref="V42:V92" si="41">S42</f>
        <v>0</v>
      </c>
      <c r="W42" s="650" t="str">
        <f t="shared" ref="W42:W92" si="42">IF($B$3="No","",U42*V42)</f>
        <v/>
      </c>
      <c r="X42" s="651" t="str">
        <f t="shared" si="28"/>
        <v/>
      </c>
      <c r="Z42" s="657" t="str">
        <f>IF($B$3="No","",'3.1b Allocation Adj. YR1 '!L43)</f>
        <v/>
      </c>
      <c r="AA42" s="863" t="str">
        <f t="shared" ref="AA42:AA92" si="43">IF($B$3="No","",X42+P42+H42)</f>
        <v/>
      </c>
      <c r="AB42" s="654" t="str">
        <f t="shared" ref="AB42:AB92" si="44">IF($B$3="No","",AA42-Z42)</f>
        <v/>
      </c>
      <c r="AC42" s="356"/>
      <c r="AD42" s="356"/>
    </row>
    <row r="43" spans="1:30" x14ac:dyDescent="0.3">
      <c r="A43" t="str">
        <f>'1.2 Budgeted Enrollment YR1'!E42</f>
        <v>Coral Academy of Science Las Vegas</v>
      </c>
      <c r="B43" s="383">
        <f>'5.2 Budgeted Enrollment YR2'!H42</f>
        <v>217</v>
      </c>
      <c r="C43" s="1033"/>
      <c r="D43" s="653">
        <f t="shared" si="34"/>
        <v>-217</v>
      </c>
      <c r="E43" s="395">
        <f t="shared" si="31"/>
        <v>4242.6000000000004</v>
      </c>
      <c r="F43" s="380">
        <f t="shared" si="35"/>
        <v>0</v>
      </c>
      <c r="G43" s="650" t="str">
        <f t="shared" si="36"/>
        <v/>
      </c>
      <c r="H43" s="651" t="str">
        <f t="shared" si="20"/>
        <v/>
      </c>
      <c r="J43" s="383">
        <f>'5.2 Budgeted Enrollment YR2'!I42</f>
        <v>29</v>
      </c>
      <c r="K43" s="1033"/>
      <c r="L43" s="653">
        <f t="shared" si="37"/>
        <v>-29</v>
      </c>
      <c r="M43" s="395">
        <f t="shared" si="32"/>
        <v>3299.7999999999997</v>
      </c>
      <c r="N43" s="296">
        <f t="shared" si="38"/>
        <v>0</v>
      </c>
      <c r="O43" s="650" t="str">
        <f t="shared" si="39"/>
        <v/>
      </c>
      <c r="P43" s="651" t="str">
        <f t="shared" si="24"/>
        <v/>
      </c>
      <c r="R43" s="383">
        <f>'5.2 Budgeted Enrollment YR2'!J42</f>
        <v>23</v>
      </c>
      <c r="S43" s="1033"/>
      <c r="T43" s="653">
        <f t="shared" si="40"/>
        <v>-23</v>
      </c>
      <c r="U43" s="395">
        <f t="shared" si="33"/>
        <v>1131.3599999999999</v>
      </c>
      <c r="V43" s="296">
        <f t="shared" si="41"/>
        <v>0</v>
      </c>
      <c r="W43" s="650" t="str">
        <f t="shared" si="42"/>
        <v/>
      </c>
      <c r="X43" s="651" t="str">
        <f t="shared" si="28"/>
        <v/>
      </c>
      <c r="Z43" s="657" t="str">
        <f>IF($B$3="No","",'3.1b Allocation Adj. YR1 '!L44)</f>
        <v/>
      </c>
      <c r="AA43" s="863" t="str">
        <f t="shared" si="43"/>
        <v/>
      </c>
      <c r="AB43" s="654" t="str">
        <f t="shared" si="44"/>
        <v/>
      </c>
      <c r="AC43" s="356"/>
      <c r="AD43" s="356"/>
    </row>
    <row r="44" spans="1:30" x14ac:dyDescent="0.3">
      <c r="A44" t="str">
        <f>'1.2 Budgeted Enrollment YR1'!E43</f>
        <v>Coral Academy Washoe</v>
      </c>
      <c r="B44" s="383">
        <f>'5.2 Budgeted Enrollment YR2'!H43</f>
        <v>128</v>
      </c>
      <c r="C44" s="1033"/>
      <c r="D44" s="653">
        <f t="shared" si="34"/>
        <v>-128</v>
      </c>
      <c r="E44" s="395">
        <f t="shared" si="31"/>
        <v>4242.6000000000004</v>
      </c>
      <c r="F44" s="380">
        <f t="shared" si="35"/>
        <v>0</v>
      </c>
      <c r="G44" s="650" t="str">
        <f t="shared" si="36"/>
        <v/>
      </c>
      <c r="H44" s="651" t="str">
        <f t="shared" si="20"/>
        <v/>
      </c>
      <c r="J44" s="383">
        <f>'5.2 Budgeted Enrollment YR2'!I43</f>
        <v>42</v>
      </c>
      <c r="K44" s="1033"/>
      <c r="L44" s="653">
        <f t="shared" si="37"/>
        <v>-42</v>
      </c>
      <c r="M44" s="395">
        <f t="shared" si="32"/>
        <v>3299.7999999999997</v>
      </c>
      <c r="N44" s="296">
        <f t="shared" si="38"/>
        <v>0</v>
      </c>
      <c r="O44" s="650" t="str">
        <f t="shared" si="39"/>
        <v/>
      </c>
      <c r="P44" s="651" t="str">
        <f t="shared" si="24"/>
        <v/>
      </c>
      <c r="R44" s="383">
        <f>'5.2 Budgeted Enrollment YR2'!J43</f>
        <v>4</v>
      </c>
      <c r="S44" s="1033"/>
      <c r="T44" s="653">
        <f t="shared" si="40"/>
        <v>-4</v>
      </c>
      <c r="U44" s="395">
        <f t="shared" si="33"/>
        <v>1131.3599999999999</v>
      </c>
      <c r="V44" s="296">
        <f t="shared" si="41"/>
        <v>0</v>
      </c>
      <c r="W44" s="650" t="str">
        <f t="shared" si="42"/>
        <v/>
      </c>
      <c r="X44" s="651" t="str">
        <f t="shared" si="28"/>
        <v/>
      </c>
      <c r="Z44" s="657" t="str">
        <f>IF($B$3="No","",'3.1b Allocation Adj. YR1 '!L45)</f>
        <v/>
      </c>
      <c r="AA44" s="863" t="str">
        <f t="shared" si="43"/>
        <v/>
      </c>
      <c r="AB44" s="654" t="str">
        <f t="shared" si="44"/>
        <v/>
      </c>
      <c r="AC44" s="356"/>
      <c r="AD44" s="356"/>
    </row>
    <row r="45" spans="1:30" x14ac:dyDescent="0.3">
      <c r="A45" t="str">
        <f>'1.2 Budgeted Enrollment YR1'!E44</f>
        <v>Delta Academy</v>
      </c>
      <c r="B45" s="383">
        <f>'5.2 Budgeted Enrollment YR2'!H44</f>
        <v>101</v>
      </c>
      <c r="C45" s="1033"/>
      <c r="D45" s="653">
        <f t="shared" si="34"/>
        <v>-101</v>
      </c>
      <c r="E45" s="395">
        <f t="shared" si="31"/>
        <v>4242.6000000000004</v>
      </c>
      <c r="F45" s="380">
        <f t="shared" si="35"/>
        <v>0</v>
      </c>
      <c r="G45" s="650" t="str">
        <f t="shared" si="36"/>
        <v/>
      </c>
      <c r="H45" s="651" t="str">
        <f t="shared" si="20"/>
        <v/>
      </c>
      <c r="J45" s="383">
        <f>'5.2 Budgeted Enrollment YR2'!I44</f>
        <v>332</v>
      </c>
      <c r="K45" s="1033"/>
      <c r="L45" s="653">
        <f t="shared" si="37"/>
        <v>-332</v>
      </c>
      <c r="M45" s="395">
        <f t="shared" si="32"/>
        <v>3299.7999999999997</v>
      </c>
      <c r="N45" s="296">
        <f t="shared" si="38"/>
        <v>0</v>
      </c>
      <c r="O45" s="650" t="str">
        <f t="shared" si="39"/>
        <v/>
      </c>
      <c r="P45" s="651" t="str">
        <f t="shared" si="24"/>
        <v/>
      </c>
      <c r="R45" s="383">
        <f>'5.2 Budgeted Enrollment YR2'!J44</f>
        <v>0</v>
      </c>
      <c r="S45" s="1033"/>
      <c r="T45" s="653">
        <f t="shared" si="40"/>
        <v>0</v>
      </c>
      <c r="U45" s="395">
        <f t="shared" si="33"/>
        <v>1131.3599999999999</v>
      </c>
      <c r="V45" s="296">
        <f t="shared" si="41"/>
        <v>0</v>
      </c>
      <c r="W45" s="650" t="str">
        <f t="shared" si="42"/>
        <v/>
      </c>
      <c r="X45" s="651" t="str">
        <f t="shared" si="28"/>
        <v/>
      </c>
      <c r="Z45" s="657" t="str">
        <f>IF($B$3="No","",'3.1b Allocation Adj. YR1 '!L46)</f>
        <v/>
      </c>
      <c r="AA45" s="863" t="str">
        <f t="shared" si="43"/>
        <v/>
      </c>
      <c r="AB45" s="654" t="str">
        <f t="shared" si="44"/>
        <v/>
      </c>
      <c r="AC45" s="356"/>
      <c r="AD45" s="356"/>
    </row>
    <row r="46" spans="1:30" x14ac:dyDescent="0.3">
      <c r="A46" t="str">
        <f>'1.2 Budgeted Enrollment YR1'!E45</f>
        <v>Democracy Prep</v>
      </c>
      <c r="B46" s="383">
        <f>'5.2 Budgeted Enrollment YR2'!H45</f>
        <v>108</v>
      </c>
      <c r="C46" s="1033"/>
      <c r="D46" s="653">
        <f t="shared" si="34"/>
        <v>-108</v>
      </c>
      <c r="E46" s="395">
        <f t="shared" si="31"/>
        <v>4242.6000000000004</v>
      </c>
      <c r="F46" s="380">
        <f t="shared" si="35"/>
        <v>0</v>
      </c>
      <c r="G46" s="650" t="str">
        <f t="shared" si="36"/>
        <v/>
      </c>
      <c r="H46" s="651" t="str">
        <f t="shared" si="20"/>
        <v/>
      </c>
      <c r="J46" s="383">
        <f>'5.2 Budgeted Enrollment YR2'!I45</f>
        <v>194</v>
      </c>
      <c r="K46" s="1033"/>
      <c r="L46" s="653">
        <f t="shared" si="37"/>
        <v>-194</v>
      </c>
      <c r="M46" s="395">
        <f t="shared" si="32"/>
        <v>3299.7999999999997</v>
      </c>
      <c r="N46" s="296">
        <f t="shared" si="38"/>
        <v>0</v>
      </c>
      <c r="O46" s="650" t="str">
        <f t="shared" si="39"/>
        <v/>
      </c>
      <c r="P46" s="651" t="str">
        <f t="shared" si="24"/>
        <v/>
      </c>
      <c r="R46" s="383">
        <f>'5.2 Budgeted Enrollment YR2'!J45</f>
        <v>0</v>
      </c>
      <c r="S46" s="1033"/>
      <c r="T46" s="653">
        <f t="shared" si="40"/>
        <v>0</v>
      </c>
      <c r="U46" s="395">
        <f t="shared" si="33"/>
        <v>1131.3599999999999</v>
      </c>
      <c r="V46" s="296">
        <f t="shared" si="41"/>
        <v>0</v>
      </c>
      <c r="W46" s="650" t="str">
        <f t="shared" si="42"/>
        <v/>
      </c>
      <c r="X46" s="651" t="str">
        <f t="shared" si="28"/>
        <v/>
      </c>
      <c r="Z46" s="657" t="str">
        <f>IF($B$3="No","",'3.1b Allocation Adj. YR1 '!L47)</f>
        <v/>
      </c>
      <c r="AA46" s="863" t="str">
        <f t="shared" si="43"/>
        <v/>
      </c>
      <c r="AB46" s="654" t="str">
        <f t="shared" si="44"/>
        <v/>
      </c>
      <c r="AC46" s="356"/>
      <c r="AD46" s="356"/>
    </row>
    <row r="47" spans="1:30" x14ac:dyDescent="0.3">
      <c r="A47" t="str">
        <f>'1.2 Budgeted Enrollment YR1'!E46</f>
        <v>Discovery Charter</v>
      </c>
      <c r="B47" s="383">
        <f>'5.2 Budgeted Enrollment YR2'!H46</f>
        <v>23</v>
      </c>
      <c r="C47" s="1033"/>
      <c r="D47" s="653">
        <f t="shared" si="34"/>
        <v>-23</v>
      </c>
      <c r="E47" s="395">
        <f t="shared" si="31"/>
        <v>4242.6000000000004</v>
      </c>
      <c r="F47" s="380">
        <f t="shared" si="35"/>
        <v>0</v>
      </c>
      <c r="G47" s="650" t="str">
        <f t="shared" si="36"/>
        <v/>
      </c>
      <c r="H47" s="651" t="str">
        <f t="shared" si="20"/>
        <v/>
      </c>
      <c r="J47" s="383">
        <f>'5.2 Budgeted Enrollment YR2'!I46</f>
        <v>9</v>
      </c>
      <c r="K47" s="1033"/>
      <c r="L47" s="653">
        <f t="shared" si="37"/>
        <v>-9</v>
      </c>
      <c r="M47" s="395">
        <f t="shared" si="32"/>
        <v>3299.7999999999997</v>
      </c>
      <c r="N47" s="296">
        <f t="shared" si="38"/>
        <v>0</v>
      </c>
      <c r="O47" s="650" t="str">
        <f t="shared" si="39"/>
        <v/>
      </c>
      <c r="P47" s="651" t="str">
        <f t="shared" si="24"/>
        <v/>
      </c>
      <c r="R47" s="383">
        <f>'5.2 Budgeted Enrollment YR2'!J46</f>
        <v>43</v>
      </c>
      <c r="S47" s="1033"/>
      <c r="T47" s="653">
        <f t="shared" si="40"/>
        <v>-43</v>
      </c>
      <c r="U47" s="395">
        <f t="shared" si="33"/>
        <v>1131.3599999999999</v>
      </c>
      <c r="V47" s="296">
        <f t="shared" si="41"/>
        <v>0</v>
      </c>
      <c r="W47" s="650" t="str">
        <f t="shared" si="42"/>
        <v/>
      </c>
      <c r="X47" s="651" t="str">
        <f t="shared" si="28"/>
        <v/>
      </c>
      <c r="Z47" s="657" t="str">
        <f>IF($B$3="No","",'3.1b Allocation Adj. YR1 '!L48)</f>
        <v/>
      </c>
      <c r="AA47" s="863" t="str">
        <f t="shared" si="43"/>
        <v/>
      </c>
      <c r="AB47" s="654" t="str">
        <f t="shared" si="44"/>
        <v/>
      </c>
      <c r="AC47" s="356"/>
      <c r="AD47" s="356"/>
    </row>
    <row r="48" spans="1:30" x14ac:dyDescent="0.3">
      <c r="A48" t="str">
        <f>'1.2 Budgeted Enrollment YR1'!E47</f>
        <v>Doral Academy</v>
      </c>
      <c r="B48" s="383">
        <f>'5.2 Budgeted Enrollment YR2'!H47</f>
        <v>223</v>
      </c>
      <c r="C48" s="1033"/>
      <c r="D48" s="653">
        <f t="shared" si="34"/>
        <v>-223</v>
      </c>
      <c r="E48" s="395">
        <f t="shared" si="31"/>
        <v>4242.6000000000004</v>
      </c>
      <c r="F48" s="380">
        <f t="shared" si="35"/>
        <v>0</v>
      </c>
      <c r="G48" s="650" t="str">
        <f t="shared" si="36"/>
        <v/>
      </c>
      <c r="H48" s="651" t="str">
        <f t="shared" si="20"/>
        <v/>
      </c>
      <c r="J48" s="383">
        <f>'5.2 Budgeted Enrollment YR2'!I47</f>
        <v>37</v>
      </c>
      <c r="K48" s="1033"/>
      <c r="L48" s="653">
        <f t="shared" si="37"/>
        <v>-37</v>
      </c>
      <c r="M48" s="395">
        <f t="shared" si="32"/>
        <v>3299.7999999999997</v>
      </c>
      <c r="N48" s="296">
        <f t="shared" si="38"/>
        <v>0</v>
      </c>
      <c r="O48" s="650" t="str">
        <f t="shared" si="39"/>
        <v/>
      </c>
      <c r="P48" s="651" t="str">
        <f t="shared" si="24"/>
        <v/>
      </c>
      <c r="R48" s="383">
        <f>'5.2 Budgeted Enrollment YR2'!J47</f>
        <v>337</v>
      </c>
      <c r="S48" s="1033"/>
      <c r="T48" s="653">
        <f t="shared" si="40"/>
        <v>-337</v>
      </c>
      <c r="U48" s="395">
        <f t="shared" si="33"/>
        <v>1131.3599999999999</v>
      </c>
      <c r="V48" s="296">
        <f t="shared" si="41"/>
        <v>0</v>
      </c>
      <c r="W48" s="650" t="str">
        <f t="shared" si="42"/>
        <v/>
      </c>
      <c r="X48" s="651" t="str">
        <f t="shared" si="28"/>
        <v/>
      </c>
      <c r="Z48" s="657" t="str">
        <f>IF($B$3="No","",'3.1b Allocation Adj. YR1 '!L49)</f>
        <v/>
      </c>
      <c r="AA48" s="863" t="str">
        <f t="shared" si="43"/>
        <v/>
      </c>
      <c r="AB48" s="654" t="str">
        <f t="shared" si="44"/>
        <v/>
      </c>
      <c r="AC48" s="356"/>
      <c r="AD48" s="356"/>
    </row>
    <row r="49" spans="1:30" x14ac:dyDescent="0.3">
      <c r="A49" t="str">
        <f>'1.2 Budgeted Enrollment YR1'!E48</f>
        <v>Doral Academy of Northern Nevada</v>
      </c>
      <c r="B49" s="383">
        <f>'5.2 Budgeted Enrollment YR2'!H48</f>
        <v>2</v>
      </c>
      <c r="C49" s="1033"/>
      <c r="D49" s="653">
        <f t="shared" si="34"/>
        <v>-2</v>
      </c>
      <c r="E49" s="395">
        <f t="shared" si="31"/>
        <v>4242.6000000000004</v>
      </c>
      <c r="F49" s="380">
        <f t="shared" si="35"/>
        <v>0</v>
      </c>
      <c r="G49" s="650" t="str">
        <f t="shared" si="36"/>
        <v/>
      </c>
      <c r="H49" s="651" t="str">
        <f t="shared" si="20"/>
        <v/>
      </c>
      <c r="J49" s="383">
        <f>'5.2 Budgeted Enrollment YR2'!I48</f>
        <v>0</v>
      </c>
      <c r="K49" s="1033"/>
      <c r="L49" s="653">
        <f t="shared" si="37"/>
        <v>0</v>
      </c>
      <c r="M49" s="395">
        <f t="shared" si="32"/>
        <v>3299.7999999999997</v>
      </c>
      <c r="N49" s="296">
        <f t="shared" si="38"/>
        <v>0</v>
      </c>
      <c r="O49" s="650" t="str">
        <f t="shared" si="39"/>
        <v/>
      </c>
      <c r="P49" s="651" t="str">
        <f t="shared" si="24"/>
        <v/>
      </c>
      <c r="R49" s="383">
        <f>'5.2 Budgeted Enrollment YR2'!J48</f>
        <v>65</v>
      </c>
      <c r="S49" s="1033"/>
      <c r="T49" s="653">
        <f t="shared" si="40"/>
        <v>-65</v>
      </c>
      <c r="U49" s="395">
        <f t="shared" si="33"/>
        <v>1131.3599999999999</v>
      </c>
      <c r="V49" s="296">
        <f t="shared" si="41"/>
        <v>0</v>
      </c>
      <c r="W49" s="650" t="str">
        <f t="shared" si="42"/>
        <v/>
      </c>
      <c r="X49" s="651" t="str">
        <f t="shared" si="28"/>
        <v/>
      </c>
      <c r="Z49" s="657" t="str">
        <f>IF($B$3="No","",'3.1b Allocation Adj. YR1 '!L50)</f>
        <v/>
      </c>
      <c r="AA49" s="863" t="str">
        <f t="shared" si="43"/>
        <v/>
      </c>
      <c r="AB49" s="654" t="str">
        <f t="shared" si="44"/>
        <v/>
      </c>
      <c r="AC49" s="356"/>
      <c r="AD49" s="356"/>
    </row>
    <row r="50" spans="1:30" x14ac:dyDescent="0.3">
      <c r="A50" t="str">
        <f>'1.2 Budgeted Enrollment YR1'!E49</f>
        <v>Eagle Charter School</v>
      </c>
      <c r="B50" s="383">
        <f>'5.2 Budgeted Enrollment YR2'!H49</f>
        <v>0</v>
      </c>
      <c r="C50" s="1033"/>
      <c r="D50" s="653">
        <f t="shared" si="34"/>
        <v>0</v>
      </c>
      <c r="E50" s="395">
        <f t="shared" si="31"/>
        <v>4242.6000000000004</v>
      </c>
      <c r="F50" s="380">
        <f t="shared" si="35"/>
        <v>0</v>
      </c>
      <c r="G50" s="650" t="str">
        <f t="shared" si="36"/>
        <v/>
      </c>
      <c r="H50" s="651" t="str">
        <f t="shared" si="20"/>
        <v/>
      </c>
      <c r="J50" s="383">
        <f>'5.2 Budgeted Enrollment YR2'!I49</f>
        <v>0</v>
      </c>
      <c r="K50" s="1033"/>
      <c r="L50" s="653">
        <f t="shared" si="37"/>
        <v>0</v>
      </c>
      <c r="M50" s="395">
        <f t="shared" si="32"/>
        <v>3299.7999999999997</v>
      </c>
      <c r="N50" s="296">
        <f t="shared" si="38"/>
        <v>0</v>
      </c>
      <c r="O50" s="650" t="str">
        <f t="shared" si="39"/>
        <v/>
      </c>
      <c r="P50" s="651" t="str">
        <f t="shared" si="24"/>
        <v/>
      </c>
      <c r="R50" s="383">
        <f>'5.2 Budgeted Enrollment YR2'!J49</f>
        <v>0</v>
      </c>
      <c r="S50" s="1033"/>
      <c r="T50" s="653">
        <f t="shared" si="40"/>
        <v>0</v>
      </c>
      <c r="U50" s="395">
        <f t="shared" si="33"/>
        <v>1131.3599999999999</v>
      </c>
      <c r="V50" s="296">
        <f t="shared" si="41"/>
        <v>0</v>
      </c>
      <c r="W50" s="650" t="str">
        <f t="shared" si="42"/>
        <v/>
      </c>
      <c r="X50" s="651" t="str">
        <f t="shared" si="28"/>
        <v/>
      </c>
      <c r="Z50" s="657" t="str">
        <f>IF($B$3="No","",'3.1b Allocation Adj. YR1 '!L51)</f>
        <v/>
      </c>
      <c r="AA50" s="863" t="str">
        <f t="shared" si="43"/>
        <v/>
      </c>
      <c r="AB50" s="654" t="str">
        <f t="shared" si="44"/>
        <v/>
      </c>
      <c r="AC50" s="356"/>
      <c r="AD50" s="356"/>
    </row>
    <row r="51" spans="1:30" x14ac:dyDescent="0.3">
      <c r="A51" t="str">
        <f>'1.2 Budgeted Enrollment YR1'!E50</f>
        <v>Elko Institute for Academic Achievement</v>
      </c>
      <c r="B51" s="383">
        <f>'5.2 Budgeted Enrollment YR2'!H50</f>
        <v>2</v>
      </c>
      <c r="C51" s="1033"/>
      <c r="D51" s="653">
        <f t="shared" si="34"/>
        <v>-2</v>
      </c>
      <c r="E51" s="395">
        <f t="shared" si="31"/>
        <v>4242.6000000000004</v>
      </c>
      <c r="F51" s="380">
        <f t="shared" si="35"/>
        <v>0</v>
      </c>
      <c r="G51" s="650" t="str">
        <f t="shared" si="36"/>
        <v/>
      </c>
      <c r="H51" s="651" t="str">
        <f t="shared" si="20"/>
        <v/>
      </c>
      <c r="J51" s="383">
        <f>'5.2 Budgeted Enrollment YR2'!I50</f>
        <v>5</v>
      </c>
      <c r="K51" s="1033"/>
      <c r="L51" s="653">
        <f t="shared" si="37"/>
        <v>-5</v>
      </c>
      <c r="M51" s="395">
        <f t="shared" si="32"/>
        <v>3299.7999999999997</v>
      </c>
      <c r="N51" s="296">
        <f t="shared" si="38"/>
        <v>0</v>
      </c>
      <c r="O51" s="650" t="str">
        <f t="shared" si="39"/>
        <v/>
      </c>
      <c r="P51" s="651" t="str">
        <f t="shared" si="24"/>
        <v/>
      </c>
      <c r="R51" s="383">
        <f>'5.2 Budgeted Enrollment YR2'!J50</f>
        <v>0</v>
      </c>
      <c r="S51" s="1033"/>
      <c r="T51" s="653">
        <f t="shared" si="40"/>
        <v>0</v>
      </c>
      <c r="U51" s="395">
        <f t="shared" si="33"/>
        <v>1131.3599999999999</v>
      </c>
      <c r="V51" s="296">
        <f t="shared" si="41"/>
        <v>0</v>
      </c>
      <c r="W51" s="650" t="str">
        <f t="shared" si="42"/>
        <v/>
      </c>
      <c r="X51" s="651" t="str">
        <f t="shared" si="28"/>
        <v/>
      </c>
      <c r="Z51" s="657" t="str">
        <f>IF($B$3="No","",'3.1b Allocation Adj. YR1 '!L52)</f>
        <v/>
      </c>
      <c r="AA51" s="863" t="str">
        <f t="shared" si="43"/>
        <v/>
      </c>
      <c r="AB51" s="654" t="str">
        <f t="shared" si="44"/>
        <v/>
      </c>
      <c r="AC51" s="356"/>
      <c r="AD51" s="356"/>
    </row>
    <row r="52" spans="1:30" x14ac:dyDescent="0.3">
      <c r="A52" t="str">
        <f>'1.2 Budgeted Enrollment YR1'!E51</f>
        <v>enCompass Academy</v>
      </c>
      <c r="B52" s="383">
        <f>'5.2 Budgeted Enrollment YR2'!H51</f>
        <v>6</v>
      </c>
      <c r="C52" s="1033"/>
      <c r="D52" s="653">
        <f t="shared" si="34"/>
        <v>-6</v>
      </c>
      <c r="E52" s="395">
        <f t="shared" si="31"/>
        <v>4242.6000000000004</v>
      </c>
      <c r="F52" s="380">
        <f t="shared" si="35"/>
        <v>0</v>
      </c>
      <c r="G52" s="650" t="str">
        <f t="shared" si="36"/>
        <v/>
      </c>
      <c r="H52" s="651" t="str">
        <f t="shared" si="20"/>
        <v/>
      </c>
      <c r="J52" s="383">
        <f>'5.2 Budgeted Enrollment YR2'!I51</f>
        <v>20</v>
      </c>
      <c r="K52" s="1033"/>
      <c r="L52" s="653">
        <f t="shared" si="37"/>
        <v>-20</v>
      </c>
      <c r="M52" s="395">
        <f t="shared" si="32"/>
        <v>3299.7999999999997</v>
      </c>
      <c r="N52" s="296">
        <f t="shared" si="38"/>
        <v>0</v>
      </c>
      <c r="O52" s="650" t="str">
        <f t="shared" si="39"/>
        <v/>
      </c>
      <c r="P52" s="651" t="str">
        <f t="shared" si="24"/>
        <v/>
      </c>
      <c r="R52" s="383">
        <f>'5.2 Budgeted Enrollment YR2'!J51</f>
        <v>0</v>
      </c>
      <c r="S52" s="1033"/>
      <c r="T52" s="653">
        <f t="shared" si="40"/>
        <v>0</v>
      </c>
      <c r="U52" s="395">
        <f t="shared" si="33"/>
        <v>1131.3599999999999</v>
      </c>
      <c r="V52" s="296">
        <f t="shared" si="41"/>
        <v>0</v>
      </c>
      <c r="W52" s="650" t="str">
        <f t="shared" si="42"/>
        <v/>
      </c>
      <c r="X52" s="651" t="str">
        <f t="shared" si="28"/>
        <v/>
      </c>
      <c r="Z52" s="657" t="str">
        <f>IF($B$3="No","",'3.1b Allocation Adj. YR1 '!L53)</f>
        <v/>
      </c>
      <c r="AA52" s="863" t="str">
        <f t="shared" si="43"/>
        <v/>
      </c>
      <c r="AB52" s="654" t="str">
        <f t="shared" si="44"/>
        <v/>
      </c>
      <c r="AC52" s="356"/>
      <c r="AD52" s="356"/>
    </row>
    <row r="53" spans="1:30" x14ac:dyDescent="0.3">
      <c r="A53" t="str">
        <f>'1.2 Budgeted Enrollment YR1'!E52</f>
        <v>Equipo Academy</v>
      </c>
      <c r="B53" s="383">
        <f>'5.2 Budgeted Enrollment YR2'!H52</f>
        <v>168</v>
      </c>
      <c r="C53" s="1033"/>
      <c r="D53" s="653">
        <f t="shared" si="34"/>
        <v>-168</v>
      </c>
      <c r="E53" s="395">
        <f t="shared" si="31"/>
        <v>4242.6000000000004</v>
      </c>
      <c r="F53" s="380">
        <f t="shared" si="35"/>
        <v>0</v>
      </c>
      <c r="G53" s="650" t="str">
        <f t="shared" si="36"/>
        <v/>
      </c>
      <c r="H53" s="651" t="str">
        <f t="shared" si="20"/>
        <v/>
      </c>
      <c r="J53" s="383">
        <f>'5.2 Budgeted Enrollment YR2'!I52</f>
        <v>29</v>
      </c>
      <c r="K53" s="1033"/>
      <c r="L53" s="653">
        <f t="shared" si="37"/>
        <v>-29</v>
      </c>
      <c r="M53" s="395">
        <f t="shared" si="32"/>
        <v>3299.7999999999997</v>
      </c>
      <c r="N53" s="296">
        <f t="shared" si="38"/>
        <v>0</v>
      </c>
      <c r="O53" s="650" t="str">
        <f t="shared" si="39"/>
        <v/>
      </c>
      <c r="P53" s="651" t="str">
        <f t="shared" si="24"/>
        <v/>
      </c>
      <c r="R53" s="383">
        <f>'5.2 Budgeted Enrollment YR2'!J52</f>
        <v>0</v>
      </c>
      <c r="S53" s="1033"/>
      <c r="T53" s="653">
        <f t="shared" si="40"/>
        <v>0</v>
      </c>
      <c r="U53" s="395">
        <f t="shared" si="33"/>
        <v>1131.3599999999999</v>
      </c>
      <c r="V53" s="296">
        <f t="shared" si="41"/>
        <v>0</v>
      </c>
      <c r="W53" s="650" t="str">
        <f t="shared" si="42"/>
        <v/>
      </c>
      <c r="X53" s="651" t="str">
        <f t="shared" si="28"/>
        <v/>
      </c>
      <c r="Z53" s="657" t="str">
        <f>IF($B$3="No","",'3.1b Allocation Adj. YR1 '!L54)</f>
        <v/>
      </c>
      <c r="AA53" s="863" t="str">
        <f t="shared" si="43"/>
        <v/>
      </c>
      <c r="AB53" s="654" t="str">
        <f t="shared" si="44"/>
        <v/>
      </c>
      <c r="AC53" s="356"/>
      <c r="AD53" s="356"/>
    </row>
    <row r="54" spans="1:30" x14ac:dyDescent="0.3">
      <c r="A54" t="str">
        <f>'1.2 Budgeted Enrollment YR1'!E53</f>
        <v>Explore Academy</v>
      </c>
      <c r="B54" s="383">
        <f>'5.2 Budgeted Enrollment YR2'!H53</f>
        <v>11</v>
      </c>
      <c r="C54" s="1033"/>
      <c r="D54" s="653">
        <f t="shared" si="34"/>
        <v>-11</v>
      </c>
      <c r="E54" s="395">
        <f t="shared" si="31"/>
        <v>4242.6000000000004</v>
      </c>
      <c r="F54" s="380">
        <f t="shared" si="35"/>
        <v>0</v>
      </c>
      <c r="G54" s="650" t="str">
        <f t="shared" si="36"/>
        <v/>
      </c>
      <c r="H54" s="651" t="str">
        <f t="shared" si="20"/>
        <v/>
      </c>
      <c r="J54" s="383">
        <f>'5.2 Budgeted Enrollment YR2'!I53</f>
        <v>2</v>
      </c>
      <c r="K54" s="1033"/>
      <c r="L54" s="653">
        <f t="shared" si="37"/>
        <v>-2</v>
      </c>
      <c r="M54" s="395">
        <f t="shared" si="32"/>
        <v>3299.7999999999997</v>
      </c>
      <c r="N54" s="296">
        <f t="shared" si="38"/>
        <v>0</v>
      </c>
      <c r="O54" s="650" t="str">
        <f t="shared" si="39"/>
        <v/>
      </c>
      <c r="P54" s="651" t="str">
        <f t="shared" si="24"/>
        <v/>
      </c>
      <c r="R54" s="383">
        <f>'5.2 Budgeted Enrollment YR2'!J53</f>
        <v>0</v>
      </c>
      <c r="S54" s="1033"/>
      <c r="T54" s="653">
        <f t="shared" si="40"/>
        <v>0</v>
      </c>
      <c r="U54" s="395">
        <f t="shared" si="33"/>
        <v>1131.3599999999999</v>
      </c>
      <c r="V54" s="296">
        <f t="shared" si="41"/>
        <v>0</v>
      </c>
      <c r="W54" s="650" t="str">
        <f t="shared" si="42"/>
        <v/>
      </c>
      <c r="X54" s="651" t="str">
        <f t="shared" si="28"/>
        <v/>
      </c>
      <c r="Z54" s="657" t="str">
        <f>IF($B$3="No","",'3.1b Allocation Adj. YR1 '!L55)</f>
        <v/>
      </c>
      <c r="AA54" s="863" t="str">
        <f t="shared" si="43"/>
        <v/>
      </c>
      <c r="AB54" s="654" t="str">
        <f t="shared" si="44"/>
        <v/>
      </c>
      <c r="AC54" s="356"/>
      <c r="AD54" s="356"/>
    </row>
    <row r="55" spans="1:30" x14ac:dyDescent="0.3">
      <c r="A55" t="str">
        <f>'1.2 Budgeted Enrollment YR1'!E54</f>
        <v>Explore Knowledge Academy</v>
      </c>
      <c r="B55" s="383">
        <f>'5.2 Budgeted Enrollment YR2'!H54</f>
        <v>59</v>
      </c>
      <c r="C55" s="1033"/>
      <c r="D55" s="653">
        <f t="shared" si="34"/>
        <v>-59</v>
      </c>
      <c r="E55" s="395">
        <f t="shared" si="31"/>
        <v>4242.6000000000004</v>
      </c>
      <c r="F55" s="380">
        <f t="shared" si="35"/>
        <v>0</v>
      </c>
      <c r="G55" s="650" t="str">
        <f t="shared" si="36"/>
        <v/>
      </c>
      <c r="H55" s="651" t="str">
        <f t="shared" si="20"/>
        <v/>
      </c>
      <c r="J55" s="383">
        <f>'5.2 Budgeted Enrollment YR2'!I54</f>
        <v>44</v>
      </c>
      <c r="K55" s="1033"/>
      <c r="L55" s="653">
        <f t="shared" si="37"/>
        <v>-44</v>
      </c>
      <c r="M55" s="395">
        <f t="shared" si="32"/>
        <v>3299.7999999999997</v>
      </c>
      <c r="N55" s="296">
        <f t="shared" si="38"/>
        <v>0</v>
      </c>
      <c r="O55" s="650" t="str">
        <f t="shared" si="39"/>
        <v/>
      </c>
      <c r="P55" s="651" t="str">
        <f t="shared" si="24"/>
        <v/>
      </c>
      <c r="R55" s="383">
        <f>'5.2 Budgeted Enrollment YR2'!J54</f>
        <v>0</v>
      </c>
      <c r="S55" s="1033"/>
      <c r="T55" s="653">
        <f t="shared" si="40"/>
        <v>0</v>
      </c>
      <c r="U55" s="395">
        <f t="shared" si="33"/>
        <v>1131.3599999999999</v>
      </c>
      <c r="V55" s="296">
        <f t="shared" si="41"/>
        <v>0</v>
      </c>
      <c r="W55" s="650" t="str">
        <f t="shared" si="42"/>
        <v/>
      </c>
      <c r="X55" s="651" t="str">
        <f t="shared" si="28"/>
        <v/>
      </c>
      <c r="Z55" s="657" t="str">
        <f>IF($B$3="No","",'3.1b Allocation Adj. YR1 '!L56)</f>
        <v/>
      </c>
      <c r="AA55" s="863" t="str">
        <f t="shared" si="43"/>
        <v/>
      </c>
      <c r="AB55" s="654" t="str">
        <f t="shared" si="44"/>
        <v/>
      </c>
      <c r="AC55" s="356"/>
      <c r="AD55" s="356"/>
    </row>
    <row r="56" spans="1:30" x14ac:dyDescent="0.3">
      <c r="A56" t="str">
        <f>'1.2 Budgeted Enrollment YR1'!E55</f>
        <v>Founders Academy of Las Vegas</v>
      </c>
      <c r="B56" s="383">
        <f>'5.2 Budgeted Enrollment YR2'!H55</f>
        <v>57</v>
      </c>
      <c r="C56" s="1033"/>
      <c r="D56" s="653">
        <f t="shared" si="34"/>
        <v>-57</v>
      </c>
      <c r="E56" s="395">
        <f t="shared" si="31"/>
        <v>4242.6000000000004</v>
      </c>
      <c r="F56" s="380">
        <f t="shared" si="35"/>
        <v>0</v>
      </c>
      <c r="G56" s="650" t="str">
        <f t="shared" si="36"/>
        <v/>
      </c>
      <c r="H56" s="651" t="str">
        <f t="shared" si="20"/>
        <v/>
      </c>
      <c r="J56" s="383">
        <f>'5.2 Budgeted Enrollment YR2'!I55</f>
        <v>23</v>
      </c>
      <c r="K56" s="1033"/>
      <c r="L56" s="653">
        <f t="shared" si="37"/>
        <v>-23</v>
      </c>
      <c r="M56" s="395">
        <f t="shared" si="32"/>
        <v>3299.7999999999997</v>
      </c>
      <c r="N56" s="296">
        <f t="shared" si="38"/>
        <v>0</v>
      </c>
      <c r="O56" s="650" t="str">
        <f t="shared" si="39"/>
        <v/>
      </c>
      <c r="P56" s="651" t="str">
        <f t="shared" si="24"/>
        <v/>
      </c>
      <c r="R56" s="383">
        <f>'5.2 Budgeted Enrollment YR2'!J55</f>
        <v>0</v>
      </c>
      <c r="S56" s="1033"/>
      <c r="T56" s="653">
        <f t="shared" si="40"/>
        <v>0</v>
      </c>
      <c r="U56" s="395">
        <f t="shared" si="33"/>
        <v>1131.3599999999999</v>
      </c>
      <c r="V56" s="296">
        <f t="shared" si="41"/>
        <v>0</v>
      </c>
      <c r="W56" s="650" t="str">
        <f t="shared" si="42"/>
        <v/>
      </c>
      <c r="X56" s="651" t="str">
        <f t="shared" si="28"/>
        <v/>
      </c>
      <c r="Z56" s="657" t="str">
        <f>IF($B$3="No","",'3.1b Allocation Adj. YR1 '!L57)</f>
        <v/>
      </c>
      <c r="AA56" s="863" t="str">
        <f t="shared" si="43"/>
        <v/>
      </c>
      <c r="AB56" s="654" t="str">
        <f t="shared" si="44"/>
        <v/>
      </c>
      <c r="AC56" s="356"/>
      <c r="AD56" s="356"/>
    </row>
    <row r="57" spans="1:30" x14ac:dyDescent="0.3">
      <c r="A57" t="str">
        <f>'1.2 Budgeted Enrollment YR1'!E56</f>
        <v>Freedom Classical Academy</v>
      </c>
      <c r="B57" s="383">
        <f>'5.2 Budgeted Enrollment YR2'!H56</f>
        <v>83</v>
      </c>
      <c r="C57" s="1033"/>
      <c r="D57" s="653">
        <f t="shared" si="34"/>
        <v>-83</v>
      </c>
      <c r="E57" s="395">
        <f t="shared" si="31"/>
        <v>4242.6000000000004</v>
      </c>
      <c r="F57" s="380">
        <f t="shared" si="35"/>
        <v>0</v>
      </c>
      <c r="G57" s="650" t="str">
        <f t="shared" si="36"/>
        <v/>
      </c>
      <c r="H57" s="651" t="str">
        <f t="shared" si="20"/>
        <v/>
      </c>
      <c r="J57" s="383">
        <f>'5.2 Budgeted Enrollment YR2'!I56</f>
        <v>48</v>
      </c>
      <c r="K57" s="1033"/>
      <c r="L57" s="653">
        <f t="shared" si="37"/>
        <v>-48</v>
      </c>
      <c r="M57" s="395">
        <f t="shared" si="32"/>
        <v>3299.7999999999997</v>
      </c>
      <c r="N57" s="296">
        <f t="shared" si="38"/>
        <v>0</v>
      </c>
      <c r="O57" s="650" t="str">
        <f t="shared" si="39"/>
        <v/>
      </c>
      <c r="P57" s="651" t="str">
        <f t="shared" si="24"/>
        <v/>
      </c>
      <c r="R57" s="383">
        <f>'5.2 Budgeted Enrollment YR2'!J56</f>
        <v>0</v>
      </c>
      <c r="S57" s="1033"/>
      <c r="T57" s="653">
        <f t="shared" si="40"/>
        <v>0</v>
      </c>
      <c r="U57" s="395">
        <f t="shared" si="33"/>
        <v>1131.3599999999999</v>
      </c>
      <c r="V57" s="296">
        <f t="shared" si="41"/>
        <v>0</v>
      </c>
      <c r="W57" s="650" t="str">
        <f t="shared" si="42"/>
        <v/>
      </c>
      <c r="X57" s="651" t="str">
        <f t="shared" si="28"/>
        <v/>
      </c>
      <c r="Z57" s="657" t="str">
        <f>IF($B$3="No","",'3.1b Allocation Adj. YR1 '!L58)</f>
        <v/>
      </c>
      <c r="AA57" s="863" t="str">
        <f t="shared" si="43"/>
        <v/>
      </c>
      <c r="AB57" s="654" t="str">
        <f t="shared" si="44"/>
        <v/>
      </c>
      <c r="AC57" s="356"/>
      <c r="AD57" s="356"/>
    </row>
    <row r="58" spans="1:30" x14ac:dyDescent="0.3">
      <c r="A58" t="str">
        <f>'1.2 Budgeted Enrollment YR1'!E57</f>
        <v>Futuro Academy Elementary</v>
      </c>
      <c r="B58" s="383">
        <f>'5.2 Budgeted Enrollment YR2'!H57</f>
        <v>188</v>
      </c>
      <c r="C58" s="1033"/>
      <c r="D58" s="653">
        <f t="shared" si="34"/>
        <v>-188</v>
      </c>
      <c r="E58" s="395">
        <f t="shared" si="31"/>
        <v>4242.6000000000004</v>
      </c>
      <c r="F58" s="380">
        <f t="shared" si="35"/>
        <v>0</v>
      </c>
      <c r="G58" s="650" t="str">
        <f t="shared" si="36"/>
        <v/>
      </c>
      <c r="H58" s="651" t="str">
        <f t="shared" si="20"/>
        <v/>
      </c>
      <c r="J58" s="383">
        <f>'5.2 Budgeted Enrollment YR2'!I57</f>
        <v>40</v>
      </c>
      <c r="K58" s="1033"/>
      <c r="L58" s="653">
        <f t="shared" si="37"/>
        <v>-40</v>
      </c>
      <c r="M58" s="395">
        <f t="shared" si="32"/>
        <v>3299.7999999999997</v>
      </c>
      <c r="N58" s="296">
        <f t="shared" si="38"/>
        <v>0</v>
      </c>
      <c r="O58" s="650" t="str">
        <f t="shared" si="39"/>
        <v/>
      </c>
      <c r="P58" s="651" t="str">
        <f t="shared" si="24"/>
        <v/>
      </c>
      <c r="R58" s="383">
        <f>'5.2 Budgeted Enrollment YR2'!J57</f>
        <v>0</v>
      </c>
      <c r="S58" s="1033"/>
      <c r="T58" s="653">
        <f t="shared" si="40"/>
        <v>0</v>
      </c>
      <c r="U58" s="395">
        <f t="shared" si="33"/>
        <v>1131.3599999999999</v>
      </c>
      <c r="V58" s="296">
        <f t="shared" si="41"/>
        <v>0</v>
      </c>
      <c r="W58" s="650" t="str">
        <f t="shared" si="42"/>
        <v/>
      </c>
      <c r="X58" s="651" t="str">
        <f t="shared" si="28"/>
        <v/>
      </c>
      <c r="Z58" s="657" t="str">
        <f>IF($B$3="No","",'3.1b Allocation Adj. YR1 '!L59)</f>
        <v/>
      </c>
      <c r="AA58" s="863" t="str">
        <f t="shared" si="43"/>
        <v/>
      </c>
      <c r="AB58" s="654" t="str">
        <f t="shared" si="44"/>
        <v/>
      </c>
      <c r="AC58" s="356"/>
      <c r="AD58" s="356"/>
    </row>
    <row r="59" spans="1:30" x14ac:dyDescent="0.3">
      <c r="A59" t="str">
        <f>'1.2 Budgeted Enrollment YR1'!E58</f>
        <v>Girls Athletic Leadership Schools</v>
      </c>
      <c r="B59" s="383">
        <f>'5.2 Budgeted Enrollment YR2'!H58</f>
        <v>0</v>
      </c>
      <c r="C59" s="1033"/>
      <c r="D59" s="653">
        <f t="shared" si="34"/>
        <v>0</v>
      </c>
      <c r="E59" s="395">
        <f t="shared" si="31"/>
        <v>4242.6000000000004</v>
      </c>
      <c r="F59" s="380">
        <f t="shared" si="35"/>
        <v>0</v>
      </c>
      <c r="G59" s="650" t="str">
        <f t="shared" si="36"/>
        <v/>
      </c>
      <c r="H59" s="651" t="str">
        <f t="shared" si="20"/>
        <v/>
      </c>
      <c r="J59" s="383">
        <f>'5.2 Budgeted Enrollment YR2'!I58</f>
        <v>0</v>
      </c>
      <c r="K59" s="1033"/>
      <c r="L59" s="653">
        <f t="shared" si="37"/>
        <v>0</v>
      </c>
      <c r="M59" s="395">
        <f t="shared" si="32"/>
        <v>3299.7999999999997</v>
      </c>
      <c r="N59" s="296">
        <f t="shared" si="38"/>
        <v>0</v>
      </c>
      <c r="O59" s="650" t="str">
        <f t="shared" si="39"/>
        <v/>
      </c>
      <c r="P59" s="651" t="str">
        <f t="shared" si="24"/>
        <v/>
      </c>
      <c r="R59" s="383">
        <f>'5.2 Budgeted Enrollment YR2'!J58</f>
        <v>0</v>
      </c>
      <c r="S59" s="1033"/>
      <c r="T59" s="653">
        <f t="shared" si="40"/>
        <v>0</v>
      </c>
      <c r="U59" s="395">
        <f t="shared" si="33"/>
        <v>1131.3599999999999</v>
      </c>
      <c r="V59" s="296">
        <f t="shared" si="41"/>
        <v>0</v>
      </c>
      <c r="W59" s="650" t="str">
        <f t="shared" si="42"/>
        <v/>
      </c>
      <c r="X59" s="651" t="str">
        <f t="shared" si="28"/>
        <v/>
      </c>
      <c r="Z59" s="657" t="str">
        <f>IF($B$3="No","",'3.1b Allocation Adj. YR1 '!L60)</f>
        <v/>
      </c>
      <c r="AA59" s="863" t="str">
        <f t="shared" si="43"/>
        <v/>
      </c>
      <c r="AB59" s="654" t="str">
        <f t="shared" si="44"/>
        <v/>
      </c>
      <c r="AC59" s="356"/>
      <c r="AD59" s="356"/>
    </row>
    <row r="60" spans="1:30" x14ac:dyDescent="0.3">
      <c r="A60" t="str">
        <f>'1.2 Budgeted Enrollment YR1'!E59</f>
        <v>High Desert Montessori</v>
      </c>
      <c r="B60" s="383">
        <f>'5.2 Budgeted Enrollment YR2'!H59</f>
        <v>24</v>
      </c>
      <c r="C60" s="1033"/>
      <c r="D60" s="653">
        <f t="shared" si="34"/>
        <v>-24</v>
      </c>
      <c r="E60" s="395">
        <f t="shared" si="31"/>
        <v>4242.6000000000004</v>
      </c>
      <c r="F60" s="380">
        <f t="shared" si="35"/>
        <v>0</v>
      </c>
      <c r="G60" s="650" t="str">
        <f t="shared" si="36"/>
        <v/>
      </c>
      <c r="H60" s="651" t="str">
        <f t="shared" si="20"/>
        <v/>
      </c>
      <c r="J60" s="383">
        <f>'5.2 Budgeted Enrollment YR2'!I59</f>
        <v>11</v>
      </c>
      <c r="K60" s="1033"/>
      <c r="L60" s="653">
        <f t="shared" si="37"/>
        <v>-11</v>
      </c>
      <c r="M60" s="395">
        <f t="shared" si="32"/>
        <v>3299.7999999999997</v>
      </c>
      <c r="N60" s="296">
        <f t="shared" si="38"/>
        <v>0</v>
      </c>
      <c r="O60" s="650" t="str">
        <f t="shared" si="39"/>
        <v/>
      </c>
      <c r="P60" s="651" t="str">
        <f t="shared" si="24"/>
        <v/>
      </c>
      <c r="R60" s="383">
        <f>'5.2 Budgeted Enrollment YR2'!J59</f>
        <v>0</v>
      </c>
      <c r="S60" s="1033"/>
      <c r="T60" s="653">
        <f t="shared" si="40"/>
        <v>0</v>
      </c>
      <c r="U60" s="395">
        <f t="shared" si="33"/>
        <v>1131.3599999999999</v>
      </c>
      <c r="V60" s="296">
        <f t="shared" si="41"/>
        <v>0</v>
      </c>
      <c r="W60" s="650" t="str">
        <f t="shared" si="42"/>
        <v/>
      </c>
      <c r="X60" s="651" t="str">
        <f t="shared" si="28"/>
        <v/>
      </c>
      <c r="Z60" s="657" t="str">
        <f>IF($B$3="No","",'3.1b Allocation Adj. YR1 '!L61)</f>
        <v/>
      </c>
      <c r="AA60" s="863" t="str">
        <f t="shared" si="43"/>
        <v/>
      </c>
      <c r="AB60" s="654" t="str">
        <f t="shared" si="44"/>
        <v/>
      </c>
      <c r="AC60" s="356"/>
      <c r="AD60" s="356"/>
    </row>
    <row r="61" spans="1:30" x14ac:dyDescent="0.3">
      <c r="A61" t="str">
        <f>'1.2 Budgeted Enrollment YR1'!E60</f>
        <v>Honors Academy of Literature</v>
      </c>
      <c r="B61" s="383">
        <f>'5.2 Budgeted Enrollment YR2'!H60</f>
        <v>4</v>
      </c>
      <c r="C61" s="1033"/>
      <c r="D61" s="653">
        <f t="shared" si="34"/>
        <v>-4</v>
      </c>
      <c r="E61" s="395">
        <f t="shared" si="31"/>
        <v>4242.6000000000004</v>
      </c>
      <c r="F61" s="380">
        <f t="shared" si="35"/>
        <v>0</v>
      </c>
      <c r="G61" s="650" t="str">
        <f t="shared" si="36"/>
        <v/>
      </c>
      <c r="H61" s="651" t="str">
        <f t="shared" si="20"/>
        <v/>
      </c>
      <c r="J61" s="383">
        <f>'5.2 Budgeted Enrollment YR2'!I60</f>
        <v>3</v>
      </c>
      <c r="K61" s="1033"/>
      <c r="L61" s="653">
        <f t="shared" si="37"/>
        <v>-3</v>
      </c>
      <c r="M61" s="395">
        <f t="shared" si="32"/>
        <v>3299.7999999999997</v>
      </c>
      <c r="N61" s="296">
        <f t="shared" si="38"/>
        <v>0</v>
      </c>
      <c r="O61" s="650" t="str">
        <f t="shared" si="39"/>
        <v/>
      </c>
      <c r="P61" s="651" t="str">
        <f t="shared" si="24"/>
        <v/>
      </c>
      <c r="R61" s="383">
        <f>'5.2 Budgeted Enrollment YR2'!J60</f>
        <v>0</v>
      </c>
      <c r="S61" s="1033"/>
      <c r="T61" s="653">
        <f t="shared" si="40"/>
        <v>0</v>
      </c>
      <c r="U61" s="395">
        <f t="shared" si="33"/>
        <v>1131.3599999999999</v>
      </c>
      <c r="V61" s="296">
        <f t="shared" si="41"/>
        <v>0</v>
      </c>
      <c r="W61" s="650" t="str">
        <f t="shared" si="42"/>
        <v/>
      </c>
      <c r="X61" s="651" t="str">
        <f t="shared" si="28"/>
        <v/>
      </c>
      <c r="Z61" s="657" t="str">
        <f>IF($B$3="No","",'3.1b Allocation Adj. YR1 '!L62)</f>
        <v/>
      </c>
      <c r="AA61" s="863" t="str">
        <f t="shared" si="43"/>
        <v/>
      </c>
      <c r="AB61" s="654" t="str">
        <f t="shared" si="44"/>
        <v/>
      </c>
      <c r="AC61" s="356"/>
      <c r="AD61" s="356"/>
    </row>
    <row r="62" spans="1:30" x14ac:dyDescent="0.3">
      <c r="A62" t="str">
        <f>'1.2 Budgeted Enrollment YR1'!E61</f>
        <v>Imagine School Mountain View</v>
      </c>
      <c r="B62" s="383">
        <f>'5.2 Budgeted Enrollment YR2'!H61</f>
        <v>70</v>
      </c>
      <c r="C62" s="1033"/>
      <c r="D62" s="653">
        <f t="shared" si="34"/>
        <v>-70</v>
      </c>
      <c r="E62" s="395">
        <f t="shared" si="31"/>
        <v>4242.6000000000004</v>
      </c>
      <c r="F62" s="380">
        <f t="shared" si="35"/>
        <v>0</v>
      </c>
      <c r="G62" s="650" t="str">
        <f t="shared" si="36"/>
        <v/>
      </c>
      <c r="H62" s="651" t="str">
        <f t="shared" si="20"/>
        <v/>
      </c>
      <c r="J62" s="383">
        <f>'5.2 Budgeted Enrollment YR2'!I61</f>
        <v>2</v>
      </c>
      <c r="K62" s="1033"/>
      <c r="L62" s="653">
        <f t="shared" si="37"/>
        <v>-2</v>
      </c>
      <c r="M62" s="395">
        <f t="shared" si="32"/>
        <v>3299.7999999999997</v>
      </c>
      <c r="N62" s="296">
        <f t="shared" si="38"/>
        <v>0</v>
      </c>
      <c r="O62" s="650" t="str">
        <f t="shared" si="39"/>
        <v/>
      </c>
      <c r="P62" s="651" t="str">
        <f t="shared" si="24"/>
        <v/>
      </c>
      <c r="R62" s="383">
        <f>'5.2 Budgeted Enrollment YR2'!J61</f>
        <v>0</v>
      </c>
      <c r="S62" s="1033"/>
      <c r="T62" s="653">
        <f t="shared" si="40"/>
        <v>0</v>
      </c>
      <c r="U62" s="395">
        <f t="shared" si="33"/>
        <v>1131.3599999999999</v>
      </c>
      <c r="V62" s="296">
        <f t="shared" si="41"/>
        <v>0</v>
      </c>
      <c r="W62" s="650" t="str">
        <f t="shared" si="42"/>
        <v/>
      </c>
      <c r="X62" s="651" t="str">
        <f t="shared" si="28"/>
        <v/>
      </c>
      <c r="Z62" s="657" t="str">
        <f>IF($B$3="No","",'3.1b Allocation Adj. YR1 '!L63)</f>
        <v/>
      </c>
      <c r="AA62" s="863" t="str">
        <f t="shared" si="43"/>
        <v/>
      </c>
      <c r="AB62" s="654" t="str">
        <f t="shared" si="44"/>
        <v/>
      </c>
      <c r="AC62" s="356"/>
      <c r="AD62" s="356"/>
    </row>
    <row r="63" spans="1:30" x14ac:dyDescent="0.3">
      <c r="A63" t="str">
        <f>'1.2 Budgeted Enrollment YR1'!E62</f>
        <v>Innovations Int'l Charter</v>
      </c>
      <c r="B63" s="383">
        <f>'5.2 Budgeted Enrollment YR2'!H62</f>
        <v>189</v>
      </c>
      <c r="C63" s="1033"/>
      <c r="D63" s="653">
        <f t="shared" si="34"/>
        <v>-189</v>
      </c>
      <c r="E63" s="395">
        <f t="shared" si="31"/>
        <v>4242.6000000000004</v>
      </c>
      <c r="F63" s="380">
        <f t="shared" si="35"/>
        <v>0</v>
      </c>
      <c r="G63" s="650" t="str">
        <f t="shared" si="36"/>
        <v/>
      </c>
      <c r="H63" s="651" t="str">
        <f t="shared" si="20"/>
        <v/>
      </c>
      <c r="J63" s="383">
        <f>'5.2 Budgeted Enrollment YR2'!I62</f>
        <v>175</v>
      </c>
      <c r="K63" s="1033"/>
      <c r="L63" s="653">
        <f t="shared" si="37"/>
        <v>-175</v>
      </c>
      <c r="M63" s="395">
        <f t="shared" si="32"/>
        <v>3299.7999999999997</v>
      </c>
      <c r="N63" s="296">
        <f t="shared" si="38"/>
        <v>0</v>
      </c>
      <c r="O63" s="650" t="str">
        <f t="shared" si="39"/>
        <v/>
      </c>
      <c r="P63" s="651" t="str">
        <f t="shared" si="24"/>
        <v/>
      </c>
      <c r="R63" s="383">
        <f>'5.2 Budgeted Enrollment YR2'!J62</f>
        <v>0</v>
      </c>
      <c r="S63" s="1033"/>
      <c r="T63" s="653">
        <f t="shared" si="40"/>
        <v>0</v>
      </c>
      <c r="U63" s="395">
        <f t="shared" si="33"/>
        <v>1131.3599999999999</v>
      </c>
      <c r="V63" s="296">
        <f t="shared" si="41"/>
        <v>0</v>
      </c>
      <c r="W63" s="650" t="str">
        <f t="shared" si="42"/>
        <v/>
      </c>
      <c r="X63" s="651" t="str">
        <f t="shared" si="28"/>
        <v/>
      </c>
      <c r="Z63" s="657" t="str">
        <f>IF($B$3="No","",'3.1b Allocation Adj. YR1 '!L64)</f>
        <v/>
      </c>
      <c r="AA63" s="863" t="str">
        <f t="shared" si="43"/>
        <v/>
      </c>
      <c r="AB63" s="654" t="str">
        <f t="shared" si="44"/>
        <v/>
      </c>
      <c r="AC63" s="356"/>
      <c r="AD63" s="356"/>
    </row>
    <row r="64" spans="1:30" x14ac:dyDescent="0.3">
      <c r="A64" t="str">
        <f>'1.2 Budgeted Enrollment YR1'!E63</f>
        <v>Leadership Academy of Nevada</v>
      </c>
      <c r="B64" s="383">
        <f>'5.2 Budgeted Enrollment YR2'!H63</f>
        <v>1</v>
      </c>
      <c r="C64" s="1033"/>
      <c r="D64" s="653">
        <f t="shared" si="34"/>
        <v>-1</v>
      </c>
      <c r="E64" s="395">
        <f t="shared" si="31"/>
        <v>4242.6000000000004</v>
      </c>
      <c r="F64" s="380">
        <f t="shared" si="35"/>
        <v>0</v>
      </c>
      <c r="G64" s="650" t="str">
        <f t="shared" si="36"/>
        <v/>
      </c>
      <c r="H64" s="651" t="str">
        <f t="shared" si="20"/>
        <v/>
      </c>
      <c r="J64" s="383">
        <f>'5.2 Budgeted Enrollment YR2'!I63</f>
        <v>15</v>
      </c>
      <c r="K64" s="1033"/>
      <c r="L64" s="653">
        <f t="shared" si="37"/>
        <v>-15</v>
      </c>
      <c r="M64" s="395">
        <f t="shared" si="32"/>
        <v>3299.7999999999997</v>
      </c>
      <c r="N64" s="296">
        <f t="shared" si="38"/>
        <v>0</v>
      </c>
      <c r="O64" s="650" t="str">
        <f t="shared" si="39"/>
        <v/>
      </c>
      <c r="P64" s="651" t="str">
        <f t="shared" si="24"/>
        <v/>
      </c>
      <c r="R64" s="383">
        <f>'5.2 Budgeted Enrollment YR2'!J63</f>
        <v>0</v>
      </c>
      <c r="S64" s="1033"/>
      <c r="T64" s="653">
        <f t="shared" si="40"/>
        <v>0</v>
      </c>
      <c r="U64" s="395">
        <f t="shared" si="33"/>
        <v>1131.3599999999999</v>
      </c>
      <c r="V64" s="296">
        <f t="shared" si="41"/>
        <v>0</v>
      </c>
      <c r="W64" s="650" t="str">
        <f t="shared" si="42"/>
        <v/>
      </c>
      <c r="X64" s="651" t="str">
        <f t="shared" si="28"/>
        <v/>
      </c>
      <c r="Z64" s="657" t="str">
        <f>IF($B$3="No","",'3.1b Allocation Adj. YR1 '!L65)</f>
        <v/>
      </c>
      <c r="AA64" s="863" t="str">
        <f t="shared" si="43"/>
        <v/>
      </c>
      <c r="AB64" s="654" t="str">
        <f t="shared" si="44"/>
        <v/>
      </c>
      <c r="AC64" s="356"/>
      <c r="AD64" s="356"/>
    </row>
    <row r="65" spans="1:30" x14ac:dyDescent="0.3">
      <c r="A65" t="str">
        <f>'1.2 Budgeted Enrollment YR1'!E64</f>
        <v>Learning Bridge</v>
      </c>
      <c r="B65" s="383">
        <f>'5.2 Budgeted Enrollment YR2'!H64</f>
        <v>2</v>
      </c>
      <c r="C65" s="1033"/>
      <c r="D65" s="653">
        <f t="shared" si="34"/>
        <v>-2</v>
      </c>
      <c r="E65" s="395">
        <f t="shared" si="31"/>
        <v>4242.6000000000004</v>
      </c>
      <c r="F65" s="380">
        <f t="shared" si="35"/>
        <v>0</v>
      </c>
      <c r="G65" s="650" t="str">
        <f t="shared" si="36"/>
        <v/>
      </c>
      <c r="H65" s="651" t="str">
        <f t="shared" si="20"/>
        <v/>
      </c>
      <c r="J65" s="383">
        <f>'5.2 Budgeted Enrollment YR2'!I64</f>
        <v>0</v>
      </c>
      <c r="K65" s="1033"/>
      <c r="L65" s="653">
        <f t="shared" si="37"/>
        <v>0</v>
      </c>
      <c r="M65" s="395">
        <f t="shared" si="32"/>
        <v>3299.7999999999997</v>
      </c>
      <c r="N65" s="296">
        <f t="shared" si="38"/>
        <v>0</v>
      </c>
      <c r="O65" s="650" t="str">
        <f t="shared" si="39"/>
        <v/>
      </c>
      <c r="P65" s="651" t="str">
        <f t="shared" si="24"/>
        <v/>
      </c>
      <c r="R65" s="383">
        <f>'5.2 Budgeted Enrollment YR2'!J64</f>
        <v>0</v>
      </c>
      <c r="S65" s="1033"/>
      <c r="T65" s="653">
        <f t="shared" si="40"/>
        <v>0</v>
      </c>
      <c r="U65" s="395">
        <f t="shared" si="33"/>
        <v>1131.3599999999999</v>
      </c>
      <c r="V65" s="296">
        <f t="shared" si="41"/>
        <v>0</v>
      </c>
      <c r="W65" s="650" t="str">
        <f t="shared" si="42"/>
        <v/>
      </c>
      <c r="X65" s="651" t="str">
        <f t="shared" si="28"/>
        <v/>
      </c>
      <c r="Z65" s="657" t="str">
        <f>IF($B$3="No","",'3.1b Allocation Adj. YR1 '!L66)</f>
        <v/>
      </c>
      <c r="AA65" s="863" t="str">
        <f t="shared" si="43"/>
        <v/>
      </c>
      <c r="AB65" s="654" t="str">
        <f t="shared" si="44"/>
        <v/>
      </c>
      <c r="AC65" s="356"/>
      <c r="AD65" s="356"/>
    </row>
    <row r="66" spans="1:30" x14ac:dyDescent="0.3">
      <c r="A66" t="str">
        <f>'1.2 Budgeted Enrollment YR1'!E65</f>
        <v>Legacy Traditional Schools</v>
      </c>
      <c r="B66" s="383">
        <f>'5.2 Budgeted Enrollment YR2'!H65</f>
        <v>264</v>
      </c>
      <c r="C66" s="1033"/>
      <c r="D66" s="653">
        <f t="shared" si="34"/>
        <v>-264</v>
      </c>
      <c r="E66" s="395">
        <f t="shared" si="31"/>
        <v>4242.6000000000004</v>
      </c>
      <c r="F66" s="380">
        <f t="shared" si="35"/>
        <v>0</v>
      </c>
      <c r="G66" s="650" t="str">
        <f t="shared" si="36"/>
        <v/>
      </c>
      <c r="H66" s="651" t="str">
        <f t="shared" si="20"/>
        <v/>
      </c>
      <c r="J66" s="383">
        <f>'5.2 Budgeted Enrollment YR2'!I65</f>
        <v>158</v>
      </c>
      <c r="K66" s="1033"/>
      <c r="L66" s="653">
        <f t="shared" si="37"/>
        <v>-158</v>
      </c>
      <c r="M66" s="395">
        <f t="shared" si="32"/>
        <v>3299.7999999999997</v>
      </c>
      <c r="N66" s="296">
        <f t="shared" si="38"/>
        <v>0</v>
      </c>
      <c r="O66" s="650" t="str">
        <f t="shared" si="39"/>
        <v/>
      </c>
      <c r="P66" s="651" t="str">
        <f t="shared" si="24"/>
        <v/>
      </c>
      <c r="R66" s="383">
        <f>'5.2 Budgeted Enrollment YR2'!J65</f>
        <v>179</v>
      </c>
      <c r="S66" s="1033"/>
      <c r="T66" s="653">
        <f t="shared" si="40"/>
        <v>-179</v>
      </c>
      <c r="U66" s="395">
        <f t="shared" si="33"/>
        <v>1131.3599999999999</v>
      </c>
      <c r="V66" s="296">
        <f t="shared" si="41"/>
        <v>0</v>
      </c>
      <c r="W66" s="650" t="str">
        <f t="shared" si="42"/>
        <v/>
      </c>
      <c r="X66" s="651" t="str">
        <f t="shared" si="28"/>
        <v/>
      </c>
      <c r="Z66" s="657" t="str">
        <f>IF($B$3="No","",'3.1b Allocation Adj. YR1 '!L67)</f>
        <v/>
      </c>
      <c r="AA66" s="863" t="str">
        <f t="shared" si="43"/>
        <v/>
      </c>
      <c r="AB66" s="654" t="str">
        <f t="shared" si="44"/>
        <v/>
      </c>
      <c r="AC66" s="356"/>
      <c r="AD66" s="356"/>
    </row>
    <row r="67" spans="1:30" x14ac:dyDescent="0.3">
      <c r="A67" t="str">
        <f>'1.2 Budgeted Enrollment YR1'!E66</f>
        <v>Mariposa Dual Language Academy</v>
      </c>
      <c r="B67" s="383">
        <f>'5.2 Budgeted Enrollment YR2'!H66</f>
        <v>35</v>
      </c>
      <c r="C67" s="1033"/>
      <c r="D67" s="653">
        <f t="shared" si="34"/>
        <v>-35</v>
      </c>
      <c r="E67" s="395">
        <f t="shared" si="31"/>
        <v>4242.6000000000004</v>
      </c>
      <c r="F67" s="380">
        <f t="shared" si="35"/>
        <v>0</v>
      </c>
      <c r="G67" s="650" t="str">
        <f t="shared" si="36"/>
        <v/>
      </c>
      <c r="H67" s="651" t="str">
        <f t="shared" si="20"/>
        <v/>
      </c>
      <c r="J67" s="383">
        <f>'5.2 Budgeted Enrollment YR2'!I66</f>
        <v>1</v>
      </c>
      <c r="K67" s="1033"/>
      <c r="L67" s="653">
        <f t="shared" si="37"/>
        <v>-1</v>
      </c>
      <c r="M67" s="395">
        <f t="shared" si="32"/>
        <v>3299.7999999999997</v>
      </c>
      <c r="N67" s="296">
        <f t="shared" si="38"/>
        <v>0</v>
      </c>
      <c r="O67" s="650" t="str">
        <f t="shared" si="39"/>
        <v/>
      </c>
      <c r="P67" s="651" t="str">
        <f t="shared" si="24"/>
        <v/>
      </c>
      <c r="R67" s="383">
        <f>'5.2 Budgeted Enrollment YR2'!J66</f>
        <v>0</v>
      </c>
      <c r="S67" s="1033"/>
      <c r="T67" s="653">
        <f t="shared" si="40"/>
        <v>0</v>
      </c>
      <c r="U67" s="395">
        <f t="shared" si="33"/>
        <v>1131.3599999999999</v>
      </c>
      <c r="V67" s="296">
        <f t="shared" si="41"/>
        <v>0</v>
      </c>
      <c r="W67" s="650" t="str">
        <f t="shared" si="42"/>
        <v/>
      </c>
      <c r="X67" s="651" t="str">
        <f t="shared" si="28"/>
        <v/>
      </c>
      <c r="Z67" s="657" t="str">
        <f>IF($B$3="No","",'3.1b Allocation Adj. YR1 '!L68)</f>
        <v/>
      </c>
      <c r="AA67" s="863" t="str">
        <f t="shared" si="43"/>
        <v/>
      </c>
      <c r="AB67" s="654" t="str">
        <f t="shared" si="44"/>
        <v/>
      </c>
      <c r="AC67" s="356"/>
      <c r="AD67" s="356"/>
    </row>
    <row r="68" spans="1:30" x14ac:dyDescent="0.3">
      <c r="A68" t="str">
        <f>'1.2 Budgeted Enrollment YR1'!E67</f>
        <v>Mater Academy</v>
      </c>
      <c r="B68" s="383">
        <f>'5.2 Budgeted Enrollment YR2'!H67</f>
        <v>1373</v>
      </c>
      <c r="C68" s="1033"/>
      <c r="D68" s="653">
        <f t="shared" si="34"/>
        <v>-1373</v>
      </c>
      <c r="E68" s="395">
        <f t="shared" si="31"/>
        <v>4242.6000000000004</v>
      </c>
      <c r="F68" s="380">
        <f t="shared" si="35"/>
        <v>0</v>
      </c>
      <c r="G68" s="650" t="str">
        <f t="shared" si="36"/>
        <v/>
      </c>
      <c r="H68" s="651" t="str">
        <f t="shared" si="20"/>
        <v/>
      </c>
      <c r="J68" s="383">
        <f>'5.2 Budgeted Enrollment YR2'!I67</f>
        <v>45</v>
      </c>
      <c r="K68" s="1033"/>
      <c r="L68" s="653">
        <f t="shared" si="37"/>
        <v>-45</v>
      </c>
      <c r="M68" s="395">
        <f t="shared" si="32"/>
        <v>3299.7999999999997</v>
      </c>
      <c r="N68" s="296">
        <f t="shared" si="38"/>
        <v>0</v>
      </c>
      <c r="O68" s="650" t="str">
        <f t="shared" si="39"/>
        <v/>
      </c>
      <c r="P68" s="651" t="str">
        <f t="shared" si="24"/>
        <v/>
      </c>
      <c r="R68" s="383">
        <f>'5.2 Budgeted Enrollment YR2'!J67</f>
        <v>0</v>
      </c>
      <c r="S68" s="1033"/>
      <c r="T68" s="653">
        <f t="shared" si="40"/>
        <v>0</v>
      </c>
      <c r="U68" s="395">
        <f t="shared" si="33"/>
        <v>1131.3599999999999</v>
      </c>
      <c r="V68" s="296">
        <f t="shared" si="41"/>
        <v>0</v>
      </c>
      <c r="W68" s="650" t="str">
        <f t="shared" si="42"/>
        <v/>
      </c>
      <c r="X68" s="651" t="str">
        <f t="shared" si="28"/>
        <v/>
      </c>
      <c r="Z68" s="657" t="str">
        <f>IF($B$3="No","",'3.1b Allocation Adj. YR1 '!L69)</f>
        <v/>
      </c>
      <c r="AA68" s="863" t="str">
        <f t="shared" si="43"/>
        <v/>
      </c>
      <c r="AB68" s="654" t="str">
        <f t="shared" si="44"/>
        <v/>
      </c>
      <c r="AC68" s="356"/>
      <c r="AD68" s="356"/>
    </row>
    <row r="69" spans="1:30" x14ac:dyDescent="0.3">
      <c r="A69" t="str">
        <f>'1.2 Budgeted Enrollment YR1'!E68</f>
        <v>Mater Academy of Northern Nevada</v>
      </c>
      <c r="B69" s="383">
        <f>'5.2 Budgeted Enrollment YR2'!H68</f>
        <v>152</v>
      </c>
      <c r="C69" s="1033"/>
      <c r="D69" s="653">
        <f t="shared" si="34"/>
        <v>-152</v>
      </c>
      <c r="E69" s="395">
        <f t="shared" si="31"/>
        <v>4242.6000000000004</v>
      </c>
      <c r="F69" s="380">
        <f t="shared" si="35"/>
        <v>0</v>
      </c>
      <c r="G69" s="650" t="str">
        <f t="shared" si="36"/>
        <v/>
      </c>
      <c r="H69" s="651" t="str">
        <f t="shared" si="20"/>
        <v/>
      </c>
      <c r="J69" s="383">
        <f>'5.2 Budgeted Enrollment YR2'!I68</f>
        <v>4</v>
      </c>
      <c r="K69" s="1033"/>
      <c r="L69" s="653">
        <f t="shared" si="37"/>
        <v>-4</v>
      </c>
      <c r="M69" s="395">
        <f t="shared" si="32"/>
        <v>3299.7999999999997</v>
      </c>
      <c r="N69" s="296">
        <f t="shared" si="38"/>
        <v>0</v>
      </c>
      <c r="O69" s="650" t="str">
        <f t="shared" si="39"/>
        <v/>
      </c>
      <c r="P69" s="651" t="str">
        <f t="shared" si="24"/>
        <v/>
      </c>
      <c r="R69" s="383">
        <f>'5.2 Budgeted Enrollment YR2'!J68</f>
        <v>0</v>
      </c>
      <c r="S69" s="1033"/>
      <c r="T69" s="653">
        <f t="shared" si="40"/>
        <v>0</v>
      </c>
      <c r="U69" s="395">
        <f t="shared" si="33"/>
        <v>1131.3599999999999</v>
      </c>
      <c r="V69" s="296">
        <f t="shared" si="41"/>
        <v>0</v>
      </c>
      <c r="W69" s="650" t="str">
        <f t="shared" si="42"/>
        <v/>
      </c>
      <c r="X69" s="651" t="str">
        <f t="shared" si="28"/>
        <v/>
      </c>
      <c r="Z69" s="657" t="str">
        <f>IF($B$3="No","",'3.1b Allocation Adj. YR1 '!L70)</f>
        <v/>
      </c>
      <c r="AA69" s="863" t="str">
        <f t="shared" si="43"/>
        <v/>
      </c>
      <c r="AB69" s="654" t="str">
        <f t="shared" si="44"/>
        <v/>
      </c>
      <c r="AC69" s="356"/>
      <c r="AD69" s="356"/>
    </row>
    <row r="70" spans="1:30" x14ac:dyDescent="0.3">
      <c r="A70" t="str">
        <f>'1.2 Budgeted Enrollment YR1'!E69</f>
        <v>Nevada Connections Academy</v>
      </c>
      <c r="B70" s="383">
        <f>'5.2 Budgeted Enrollment YR2'!H69</f>
        <v>24</v>
      </c>
      <c r="C70" s="1033"/>
      <c r="D70" s="653">
        <f t="shared" si="34"/>
        <v>-24</v>
      </c>
      <c r="E70" s="395">
        <f t="shared" si="31"/>
        <v>4242.6000000000004</v>
      </c>
      <c r="F70" s="380">
        <f t="shared" si="35"/>
        <v>0</v>
      </c>
      <c r="G70" s="650" t="str">
        <f t="shared" si="36"/>
        <v/>
      </c>
      <c r="H70" s="651" t="str">
        <f t="shared" si="20"/>
        <v/>
      </c>
      <c r="J70" s="383">
        <f>'5.2 Budgeted Enrollment YR2'!I69</f>
        <v>28</v>
      </c>
      <c r="K70" s="1033"/>
      <c r="L70" s="653">
        <f t="shared" si="37"/>
        <v>-28</v>
      </c>
      <c r="M70" s="395">
        <f t="shared" si="32"/>
        <v>3299.7999999999997</v>
      </c>
      <c r="N70" s="296">
        <f t="shared" si="38"/>
        <v>0</v>
      </c>
      <c r="O70" s="650" t="str">
        <f t="shared" si="39"/>
        <v/>
      </c>
      <c r="P70" s="651" t="str">
        <f t="shared" si="24"/>
        <v/>
      </c>
      <c r="R70" s="383">
        <f>'5.2 Budgeted Enrollment YR2'!J69</f>
        <v>0</v>
      </c>
      <c r="S70" s="1033"/>
      <c r="T70" s="653">
        <f t="shared" si="40"/>
        <v>0</v>
      </c>
      <c r="U70" s="395">
        <f t="shared" si="33"/>
        <v>1131.3599999999999</v>
      </c>
      <c r="V70" s="296">
        <f t="shared" si="41"/>
        <v>0</v>
      </c>
      <c r="W70" s="650" t="str">
        <f t="shared" si="42"/>
        <v/>
      </c>
      <c r="X70" s="651" t="str">
        <f t="shared" si="28"/>
        <v/>
      </c>
      <c r="Z70" s="657" t="str">
        <f>IF($B$3="No","",'3.1b Allocation Adj. YR1 '!L71)</f>
        <v/>
      </c>
      <c r="AA70" s="863" t="str">
        <f t="shared" si="43"/>
        <v/>
      </c>
      <c r="AB70" s="654" t="str">
        <f t="shared" si="44"/>
        <v/>
      </c>
      <c r="AC70" s="356"/>
      <c r="AD70" s="356"/>
    </row>
    <row r="71" spans="1:30" x14ac:dyDescent="0.3">
      <c r="A71" t="str">
        <f>'1.2 Budgeted Enrollment YR1'!E70</f>
        <v>Nevada Prep</v>
      </c>
      <c r="B71" s="383">
        <f>'5.2 Budgeted Enrollment YR2'!H70</f>
        <v>68</v>
      </c>
      <c r="C71" s="1033"/>
      <c r="D71" s="653">
        <f t="shared" si="34"/>
        <v>-68</v>
      </c>
      <c r="E71" s="395">
        <f t="shared" si="31"/>
        <v>4242.6000000000004</v>
      </c>
      <c r="F71" s="380">
        <f t="shared" si="35"/>
        <v>0</v>
      </c>
      <c r="G71" s="650" t="str">
        <f t="shared" si="36"/>
        <v/>
      </c>
      <c r="H71" s="651" t="str">
        <f t="shared" si="20"/>
        <v/>
      </c>
      <c r="J71" s="383">
        <f>'5.2 Budgeted Enrollment YR2'!I70</f>
        <v>12</v>
      </c>
      <c r="K71" s="1033"/>
      <c r="L71" s="653">
        <f t="shared" si="37"/>
        <v>-12</v>
      </c>
      <c r="M71" s="395">
        <f t="shared" si="32"/>
        <v>3299.7999999999997</v>
      </c>
      <c r="N71" s="296">
        <f t="shared" si="38"/>
        <v>0</v>
      </c>
      <c r="O71" s="650" t="str">
        <f t="shared" si="39"/>
        <v/>
      </c>
      <c r="P71" s="651" t="str">
        <f t="shared" si="24"/>
        <v/>
      </c>
      <c r="R71" s="383">
        <f>'5.2 Budgeted Enrollment YR2'!J70</f>
        <v>0</v>
      </c>
      <c r="S71" s="1033"/>
      <c r="T71" s="653">
        <f t="shared" si="40"/>
        <v>0</v>
      </c>
      <c r="U71" s="395">
        <f t="shared" si="33"/>
        <v>1131.3599999999999</v>
      </c>
      <c r="V71" s="296">
        <f t="shared" si="41"/>
        <v>0</v>
      </c>
      <c r="W71" s="650" t="str">
        <f t="shared" si="42"/>
        <v/>
      </c>
      <c r="X71" s="651" t="str">
        <f t="shared" si="28"/>
        <v/>
      </c>
      <c r="Z71" s="657" t="str">
        <f>IF($B$3="No","",'3.1b Allocation Adj. YR1 '!L72)</f>
        <v/>
      </c>
      <c r="AA71" s="863" t="str">
        <f t="shared" si="43"/>
        <v/>
      </c>
      <c r="AB71" s="654" t="str">
        <f t="shared" si="44"/>
        <v/>
      </c>
      <c r="AC71" s="356"/>
      <c r="AD71" s="356"/>
    </row>
    <row r="72" spans="1:30" x14ac:dyDescent="0.3">
      <c r="A72" t="str">
        <f>'1.2 Budgeted Enrollment YR1'!E71</f>
        <v xml:space="preserve">Nevada Rise </v>
      </c>
      <c r="B72" s="383">
        <f>'5.2 Budgeted Enrollment YR2'!H71</f>
        <v>73</v>
      </c>
      <c r="C72" s="1033"/>
      <c r="D72" s="653">
        <f t="shared" si="34"/>
        <v>-73</v>
      </c>
      <c r="E72" s="395">
        <f t="shared" si="31"/>
        <v>4242.6000000000004</v>
      </c>
      <c r="F72" s="380">
        <f t="shared" si="35"/>
        <v>0</v>
      </c>
      <c r="G72" s="650" t="str">
        <f t="shared" si="36"/>
        <v/>
      </c>
      <c r="H72" s="651" t="str">
        <f t="shared" si="20"/>
        <v/>
      </c>
      <c r="J72" s="383">
        <f>'5.2 Budgeted Enrollment YR2'!I71</f>
        <v>67</v>
      </c>
      <c r="K72" s="1033"/>
      <c r="L72" s="653">
        <f t="shared" si="37"/>
        <v>-67</v>
      </c>
      <c r="M72" s="395">
        <f t="shared" si="32"/>
        <v>3299.7999999999997</v>
      </c>
      <c r="N72" s="296">
        <f t="shared" si="38"/>
        <v>0</v>
      </c>
      <c r="O72" s="650" t="str">
        <f t="shared" si="39"/>
        <v/>
      </c>
      <c r="P72" s="651" t="str">
        <f t="shared" si="24"/>
        <v/>
      </c>
      <c r="R72" s="383">
        <f>'5.2 Budgeted Enrollment YR2'!J71</f>
        <v>0</v>
      </c>
      <c r="S72" s="1033"/>
      <c r="T72" s="653">
        <f t="shared" si="40"/>
        <v>0</v>
      </c>
      <c r="U72" s="395">
        <f t="shared" si="33"/>
        <v>1131.3599999999999</v>
      </c>
      <c r="V72" s="296">
        <f t="shared" si="41"/>
        <v>0</v>
      </c>
      <c r="W72" s="650" t="str">
        <f t="shared" si="42"/>
        <v/>
      </c>
      <c r="X72" s="651" t="str">
        <f t="shared" si="28"/>
        <v/>
      </c>
      <c r="Z72" s="657" t="str">
        <f>IF($B$3="No","",'3.1b Allocation Adj. YR1 '!L73)</f>
        <v/>
      </c>
      <c r="AA72" s="863" t="str">
        <f t="shared" si="43"/>
        <v/>
      </c>
      <c r="AB72" s="654" t="str">
        <f t="shared" si="44"/>
        <v/>
      </c>
      <c r="AC72" s="356"/>
      <c r="AD72" s="356"/>
    </row>
    <row r="73" spans="1:30" x14ac:dyDescent="0.3">
      <c r="A73" t="str">
        <f>'1.2 Budgeted Enrollment YR1'!E72</f>
        <v>Nevada State High School</v>
      </c>
      <c r="B73" s="383">
        <f>'5.2 Budgeted Enrollment YR2'!H72</f>
        <v>44</v>
      </c>
      <c r="C73" s="1033"/>
      <c r="D73" s="653">
        <f t="shared" si="34"/>
        <v>-44</v>
      </c>
      <c r="E73" s="395">
        <f t="shared" si="31"/>
        <v>4242.6000000000004</v>
      </c>
      <c r="F73" s="380">
        <f t="shared" si="35"/>
        <v>0</v>
      </c>
      <c r="G73" s="650" t="str">
        <f t="shared" si="36"/>
        <v/>
      </c>
      <c r="H73" s="651" t="str">
        <f t="shared" si="20"/>
        <v/>
      </c>
      <c r="J73" s="383">
        <f>'5.2 Budgeted Enrollment YR2'!I72</f>
        <v>1</v>
      </c>
      <c r="K73" s="1033"/>
      <c r="L73" s="653">
        <f t="shared" si="37"/>
        <v>-1</v>
      </c>
      <c r="M73" s="395">
        <f t="shared" si="32"/>
        <v>3299.7999999999997</v>
      </c>
      <c r="N73" s="296">
        <f t="shared" si="38"/>
        <v>0</v>
      </c>
      <c r="O73" s="650" t="str">
        <f t="shared" si="39"/>
        <v/>
      </c>
      <c r="P73" s="651" t="str">
        <f t="shared" si="24"/>
        <v/>
      </c>
      <c r="R73" s="383">
        <f>'5.2 Budgeted Enrollment YR2'!J72</f>
        <v>0</v>
      </c>
      <c r="S73" s="1033"/>
      <c r="T73" s="653">
        <f t="shared" si="40"/>
        <v>0</v>
      </c>
      <c r="U73" s="395">
        <f t="shared" si="33"/>
        <v>1131.3599999999999</v>
      </c>
      <c r="V73" s="296">
        <f t="shared" si="41"/>
        <v>0</v>
      </c>
      <c r="W73" s="650" t="str">
        <f t="shared" si="42"/>
        <v/>
      </c>
      <c r="X73" s="651" t="str">
        <f t="shared" si="28"/>
        <v/>
      </c>
      <c r="Z73" s="657" t="str">
        <f>IF($B$3="No","",'3.1b Allocation Adj. YR1 '!L74)</f>
        <v/>
      </c>
      <c r="AA73" s="863" t="str">
        <f t="shared" si="43"/>
        <v/>
      </c>
      <c r="AB73" s="654" t="str">
        <f t="shared" si="44"/>
        <v/>
      </c>
      <c r="AC73" s="356"/>
      <c r="AD73" s="356"/>
    </row>
    <row r="74" spans="1:30" x14ac:dyDescent="0.3">
      <c r="A74" t="str">
        <f>'1.2 Budgeted Enrollment YR1'!E73</f>
        <v>Nevada State High School-Meadowwood</v>
      </c>
      <c r="B74" s="383">
        <f>'5.2 Budgeted Enrollment YR2'!H73</f>
        <v>0</v>
      </c>
      <c r="C74" s="1033"/>
      <c r="D74" s="653">
        <f t="shared" si="34"/>
        <v>0</v>
      </c>
      <c r="E74" s="395">
        <f t="shared" si="31"/>
        <v>4242.6000000000004</v>
      </c>
      <c r="F74" s="380">
        <f t="shared" si="35"/>
        <v>0</v>
      </c>
      <c r="G74" s="650" t="str">
        <f t="shared" si="36"/>
        <v/>
      </c>
      <c r="H74" s="651" t="str">
        <f t="shared" si="20"/>
        <v/>
      </c>
      <c r="J74" s="383">
        <f>'5.2 Budgeted Enrollment YR2'!I73</f>
        <v>0</v>
      </c>
      <c r="K74" s="1033"/>
      <c r="L74" s="653">
        <f t="shared" si="37"/>
        <v>0</v>
      </c>
      <c r="M74" s="395">
        <f t="shared" si="32"/>
        <v>3299.7999999999997</v>
      </c>
      <c r="N74" s="296">
        <f t="shared" si="38"/>
        <v>0</v>
      </c>
      <c r="O74" s="650" t="str">
        <f t="shared" si="39"/>
        <v/>
      </c>
      <c r="P74" s="651" t="str">
        <f t="shared" si="24"/>
        <v/>
      </c>
      <c r="R74" s="383">
        <f>'5.2 Budgeted Enrollment YR2'!J73</f>
        <v>0</v>
      </c>
      <c r="S74" s="1033"/>
      <c r="T74" s="653">
        <f t="shared" si="40"/>
        <v>0</v>
      </c>
      <c r="U74" s="395">
        <f t="shared" si="33"/>
        <v>1131.3599999999999</v>
      </c>
      <c r="V74" s="296">
        <f t="shared" si="41"/>
        <v>0</v>
      </c>
      <c r="W74" s="650" t="str">
        <f t="shared" si="42"/>
        <v/>
      </c>
      <c r="X74" s="651" t="str">
        <f t="shared" si="28"/>
        <v/>
      </c>
      <c r="Z74" s="657" t="str">
        <f>IF($B$3="No","",'3.1b Allocation Adj. YR1 '!L75)</f>
        <v/>
      </c>
      <c r="AA74" s="863" t="str">
        <f t="shared" si="43"/>
        <v/>
      </c>
      <c r="AB74" s="654" t="str">
        <f t="shared" si="44"/>
        <v/>
      </c>
      <c r="AC74" s="356"/>
      <c r="AD74" s="356"/>
    </row>
    <row r="75" spans="1:30" x14ac:dyDescent="0.3">
      <c r="A75" t="str">
        <f>'1.2 Budgeted Enrollment YR1'!E74</f>
        <v>Nevada Virtual Academy</v>
      </c>
      <c r="B75" s="383">
        <f>'5.2 Budgeted Enrollment YR2'!H74</f>
        <v>84</v>
      </c>
      <c r="C75" s="1033"/>
      <c r="D75" s="653">
        <f t="shared" si="34"/>
        <v>-84</v>
      </c>
      <c r="E75" s="395">
        <f t="shared" si="31"/>
        <v>4242.6000000000004</v>
      </c>
      <c r="F75" s="380">
        <f t="shared" si="35"/>
        <v>0</v>
      </c>
      <c r="G75" s="650" t="str">
        <f t="shared" si="36"/>
        <v/>
      </c>
      <c r="H75" s="651" t="str">
        <f t="shared" si="20"/>
        <v/>
      </c>
      <c r="J75" s="383">
        <f>'5.2 Budgeted Enrollment YR2'!I74</f>
        <v>160</v>
      </c>
      <c r="K75" s="1033"/>
      <c r="L75" s="653">
        <f t="shared" si="37"/>
        <v>-160</v>
      </c>
      <c r="M75" s="395">
        <f t="shared" si="32"/>
        <v>3299.7999999999997</v>
      </c>
      <c r="N75" s="296">
        <f t="shared" si="38"/>
        <v>0</v>
      </c>
      <c r="O75" s="650" t="str">
        <f t="shared" si="39"/>
        <v/>
      </c>
      <c r="P75" s="651" t="str">
        <f t="shared" si="24"/>
        <v/>
      </c>
      <c r="R75" s="383">
        <f>'5.2 Budgeted Enrollment YR2'!J74</f>
        <v>0</v>
      </c>
      <c r="S75" s="1033"/>
      <c r="T75" s="653">
        <f t="shared" si="40"/>
        <v>0</v>
      </c>
      <c r="U75" s="395">
        <f t="shared" si="33"/>
        <v>1131.3599999999999</v>
      </c>
      <c r="V75" s="296">
        <f t="shared" si="41"/>
        <v>0</v>
      </c>
      <c r="W75" s="650" t="str">
        <f t="shared" si="42"/>
        <v/>
      </c>
      <c r="X75" s="651" t="str">
        <f t="shared" si="28"/>
        <v/>
      </c>
      <c r="Z75" s="657" t="str">
        <f>IF($B$3="No","",'3.1b Allocation Adj. YR1 '!L76)</f>
        <v/>
      </c>
      <c r="AA75" s="863" t="str">
        <f t="shared" si="43"/>
        <v/>
      </c>
      <c r="AB75" s="654" t="str">
        <f t="shared" si="44"/>
        <v/>
      </c>
      <c r="AC75" s="356"/>
      <c r="AD75" s="356"/>
    </row>
    <row r="76" spans="1:30" x14ac:dyDescent="0.3">
      <c r="A76" t="str">
        <f>'1.2 Budgeted Enrollment YR1'!E75</f>
        <v>Oasis Academy</v>
      </c>
      <c r="B76" s="383">
        <f>'5.2 Budgeted Enrollment YR2'!H75</f>
        <v>28</v>
      </c>
      <c r="C76" s="1033"/>
      <c r="D76" s="653">
        <f t="shared" si="34"/>
        <v>-28</v>
      </c>
      <c r="E76" s="395">
        <f t="shared" si="31"/>
        <v>4242.6000000000004</v>
      </c>
      <c r="F76" s="380">
        <f t="shared" si="35"/>
        <v>0</v>
      </c>
      <c r="G76" s="650" t="str">
        <f t="shared" si="36"/>
        <v/>
      </c>
      <c r="H76" s="651" t="str">
        <f t="shared" si="20"/>
        <v/>
      </c>
      <c r="J76" s="383">
        <f>'5.2 Budgeted Enrollment YR2'!I75</f>
        <v>3</v>
      </c>
      <c r="K76" s="1033"/>
      <c r="L76" s="653">
        <f t="shared" si="37"/>
        <v>-3</v>
      </c>
      <c r="M76" s="395">
        <f t="shared" si="32"/>
        <v>3299.7999999999997</v>
      </c>
      <c r="N76" s="296">
        <f t="shared" si="38"/>
        <v>0</v>
      </c>
      <c r="O76" s="650" t="str">
        <f t="shared" si="39"/>
        <v/>
      </c>
      <c r="P76" s="651" t="str">
        <f t="shared" si="24"/>
        <v/>
      </c>
      <c r="R76" s="383">
        <f>'5.2 Budgeted Enrollment YR2'!J75</f>
        <v>0</v>
      </c>
      <c r="S76" s="1033"/>
      <c r="T76" s="653">
        <f t="shared" si="40"/>
        <v>0</v>
      </c>
      <c r="U76" s="395">
        <f t="shared" si="33"/>
        <v>1131.3599999999999</v>
      </c>
      <c r="V76" s="296">
        <f t="shared" si="41"/>
        <v>0</v>
      </c>
      <c r="W76" s="650" t="str">
        <f t="shared" si="42"/>
        <v/>
      </c>
      <c r="X76" s="651" t="str">
        <f t="shared" si="28"/>
        <v/>
      </c>
      <c r="Z76" s="657" t="str">
        <f>IF($B$3="No","",'3.1b Allocation Adj. YR1 '!L77)</f>
        <v/>
      </c>
      <c r="AA76" s="863" t="str">
        <f t="shared" si="43"/>
        <v/>
      </c>
      <c r="AB76" s="654" t="str">
        <f t="shared" si="44"/>
        <v/>
      </c>
      <c r="AC76" s="356"/>
      <c r="AD76" s="356"/>
    </row>
    <row r="77" spans="1:30" x14ac:dyDescent="0.3">
      <c r="A77" t="str">
        <f>'1.2 Budgeted Enrollment YR1'!E76</f>
        <v>Odyssey Charter Schools</v>
      </c>
      <c r="B77" s="383">
        <f>'5.2 Budgeted Enrollment YR2'!H76</f>
        <v>100</v>
      </c>
      <c r="C77" s="1033"/>
      <c r="D77" s="653">
        <f t="shared" si="34"/>
        <v>-100</v>
      </c>
      <c r="E77" s="395">
        <f t="shared" si="31"/>
        <v>4242.6000000000004</v>
      </c>
      <c r="F77" s="380">
        <f t="shared" si="35"/>
        <v>0</v>
      </c>
      <c r="G77" s="650" t="str">
        <f t="shared" si="36"/>
        <v/>
      </c>
      <c r="H77" s="651" t="str">
        <f t="shared" si="20"/>
        <v/>
      </c>
      <c r="J77" s="383">
        <f>'5.2 Budgeted Enrollment YR2'!I76</f>
        <v>275</v>
      </c>
      <c r="K77" s="1033"/>
      <c r="L77" s="653">
        <f t="shared" si="37"/>
        <v>-275</v>
      </c>
      <c r="M77" s="395">
        <f t="shared" si="32"/>
        <v>3299.7999999999997</v>
      </c>
      <c r="N77" s="296">
        <f t="shared" si="38"/>
        <v>0</v>
      </c>
      <c r="O77" s="650" t="str">
        <f t="shared" si="39"/>
        <v/>
      </c>
      <c r="P77" s="651" t="str">
        <f t="shared" si="24"/>
        <v/>
      </c>
      <c r="R77" s="383">
        <f>'5.2 Budgeted Enrollment YR2'!J76</f>
        <v>0</v>
      </c>
      <c r="S77" s="1033"/>
      <c r="T77" s="653">
        <f t="shared" si="40"/>
        <v>0</v>
      </c>
      <c r="U77" s="395">
        <f t="shared" si="33"/>
        <v>1131.3599999999999</v>
      </c>
      <c r="V77" s="296">
        <f t="shared" si="41"/>
        <v>0</v>
      </c>
      <c r="W77" s="650" t="str">
        <f t="shared" si="42"/>
        <v/>
      </c>
      <c r="X77" s="651" t="str">
        <f t="shared" si="28"/>
        <v/>
      </c>
      <c r="Z77" s="657" t="str">
        <f>IF($B$3="No","",'3.1b Allocation Adj. YR1 '!L78)</f>
        <v/>
      </c>
      <c r="AA77" s="863" t="str">
        <f t="shared" si="43"/>
        <v/>
      </c>
      <c r="AB77" s="654" t="str">
        <f t="shared" si="44"/>
        <v/>
      </c>
      <c r="AC77" s="356"/>
      <c r="AD77" s="356"/>
    </row>
    <row r="78" spans="1:30" x14ac:dyDescent="0.3">
      <c r="A78" t="str">
        <f>'1.2 Budgeted Enrollment YR1'!E77</f>
        <v>Pinecrest Academy of Northern Nevada</v>
      </c>
      <c r="B78" s="383">
        <f>'5.2 Budgeted Enrollment YR2'!H77</f>
        <v>18</v>
      </c>
      <c r="C78" s="1033"/>
      <c r="D78" s="653">
        <f t="shared" si="34"/>
        <v>-18</v>
      </c>
      <c r="E78" s="395">
        <f t="shared" si="31"/>
        <v>4242.6000000000004</v>
      </c>
      <c r="F78" s="380">
        <f t="shared" si="35"/>
        <v>0</v>
      </c>
      <c r="G78" s="650" t="str">
        <f t="shared" si="36"/>
        <v/>
      </c>
      <c r="H78" s="651" t="str">
        <f t="shared" si="20"/>
        <v/>
      </c>
      <c r="J78" s="383">
        <f>'5.2 Budgeted Enrollment YR2'!I77</f>
        <v>0</v>
      </c>
      <c r="K78" s="1033"/>
      <c r="L78" s="653">
        <f t="shared" si="37"/>
        <v>0</v>
      </c>
      <c r="M78" s="395">
        <f t="shared" si="32"/>
        <v>3299.7999999999997</v>
      </c>
      <c r="N78" s="296">
        <f t="shared" si="38"/>
        <v>0</v>
      </c>
      <c r="O78" s="650" t="str">
        <f t="shared" si="39"/>
        <v/>
      </c>
      <c r="P78" s="651" t="str">
        <f t="shared" si="24"/>
        <v/>
      </c>
      <c r="R78" s="383">
        <f>'5.2 Budgeted Enrollment YR2'!J77</f>
        <v>34</v>
      </c>
      <c r="S78" s="1033"/>
      <c r="T78" s="653">
        <f t="shared" si="40"/>
        <v>-34</v>
      </c>
      <c r="U78" s="395">
        <f t="shared" si="33"/>
        <v>1131.3599999999999</v>
      </c>
      <c r="V78" s="296">
        <f t="shared" si="41"/>
        <v>0</v>
      </c>
      <c r="W78" s="650" t="str">
        <f t="shared" si="42"/>
        <v/>
      </c>
      <c r="X78" s="651" t="str">
        <f t="shared" si="28"/>
        <v/>
      </c>
      <c r="Z78" s="657" t="str">
        <f>IF($B$3="No","",'3.1b Allocation Adj. YR1 '!L79)</f>
        <v/>
      </c>
      <c r="AA78" s="863" t="str">
        <f t="shared" si="43"/>
        <v/>
      </c>
      <c r="AB78" s="654" t="str">
        <f t="shared" si="44"/>
        <v/>
      </c>
      <c r="AC78" s="356"/>
      <c r="AD78" s="356"/>
    </row>
    <row r="79" spans="1:30" x14ac:dyDescent="0.3">
      <c r="A79" t="str">
        <f>'1.2 Budgeted Enrollment YR1'!E78</f>
        <v>Pinecrest Academy of Nevada</v>
      </c>
      <c r="B79" s="383">
        <f>'5.2 Budgeted Enrollment YR2'!H78</f>
        <v>160</v>
      </c>
      <c r="C79" s="1033"/>
      <c r="D79" s="653">
        <f t="shared" si="34"/>
        <v>-160</v>
      </c>
      <c r="E79" s="395">
        <f t="shared" si="31"/>
        <v>4242.6000000000004</v>
      </c>
      <c r="F79" s="380">
        <f t="shared" si="35"/>
        <v>0</v>
      </c>
      <c r="G79" s="650" t="str">
        <f t="shared" si="36"/>
        <v/>
      </c>
      <c r="H79" s="651" t="str">
        <f t="shared" si="20"/>
        <v/>
      </c>
      <c r="J79" s="383">
        <f>'5.2 Budgeted Enrollment YR2'!I78</f>
        <v>203</v>
      </c>
      <c r="K79" s="1033"/>
      <c r="L79" s="653">
        <f t="shared" si="37"/>
        <v>-203</v>
      </c>
      <c r="M79" s="395">
        <f t="shared" si="32"/>
        <v>3299.7999999999997</v>
      </c>
      <c r="N79" s="296">
        <f t="shared" si="38"/>
        <v>0</v>
      </c>
      <c r="O79" s="650" t="str">
        <f t="shared" si="39"/>
        <v/>
      </c>
      <c r="P79" s="651" t="str">
        <f t="shared" si="24"/>
        <v/>
      </c>
      <c r="R79" s="383">
        <f>'5.2 Budgeted Enrollment YR2'!J78</f>
        <v>259</v>
      </c>
      <c r="S79" s="1033"/>
      <c r="T79" s="653">
        <f t="shared" si="40"/>
        <v>-259</v>
      </c>
      <c r="U79" s="395">
        <f t="shared" si="33"/>
        <v>1131.3599999999999</v>
      </c>
      <c r="V79" s="296">
        <f t="shared" si="41"/>
        <v>0</v>
      </c>
      <c r="W79" s="650" t="str">
        <f t="shared" si="42"/>
        <v/>
      </c>
      <c r="X79" s="651" t="str">
        <f t="shared" si="28"/>
        <v/>
      </c>
      <c r="Z79" s="657" t="str">
        <f>IF($B$3="No","",'3.1b Allocation Adj. YR1 '!L80)</f>
        <v/>
      </c>
      <c r="AA79" s="863" t="str">
        <f t="shared" si="43"/>
        <v/>
      </c>
      <c r="AB79" s="654" t="str">
        <f t="shared" si="44"/>
        <v/>
      </c>
      <c r="AC79" s="356"/>
      <c r="AD79" s="356"/>
    </row>
    <row r="80" spans="1:30" x14ac:dyDescent="0.3">
      <c r="A80" t="str">
        <f>'1.2 Budgeted Enrollment YR1'!E79</f>
        <v>Quest Academy</v>
      </c>
      <c r="B80" s="383">
        <f>'5.2 Budgeted Enrollment YR2'!H79</f>
        <v>34</v>
      </c>
      <c r="C80" s="1033"/>
      <c r="D80" s="653">
        <f t="shared" si="34"/>
        <v>-34</v>
      </c>
      <c r="E80" s="395">
        <f t="shared" si="31"/>
        <v>4242.6000000000004</v>
      </c>
      <c r="F80" s="380">
        <f t="shared" si="35"/>
        <v>0</v>
      </c>
      <c r="G80" s="650" t="str">
        <f t="shared" si="36"/>
        <v/>
      </c>
      <c r="H80" s="651" t="str">
        <f t="shared" si="20"/>
        <v/>
      </c>
      <c r="J80" s="383">
        <f>'5.2 Budgeted Enrollment YR2'!I79</f>
        <v>42</v>
      </c>
      <c r="K80" s="1033"/>
      <c r="L80" s="653">
        <f t="shared" si="37"/>
        <v>-42</v>
      </c>
      <c r="M80" s="395">
        <f t="shared" si="32"/>
        <v>3299.7999999999997</v>
      </c>
      <c r="N80" s="296">
        <f t="shared" si="38"/>
        <v>0</v>
      </c>
      <c r="O80" s="650" t="str">
        <f t="shared" si="39"/>
        <v/>
      </c>
      <c r="P80" s="651" t="str">
        <f t="shared" si="24"/>
        <v/>
      </c>
      <c r="R80" s="383">
        <f>'5.2 Budgeted Enrollment YR2'!J79</f>
        <v>0</v>
      </c>
      <c r="S80" s="1033"/>
      <c r="T80" s="653">
        <f t="shared" si="40"/>
        <v>0</v>
      </c>
      <c r="U80" s="395">
        <f t="shared" si="33"/>
        <v>1131.3599999999999</v>
      </c>
      <c r="V80" s="296">
        <f t="shared" si="41"/>
        <v>0</v>
      </c>
      <c r="W80" s="650" t="str">
        <f t="shared" si="42"/>
        <v/>
      </c>
      <c r="X80" s="651" t="str">
        <f t="shared" si="28"/>
        <v/>
      </c>
      <c r="Z80" s="657" t="str">
        <f>IF($B$3="No","",'3.1b Allocation Adj. YR1 '!L81)</f>
        <v/>
      </c>
      <c r="AA80" s="863" t="str">
        <f t="shared" si="43"/>
        <v/>
      </c>
      <c r="AB80" s="654" t="str">
        <f t="shared" si="44"/>
        <v/>
      </c>
      <c r="AC80" s="356"/>
      <c r="AD80" s="356"/>
    </row>
    <row r="81" spans="1:30" x14ac:dyDescent="0.3">
      <c r="A81" t="str">
        <f>'1.2 Budgeted Enrollment YR1'!E80</f>
        <v>Rainbow Dreams Academy</v>
      </c>
      <c r="B81" s="383">
        <f>'5.2 Budgeted Enrollment YR2'!H80</f>
        <v>8</v>
      </c>
      <c r="C81" s="1033"/>
      <c r="D81" s="653">
        <f t="shared" si="34"/>
        <v>-8</v>
      </c>
      <c r="E81" s="395">
        <f t="shared" si="31"/>
        <v>4242.6000000000004</v>
      </c>
      <c r="F81" s="380">
        <f t="shared" si="35"/>
        <v>0</v>
      </c>
      <c r="G81" s="650" t="str">
        <f t="shared" si="36"/>
        <v/>
      </c>
      <c r="H81" s="651" t="str">
        <f t="shared" si="20"/>
        <v/>
      </c>
      <c r="J81" s="383">
        <f>'5.2 Budgeted Enrollment YR2'!I80</f>
        <v>34</v>
      </c>
      <c r="K81" s="1033"/>
      <c r="L81" s="653">
        <f t="shared" si="37"/>
        <v>-34</v>
      </c>
      <c r="M81" s="395">
        <f t="shared" si="32"/>
        <v>3299.7999999999997</v>
      </c>
      <c r="N81" s="296">
        <f t="shared" si="38"/>
        <v>0</v>
      </c>
      <c r="O81" s="650" t="str">
        <f t="shared" si="39"/>
        <v/>
      </c>
      <c r="P81" s="651" t="str">
        <f t="shared" si="24"/>
        <v/>
      </c>
      <c r="R81" s="383">
        <f>'5.2 Budgeted Enrollment YR2'!J80</f>
        <v>0</v>
      </c>
      <c r="S81" s="1033"/>
      <c r="T81" s="653">
        <f t="shared" si="40"/>
        <v>0</v>
      </c>
      <c r="U81" s="395">
        <f t="shared" si="33"/>
        <v>1131.3599999999999</v>
      </c>
      <c r="V81" s="296">
        <f t="shared" si="41"/>
        <v>0</v>
      </c>
      <c r="W81" s="650" t="str">
        <f t="shared" si="42"/>
        <v/>
      </c>
      <c r="X81" s="651" t="str">
        <f t="shared" si="28"/>
        <v/>
      </c>
      <c r="Z81" s="657" t="str">
        <f>IF($B$3="No","",'3.1b Allocation Adj. YR1 '!L82)</f>
        <v/>
      </c>
      <c r="AA81" s="863" t="str">
        <f t="shared" si="43"/>
        <v/>
      </c>
      <c r="AB81" s="654" t="str">
        <f t="shared" si="44"/>
        <v/>
      </c>
      <c r="AC81" s="356"/>
      <c r="AD81" s="356"/>
    </row>
    <row r="82" spans="1:30" x14ac:dyDescent="0.3">
      <c r="A82" t="str">
        <f>'1.2 Budgeted Enrollment YR1'!E81</f>
        <v>Rooted Charter School</v>
      </c>
      <c r="B82" s="383">
        <f>'5.2 Budgeted Enrollment YR2'!H81</f>
        <v>0</v>
      </c>
      <c r="C82" s="1033"/>
      <c r="D82" s="653">
        <f t="shared" ref="D82" si="45">IF(B82="",0,C82-B82)</f>
        <v>0</v>
      </c>
      <c r="E82" s="395">
        <f t="shared" si="31"/>
        <v>4242.6000000000004</v>
      </c>
      <c r="F82" s="380">
        <f t="shared" ref="F82" si="46">C82</f>
        <v>0</v>
      </c>
      <c r="G82" s="650" t="str">
        <f t="shared" ref="G82" si="47">IF($B$3="No","",E82*F82)</f>
        <v/>
      </c>
      <c r="H82" s="651" t="str">
        <f t="shared" ref="H82" si="48">IF($B$3="No","",G82*$H$9)</f>
        <v/>
      </c>
      <c r="J82" s="383">
        <f>'5.2 Budgeted Enrollment YR2'!I81</f>
        <v>0</v>
      </c>
      <c r="K82" s="1033"/>
      <c r="L82" s="653">
        <f t="shared" ref="L82" si="49">IF(J82="",0,K82-J82)</f>
        <v>0</v>
      </c>
      <c r="M82" s="395">
        <f t="shared" si="32"/>
        <v>3299.7999999999997</v>
      </c>
      <c r="N82" s="296">
        <f t="shared" ref="N82" si="50">K82</f>
        <v>0</v>
      </c>
      <c r="O82" s="650" t="str">
        <f t="shared" ref="O82" si="51">IF($B$3="No","",M82*N82)</f>
        <v/>
      </c>
      <c r="P82" s="651" t="str">
        <f t="shared" ref="P82" si="52">IF($B$3="No","",O82*$P$9)</f>
        <v/>
      </c>
      <c r="R82" s="383">
        <f>'5.2 Budgeted Enrollment YR2'!J81</f>
        <v>0</v>
      </c>
      <c r="S82" s="1033"/>
      <c r="T82" s="653">
        <f t="shared" ref="T82" si="53">IF(R82="",0,S82-R82)</f>
        <v>0</v>
      </c>
      <c r="U82" s="395">
        <f t="shared" si="33"/>
        <v>1131.3599999999999</v>
      </c>
      <c r="V82" s="296">
        <f t="shared" ref="V82" si="54">S82</f>
        <v>0</v>
      </c>
      <c r="W82" s="650" t="str">
        <f t="shared" ref="W82" si="55">IF($B$3="No","",U82*V82)</f>
        <v/>
      </c>
      <c r="X82" s="651" t="str">
        <f t="shared" ref="X82" si="56">IF($B$3="No","",W82*$X$9)</f>
        <v/>
      </c>
      <c r="Z82" s="657" t="str">
        <f>IF($B$3="No","",'3.1b Allocation Adj. YR1 '!L83)</f>
        <v/>
      </c>
      <c r="AA82" s="863" t="str">
        <f t="shared" ref="AA82" si="57">IF($B$3="No","",X82+P82+H82)</f>
        <v/>
      </c>
      <c r="AB82" s="654" t="str">
        <f t="shared" ref="AB82" si="58">IF($B$3="No","",AA82-Z82)</f>
        <v/>
      </c>
      <c r="AC82" s="356"/>
      <c r="AD82" s="356"/>
    </row>
    <row r="83" spans="1:30" x14ac:dyDescent="0.3">
      <c r="A83" t="str">
        <f>'1.2 Budgeted Enrollment YR1'!E82</f>
        <v>Sage Collegiate Academy</v>
      </c>
      <c r="B83" s="383">
        <f>'5.2 Budgeted Enrollment YR2'!H82</f>
        <v>18</v>
      </c>
      <c r="C83" s="1033"/>
      <c r="D83" s="653">
        <f t="shared" si="34"/>
        <v>-18</v>
      </c>
      <c r="E83" s="395">
        <f t="shared" si="31"/>
        <v>4242.6000000000004</v>
      </c>
      <c r="F83" s="380">
        <f t="shared" si="35"/>
        <v>0</v>
      </c>
      <c r="G83" s="650" t="str">
        <f t="shared" si="36"/>
        <v/>
      </c>
      <c r="H83" s="651" t="str">
        <f t="shared" si="20"/>
        <v/>
      </c>
      <c r="J83" s="383">
        <f>'5.2 Budgeted Enrollment YR2'!I82</f>
        <v>0</v>
      </c>
      <c r="K83" s="1033"/>
      <c r="L83" s="653">
        <f t="shared" si="37"/>
        <v>0</v>
      </c>
      <c r="M83" s="395">
        <f t="shared" si="32"/>
        <v>3299.7999999999997</v>
      </c>
      <c r="N83" s="296">
        <f t="shared" si="38"/>
        <v>0</v>
      </c>
      <c r="O83" s="650" t="str">
        <f t="shared" si="39"/>
        <v/>
      </c>
      <c r="P83" s="651" t="str">
        <f t="shared" si="24"/>
        <v/>
      </c>
      <c r="R83" s="383">
        <f>'5.2 Budgeted Enrollment YR2'!J82</f>
        <v>0</v>
      </c>
      <c r="S83" s="1033"/>
      <c r="T83" s="653">
        <f t="shared" si="40"/>
        <v>0</v>
      </c>
      <c r="U83" s="395">
        <f t="shared" si="33"/>
        <v>1131.3599999999999</v>
      </c>
      <c r="V83" s="296">
        <f t="shared" si="41"/>
        <v>0</v>
      </c>
      <c r="W83" s="650" t="str">
        <f t="shared" si="42"/>
        <v/>
      </c>
      <c r="X83" s="651" t="str">
        <f t="shared" si="28"/>
        <v/>
      </c>
      <c r="Z83" s="657" t="str">
        <f>IF($B$3="No","",'3.1b Allocation Adj. YR1 '!L84)</f>
        <v/>
      </c>
      <c r="AA83" s="863" t="str">
        <f t="shared" si="43"/>
        <v/>
      </c>
      <c r="AB83" s="654" t="str">
        <f t="shared" si="44"/>
        <v/>
      </c>
      <c r="AC83" s="356"/>
      <c r="AD83" s="356"/>
    </row>
    <row r="84" spans="1:30" x14ac:dyDescent="0.3">
      <c r="A84" t="str">
        <f>'1.2 Budgeted Enrollment YR1'!E83</f>
        <v>Sierra Nevada Academy Charter</v>
      </c>
      <c r="B84" s="383">
        <f>'5.2 Budgeted Enrollment YR2'!H83</f>
        <v>20</v>
      </c>
      <c r="C84" s="1033"/>
      <c r="D84" s="653">
        <f t="shared" si="34"/>
        <v>-20</v>
      </c>
      <c r="E84" s="395">
        <f t="shared" si="31"/>
        <v>4242.6000000000004</v>
      </c>
      <c r="F84" s="380">
        <f t="shared" si="35"/>
        <v>0</v>
      </c>
      <c r="G84" s="650" t="str">
        <f t="shared" si="36"/>
        <v/>
      </c>
      <c r="H84" s="651" t="str">
        <f t="shared" si="20"/>
        <v/>
      </c>
      <c r="J84" s="383">
        <f>'5.2 Budgeted Enrollment YR2'!I83</f>
        <v>32</v>
      </c>
      <c r="K84" s="1033"/>
      <c r="L84" s="653">
        <f t="shared" si="37"/>
        <v>-32</v>
      </c>
      <c r="M84" s="395">
        <f t="shared" si="32"/>
        <v>3299.7999999999997</v>
      </c>
      <c r="N84" s="296">
        <f t="shared" si="38"/>
        <v>0</v>
      </c>
      <c r="O84" s="650" t="str">
        <f t="shared" si="39"/>
        <v/>
      </c>
      <c r="P84" s="651" t="str">
        <f t="shared" si="24"/>
        <v/>
      </c>
      <c r="R84" s="383">
        <f>'5.2 Budgeted Enrollment YR2'!J83</f>
        <v>0</v>
      </c>
      <c r="S84" s="1033"/>
      <c r="T84" s="653">
        <f t="shared" si="40"/>
        <v>0</v>
      </c>
      <c r="U84" s="395">
        <f t="shared" si="33"/>
        <v>1131.3599999999999</v>
      </c>
      <c r="V84" s="296">
        <f t="shared" si="41"/>
        <v>0</v>
      </c>
      <c r="W84" s="650" t="str">
        <f t="shared" si="42"/>
        <v/>
      </c>
      <c r="X84" s="651" t="str">
        <f t="shared" si="28"/>
        <v/>
      </c>
      <c r="Z84" s="657" t="str">
        <f>IF($B$3="No","",'3.1b Allocation Adj. YR1 '!L85)</f>
        <v/>
      </c>
      <c r="AA84" s="863" t="str">
        <f t="shared" si="43"/>
        <v/>
      </c>
      <c r="AB84" s="654" t="str">
        <f t="shared" si="44"/>
        <v/>
      </c>
      <c r="AC84" s="356"/>
      <c r="AD84" s="356"/>
    </row>
    <row r="85" spans="1:30" x14ac:dyDescent="0.3">
      <c r="A85" t="str">
        <f>'1.2 Budgeted Enrollment YR1'!E84</f>
        <v>Signature Preparatory</v>
      </c>
      <c r="B85" s="383">
        <f>'5.2 Budgeted Enrollment YR2'!H84</f>
        <v>75</v>
      </c>
      <c r="C85" s="1033"/>
      <c r="D85" s="653">
        <f t="shared" si="34"/>
        <v>-75</v>
      </c>
      <c r="E85" s="395">
        <f t="shared" si="31"/>
        <v>4242.6000000000004</v>
      </c>
      <c r="F85" s="380">
        <f t="shared" si="35"/>
        <v>0</v>
      </c>
      <c r="G85" s="650" t="str">
        <f t="shared" si="36"/>
        <v/>
      </c>
      <c r="H85" s="651" t="str">
        <f t="shared" si="20"/>
        <v/>
      </c>
      <c r="J85" s="383">
        <f>'5.2 Budgeted Enrollment YR2'!I84</f>
        <v>5</v>
      </c>
      <c r="K85" s="1033"/>
      <c r="L85" s="653">
        <f t="shared" si="37"/>
        <v>-5</v>
      </c>
      <c r="M85" s="395">
        <f t="shared" si="32"/>
        <v>3299.7999999999997</v>
      </c>
      <c r="N85" s="296">
        <f t="shared" si="38"/>
        <v>0</v>
      </c>
      <c r="O85" s="650" t="str">
        <f t="shared" si="39"/>
        <v/>
      </c>
      <c r="P85" s="651" t="str">
        <f t="shared" si="24"/>
        <v/>
      </c>
      <c r="R85" s="383">
        <f>'5.2 Budgeted Enrollment YR2'!J84</f>
        <v>0</v>
      </c>
      <c r="S85" s="1033"/>
      <c r="T85" s="653">
        <f t="shared" si="40"/>
        <v>0</v>
      </c>
      <c r="U85" s="395">
        <f t="shared" si="33"/>
        <v>1131.3599999999999</v>
      </c>
      <c r="V85" s="296">
        <f t="shared" si="41"/>
        <v>0</v>
      </c>
      <c r="W85" s="650" t="str">
        <f t="shared" si="42"/>
        <v/>
      </c>
      <c r="X85" s="651" t="str">
        <f t="shared" si="28"/>
        <v/>
      </c>
      <c r="Z85" s="657" t="str">
        <f>IF($B$3="No","",'3.1b Allocation Adj. YR1 '!L86)</f>
        <v/>
      </c>
      <c r="AA85" s="863" t="str">
        <f t="shared" si="43"/>
        <v/>
      </c>
      <c r="AB85" s="654" t="str">
        <f t="shared" si="44"/>
        <v/>
      </c>
      <c r="AC85" s="356"/>
      <c r="AD85" s="356"/>
    </row>
    <row r="86" spans="1:30" x14ac:dyDescent="0.3">
      <c r="A86" t="str">
        <f>'1.2 Budgeted Enrollment YR1'!E85</f>
        <v>Silver Sands Montessori</v>
      </c>
      <c r="B86" s="383">
        <f>'5.2 Budgeted Enrollment YR2'!H85</f>
        <v>11</v>
      </c>
      <c r="C86" s="1033"/>
      <c r="D86" s="653">
        <f t="shared" si="34"/>
        <v>-11</v>
      </c>
      <c r="E86" s="395">
        <f t="shared" si="31"/>
        <v>4242.6000000000004</v>
      </c>
      <c r="F86" s="380">
        <f t="shared" si="35"/>
        <v>0</v>
      </c>
      <c r="G86" s="650" t="str">
        <f t="shared" si="36"/>
        <v/>
      </c>
      <c r="H86" s="651" t="str">
        <f t="shared" si="20"/>
        <v/>
      </c>
      <c r="J86" s="383">
        <f>'5.2 Budgeted Enrollment YR2'!I85</f>
        <v>12</v>
      </c>
      <c r="K86" s="1033"/>
      <c r="L86" s="653">
        <f t="shared" si="37"/>
        <v>-12</v>
      </c>
      <c r="M86" s="395">
        <f t="shared" si="32"/>
        <v>3299.7999999999997</v>
      </c>
      <c r="N86" s="296">
        <f t="shared" si="38"/>
        <v>0</v>
      </c>
      <c r="O86" s="650" t="str">
        <f t="shared" si="39"/>
        <v/>
      </c>
      <c r="P86" s="651" t="str">
        <f t="shared" si="24"/>
        <v/>
      </c>
      <c r="R86" s="383">
        <f>'5.2 Budgeted Enrollment YR2'!J85</f>
        <v>0</v>
      </c>
      <c r="S86" s="1033"/>
      <c r="T86" s="653">
        <f t="shared" si="40"/>
        <v>0</v>
      </c>
      <c r="U86" s="395">
        <f t="shared" si="33"/>
        <v>1131.3599999999999</v>
      </c>
      <c r="V86" s="296">
        <f t="shared" si="41"/>
        <v>0</v>
      </c>
      <c r="W86" s="650" t="str">
        <f t="shared" si="42"/>
        <v/>
      </c>
      <c r="X86" s="651" t="str">
        <f t="shared" si="28"/>
        <v/>
      </c>
      <c r="Z86" s="657" t="str">
        <f>IF($B$3="No","",'3.1b Allocation Adj. YR1 '!L87)</f>
        <v/>
      </c>
      <c r="AA86" s="863" t="str">
        <f t="shared" si="43"/>
        <v/>
      </c>
      <c r="AB86" s="654" t="str">
        <f t="shared" si="44"/>
        <v/>
      </c>
      <c r="AC86" s="356"/>
      <c r="AD86" s="356"/>
    </row>
    <row r="87" spans="1:30" x14ac:dyDescent="0.3">
      <c r="A87" t="str">
        <f>'1.2 Budgeted Enrollment YR1'!E86</f>
        <v>Somerset Academy</v>
      </c>
      <c r="B87" s="383">
        <f>'5.2 Budgeted Enrollment YR2'!H86</f>
        <v>342</v>
      </c>
      <c r="C87" s="1033"/>
      <c r="D87" s="653">
        <f t="shared" si="34"/>
        <v>-342</v>
      </c>
      <c r="E87" s="395">
        <f t="shared" si="31"/>
        <v>4242.6000000000004</v>
      </c>
      <c r="F87" s="380">
        <f t="shared" si="35"/>
        <v>0</v>
      </c>
      <c r="G87" s="650" t="str">
        <f t="shared" si="36"/>
        <v/>
      </c>
      <c r="H87" s="651" t="str">
        <f t="shared" si="20"/>
        <v/>
      </c>
      <c r="J87" s="383">
        <f>'5.2 Budgeted Enrollment YR2'!I86</f>
        <v>302</v>
      </c>
      <c r="K87" s="1033"/>
      <c r="L87" s="653">
        <f t="shared" si="37"/>
        <v>-302</v>
      </c>
      <c r="M87" s="395">
        <f t="shared" si="32"/>
        <v>3299.7999999999997</v>
      </c>
      <c r="N87" s="296">
        <f t="shared" si="38"/>
        <v>0</v>
      </c>
      <c r="O87" s="650" t="str">
        <f t="shared" si="39"/>
        <v/>
      </c>
      <c r="P87" s="651" t="str">
        <f t="shared" si="24"/>
        <v/>
      </c>
      <c r="R87" s="383">
        <f>'5.2 Budgeted Enrollment YR2'!J86</f>
        <v>113</v>
      </c>
      <c r="S87" s="1033"/>
      <c r="T87" s="653">
        <f t="shared" si="40"/>
        <v>-113</v>
      </c>
      <c r="U87" s="395">
        <f t="shared" si="33"/>
        <v>1131.3599999999999</v>
      </c>
      <c r="V87" s="296">
        <f t="shared" si="41"/>
        <v>0</v>
      </c>
      <c r="W87" s="650" t="str">
        <f t="shared" si="42"/>
        <v/>
      </c>
      <c r="X87" s="651" t="str">
        <f t="shared" si="28"/>
        <v/>
      </c>
      <c r="Z87" s="657" t="str">
        <f>IF($B$3="No","",'3.1b Allocation Adj. YR1 '!L88)</f>
        <v/>
      </c>
      <c r="AA87" s="863" t="str">
        <f t="shared" si="43"/>
        <v/>
      </c>
      <c r="AB87" s="654" t="str">
        <f t="shared" si="44"/>
        <v/>
      </c>
      <c r="AC87" s="356"/>
      <c r="AD87" s="356"/>
    </row>
    <row r="88" spans="1:30" x14ac:dyDescent="0.3">
      <c r="A88" t="str">
        <f>'1.2 Budgeted Enrollment YR1'!E87</f>
        <v>Southern Nevada Trade High School</v>
      </c>
      <c r="B88" s="383">
        <f>'5.2 Budgeted Enrollment YR2'!H87</f>
        <v>0</v>
      </c>
      <c r="C88" s="1033"/>
      <c r="D88" s="653">
        <f t="shared" ref="D88" si="59">IF(B88="",0,C88-B88)</f>
        <v>0</v>
      </c>
      <c r="E88" s="395">
        <f t="shared" si="31"/>
        <v>4242.6000000000004</v>
      </c>
      <c r="F88" s="380">
        <f t="shared" ref="F88" si="60">C88</f>
        <v>0</v>
      </c>
      <c r="G88" s="650" t="str">
        <f t="shared" ref="G88" si="61">IF($B$3="No","",E88*F88)</f>
        <v/>
      </c>
      <c r="H88" s="651" t="str">
        <f t="shared" ref="H88" si="62">IF($B$3="No","",G88*$H$9)</f>
        <v/>
      </c>
      <c r="J88" s="383">
        <f>'5.2 Budgeted Enrollment YR2'!I87</f>
        <v>0</v>
      </c>
      <c r="K88" s="1033"/>
      <c r="L88" s="653">
        <f t="shared" ref="L88" si="63">IF(J88="",0,K88-J88)</f>
        <v>0</v>
      </c>
      <c r="M88" s="395">
        <f t="shared" si="32"/>
        <v>3299.7999999999997</v>
      </c>
      <c r="N88" s="296">
        <f t="shared" ref="N88" si="64">K88</f>
        <v>0</v>
      </c>
      <c r="O88" s="650" t="str">
        <f t="shared" ref="O88" si="65">IF($B$3="No","",M88*N88)</f>
        <v/>
      </c>
      <c r="P88" s="651" t="str">
        <f t="shared" ref="P88" si="66">IF($B$3="No","",O88*$P$9)</f>
        <v/>
      </c>
      <c r="R88" s="383">
        <f>'5.2 Budgeted Enrollment YR2'!J87</f>
        <v>0</v>
      </c>
      <c r="S88" s="1033"/>
      <c r="T88" s="653">
        <f t="shared" ref="T88" si="67">IF(R88="",0,S88-R88)</f>
        <v>0</v>
      </c>
      <c r="U88" s="395">
        <f t="shared" si="33"/>
        <v>1131.3599999999999</v>
      </c>
      <c r="V88" s="296">
        <f t="shared" ref="V88" si="68">S88</f>
        <v>0</v>
      </c>
      <c r="W88" s="650" t="str">
        <f t="shared" ref="W88" si="69">IF($B$3="No","",U88*V88)</f>
        <v/>
      </c>
      <c r="X88" s="651" t="str">
        <f t="shared" ref="X88" si="70">IF($B$3="No","",W88*$X$9)</f>
        <v/>
      </c>
      <c r="Z88" s="657" t="str">
        <f>IF($B$3="No","",'3.1b Allocation Adj. YR1 '!L89)</f>
        <v/>
      </c>
      <c r="AA88" s="863" t="str">
        <f t="shared" ref="AA88" si="71">IF($B$3="No","",X88+P88+H88)</f>
        <v/>
      </c>
      <c r="AB88" s="654" t="str">
        <f t="shared" ref="AB88" si="72">IF($B$3="No","",AA88-Z88)</f>
        <v/>
      </c>
      <c r="AC88" s="356"/>
      <c r="AD88" s="356"/>
    </row>
    <row r="89" spans="1:30" x14ac:dyDescent="0.3">
      <c r="A89" t="str">
        <f>'1.2 Budgeted Enrollment YR1'!E88</f>
        <v>Sports Leadership and Management Academy</v>
      </c>
      <c r="B89" s="383">
        <f>'5.2 Budgeted Enrollment YR2'!H88</f>
        <v>162</v>
      </c>
      <c r="C89" s="1033"/>
      <c r="D89" s="653">
        <f t="shared" si="34"/>
        <v>-162</v>
      </c>
      <c r="E89" s="395">
        <f t="shared" si="31"/>
        <v>4242.6000000000004</v>
      </c>
      <c r="F89" s="380">
        <f t="shared" si="35"/>
        <v>0</v>
      </c>
      <c r="G89" s="650" t="str">
        <f t="shared" si="36"/>
        <v/>
      </c>
      <c r="H89" s="651" t="str">
        <f t="shared" si="20"/>
        <v/>
      </c>
      <c r="J89" s="383">
        <f>'5.2 Budgeted Enrollment YR2'!I88</f>
        <v>124</v>
      </c>
      <c r="K89" s="1033"/>
      <c r="L89" s="653">
        <f t="shared" si="37"/>
        <v>-124</v>
      </c>
      <c r="M89" s="395">
        <f t="shared" si="32"/>
        <v>3299.7999999999997</v>
      </c>
      <c r="N89" s="296">
        <f t="shared" si="38"/>
        <v>0</v>
      </c>
      <c r="O89" s="650" t="str">
        <f t="shared" si="39"/>
        <v/>
      </c>
      <c r="P89" s="651" t="str">
        <f t="shared" si="24"/>
        <v/>
      </c>
      <c r="R89" s="383">
        <f>'5.2 Budgeted Enrollment YR2'!J88</f>
        <v>0</v>
      </c>
      <c r="S89" s="1033"/>
      <c r="T89" s="653">
        <f t="shared" si="40"/>
        <v>0</v>
      </c>
      <c r="U89" s="395">
        <f t="shared" si="33"/>
        <v>1131.3599999999999</v>
      </c>
      <c r="V89" s="296">
        <f t="shared" si="41"/>
        <v>0</v>
      </c>
      <c r="W89" s="650" t="str">
        <f t="shared" si="42"/>
        <v/>
      </c>
      <c r="X89" s="651" t="str">
        <f t="shared" si="28"/>
        <v/>
      </c>
      <c r="Z89" s="657" t="str">
        <f>IF($B$3="No","",'3.1b Allocation Adj. YR1 '!L90)</f>
        <v/>
      </c>
      <c r="AA89" s="863" t="str">
        <f t="shared" si="43"/>
        <v/>
      </c>
      <c r="AB89" s="654" t="str">
        <f t="shared" si="44"/>
        <v/>
      </c>
      <c r="AC89" s="356"/>
      <c r="AD89" s="356"/>
    </row>
    <row r="90" spans="1:30" x14ac:dyDescent="0.3">
      <c r="A90" t="str">
        <f>'1.2 Budgeted Enrollment YR1'!E89</f>
        <v>Strong Start Academy</v>
      </c>
      <c r="B90" s="383">
        <f>'5.2 Budgeted Enrollment YR2'!H89</f>
        <v>16</v>
      </c>
      <c r="C90" s="1033"/>
      <c r="D90" s="653">
        <f t="shared" si="34"/>
        <v>-16</v>
      </c>
      <c r="E90" s="395">
        <f t="shared" si="31"/>
        <v>4242.6000000000004</v>
      </c>
      <c r="F90" s="380">
        <f t="shared" si="35"/>
        <v>0</v>
      </c>
      <c r="G90" s="650" t="str">
        <f t="shared" si="36"/>
        <v/>
      </c>
      <c r="H90" s="651" t="str">
        <f t="shared" si="20"/>
        <v/>
      </c>
      <c r="J90" s="383">
        <f>'5.2 Budgeted Enrollment YR2'!I89</f>
        <v>0</v>
      </c>
      <c r="K90" s="1033"/>
      <c r="L90" s="653">
        <f t="shared" si="37"/>
        <v>0</v>
      </c>
      <c r="M90" s="395">
        <f t="shared" si="32"/>
        <v>3299.7999999999997</v>
      </c>
      <c r="N90" s="296">
        <f t="shared" si="38"/>
        <v>0</v>
      </c>
      <c r="O90" s="650" t="str">
        <f t="shared" si="39"/>
        <v/>
      </c>
      <c r="P90" s="651" t="str">
        <f t="shared" si="24"/>
        <v/>
      </c>
      <c r="R90" s="383">
        <f>'5.2 Budgeted Enrollment YR2'!J89</f>
        <v>0</v>
      </c>
      <c r="S90" s="1033"/>
      <c r="T90" s="653">
        <f t="shared" si="40"/>
        <v>0</v>
      </c>
      <c r="U90" s="395">
        <f t="shared" si="33"/>
        <v>1131.3599999999999</v>
      </c>
      <c r="V90" s="296">
        <f t="shared" si="41"/>
        <v>0</v>
      </c>
      <c r="W90" s="650" t="str">
        <f t="shared" si="42"/>
        <v/>
      </c>
      <c r="X90" s="651" t="str">
        <f t="shared" si="28"/>
        <v/>
      </c>
      <c r="Z90" s="657" t="str">
        <f>IF($B$3="No","",'3.1b Allocation Adj. YR1 '!L91)</f>
        <v/>
      </c>
      <c r="AA90" s="863" t="str">
        <f t="shared" si="43"/>
        <v/>
      </c>
      <c r="AB90" s="654" t="str">
        <f t="shared" si="44"/>
        <v/>
      </c>
      <c r="AC90" s="356"/>
      <c r="AD90" s="356"/>
    </row>
    <row r="91" spans="1:30" x14ac:dyDescent="0.3">
      <c r="A91" t="str">
        <f>'1.2 Budgeted Enrollment YR1'!E90</f>
        <v>TEACH Las Vegas</v>
      </c>
      <c r="B91" s="383">
        <f>'5.2 Budgeted Enrollment YR2'!H90</f>
        <v>45</v>
      </c>
      <c r="C91" s="1033"/>
      <c r="D91" s="653">
        <f t="shared" si="34"/>
        <v>-45</v>
      </c>
      <c r="E91" s="395">
        <f t="shared" si="31"/>
        <v>4242.6000000000004</v>
      </c>
      <c r="F91" s="380">
        <f t="shared" si="35"/>
        <v>0</v>
      </c>
      <c r="G91" s="650" t="str">
        <f t="shared" si="36"/>
        <v/>
      </c>
      <c r="H91" s="651" t="str">
        <f t="shared" si="20"/>
        <v/>
      </c>
      <c r="J91" s="383">
        <f>'5.2 Budgeted Enrollment YR2'!I90</f>
        <v>18</v>
      </c>
      <c r="K91" s="1033"/>
      <c r="L91" s="653">
        <f t="shared" si="37"/>
        <v>-18</v>
      </c>
      <c r="M91" s="395">
        <f t="shared" si="32"/>
        <v>3299.7999999999997</v>
      </c>
      <c r="N91" s="296">
        <f t="shared" si="38"/>
        <v>0</v>
      </c>
      <c r="O91" s="650" t="str">
        <f t="shared" si="39"/>
        <v/>
      </c>
      <c r="P91" s="651" t="str">
        <f t="shared" si="24"/>
        <v/>
      </c>
      <c r="R91" s="383">
        <f>'5.2 Budgeted Enrollment YR2'!J90</f>
        <v>0</v>
      </c>
      <c r="S91" s="1033"/>
      <c r="T91" s="653">
        <f t="shared" si="40"/>
        <v>0</v>
      </c>
      <c r="U91" s="395">
        <f t="shared" si="33"/>
        <v>1131.3599999999999</v>
      </c>
      <c r="V91" s="296">
        <f t="shared" si="41"/>
        <v>0</v>
      </c>
      <c r="W91" s="650" t="str">
        <f t="shared" si="42"/>
        <v/>
      </c>
      <c r="X91" s="651" t="str">
        <f t="shared" si="28"/>
        <v/>
      </c>
      <c r="Z91" s="657" t="str">
        <f>IF($B$3="No","",'3.1b Allocation Adj. YR1 '!L92)</f>
        <v/>
      </c>
      <c r="AA91" s="863" t="str">
        <f t="shared" si="43"/>
        <v/>
      </c>
      <c r="AB91" s="654" t="str">
        <f t="shared" si="44"/>
        <v/>
      </c>
      <c r="AC91" s="356"/>
      <c r="AD91" s="356"/>
    </row>
    <row r="92" spans="1:30" x14ac:dyDescent="0.3">
      <c r="A92" s="720" t="str">
        <f>'1.2 Budgeted Enrollment YR1'!E91</f>
        <v>Young Women's Leadership Academy</v>
      </c>
      <c r="B92" s="1034">
        <f>'5.2 Budgeted Enrollment YR2'!H91</f>
        <v>5</v>
      </c>
      <c r="C92" s="1035"/>
      <c r="D92" s="1036">
        <f t="shared" si="34"/>
        <v>-5</v>
      </c>
      <c r="E92" s="395">
        <f t="shared" si="31"/>
        <v>4242.6000000000004</v>
      </c>
      <c r="F92" s="1037">
        <f t="shared" si="35"/>
        <v>0</v>
      </c>
      <c r="G92" s="1038" t="str">
        <f t="shared" si="36"/>
        <v/>
      </c>
      <c r="H92" s="1030" t="str">
        <f t="shared" si="20"/>
        <v/>
      </c>
      <c r="J92" s="1034">
        <f>'5.2 Budgeted Enrollment YR2'!I91</f>
        <v>0</v>
      </c>
      <c r="K92" s="1035"/>
      <c r="L92" s="1036">
        <f t="shared" si="37"/>
        <v>0</v>
      </c>
      <c r="M92" s="395">
        <f t="shared" si="32"/>
        <v>3299.7999999999997</v>
      </c>
      <c r="N92" s="1039">
        <f t="shared" si="38"/>
        <v>0</v>
      </c>
      <c r="O92" s="1038" t="str">
        <f t="shared" si="39"/>
        <v/>
      </c>
      <c r="P92" s="1030" t="str">
        <f t="shared" si="24"/>
        <v/>
      </c>
      <c r="R92" s="1034">
        <f>'5.2 Budgeted Enrollment YR2'!J91</f>
        <v>0</v>
      </c>
      <c r="S92" s="1035"/>
      <c r="T92" s="1036">
        <f t="shared" si="40"/>
        <v>0</v>
      </c>
      <c r="U92" s="395">
        <f t="shared" si="33"/>
        <v>1131.3599999999999</v>
      </c>
      <c r="V92" s="1039">
        <f t="shared" si="41"/>
        <v>0</v>
      </c>
      <c r="W92" s="1038" t="str">
        <f t="shared" si="42"/>
        <v/>
      </c>
      <c r="X92" s="1030" t="str">
        <f t="shared" si="28"/>
        <v/>
      </c>
      <c r="Z92" s="1040" t="str">
        <f>IF($B$3="No","",'3.1b Allocation Adj. YR1 '!L93)</f>
        <v/>
      </c>
      <c r="AA92" s="1041" t="str">
        <f t="shared" si="43"/>
        <v/>
      </c>
      <c r="AB92" s="1042" t="str">
        <f t="shared" si="44"/>
        <v/>
      </c>
      <c r="AC92" s="356"/>
      <c r="AD92" s="356"/>
    </row>
    <row r="93" spans="1:30" s="880" customFormat="1" x14ac:dyDescent="0.3">
      <c r="A93" s="875" t="s">
        <v>1075</v>
      </c>
      <c r="B93" s="622">
        <f>SUM(B33:B92)</f>
        <v>5510</v>
      </c>
      <c r="C93" s="876">
        <f>SUM(C33:C92)</f>
        <v>0</v>
      </c>
      <c r="D93" s="877">
        <f>SUM(D33:D92)</f>
        <v>-5510</v>
      </c>
      <c r="E93" s="878"/>
      <c r="F93" s="864">
        <f>SUM(F33:F92)</f>
        <v>0</v>
      </c>
      <c r="G93" s="648">
        <f>SUM(G33:G92)</f>
        <v>0</v>
      </c>
      <c r="H93" s="647">
        <f>SUM(H33:H92)</f>
        <v>0</v>
      </c>
      <c r="I93" s="4"/>
      <c r="J93" s="622">
        <f>SUM(J33:J92)</f>
        <v>3050</v>
      </c>
      <c r="K93" s="876">
        <f>SUM(K33:K92)</f>
        <v>0</v>
      </c>
      <c r="L93" s="877">
        <f>SUM(L33:L92)</f>
        <v>-3050</v>
      </c>
      <c r="M93" s="878"/>
      <c r="N93" s="652">
        <f>SUM(N33:N92)</f>
        <v>0</v>
      </c>
      <c r="O93" s="648">
        <f>SUM(O33:O92)</f>
        <v>0</v>
      </c>
      <c r="P93" s="647">
        <f>SUM(P33:P92)</f>
        <v>0</v>
      </c>
      <c r="Q93" s="4"/>
      <c r="R93" s="622">
        <f>SUM(R33:R92)</f>
        <v>1097</v>
      </c>
      <c r="S93" s="876">
        <f>SUM(S33:S92)</f>
        <v>0</v>
      </c>
      <c r="T93" s="877">
        <f>SUM(T33:T92)</f>
        <v>-1097</v>
      </c>
      <c r="U93" s="878"/>
      <c r="V93" s="652">
        <f>SUM(V33:V92)</f>
        <v>0</v>
      </c>
      <c r="W93" s="648">
        <f>SUM(W33:W92)</f>
        <v>0</v>
      </c>
      <c r="X93" s="647">
        <f>SUM(X33:X92)</f>
        <v>0</v>
      </c>
      <c r="Y93" s="4"/>
      <c r="Z93" s="656">
        <f>SUM(Z33:Z92)</f>
        <v>0</v>
      </c>
      <c r="AA93" s="864">
        <f>SUM(AA33:AA92)</f>
        <v>0</v>
      </c>
      <c r="AB93" s="655">
        <f>SUM(AB33:AB92)</f>
        <v>0</v>
      </c>
      <c r="AC93" s="879"/>
      <c r="AD93" s="879"/>
    </row>
    <row r="94" spans="1:30" x14ac:dyDescent="0.3">
      <c r="B94" s="2">
        <f>B93-'5.2 Budgeted Enrollment YR2'!H92</f>
        <v>0</v>
      </c>
      <c r="E94" s="363"/>
      <c r="F94" s="363"/>
      <c r="G94" s="363"/>
      <c r="H94" s="363"/>
      <c r="J94" s="2">
        <f>J93-'5.2 Budgeted Enrollment YR2'!I92</f>
        <v>0</v>
      </c>
      <c r="M94" s="363"/>
      <c r="N94" s="363"/>
      <c r="O94" s="363"/>
      <c r="P94" s="363"/>
      <c r="R94" s="2">
        <f>R93-'5.2 Budgeted Enrollment YR2'!J92</f>
        <v>0</v>
      </c>
      <c r="U94" s="363"/>
      <c r="V94" s="363"/>
      <c r="W94" s="363"/>
      <c r="X94" s="363"/>
      <c r="Z94" s="363"/>
      <c r="AA94" s="363"/>
      <c r="AB94" s="363"/>
      <c r="AC94" s="363"/>
      <c r="AD94" s="363"/>
    </row>
    <row r="95" spans="1:30" x14ac:dyDescent="0.3">
      <c r="A95" s="217"/>
      <c r="B95" s="2"/>
      <c r="C95" s="2"/>
      <c r="D95" s="358"/>
      <c r="E95" s="363"/>
      <c r="G95" s="363"/>
      <c r="H95" s="363"/>
      <c r="J95" s="2"/>
      <c r="K95" s="2"/>
      <c r="L95" s="358"/>
      <c r="M95" s="363"/>
      <c r="O95" s="363"/>
      <c r="P95" s="363"/>
      <c r="R95" s="2"/>
      <c r="S95" s="2"/>
      <c r="T95" s="358"/>
      <c r="U95" s="363"/>
      <c r="W95" s="363"/>
      <c r="X95" s="363"/>
      <c r="Z95" s="363"/>
      <c r="AA95" s="363"/>
      <c r="AB95" s="363"/>
      <c r="AC95" s="363"/>
      <c r="AD95" s="363"/>
    </row>
  </sheetData>
  <dataValidations count="1">
    <dataValidation type="list" allowBlank="1" showInputMessage="1" showErrorMessage="1" sqref="B3" xr:uid="{36799C19-40B1-454F-A066-D27C07C98992}">
      <formula1>$A$6:$A$7</formula1>
    </dataValidation>
  </dataValidation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30C50-51F0-4C8F-9547-95E81EA03F4C}">
  <sheetPr>
    <pageSetUpPr fitToPage="1"/>
  </sheetPr>
  <dimension ref="A1:J29"/>
  <sheetViews>
    <sheetView workbookViewId="0">
      <selection activeCell="D35" sqref="D35"/>
    </sheetView>
  </sheetViews>
  <sheetFormatPr defaultRowHeight="15" x14ac:dyDescent="0.25"/>
  <cols>
    <col min="1" max="1" width="20.7109375" customWidth="1"/>
    <col min="2" max="6" width="15.28515625" bestFit="1" customWidth="1"/>
    <col min="7" max="7" width="16.28515625" bestFit="1" customWidth="1"/>
    <col min="8" max="8" width="15.28515625" bestFit="1" customWidth="1"/>
    <col min="9" max="9" width="9.5703125" bestFit="1" customWidth="1"/>
    <col min="10" max="10" width="14.42578125" customWidth="1"/>
  </cols>
  <sheetData>
    <row r="1" spans="1:10" ht="15.75" thickBot="1" x14ac:dyDescent="0.3"/>
    <row r="2" spans="1:10" ht="17.25" thickTop="1" x14ac:dyDescent="0.3">
      <c r="B2" s="348" t="s">
        <v>1811</v>
      </c>
      <c r="C2" s="348" t="s">
        <v>1812</v>
      </c>
      <c r="D2" s="1450" t="s">
        <v>1813</v>
      </c>
      <c r="E2" s="1178" t="s">
        <v>1809</v>
      </c>
      <c r="F2" s="348" t="s">
        <v>1810</v>
      </c>
      <c r="G2" s="1450" t="s">
        <v>1815</v>
      </c>
      <c r="H2" s="1457" t="s">
        <v>1818</v>
      </c>
      <c r="I2" s="1452" t="s">
        <v>1816</v>
      </c>
    </row>
    <row r="3" spans="1:10" ht="16.5" x14ac:dyDescent="0.3">
      <c r="B3" s="523" t="s">
        <v>106</v>
      </c>
      <c r="C3" s="523" t="s">
        <v>106</v>
      </c>
      <c r="D3" s="1451" t="s">
        <v>1814</v>
      </c>
      <c r="E3" s="421" t="s">
        <v>106</v>
      </c>
      <c r="F3" s="523" t="s">
        <v>106</v>
      </c>
      <c r="G3" s="1451" t="s">
        <v>1814</v>
      </c>
      <c r="H3" s="1458" t="s">
        <v>1800</v>
      </c>
      <c r="I3" s="1453" t="s">
        <v>1800</v>
      </c>
    </row>
    <row r="4" spans="1:10" ht="16.5" x14ac:dyDescent="0.3">
      <c r="B4" s="523" t="s">
        <v>88</v>
      </c>
      <c r="C4" s="523" t="s">
        <v>88</v>
      </c>
      <c r="D4" s="1451"/>
      <c r="E4" s="421" t="s">
        <v>88</v>
      </c>
      <c r="F4" s="523" t="s">
        <v>88</v>
      </c>
      <c r="G4" s="1451"/>
      <c r="H4" s="1458" t="s">
        <v>1819</v>
      </c>
      <c r="I4" s="1454" t="s">
        <v>1817</v>
      </c>
    </row>
    <row r="5" spans="1:10" ht="16.5" x14ac:dyDescent="0.3">
      <c r="B5" s="799"/>
      <c r="C5" s="799"/>
      <c r="D5" s="1446"/>
      <c r="E5" s="492"/>
      <c r="F5" s="799"/>
      <c r="G5" s="1446"/>
      <c r="H5" s="1459"/>
      <c r="I5" s="1455"/>
    </row>
    <row r="6" spans="1:10" ht="16.5" x14ac:dyDescent="0.3">
      <c r="A6" s="443" t="s">
        <v>87</v>
      </c>
      <c r="B6" s="1442"/>
      <c r="C6" s="1441"/>
      <c r="D6" s="1447"/>
      <c r="E6" s="1441"/>
      <c r="F6" s="1441"/>
      <c r="G6" s="1447"/>
      <c r="H6" s="1460"/>
      <c r="I6" s="1455"/>
    </row>
    <row r="7" spans="1:10" x14ac:dyDescent="0.25">
      <c r="A7" s="1440" t="s">
        <v>13</v>
      </c>
      <c r="B7" s="1444">
        <v>71911702.60596709</v>
      </c>
      <c r="C7" s="1444">
        <v>71974408.814182267</v>
      </c>
      <c r="D7" s="1448">
        <f>SUM(B7:C7)</f>
        <v>143886111.42014936</v>
      </c>
      <c r="E7" s="1445">
        <f>SUMIF('3.1b Allocation Adj. YR1 '!B11:B29,A7,'3.1b Allocation Adj. YR1 '!U11:U29)</f>
        <v>82987438.049999997</v>
      </c>
      <c r="F7" s="1444">
        <f>SUMIF('7.1b Allocation Adj. YR2'!B11:B29,A7,'7.1b Allocation Adj. YR2'!U11:U29)</f>
        <v>86739474.090000004</v>
      </c>
      <c r="G7" s="1448">
        <f>SUM(E7:F7)</f>
        <v>169726912.13999999</v>
      </c>
      <c r="H7" s="1461">
        <f>G7-D7</f>
        <v>25840800.71985063</v>
      </c>
      <c r="I7" s="1456">
        <f t="shared" ref="I7:I26" si="0">(G7-D7)/D7</f>
        <v>0.17959204307353299</v>
      </c>
      <c r="J7" s="1028"/>
    </row>
    <row r="8" spans="1:10" x14ac:dyDescent="0.25">
      <c r="A8" s="1440" t="s">
        <v>1</v>
      </c>
      <c r="B8" s="1444">
        <v>30663516.946971554</v>
      </c>
      <c r="C8" s="1444">
        <v>31058467.719966084</v>
      </c>
      <c r="D8" s="1448">
        <f t="shared" ref="D8:D24" si="1">SUM(B8:C8)</f>
        <v>61721984.666937634</v>
      </c>
      <c r="E8" s="1445">
        <f>SUMIF('3.1b Allocation Adj. YR1 '!B12:B30,A8,'3.1b Allocation Adj. YR1 '!U12:U30)</f>
        <v>36716529.560000002</v>
      </c>
      <c r="F8" s="1444">
        <f>SUMIF('7.1b Allocation Adj. YR2'!B12:B30,A8,'7.1b Allocation Adj. YR2'!U12:U30)</f>
        <v>38413304.729999997</v>
      </c>
      <c r="G8" s="1448">
        <f t="shared" ref="G8:G23" si="2">SUM(E8:F8)</f>
        <v>75129834.289999992</v>
      </c>
      <c r="H8" s="1461">
        <f t="shared" ref="H8:H26" si="3">G8-D8</f>
        <v>13407849.623062357</v>
      </c>
      <c r="I8" s="1456">
        <f t="shared" si="0"/>
        <v>0.21722972285180722</v>
      </c>
      <c r="J8" s="1466"/>
    </row>
    <row r="9" spans="1:10" x14ac:dyDescent="0.25">
      <c r="A9" s="1440" t="s">
        <v>2</v>
      </c>
      <c r="B9" s="1444">
        <v>2853908967.0508056</v>
      </c>
      <c r="C9" s="1444">
        <v>2884780897.6939764</v>
      </c>
      <c r="D9" s="1448">
        <f t="shared" si="1"/>
        <v>5738689864.7447815</v>
      </c>
      <c r="E9" s="1445">
        <f>SUMIF('3.1b Allocation Adj. YR1 '!B13:B31,A9,'3.1b Allocation Adj. YR1 '!U13:U31)</f>
        <v>3498728253</v>
      </c>
      <c r="F9" s="1444">
        <f>SUMIF('7.1b Allocation Adj. YR2'!B13:B31,A9,'7.1b Allocation Adj. YR2'!U13:U31)</f>
        <v>3650276021</v>
      </c>
      <c r="G9" s="1448">
        <f t="shared" si="2"/>
        <v>7149004274</v>
      </c>
      <c r="H9" s="1461">
        <f t="shared" si="3"/>
        <v>1410314409.2552185</v>
      </c>
      <c r="I9" s="1456">
        <f t="shared" si="0"/>
        <v>0.24575546727474876</v>
      </c>
      <c r="J9" s="1466"/>
    </row>
    <row r="10" spans="1:10" x14ac:dyDescent="0.25">
      <c r="A10" s="1440" t="s">
        <v>3</v>
      </c>
      <c r="B10" s="1444">
        <v>57553833.024416402</v>
      </c>
      <c r="C10" s="1444">
        <v>57604019.329376876</v>
      </c>
      <c r="D10" s="1448">
        <f t="shared" si="1"/>
        <v>115157852.35379328</v>
      </c>
      <c r="E10" s="1445">
        <f>SUMIF('3.1b Allocation Adj. YR1 '!B14:B32,A10,'3.1b Allocation Adj. YR1 '!U14:U32)</f>
        <v>61298705.32</v>
      </c>
      <c r="F10" s="1444">
        <f>SUMIF('7.1b Allocation Adj. YR2'!B14:B32,A10,'7.1b Allocation Adj. YR2'!U14:U32)</f>
        <v>64023793.909999996</v>
      </c>
      <c r="G10" s="1448">
        <f t="shared" si="2"/>
        <v>125322499.22999999</v>
      </c>
      <c r="H10" s="1461">
        <f t="shared" si="3"/>
        <v>10164646.876206711</v>
      </c>
      <c r="I10" s="1456">
        <f t="shared" si="0"/>
        <v>8.826707574380957E-2</v>
      </c>
      <c r="J10" s="1466"/>
    </row>
    <row r="11" spans="1:10" x14ac:dyDescent="0.25">
      <c r="A11" s="1440" t="s">
        <v>4</v>
      </c>
      <c r="B11" s="1444">
        <v>102068308.21297005</v>
      </c>
      <c r="C11" s="1444">
        <v>102157310.6472754</v>
      </c>
      <c r="D11" s="1448">
        <f t="shared" si="1"/>
        <v>204225618.86024547</v>
      </c>
      <c r="E11" s="1445">
        <f>SUMIF('3.1b Allocation Adj. YR1 '!B15:B33,A11,'3.1b Allocation Adj. YR1 '!U15:U33)</f>
        <v>123010505.78</v>
      </c>
      <c r="F11" s="1444">
        <f>SUMIF('7.1b Allocation Adj. YR2'!B15:B33,A11,'7.1b Allocation Adj. YR2'!U15:U33)</f>
        <v>128754455.77</v>
      </c>
      <c r="G11" s="1448">
        <f t="shared" si="2"/>
        <v>251764961.55000001</v>
      </c>
      <c r="H11" s="1461">
        <f t="shared" si="3"/>
        <v>47539342.689754546</v>
      </c>
      <c r="I11" s="1456">
        <f t="shared" si="0"/>
        <v>0.23277854636976961</v>
      </c>
      <c r="J11" s="1466"/>
    </row>
    <row r="12" spans="1:10" x14ac:dyDescent="0.25">
      <c r="A12" s="1440" t="s">
        <v>5</v>
      </c>
      <c r="B12" s="1444">
        <v>2565629.7991793025</v>
      </c>
      <c r="C12" s="1444">
        <v>2567866.9999485835</v>
      </c>
      <c r="D12" s="1448">
        <f t="shared" si="1"/>
        <v>5133496.7991278861</v>
      </c>
      <c r="E12" s="1445">
        <f>SUMIF('3.1b Allocation Adj. YR1 '!B16:B34,A12,'3.1b Allocation Adj. YR1 '!U16:U34)</f>
        <v>2859970.4</v>
      </c>
      <c r="F12" s="1444">
        <f>SUMIF('7.1b Allocation Adj. YR2'!B16:B34,A12,'7.1b Allocation Adj. YR2'!U16:U34)</f>
        <v>2863379.46</v>
      </c>
      <c r="G12" s="1448">
        <f t="shared" si="2"/>
        <v>5723349.8599999994</v>
      </c>
      <c r="H12" s="1461">
        <f t="shared" si="3"/>
        <v>589853.06087211333</v>
      </c>
      <c r="I12" s="1456">
        <f t="shared" si="0"/>
        <v>0.1149027814670736</v>
      </c>
      <c r="J12" s="1466"/>
    </row>
    <row r="13" spans="1:10" x14ac:dyDescent="0.25">
      <c r="A13" s="1440" t="s">
        <v>6</v>
      </c>
      <c r="B13" s="1444">
        <v>11961306.61973929</v>
      </c>
      <c r="C13" s="1444">
        <v>11971736.74663439</v>
      </c>
      <c r="D13" s="1448">
        <f t="shared" si="1"/>
        <v>23933043.366373681</v>
      </c>
      <c r="E13" s="1445">
        <f>SUMIF('3.1b Allocation Adj. YR1 '!B17:B35,A13,'3.1b Allocation Adj. YR1 '!U17:U35)</f>
        <v>12711778.84</v>
      </c>
      <c r="F13" s="1444">
        <f>SUMIF('7.1b Allocation Adj. YR2'!B17:B35,A13,'7.1b Allocation Adj. YR2'!U17:U35)</f>
        <v>12726932.59</v>
      </c>
      <c r="G13" s="1448">
        <f t="shared" si="2"/>
        <v>25438711.43</v>
      </c>
      <c r="H13" s="1461">
        <f t="shared" si="3"/>
        <v>1505668.0636263192</v>
      </c>
      <c r="I13" s="1456">
        <f t="shared" si="0"/>
        <v>6.2911684092036846E-2</v>
      </c>
      <c r="J13" s="1466"/>
    </row>
    <row r="14" spans="1:10" x14ac:dyDescent="0.25">
      <c r="A14" s="1440" t="s">
        <v>7</v>
      </c>
      <c r="B14" s="1444">
        <v>36889900.244746849</v>
      </c>
      <c r="C14" s="1444">
        <v>36922067.829186603</v>
      </c>
      <c r="D14" s="1448">
        <f t="shared" si="1"/>
        <v>73811968.073933452</v>
      </c>
      <c r="E14" s="1445">
        <f>SUMIF('3.1b Allocation Adj. YR1 '!B18:B36,A14,'3.1b Allocation Adj. YR1 '!U18:U36)</f>
        <v>40403306.57</v>
      </c>
      <c r="F14" s="1444">
        <f>SUMIF('7.1b Allocation Adj. YR2'!B18:B36,A14,'7.1b Allocation Adj. YR2'!U18:U36)</f>
        <v>42232395.289999999</v>
      </c>
      <c r="G14" s="1448">
        <f t="shared" si="2"/>
        <v>82635701.859999999</v>
      </c>
      <c r="H14" s="1461">
        <f t="shared" si="3"/>
        <v>8823733.786066547</v>
      </c>
      <c r="I14" s="1456">
        <f t="shared" si="0"/>
        <v>0.11954340219228798</v>
      </c>
      <c r="J14" s="1466"/>
    </row>
    <row r="15" spans="1:10" x14ac:dyDescent="0.25">
      <c r="A15" s="1440" t="s">
        <v>8</v>
      </c>
      <c r="B15" s="1444">
        <v>12050389.32548048</v>
      </c>
      <c r="C15" s="1444">
        <v>12213618.583764784</v>
      </c>
      <c r="D15" s="1448">
        <f t="shared" si="1"/>
        <v>24264007.909245264</v>
      </c>
      <c r="E15" s="1445">
        <f>SUMIF('3.1b Allocation Adj. YR1 '!B19:B37,A15,'3.1b Allocation Adj. YR1 '!U19:U37)</f>
        <v>15299862.609999999</v>
      </c>
      <c r="F15" s="1444">
        <f>SUMIF('7.1b Allocation Adj. YR2'!B19:B37,A15,'7.1b Allocation Adj. YR2'!U19:U37)</f>
        <v>16001681.85</v>
      </c>
      <c r="G15" s="1448">
        <f t="shared" si="2"/>
        <v>31301544.460000001</v>
      </c>
      <c r="H15" s="1461">
        <f t="shared" si="3"/>
        <v>7037536.5507547371</v>
      </c>
      <c r="I15" s="1456">
        <f t="shared" si="0"/>
        <v>0.29004015235559</v>
      </c>
      <c r="J15" s="1466"/>
    </row>
    <row r="16" spans="1:10" x14ac:dyDescent="0.25">
      <c r="A16" s="1440" t="s">
        <v>9</v>
      </c>
      <c r="B16" s="1444">
        <v>12606513.358725967</v>
      </c>
      <c r="C16" s="1444">
        <v>12617506.098751482</v>
      </c>
      <c r="D16" s="1448">
        <f t="shared" si="1"/>
        <v>25224019.45747745</v>
      </c>
      <c r="E16" s="1445">
        <f>SUMIF('3.1b Allocation Adj. YR1 '!B20:B38,A16,'3.1b Allocation Adj. YR1 '!U20:U38)</f>
        <v>15578241.039999999</v>
      </c>
      <c r="F16" s="1444">
        <f>SUMIF('7.1b Allocation Adj. YR2'!B20:B38,A16,'7.1b Allocation Adj. YR2'!U20:U38)</f>
        <v>16319573.939999999</v>
      </c>
      <c r="G16" s="1448">
        <f t="shared" si="2"/>
        <v>31897814.979999997</v>
      </c>
      <c r="H16" s="1461">
        <f t="shared" si="3"/>
        <v>6673795.5225225464</v>
      </c>
      <c r="I16" s="1456">
        <f t="shared" si="0"/>
        <v>0.26458096949113141</v>
      </c>
      <c r="J16" s="1466"/>
    </row>
    <row r="17" spans="1:10" x14ac:dyDescent="0.25">
      <c r="A17" s="1440" t="s">
        <v>10</v>
      </c>
      <c r="B17" s="1444">
        <v>91207508.574422166</v>
      </c>
      <c r="C17" s="1444">
        <v>92397478.492622152</v>
      </c>
      <c r="D17" s="1448">
        <f t="shared" si="1"/>
        <v>183604987.06704432</v>
      </c>
      <c r="E17" s="1445">
        <f>SUMIF('3.1b Allocation Adj. YR1 '!B21:B39,A17,'3.1b Allocation Adj. YR1 '!U21:U39)</f>
        <v>117060405.09</v>
      </c>
      <c r="F17" s="1444">
        <f>SUMIF('7.1b Allocation Adj. YR2'!B21:B39,A17,'7.1b Allocation Adj. YR2'!U21:U39)</f>
        <v>122277366.18000001</v>
      </c>
      <c r="G17" s="1448">
        <f t="shared" si="2"/>
        <v>239337771.27000001</v>
      </c>
      <c r="H17" s="1461">
        <f>G17-D17</f>
        <v>55732784.202955693</v>
      </c>
      <c r="I17" s="1456">
        <f t="shared" si="0"/>
        <v>0.30354722436054843</v>
      </c>
      <c r="J17" s="1466"/>
    </row>
    <row r="18" spans="1:10" x14ac:dyDescent="0.25">
      <c r="A18" s="1440" t="s">
        <v>11</v>
      </c>
      <c r="B18" s="1444">
        <v>7611603.1561958073</v>
      </c>
      <c r="C18" s="1444">
        <v>7715946.20192682</v>
      </c>
      <c r="D18" s="1448">
        <f t="shared" si="1"/>
        <v>15327549.358122628</v>
      </c>
      <c r="E18" s="1445">
        <f>SUMIF('3.1b Allocation Adj. YR1 '!B22:B40,A18,'3.1b Allocation Adj. YR1 '!U22:U40)</f>
        <v>9752656.0600000005</v>
      </c>
      <c r="F18" s="1444">
        <f>SUMIF('7.1b Allocation Adj. YR2'!B22:B40,A18,'7.1b Allocation Adj. YR2'!U22:U40)</f>
        <v>10213576.619999999</v>
      </c>
      <c r="G18" s="1448">
        <f t="shared" si="2"/>
        <v>19966232.68</v>
      </c>
      <c r="H18" s="1461">
        <f t="shared" si="3"/>
        <v>4638683.3218773715</v>
      </c>
      <c r="I18" s="1456">
        <f t="shared" si="0"/>
        <v>0.30263698478447004</v>
      </c>
      <c r="J18" s="1466"/>
    </row>
    <row r="19" spans="1:10" x14ac:dyDescent="0.25">
      <c r="A19" s="1440" t="s">
        <v>12</v>
      </c>
      <c r="B19" s="1444">
        <v>59672696.414798543</v>
      </c>
      <c r="C19" s="1444">
        <v>60408008.740276881</v>
      </c>
      <c r="D19" s="1448">
        <f t="shared" si="1"/>
        <v>120080705.15507543</v>
      </c>
      <c r="E19" s="1445">
        <f>SUMIF('3.1b Allocation Adj. YR1 '!B23:B41,A19,'3.1b Allocation Adj. YR1 '!U23:U41)</f>
        <v>76518919.359999999</v>
      </c>
      <c r="F19" s="1444">
        <f>SUMIF('7.1b Allocation Adj. YR2'!B23:B41,A19,'7.1b Allocation Adj. YR2'!U23:U41)</f>
        <v>79779822.769999996</v>
      </c>
      <c r="G19" s="1448">
        <f t="shared" si="2"/>
        <v>156298742.13</v>
      </c>
      <c r="H19" s="1461">
        <f t="shared" si="3"/>
        <v>36218036.974924564</v>
      </c>
      <c r="I19" s="1456">
        <f t="shared" si="0"/>
        <v>0.3016141263340486</v>
      </c>
      <c r="J19" s="1466"/>
    </row>
    <row r="20" spans="1:10" x14ac:dyDescent="0.25">
      <c r="A20" s="1440" t="s">
        <v>14</v>
      </c>
      <c r="B20" s="1444">
        <v>9060508.8091879785</v>
      </c>
      <c r="C20" s="1444">
        <v>9068409.4725200292</v>
      </c>
      <c r="D20" s="1448">
        <f t="shared" si="1"/>
        <v>18128918.28170801</v>
      </c>
      <c r="E20" s="1445">
        <f>SUMIF('3.1b Allocation Adj. YR1 '!B24:B42,A20,'3.1b Allocation Adj. YR1 '!U24:U42)</f>
        <v>11030611.27</v>
      </c>
      <c r="F20" s="1444">
        <f>SUMIF('7.1b Allocation Adj. YR2'!B24:B42,A20,'7.1b Allocation Adj. YR2'!U24:U42)</f>
        <v>11526278.060000001</v>
      </c>
      <c r="G20" s="1448">
        <f t="shared" si="2"/>
        <v>22556889.329999998</v>
      </c>
      <c r="H20" s="1461">
        <f t="shared" si="3"/>
        <v>4427971.0482919887</v>
      </c>
      <c r="I20" s="1456">
        <f t="shared" si="0"/>
        <v>0.24424904892200822</v>
      </c>
      <c r="J20" s="1466"/>
    </row>
    <row r="21" spans="1:10" x14ac:dyDescent="0.25">
      <c r="A21" s="1440" t="s">
        <v>15</v>
      </c>
      <c r="B21" s="1444">
        <v>11304414.264099943</v>
      </c>
      <c r="C21" s="1444">
        <v>11314271.588136328</v>
      </c>
      <c r="D21" s="1448">
        <f t="shared" si="1"/>
        <v>22618685.852236271</v>
      </c>
      <c r="E21" s="1445">
        <f>SUMIF('3.1b Allocation Adj. YR1 '!B25:B43,A21,'3.1b Allocation Adj. YR1 '!U25:U43)</f>
        <v>10721396</v>
      </c>
      <c r="F21" s="1444">
        <f>SUMIF('7.1b Allocation Adj. YR2'!B25:B43,A21,'7.1b Allocation Adj. YR2'!U25:U43)</f>
        <v>10734176.74</v>
      </c>
      <c r="G21" s="1448">
        <f t="shared" si="2"/>
        <v>21455572.740000002</v>
      </c>
      <c r="H21" s="1461">
        <f t="shared" si="3"/>
        <v>-1163113.1122362688</v>
      </c>
      <c r="I21" s="1456">
        <f t="shared" si="0"/>
        <v>-5.1422665305786271E-2</v>
      </c>
      <c r="J21" s="1466"/>
    </row>
    <row r="22" spans="1:10" x14ac:dyDescent="0.25">
      <c r="A22" s="1440" t="s">
        <v>16</v>
      </c>
      <c r="B22" s="1444">
        <v>543331302.61578381</v>
      </c>
      <c r="C22" s="1444">
        <v>550494798.61604404</v>
      </c>
      <c r="D22" s="1448">
        <f t="shared" si="1"/>
        <v>1093826101.2318277</v>
      </c>
      <c r="E22" s="1445">
        <f>SUMIF('3.1b Allocation Adj. YR1 '!B26:B44,A22,'3.1b Allocation Adj. YR1 '!U26:U44)</f>
        <v>672137850.85000002</v>
      </c>
      <c r="F22" s="1444">
        <f>SUMIF('7.1b Allocation Adj. YR2'!B26:B44,A22,'7.1b Allocation Adj. YR2'!U26:U44)</f>
        <v>702904934</v>
      </c>
      <c r="G22" s="1448">
        <f t="shared" si="2"/>
        <v>1375042784.8499999</v>
      </c>
      <c r="H22" s="1461">
        <f t="shared" si="3"/>
        <v>281216683.61817217</v>
      </c>
      <c r="I22" s="1456">
        <f t="shared" si="0"/>
        <v>0.2570945082600205</v>
      </c>
      <c r="J22" s="1466"/>
    </row>
    <row r="23" spans="1:10" x14ac:dyDescent="0.25">
      <c r="A23" s="1440" t="s">
        <v>17</v>
      </c>
      <c r="B23" s="1444">
        <v>15768298.280410098</v>
      </c>
      <c r="C23" s="1444">
        <v>15980917.184978817</v>
      </c>
      <c r="D23" s="1448">
        <f t="shared" si="1"/>
        <v>31749215.465388916</v>
      </c>
      <c r="E23" s="1445">
        <f>SUMIF('3.1b Allocation Adj. YR1 '!B27:B45,A23,'3.1b Allocation Adj. YR1 '!U27:U45)</f>
        <v>20094905.859999999</v>
      </c>
      <c r="F23" s="1444">
        <f>SUMIF('7.1b Allocation Adj. YR2'!B27:B45,A23,'7.1b Allocation Adj. YR2'!U27:U45)</f>
        <v>21021828.18</v>
      </c>
      <c r="G23" s="1448">
        <f t="shared" si="2"/>
        <v>41116734.039999999</v>
      </c>
      <c r="H23" s="1461">
        <f t="shared" si="3"/>
        <v>9367518.5746110827</v>
      </c>
      <c r="I23" s="1456">
        <f t="shared" si="0"/>
        <v>0.29504724564999057</v>
      </c>
      <c r="J23" s="1466"/>
    </row>
    <row r="24" spans="1:10" ht="16.5" x14ac:dyDescent="0.3">
      <c r="A24" s="10" t="s">
        <v>1262</v>
      </c>
      <c r="B24" s="1444">
        <v>478980079.3150683</v>
      </c>
      <c r="C24" s="1444">
        <v>490887501.26115948</v>
      </c>
      <c r="D24" s="1448">
        <f t="shared" si="1"/>
        <v>969867580.57622778</v>
      </c>
      <c r="E24" s="1445">
        <f>SUMIF('3.1b Allocation Adj. YR1 '!B28:B46,A24,'3.1b Allocation Adj. YR1 '!U28:U46)</f>
        <v>668557599.54999983</v>
      </c>
      <c r="F24" s="1444">
        <f>SUMIF('7.1b Allocation Adj. YR2'!B28:B46,A24,'7.1b Allocation Adj. YR2'!U28:U46)</f>
        <v>701894836</v>
      </c>
      <c r="G24" s="1448">
        <f>SUM(E24:F24)</f>
        <v>1370452435.5499997</v>
      </c>
      <c r="H24" s="1461">
        <f t="shared" si="3"/>
        <v>400584854.97377193</v>
      </c>
      <c r="I24" s="1456">
        <f t="shared" si="0"/>
        <v>0.41303046209233252</v>
      </c>
      <c r="J24" s="1466"/>
    </row>
    <row r="25" spans="1:10" ht="15.75" thickBot="1" x14ac:dyDescent="0.3">
      <c r="A25" s="1440" t="s">
        <v>1256</v>
      </c>
      <c r="B25" s="1444">
        <v>1210164.3810307779</v>
      </c>
      <c r="C25" s="1444">
        <v>1229047.9792725565</v>
      </c>
      <c r="D25" s="1448">
        <f>SUM(B25:C25)</f>
        <v>2439212.3603033344</v>
      </c>
      <c r="E25" s="1445">
        <f>SUMIF('3.1b Allocation Adj. YR1 '!B29:B47,A25,'3.1b Allocation Adj. YR1 '!U29:U47)</f>
        <v>1452873.52</v>
      </c>
      <c r="F25" s="1444">
        <f>SUMIF('7.1b Allocation Adj. YR2'!B29:B47,A25,'7.1b Allocation Adj. YR2'!U29:U47)</f>
        <v>1527033.08</v>
      </c>
      <c r="G25" s="1448">
        <f>SUM(E25:F25)</f>
        <v>2979906.6</v>
      </c>
      <c r="H25" s="1464">
        <f t="shared" si="3"/>
        <v>540694.23969666567</v>
      </c>
      <c r="I25" s="1465">
        <f t="shared" si="0"/>
        <v>0.22166755486161371</v>
      </c>
      <c r="J25" s="1466"/>
    </row>
    <row r="26" spans="1:10" ht="16.5" thickTop="1" thickBot="1" x14ac:dyDescent="0.3">
      <c r="A26" s="1443" t="s">
        <v>0</v>
      </c>
      <c r="B26" s="1443">
        <f t="shared" ref="B26:G26" si="4">SUM(B7:B25)</f>
        <v>4410326643</v>
      </c>
      <c r="C26" s="1443">
        <f t="shared" si="4"/>
        <v>4463364280</v>
      </c>
      <c r="D26" s="1449">
        <f>SUM(D7:D25)</f>
        <v>8873690923</v>
      </c>
      <c r="E26" s="1443">
        <f t="shared" si="4"/>
        <v>5476921808.7300014</v>
      </c>
      <c r="F26" s="1443">
        <f t="shared" si="4"/>
        <v>5720230864.2600002</v>
      </c>
      <c r="G26" s="1449">
        <f t="shared" si="4"/>
        <v>11197152672.99</v>
      </c>
      <c r="H26" s="1462">
        <f t="shared" si="3"/>
        <v>2323461749.9899998</v>
      </c>
      <c r="I26" s="1463">
        <f t="shared" si="0"/>
        <v>0.26183712844536267</v>
      </c>
      <c r="J26" s="1466"/>
    </row>
    <row r="27" spans="1:10" ht="15.75" thickTop="1" x14ac:dyDescent="0.25"/>
    <row r="29" spans="1:10" x14ac:dyDescent="0.25">
      <c r="C29" s="1"/>
      <c r="D29" s="1"/>
    </row>
  </sheetData>
  <sheetProtection algorithmName="SHA-512" hashValue="TqAGTQLb7s5iBZyx4bYBJf8rG5aJy5UqtP9CWa/CYz33n8mzX7O9DEz8CImMSbnQGKDEqcd8gYDjgsNUau9p0w==" saltValue="CHBDilxTiV69/Moh0XRG1g==" spinCount="100000" sheet="1" objects="1" scenarios="1"/>
  <pageMargins left="0.7" right="0.7" top="0.75" bottom="0.75" header="0.3" footer="0.3"/>
  <pageSetup scale="88"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38DD0-61D2-4A29-BC70-D2BC916C9D62}">
  <dimension ref="A1:M350"/>
  <sheetViews>
    <sheetView topLeftCell="A7" workbookViewId="0">
      <selection activeCell="I350" sqref="I350"/>
    </sheetView>
  </sheetViews>
  <sheetFormatPr defaultRowHeight="12.75" outlineLevelRow="2" x14ac:dyDescent="0.2"/>
  <cols>
    <col min="1" max="2" width="7" style="1313" customWidth="1"/>
    <col min="3" max="3" width="50" style="1313" bestFit="1" customWidth="1"/>
    <col min="4" max="4" width="15.85546875" style="1313" customWidth="1"/>
    <col min="5" max="5" width="16" style="1313" bestFit="1" customWidth="1"/>
    <col min="6" max="6" width="16.140625" style="1313" customWidth="1"/>
    <col min="7" max="7" width="13.42578125" style="1313" hidden="1" customWidth="1"/>
    <col min="8" max="8" width="15.5703125" style="1313" bestFit="1" customWidth="1"/>
    <col min="9" max="9" width="15.5703125" style="1313" customWidth="1"/>
    <col min="10" max="10" width="15.28515625" style="1313" bestFit="1" customWidth="1"/>
    <col min="11" max="11" width="15.5703125" style="1313" bestFit="1" customWidth="1"/>
    <col min="12" max="12" width="17" style="1313" customWidth="1"/>
    <col min="13" max="13" width="16" style="1313" bestFit="1" customWidth="1"/>
    <col min="14" max="14" width="18.85546875" style="1313" customWidth="1"/>
    <col min="15" max="253" width="9.140625" style="1313"/>
    <col min="254" max="255" width="7" style="1313" customWidth="1"/>
    <col min="256" max="256" width="50" style="1313" bestFit="1" customWidth="1"/>
    <col min="257" max="257" width="15" style="1313" bestFit="1" customWidth="1"/>
    <col min="258" max="258" width="16" style="1313" bestFit="1" customWidth="1"/>
    <col min="259" max="259" width="15" style="1313" bestFit="1" customWidth="1"/>
    <col min="260" max="260" width="13.42578125" style="1313" bestFit="1" customWidth="1"/>
    <col min="261" max="261" width="15.5703125" style="1313" bestFit="1" customWidth="1"/>
    <col min="262" max="262" width="11.28515625" style="1313" bestFit="1" customWidth="1"/>
    <col min="263" max="263" width="15.5703125" style="1313" customWidth="1"/>
    <col min="264" max="264" width="15" style="1313" bestFit="1" customWidth="1"/>
    <col min="265" max="265" width="13.42578125" style="1313" bestFit="1" customWidth="1"/>
    <col min="266" max="266" width="15.5703125" style="1313" bestFit="1" customWidth="1"/>
    <col min="267" max="267" width="11.28515625" style="1313" bestFit="1" customWidth="1"/>
    <col min="268" max="268" width="17" style="1313" customWidth="1"/>
    <col min="269" max="269" width="16" style="1313" bestFit="1" customWidth="1"/>
    <col min="270" max="509" width="9.140625" style="1313"/>
    <col min="510" max="511" width="7" style="1313" customWidth="1"/>
    <col min="512" max="512" width="50" style="1313" bestFit="1" customWidth="1"/>
    <col min="513" max="513" width="15" style="1313" bestFit="1" customWidth="1"/>
    <col min="514" max="514" width="16" style="1313" bestFit="1" customWidth="1"/>
    <col min="515" max="515" width="15" style="1313" bestFit="1" customWidth="1"/>
    <col min="516" max="516" width="13.42578125" style="1313" bestFit="1" customWidth="1"/>
    <col min="517" max="517" width="15.5703125" style="1313" bestFit="1" customWidth="1"/>
    <col min="518" max="518" width="11.28515625" style="1313" bestFit="1" customWidth="1"/>
    <col min="519" max="519" width="15.5703125" style="1313" customWidth="1"/>
    <col min="520" max="520" width="15" style="1313" bestFit="1" customWidth="1"/>
    <col min="521" max="521" width="13.42578125" style="1313" bestFit="1" customWidth="1"/>
    <col min="522" max="522" width="15.5703125" style="1313" bestFit="1" customWidth="1"/>
    <col min="523" max="523" width="11.28515625" style="1313" bestFit="1" customWidth="1"/>
    <col min="524" max="524" width="17" style="1313" customWidth="1"/>
    <col min="525" max="525" width="16" style="1313" bestFit="1" customWidth="1"/>
    <col min="526" max="765" width="9.140625" style="1313"/>
    <col min="766" max="767" width="7" style="1313" customWidth="1"/>
    <col min="768" max="768" width="50" style="1313" bestFit="1" customWidth="1"/>
    <col min="769" max="769" width="15" style="1313" bestFit="1" customWidth="1"/>
    <col min="770" max="770" width="16" style="1313" bestFit="1" customWidth="1"/>
    <col min="771" max="771" width="15" style="1313" bestFit="1" customWidth="1"/>
    <col min="772" max="772" width="13.42578125" style="1313" bestFit="1" customWidth="1"/>
    <col min="773" max="773" width="15.5703125" style="1313" bestFit="1" customWidth="1"/>
    <col min="774" max="774" width="11.28515625" style="1313" bestFit="1" customWidth="1"/>
    <col min="775" max="775" width="15.5703125" style="1313" customWidth="1"/>
    <col min="776" max="776" width="15" style="1313" bestFit="1" customWidth="1"/>
    <col min="777" max="777" width="13.42578125" style="1313" bestFit="1" customWidth="1"/>
    <col min="778" max="778" width="15.5703125" style="1313" bestFit="1" customWidth="1"/>
    <col min="779" max="779" width="11.28515625" style="1313" bestFit="1" customWidth="1"/>
    <col min="780" max="780" width="17" style="1313" customWidth="1"/>
    <col min="781" max="781" width="16" style="1313" bestFit="1" customWidth="1"/>
    <col min="782" max="1021" width="9.140625" style="1313"/>
    <col min="1022" max="1023" width="7" style="1313" customWidth="1"/>
    <col min="1024" max="1024" width="50" style="1313" bestFit="1" customWidth="1"/>
    <col min="1025" max="1025" width="15" style="1313" bestFit="1" customWidth="1"/>
    <col min="1026" max="1026" width="16" style="1313" bestFit="1" customWidth="1"/>
    <col min="1027" max="1027" width="15" style="1313" bestFit="1" customWidth="1"/>
    <col min="1028" max="1028" width="13.42578125" style="1313" bestFit="1" customWidth="1"/>
    <col min="1029" max="1029" width="15.5703125" style="1313" bestFit="1" customWidth="1"/>
    <col min="1030" max="1030" width="11.28515625" style="1313" bestFit="1" customWidth="1"/>
    <col min="1031" max="1031" width="15.5703125" style="1313" customWidth="1"/>
    <col min="1032" max="1032" width="15" style="1313" bestFit="1" customWidth="1"/>
    <col min="1033" max="1033" width="13.42578125" style="1313" bestFit="1" customWidth="1"/>
    <col min="1034" max="1034" width="15.5703125" style="1313" bestFit="1" customWidth="1"/>
    <col min="1035" max="1035" width="11.28515625" style="1313" bestFit="1" customWidth="1"/>
    <col min="1036" max="1036" width="17" style="1313" customWidth="1"/>
    <col min="1037" max="1037" width="16" style="1313" bestFit="1" customWidth="1"/>
    <col min="1038" max="1277" width="9.140625" style="1313"/>
    <col min="1278" max="1279" width="7" style="1313" customWidth="1"/>
    <col min="1280" max="1280" width="50" style="1313" bestFit="1" customWidth="1"/>
    <col min="1281" max="1281" width="15" style="1313" bestFit="1" customWidth="1"/>
    <col min="1282" max="1282" width="16" style="1313" bestFit="1" customWidth="1"/>
    <col min="1283" max="1283" width="15" style="1313" bestFit="1" customWidth="1"/>
    <col min="1284" max="1284" width="13.42578125" style="1313" bestFit="1" customWidth="1"/>
    <col min="1285" max="1285" width="15.5703125" style="1313" bestFit="1" customWidth="1"/>
    <col min="1286" max="1286" width="11.28515625" style="1313" bestFit="1" customWidth="1"/>
    <col min="1287" max="1287" width="15.5703125" style="1313" customWidth="1"/>
    <col min="1288" max="1288" width="15" style="1313" bestFit="1" customWidth="1"/>
    <col min="1289" max="1289" width="13.42578125" style="1313" bestFit="1" customWidth="1"/>
    <col min="1290" max="1290" width="15.5703125" style="1313" bestFit="1" customWidth="1"/>
    <col min="1291" max="1291" width="11.28515625" style="1313" bestFit="1" customWidth="1"/>
    <col min="1292" max="1292" width="17" style="1313" customWidth="1"/>
    <col min="1293" max="1293" width="16" style="1313" bestFit="1" customWidth="1"/>
    <col min="1294" max="1533" width="9.140625" style="1313"/>
    <col min="1534" max="1535" width="7" style="1313" customWidth="1"/>
    <col min="1536" max="1536" width="50" style="1313" bestFit="1" customWidth="1"/>
    <col min="1537" max="1537" width="15" style="1313" bestFit="1" customWidth="1"/>
    <col min="1538" max="1538" width="16" style="1313" bestFit="1" customWidth="1"/>
    <col min="1539" max="1539" width="15" style="1313" bestFit="1" customWidth="1"/>
    <col min="1540" max="1540" width="13.42578125" style="1313" bestFit="1" customWidth="1"/>
    <col min="1541" max="1541" width="15.5703125" style="1313" bestFit="1" customWidth="1"/>
    <col min="1542" max="1542" width="11.28515625" style="1313" bestFit="1" customWidth="1"/>
    <col min="1543" max="1543" width="15.5703125" style="1313" customWidth="1"/>
    <col min="1544" max="1544" width="15" style="1313" bestFit="1" customWidth="1"/>
    <col min="1545" max="1545" width="13.42578125" style="1313" bestFit="1" customWidth="1"/>
    <col min="1546" max="1546" width="15.5703125" style="1313" bestFit="1" customWidth="1"/>
    <col min="1547" max="1547" width="11.28515625" style="1313" bestFit="1" customWidth="1"/>
    <col min="1548" max="1548" width="17" style="1313" customWidth="1"/>
    <col min="1549" max="1549" width="16" style="1313" bestFit="1" customWidth="1"/>
    <col min="1550" max="1789" width="9.140625" style="1313"/>
    <col min="1790" max="1791" width="7" style="1313" customWidth="1"/>
    <col min="1792" max="1792" width="50" style="1313" bestFit="1" customWidth="1"/>
    <col min="1793" max="1793" width="15" style="1313" bestFit="1" customWidth="1"/>
    <col min="1794" max="1794" width="16" style="1313" bestFit="1" customWidth="1"/>
    <col min="1795" max="1795" width="15" style="1313" bestFit="1" customWidth="1"/>
    <col min="1796" max="1796" width="13.42578125" style="1313" bestFit="1" customWidth="1"/>
    <col min="1797" max="1797" width="15.5703125" style="1313" bestFit="1" customWidth="1"/>
    <col min="1798" max="1798" width="11.28515625" style="1313" bestFit="1" customWidth="1"/>
    <col min="1799" max="1799" width="15.5703125" style="1313" customWidth="1"/>
    <col min="1800" max="1800" width="15" style="1313" bestFit="1" customWidth="1"/>
    <col min="1801" max="1801" width="13.42578125" style="1313" bestFit="1" customWidth="1"/>
    <col min="1802" max="1802" width="15.5703125" style="1313" bestFit="1" customWidth="1"/>
    <col min="1803" max="1803" width="11.28515625" style="1313" bestFit="1" customWidth="1"/>
    <col min="1804" max="1804" width="17" style="1313" customWidth="1"/>
    <col min="1805" max="1805" width="16" style="1313" bestFit="1" customWidth="1"/>
    <col min="1806" max="2045" width="9.140625" style="1313"/>
    <col min="2046" max="2047" width="7" style="1313" customWidth="1"/>
    <col min="2048" max="2048" width="50" style="1313" bestFit="1" customWidth="1"/>
    <col min="2049" max="2049" width="15" style="1313" bestFit="1" customWidth="1"/>
    <col min="2050" max="2050" width="16" style="1313" bestFit="1" customWidth="1"/>
    <col min="2051" max="2051" width="15" style="1313" bestFit="1" customWidth="1"/>
    <col min="2052" max="2052" width="13.42578125" style="1313" bestFit="1" customWidth="1"/>
    <col min="2053" max="2053" width="15.5703125" style="1313" bestFit="1" customWidth="1"/>
    <col min="2054" max="2054" width="11.28515625" style="1313" bestFit="1" customWidth="1"/>
    <col min="2055" max="2055" width="15.5703125" style="1313" customWidth="1"/>
    <col min="2056" max="2056" width="15" style="1313" bestFit="1" customWidth="1"/>
    <col min="2057" max="2057" width="13.42578125" style="1313" bestFit="1" customWidth="1"/>
    <col min="2058" max="2058" width="15.5703125" style="1313" bestFit="1" customWidth="1"/>
    <col min="2059" max="2059" width="11.28515625" style="1313" bestFit="1" customWidth="1"/>
    <col min="2060" max="2060" width="17" style="1313" customWidth="1"/>
    <col min="2061" max="2061" width="16" style="1313" bestFit="1" customWidth="1"/>
    <col min="2062" max="2301" width="9.140625" style="1313"/>
    <col min="2302" max="2303" width="7" style="1313" customWidth="1"/>
    <col min="2304" max="2304" width="50" style="1313" bestFit="1" customWidth="1"/>
    <col min="2305" max="2305" width="15" style="1313" bestFit="1" customWidth="1"/>
    <col min="2306" max="2306" width="16" style="1313" bestFit="1" customWidth="1"/>
    <col min="2307" max="2307" width="15" style="1313" bestFit="1" customWidth="1"/>
    <col min="2308" max="2308" width="13.42578125" style="1313" bestFit="1" customWidth="1"/>
    <col min="2309" max="2309" width="15.5703125" style="1313" bestFit="1" customWidth="1"/>
    <col min="2310" max="2310" width="11.28515625" style="1313" bestFit="1" customWidth="1"/>
    <col min="2311" max="2311" width="15.5703125" style="1313" customWidth="1"/>
    <col min="2312" max="2312" width="15" style="1313" bestFit="1" customWidth="1"/>
    <col min="2313" max="2313" width="13.42578125" style="1313" bestFit="1" customWidth="1"/>
    <col min="2314" max="2314" width="15.5703125" style="1313" bestFit="1" customWidth="1"/>
    <col min="2315" max="2315" width="11.28515625" style="1313" bestFit="1" customWidth="1"/>
    <col min="2316" max="2316" width="17" style="1313" customWidth="1"/>
    <col min="2317" max="2317" width="16" style="1313" bestFit="1" customWidth="1"/>
    <col min="2318" max="2557" width="9.140625" style="1313"/>
    <col min="2558" max="2559" width="7" style="1313" customWidth="1"/>
    <col min="2560" max="2560" width="50" style="1313" bestFit="1" customWidth="1"/>
    <col min="2561" max="2561" width="15" style="1313" bestFit="1" customWidth="1"/>
    <col min="2562" max="2562" width="16" style="1313" bestFit="1" customWidth="1"/>
    <col min="2563" max="2563" width="15" style="1313" bestFit="1" customWidth="1"/>
    <col min="2564" max="2564" width="13.42578125" style="1313" bestFit="1" customWidth="1"/>
    <col min="2565" max="2565" width="15.5703125" style="1313" bestFit="1" customWidth="1"/>
    <col min="2566" max="2566" width="11.28515625" style="1313" bestFit="1" customWidth="1"/>
    <col min="2567" max="2567" width="15.5703125" style="1313" customWidth="1"/>
    <col min="2568" max="2568" width="15" style="1313" bestFit="1" customWidth="1"/>
    <col min="2569" max="2569" width="13.42578125" style="1313" bestFit="1" customWidth="1"/>
    <col min="2570" max="2570" width="15.5703125" style="1313" bestFit="1" customWidth="1"/>
    <col min="2571" max="2571" width="11.28515625" style="1313" bestFit="1" customWidth="1"/>
    <col min="2572" max="2572" width="17" style="1313" customWidth="1"/>
    <col min="2573" max="2573" width="16" style="1313" bestFit="1" customWidth="1"/>
    <col min="2574" max="2813" width="9.140625" style="1313"/>
    <col min="2814" max="2815" width="7" style="1313" customWidth="1"/>
    <col min="2816" max="2816" width="50" style="1313" bestFit="1" customWidth="1"/>
    <col min="2817" max="2817" width="15" style="1313" bestFit="1" customWidth="1"/>
    <col min="2818" max="2818" width="16" style="1313" bestFit="1" customWidth="1"/>
    <col min="2819" max="2819" width="15" style="1313" bestFit="1" customWidth="1"/>
    <col min="2820" max="2820" width="13.42578125" style="1313" bestFit="1" customWidth="1"/>
    <col min="2821" max="2821" width="15.5703125" style="1313" bestFit="1" customWidth="1"/>
    <col min="2822" max="2822" width="11.28515625" style="1313" bestFit="1" customWidth="1"/>
    <col min="2823" max="2823" width="15.5703125" style="1313" customWidth="1"/>
    <col min="2824" max="2824" width="15" style="1313" bestFit="1" customWidth="1"/>
    <col min="2825" max="2825" width="13.42578125" style="1313" bestFit="1" customWidth="1"/>
    <col min="2826" max="2826" width="15.5703125" style="1313" bestFit="1" customWidth="1"/>
    <col min="2827" max="2827" width="11.28515625" style="1313" bestFit="1" customWidth="1"/>
    <col min="2828" max="2828" width="17" style="1313" customWidth="1"/>
    <col min="2829" max="2829" width="16" style="1313" bestFit="1" customWidth="1"/>
    <col min="2830" max="3069" width="9.140625" style="1313"/>
    <col min="3070" max="3071" width="7" style="1313" customWidth="1"/>
    <col min="3072" max="3072" width="50" style="1313" bestFit="1" customWidth="1"/>
    <col min="3073" max="3073" width="15" style="1313" bestFit="1" customWidth="1"/>
    <col min="3074" max="3074" width="16" style="1313" bestFit="1" customWidth="1"/>
    <col min="3075" max="3075" width="15" style="1313" bestFit="1" customWidth="1"/>
    <col min="3076" max="3076" width="13.42578125" style="1313" bestFit="1" customWidth="1"/>
    <col min="3077" max="3077" width="15.5703125" style="1313" bestFit="1" customWidth="1"/>
    <col min="3078" max="3078" width="11.28515625" style="1313" bestFit="1" customWidth="1"/>
    <col min="3079" max="3079" width="15.5703125" style="1313" customWidth="1"/>
    <col min="3080" max="3080" width="15" style="1313" bestFit="1" customWidth="1"/>
    <col min="3081" max="3081" width="13.42578125" style="1313" bestFit="1" customWidth="1"/>
    <col min="3082" max="3082" width="15.5703125" style="1313" bestFit="1" customWidth="1"/>
    <col min="3083" max="3083" width="11.28515625" style="1313" bestFit="1" customWidth="1"/>
    <col min="3084" max="3084" width="17" style="1313" customWidth="1"/>
    <col min="3085" max="3085" width="16" style="1313" bestFit="1" customWidth="1"/>
    <col min="3086" max="3325" width="9.140625" style="1313"/>
    <col min="3326" max="3327" width="7" style="1313" customWidth="1"/>
    <col min="3328" max="3328" width="50" style="1313" bestFit="1" customWidth="1"/>
    <col min="3329" max="3329" width="15" style="1313" bestFit="1" customWidth="1"/>
    <col min="3330" max="3330" width="16" style="1313" bestFit="1" customWidth="1"/>
    <col min="3331" max="3331" width="15" style="1313" bestFit="1" customWidth="1"/>
    <col min="3332" max="3332" width="13.42578125" style="1313" bestFit="1" customWidth="1"/>
    <col min="3333" max="3333" width="15.5703125" style="1313" bestFit="1" customWidth="1"/>
    <col min="3334" max="3334" width="11.28515625" style="1313" bestFit="1" customWidth="1"/>
    <col min="3335" max="3335" width="15.5703125" style="1313" customWidth="1"/>
    <col min="3336" max="3336" width="15" style="1313" bestFit="1" customWidth="1"/>
    <col min="3337" max="3337" width="13.42578125" style="1313" bestFit="1" customWidth="1"/>
    <col min="3338" max="3338" width="15.5703125" style="1313" bestFit="1" customWidth="1"/>
    <col min="3339" max="3339" width="11.28515625" style="1313" bestFit="1" customWidth="1"/>
    <col min="3340" max="3340" width="17" style="1313" customWidth="1"/>
    <col min="3341" max="3341" width="16" style="1313" bestFit="1" customWidth="1"/>
    <col min="3342" max="3581" width="9.140625" style="1313"/>
    <col min="3582" max="3583" width="7" style="1313" customWidth="1"/>
    <col min="3584" max="3584" width="50" style="1313" bestFit="1" customWidth="1"/>
    <col min="3585" max="3585" width="15" style="1313" bestFit="1" customWidth="1"/>
    <col min="3586" max="3586" width="16" style="1313" bestFit="1" customWidth="1"/>
    <col min="3587" max="3587" width="15" style="1313" bestFit="1" customWidth="1"/>
    <col min="3588" max="3588" width="13.42578125" style="1313" bestFit="1" customWidth="1"/>
    <col min="3589" max="3589" width="15.5703125" style="1313" bestFit="1" customWidth="1"/>
    <col min="3590" max="3590" width="11.28515625" style="1313" bestFit="1" customWidth="1"/>
    <col min="3591" max="3591" width="15.5703125" style="1313" customWidth="1"/>
    <col min="3592" max="3592" width="15" style="1313" bestFit="1" customWidth="1"/>
    <col min="3593" max="3593" width="13.42578125" style="1313" bestFit="1" customWidth="1"/>
    <col min="3594" max="3594" width="15.5703125" style="1313" bestFit="1" customWidth="1"/>
    <col min="3595" max="3595" width="11.28515625" style="1313" bestFit="1" customWidth="1"/>
    <col min="3596" max="3596" width="17" style="1313" customWidth="1"/>
    <col min="3597" max="3597" width="16" style="1313" bestFit="1" customWidth="1"/>
    <col min="3598" max="3837" width="9.140625" style="1313"/>
    <col min="3838" max="3839" width="7" style="1313" customWidth="1"/>
    <col min="3840" max="3840" width="50" style="1313" bestFit="1" customWidth="1"/>
    <col min="3841" max="3841" width="15" style="1313" bestFit="1" customWidth="1"/>
    <col min="3842" max="3842" width="16" style="1313" bestFit="1" customWidth="1"/>
    <col min="3843" max="3843" width="15" style="1313" bestFit="1" customWidth="1"/>
    <col min="3844" max="3844" width="13.42578125" style="1313" bestFit="1" customWidth="1"/>
    <col min="3845" max="3845" width="15.5703125" style="1313" bestFit="1" customWidth="1"/>
    <col min="3846" max="3846" width="11.28515625" style="1313" bestFit="1" customWidth="1"/>
    <col min="3847" max="3847" width="15.5703125" style="1313" customWidth="1"/>
    <col min="3848" max="3848" width="15" style="1313" bestFit="1" customWidth="1"/>
    <col min="3849" max="3849" width="13.42578125" style="1313" bestFit="1" customWidth="1"/>
    <col min="3850" max="3850" width="15.5703125" style="1313" bestFit="1" customWidth="1"/>
    <col min="3851" max="3851" width="11.28515625" style="1313" bestFit="1" customWidth="1"/>
    <col min="3852" max="3852" width="17" style="1313" customWidth="1"/>
    <col min="3853" max="3853" width="16" style="1313" bestFit="1" customWidth="1"/>
    <col min="3854" max="4093" width="9.140625" style="1313"/>
    <col min="4094" max="4095" width="7" style="1313" customWidth="1"/>
    <col min="4096" max="4096" width="50" style="1313" bestFit="1" customWidth="1"/>
    <col min="4097" max="4097" width="15" style="1313" bestFit="1" customWidth="1"/>
    <col min="4098" max="4098" width="16" style="1313" bestFit="1" customWidth="1"/>
    <col min="4099" max="4099" width="15" style="1313" bestFit="1" customWidth="1"/>
    <col min="4100" max="4100" width="13.42578125" style="1313" bestFit="1" customWidth="1"/>
    <col min="4101" max="4101" width="15.5703125" style="1313" bestFit="1" customWidth="1"/>
    <col min="4102" max="4102" width="11.28515625" style="1313" bestFit="1" customWidth="1"/>
    <col min="4103" max="4103" width="15.5703125" style="1313" customWidth="1"/>
    <col min="4104" max="4104" width="15" style="1313" bestFit="1" customWidth="1"/>
    <col min="4105" max="4105" width="13.42578125" style="1313" bestFit="1" customWidth="1"/>
    <col min="4106" max="4106" width="15.5703125" style="1313" bestFit="1" customWidth="1"/>
    <col min="4107" max="4107" width="11.28515625" style="1313" bestFit="1" customWidth="1"/>
    <col min="4108" max="4108" width="17" style="1313" customWidth="1"/>
    <col min="4109" max="4109" width="16" style="1313" bestFit="1" customWidth="1"/>
    <col min="4110" max="4349" width="9.140625" style="1313"/>
    <col min="4350" max="4351" width="7" style="1313" customWidth="1"/>
    <col min="4352" max="4352" width="50" style="1313" bestFit="1" customWidth="1"/>
    <col min="4353" max="4353" width="15" style="1313" bestFit="1" customWidth="1"/>
    <col min="4354" max="4354" width="16" style="1313" bestFit="1" customWidth="1"/>
    <col min="4355" max="4355" width="15" style="1313" bestFit="1" customWidth="1"/>
    <col min="4356" max="4356" width="13.42578125" style="1313" bestFit="1" customWidth="1"/>
    <col min="4357" max="4357" width="15.5703125" style="1313" bestFit="1" customWidth="1"/>
    <col min="4358" max="4358" width="11.28515625" style="1313" bestFit="1" customWidth="1"/>
    <col min="4359" max="4359" width="15.5703125" style="1313" customWidth="1"/>
    <col min="4360" max="4360" width="15" style="1313" bestFit="1" customWidth="1"/>
    <col min="4361" max="4361" width="13.42578125" style="1313" bestFit="1" customWidth="1"/>
    <col min="4362" max="4362" width="15.5703125" style="1313" bestFit="1" customWidth="1"/>
    <col min="4363" max="4363" width="11.28515625" style="1313" bestFit="1" customWidth="1"/>
    <col min="4364" max="4364" width="17" style="1313" customWidth="1"/>
    <col min="4365" max="4365" width="16" style="1313" bestFit="1" customWidth="1"/>
    <col min="4366" max="4605" width="9.140625" style="1313"/>
    <col min="4606" max="4607" width="7" style="1313" customWidth="1"/>
    <col min="4608" max="4608" width="50" style="1313" bestFit="1" customWidth="1"/>
    <col min="4609" max="4609" width="15" style="1313" bestFit="1" customWidth="1"/>
    <col min="4610" max="4610" width="16" style="1313" bestFit="1" customWidth="1"/>
    <col min="4611" max="4611" width="15" style="1313" bestFit="1" customWidth="1"/>
    <col min="4612" max="4612" width="13.42578125" style="1313" bestFit="1" customWidth="1"/>
    <col min="4613" max="4613" width="15.5703125" style="1313" bestFit="1" customWidth="1"/>
    <col min="4614" max="4614" width="11.28515625" style="1313" bestFit="1" customWidth="1"/>
    <col min="4615" max="4615" width="15.5703125" style="1313" customWidth="1"/>
    <col min="4616" max="4616" width="15" style="1313" bestFit="1" customWidth="1"/>
    <col min="4617" max="4617" width="13.42578125" style="1313" bestFit="1" customWidth="1"/>
    <col min="4618" max="4618" width="15.5703125" style="1313" bestFit="1" customWidth="1"/>
    <col min="4619" max="4619" width="11.28515625" style="1313" bestFit="1" customWidth="1"/>
    <col min="4620" max="4620" width="17" style="1313" customWidth="1"/>
    <col min="4621" max="4621" width="16" style="1313" bestFit="1" customWidth="1"/>
    <col min="4622" max="4861" width="9.140625" style="1313"/>
    <col min="4862" max="4863" width="7" style="1313" customWidth="1"/>
    <col min="4864" max="4864" width="50" style="1313" bestFit="1" customWidth="1"/>
    <col min="4865" max="4865" width="15" style="1313" bestFit="1" customWidth="1"/>
    <col min="4866" max="4866" width="16" style="1313" bestFit="1" customWidth="1"/>
    <col min="4867" max="4867" width="15" style="1313" bestFit="1" customWidth="1"/>
    <col min="4868" max="4868" width="13.42578125" style="1313" bestFit="1" customWidth="1"/>
    <col min="4869" max="4869" width="15.5703125" style="1313" bestFit="1" customWidth="1"/>
    <col min="4870" max="4870" width="11.28515625" style="1313" bestFit="1" customWidth="1"/>
    <col min="4871" max="4871" width="15.5703125" style="1313" customWidth="1"/>
    <col min="4872" max="4872" width="15" style="1313" bestFit="1" customWidth="1"/>
    <col min="4873" max="4873" width="13.42578125" style="1313" bestFit="1" customWidth="1"/>
    <col min="4874" max="4874" width="15.5703125" style="1313" bestFit="1" customWidth="1"/>
    <col min="4875" max="4875" width="11.28515625" style="1313" bestFit="1" customWidth="1"/>
    <col min="4876" max="4876" width="17" style="1313" customWidth="1"/>
    <col min="4877" max="4877" width="16" style="1313" bestFit="1" customWidth="1"/>
    <col min="4878" max="5117" width="9.140625" style="1313"/>
    <col min="5118" max="5119" width="7" style="1313" customWidth="1"/>
    <col min="5120" max="5120" width="50" style="1313" bestFit="1" customWidth="1"/>
    <col min="5121" max="5121" width="15" style="1313" bestFit="1" customWidth="1"/>
    <col min="5122" max="5122" width="16" style="1313" bestFit="1" customWidth="1"/>
    <col min="5123" max="5123" width="15" style="1313" bestFit="1" customWidth="1"/>
    <col min="5124" max="5124" width="13.42578125" style="1313" bestFit="1" customWidth="1"/>
    <col min="5125" max="5125" width="15.5703125" style="1313" bestFit="1" customWidth="1"/>
    <col min="5126" max="5126" width="11.28515625" style="1313" bestFit="1" customWidth="1"/>
    <col min="5127" max="5127" width="15.5703125" style="1313" customWidth="1"/>
    <col min="5128" max="5128" width="15" style="1313" bestFit="1" customWidth="1"/>
    <col min="5129" max="5129" width="13.42578125" style="1313" bestFit="1" customWidth="1"/>
    <col min="5130" max="5130" width="15.5703125" style="1313" bestFit="1" customWidth="1"/>
    <col min="5131" max="5131" width="11.28515625" style="1313" bestFit="1" customWidth="1"/>
    <col min="5132" max="5132" width="17" style="1313" customWidth="1"/>
    <col min="5133" max="5133" width="16" style="1313" bestFit="1" customWidth="1"/>
    <col min="5134" max="5373" width="9.140625" style="1313"/>
    <col min="5374" max="5375" width="7" style="1313" customWidth="1"/>
    <col min="5376" max="5376" width="50" style="1313" bestFit="1" customWidth="1"/>
    <col min="5377" max="5377" width="15" style="1313" bestFit="1" customWidth="1"/>
    <col min="5378" max="5378" width="16" style="1313" bestFit="1" customWidth="1"/>
    <col min="5379" max="5379" width="15" style="1313" bestFit="1" customWidth="1"/>
    <col min="5380" max="5380" width="13.42578125" style="1313" bestFit="1" customWidth="1"/>
    <col min="5381" max="5381" width="15.5703125" style="1313" bestFit="1" customWidth="1"/>
    <col min="5382" max="5382" width="11.28515625" style="1313" bestFit="1" customWidth="1"/>
    <col min="5383" max="5383" width="15.5703125" style="1313" customWidth="1"/>
    <col min="5384" max="5384" width="15" style="1313" bestFit="1" customWidth="1"/>
    <col min="5385" max="5385" width="13.42578125" style="1313" bestFit="1" customWidth="1"/>
    <col min="5386" max="5386" width="15.5703125" style="1313" bestFit="1" customWidth="1"/>
    <col min="5387" max="5387" width="11.28515625" style="1313" bestFit="1" customWidth="1"/>
    <col min="5388" max="5388" width="17" style="1313" customWidth="1"/>
    <col min="5389" max="5389" width="16" style="1313" bestFit="1" customWidth="1"/>
    <col min="5390" max="5629" width="9.140625" style="1313"/>
    <col min="5630" max="5631" width="7" style="1313" customWidth="1"/>
    <col min="5632" max="5632" width="50" style="1313" bestFit="1" customWidth="1"/>
    <col min="5633" max="5633" width="15" style="1313" bestFit="1" customWidth="1"/>
    <col min="5634" max="5634" width="16" style="1313" bestFit="1" customWidth="1"/>
    <col min="5635" max="5635" width="15" style="1313" bestFit="1" customWidth="1"/>
    <col min="5636" max="5636" width="13.42578125" style="1313" bestFit="1" customWidth="1"/>
    <col min="5637" max="5637" width="15.5703125" style="1313" bestFit="1" customWidth="1"/>
    <col min="5638" max="5638" width="11.28515625" style="1313" bestFit="1" customWidth="1"/>
    <col min="5639" max="5639" width="15.5703125" style="1313" customWidth="1"/>
    <col min="5640" max="5640" width="15" style="1313" bestFit="1" customWidth="1"/>
    <col min="5641" max="5641" width="13.42578125" style="1313" bestFit="1" customWidth="1"/>
    <col min="5642" max="5642" width="15.5703125" style="1313" bestFit="1" customWidth="1"/>
    <col min="5643" max="5643" width="11.28515625" style="1313" bestFit="1" customWidth="1"/>
    <col min="5644" max="5644" width="17" style="1313" customWidth="1"/>
    <col min="5645" max="5645" width="16" style="1313" bestFit="1" customWidth="1"/>
    <col min="5646" max="5885" width="9.140625" style="1313"/>
    <col min="5886" max="5887" width="7" style="1313" customWidth="1"/>
    <col min="5888" max="5888" width="50" style="1313" bestFit="1" customWidth="1"/>
    <col min="5889" max="5889" width="15" style="1313" bestFit="1" customWidth="1"/>
    <col min="5890" max="5890" width="16" style="1313" bestFit="1" customWidth="1"/>
    <col min="5891" max="5891" width="15" style="1313" bestFit="1" customWidth="1"/>
    <col min="5892" max="5892" width="13.42578125" style="1313" bestFit="1" customWidth="1"/>
    <col min="5893" max="5893" width="15.5703125" style="1313" bestFit="1" customWidth="1"/>
    <col min="5894" max="5894" width="11.28515625" style="1313" bestFit="1" customWidth="1"/>
    <col min="5895" max="5895" width="15.5703125" style="1313" customWidth="1"/>
    <col min="5896" max="5896" width="15" style="1313" bestFit="1" customWidth="1"/>
    <col min="5897" max="5897" width="13.42578125" style="1313" bestFit="1" customWidth="1"/>
    <col min="5898" max="5898" width="15.5703125" style="1313" bestFit="1" customWidth="1"/>
    <col min="5899" max="5899" width="11.28515625" style="1313" bestFit="1" customWidth="1"/>
    <col min="5900" max="5900" width="17" style="1313" customWidth="1"/>
    <col min="5901" max="5901" width="16" style="1313" bestFit="1" customWidth="1"/>
    <col min="5902" max="6141" width="9.140625" style="1313"/>
    <col min="6142" max="6143" width="7" style="1313" customWidth="1"/>
    <col min="6144" max="6144" width="50" style="1313" bestFit="1" customWidth="1"/>
    <col min="6145" max="6145" width="15" style="1313" bestFit="1" customWidth="1"/>
    <col min="6146" max="6146" width="16" style="1313" bestFit="1" customWidth="1"/>
    <col min="6147" max="6147" width="15" style="1313" bestFit="1" customWidth="1"/>
    <col min="6148" max="6148" width="13.42578125" style="1313" bestFit="1" customWidth="1"/>
    <col min="6149" max="6149" width="15.5703125" style="1313" bestFit="1" customWidth="1"/>
    <col min="6150" max="6150" width="11.28515625" style="1313" bestFit="1" customWidth="1"/>
    <col min="6151" max="6151" width="15.5703125" style="1313" customWidth="1"/>
    <col min="6152" max="6152" width="15" style="1313" bestFit="1" customWidth="1"/>
    <col min="6153" max="6153" width="13.42578125" style="1313" bestFit="1" customWidth="1"/>
    <col min="6154" max="6154" width="15.5703125" style="1313" bestFit="1" customWidth="1"/>
    <col min="6155" max="6155" width="11.28515625" style="1313" bestFit="1" customWidth="1"/>
    <col min="6156" max="6156" width="17" style="1313" customWidth="1"/>
    <col min="6157" max="6157" width="16" style="1313" bestFit="1" customWidth="1"/>
    <col min="6158" max="6397" width="9.140625" style="1313"/>
    <col min="6398" max="6399" width="7" style="1313" customWidth="1"/>
    <col min="6400" max="6400" width="50" style="1313" bestFit="1" customWidth="1"/>
    <col min="6401" max="6401" width="15" style="1313" bestFit="1" customWidth="1"/>
    <col min="6402" max="6402" width="16" style="1313" bestFit="1" customWidth="1"/>
    <col min="6403" max="6403" width="15" style="1313" bestFit="1" customWidth="1"/>
    <col min="6404" max="6404" width="13.42578125" style="1313" bestFit="1" customWidth="1"/>
    <col min="6405" max="6405" width="15.5703125" style="1313" bestFit="1" customWidth="1"/>
    <col min="6406" max="6406" width="11.28515625" style="1313" bestFit="1" customWidth="1"/>
    <col min="6407" max="6407" width="15.5703125" style="1313" customWidth="1"/>
    <col min="6408" max="6408" width="15" style="1313" bestFit="1" customWidth="1"/>
    <col min="6409" max="6409" width="13.42578125" style="1313" bestFit="1" customWidth="1"/>
    <col min="6410" max="6410" width="15.5703125" style="1313" bestFit="1" customWidth="1"/>
    <col min="6411" max="6411" width="11.28515625" style="1313" bestFit="1" customWidth="1"/>
    <col min="6412" max="6412" width="17" style="1313" customWidth="1"/>
    <col min="6413" max="6413" width="16" style="1313" bestFit="1" customWidth="1"/>
    <col min="6414" max="6653" width="9.140625" style="1313"/>
    <col min="6654" max="6655" width="7" style="1313" customWidth="1"/>
    <col min="6656" max="6656" width="50" style="1313" bestFit="1" customWidth="1"/>
    <col min="6657" max="6657" width="15" style="1313" bestFit="1" customWidth="1"/>
    <col min="6658" max="6658" width="16" style="1313" bestFit="1" customWidth="1"/>
    <col min="6659" max="6659" width="15" style="1313" bestFit="1" customWidth="1"/>
    <col min="6660" max="6660" width="13.42578125" style="1313" bestFit="1" customWidth="1"/>
    <col min="6661" max="6661" width="15.5703125" style="1313" bestFit="1" customWidth="1"/>
    <col min="6662" max="6662" width="11.28515625" style="1313" bestFit="1" customWidth="1"/>
    <col min="6663" max="6663" width="15.5703125" style="1313" customWidth="1"/>
    <col min="6664" max="6664" width="15" style="1313" bestFit="1" customWidth="1"/>
    <col min="6665" max="6665" width="13.42578125" style="1313" bestFit="1" customWidth="1"/>
    <col min="6666" max="6666" width="15.5703125" style="1313" bestFit="1" customWidth="1"/>
    <col min="6667" max="6667" width="11.28515625" style="1313" bestFit="1" customWidth="1"/>
    <col min="6668" max="6668" width="17" style="1313" customWidth="1"/>
    <col min="6669" max="6669" width="16" style="1313" bestFit="1" customWidth="1"/>
    <col min="6670" max="6909" width="9.140625" style="1313"/>
    <col min="6910" max="6911" width="7" style="1313" customWidth="1"/>
    <col min="6912" max="6912" width="50" style="1313" bestFit="1" customWidth="1"/>
    <col min="6913" max="6913" width="15" style="1313" bestFit="1" customWidth="1"/>
    <col min="6914" max="6914" width="16" style="1313" bestFit="1" customWidth="1"/>
    <col min="6915" max="6915" width="15" style="1313" bestFit="1" customWidth="1"/>
    <col min="6916" max="6916" width="13.42578125" style="1313" bestFit="1" customWidth="1"/>
    <col min="6917" max="6917" width="15.5703125" style="1313" bestFit="1" customWidth="1"/>
    <col min="6918" max="6918" width="11.28515625" style="1313" bestFit="1" customWidth="1"/>
    <col min="6919" max="6919" width="15.5703125" style="1313" customWidth="1"/>
    <col min="6920" max="6920" width="15" style="1313" bestFit="1" customWidth="1"/>
    <col min="6921" max="6921" width="13.42578125" style="1313" bestFit="1" customWidth="1"/>
    <col min="6922" max="6922" width="15.5703125" style="1313" bestFit="1" customWidth="1"/>
    <col min="6923" max="6923" width="11.28515625" style="1313" bestFit="1" customWidth="1"/>
    <col min="6924" max="6924" width="17" style="1313" customWidth="1"/>
    <col min="6925" max="6925" width="16" style="1313" bestFit="1" customWidth="1"/>
    <col min="6926" max="7165" width="9.140625" style="1313"/>
    <col min="7166" max="7167" width="7" style="1313" customWidth="1"/>
    <col min="7168" max="7168" width="50" style="1313" bestFit="1" customWidth="1"/>
    <col min="7169" max="7169" width="15" style="1313" bestFit="1" customWidth="1"/>
    <col min="7170" max="7170" width="16" style="1313" bestFit="1" customWidth="1"/>
    <col min="7171" max="7171" width="15" style="1313" bestFit="1" customWidth="1"/>
    <col min="7172" max="7172" width="13.42578125" style="1313" bestFit="1" customWidth="1"/>
    <col min="7173" max="7173" width="15.5703125" style="1313" bestFit="1" customWidth="1"/>
    <col min="7174" max="7174" width="11.28515625" style="1313" bestFit="1" customWidth="1"/>
    <col min="7175" max="7175" width="15.5703125" style="1313" customWidth="1"/>
    <col min="7176" max="7176" width="15" style="1313" bestFit="1" customWidth="1"/>
    <col min="7177" max="7177" width="13.42578125" style="1313" bestFit="1" customWidth="1"/>
    <col min="7178" max="7178" width="15.5703125" style="1313" bestFit="1" customWidth="1"/>
    <col min="7179" max="7179" width="11.28515625" style="1313" bestFit="1" customWidth="1"/>
    <col min="7180" max="7180" width="17" style="1313" customWidth="1"/>
    <col min="7181" max="7181" width="16" style="1313" bestFit="1" customWidth="1"/>
    <col min="7182" max="7421" width="9.140625" style="1313"/>
    <col min="7422" max="7423" width="7" style="1313" customWidth="1"/>
    <col min="7424" max="7424" width="50" style="1313" bestFit="1" customWidth="1"/>
    <col min="7425" max="7425" width="15" style="1313" bestFit="1" customWidth="1"/>
    <col min="7426" max="7426" width="16" style="1313" bestFit="1" customWidth="1"/>
    <col min="7427" max="7427" width="15" style="1313" bestFit="1" customWidth="1"/>
    <col min="7428" max="7428" width="13.42578125" style="1313" bestFit="1" customWidth="1"/>
    <col min="7429" max="7429" width="15.5703125" style="1313" bestFit="1" customWidth="1"/>
    <col min="7430" max="7430" width="11.28515625" style="1313" bestFit="1" customWidth="1"/>
    <col min="7431" max="7431" width="15.5703125" style="1313" customWidth="1"/>
    <col min="7432" max="7432" width="15" style="1313" bestFit="1" customWidth="1"/>
    <col min="7433" max="7433" width="13.42578125" style="1313" bestFit="1" customWidth="1"/>
    <col min="7434" max="7434" width="15.5703125" style="1313" bestFit="1" customWidth="1"/>
    <col min="7435" max="7435" width="11.28515625" style="1313" bestFit="1" customWidth="1"/>
    <col min="7436" max="7436" width="17" style="1313" customWidth="1"/>
    <col min="7437" max="7437" width="16" style="1313" bestFit="1" customWidth="1"/>
    <col min="7438" max="7677" width="9.140625" style="1313"/>
    <col min="7678" max="7679" width="7" style="1313" customWidth="1"/>
    <col min="7680" max="7680" width="50" style="1313" bestFit="1" customWidth="1"/>
    <col min="7681" max="7681" width="15" style="1313" bestFit="1" customWidth="1"/>
    <col min="7682" max="7682" width="16" style="1313" bestFit="1" customWidth="1"/>
    <col min="7683" max="7683" width="15" style="1313" bestFit="1" customWidth="1"/>
    <col min="7684" max="7684" width="13.42578125" style="1313" bestFit="1" customWidth="1"/>
    <col min="7685" max="7685" width="15.5703125" style="1313" bestFit="1" customWidth="1"/>
    <col min="7686" max="7686" width="11.28515625" style="1313" bestFit="1" customWidth="1"/>
    <col min="7687" max="7687" width="15.5703125" style="1313" customWidth="1"/>
    <col min="7688" max="7688" width="15" style="1313" bestFit="1" customWidth="1"/>
    <col min="7689" max="7689" width="13.42578125" style="1313" bestFit="1" customWidth="1"/>
    <col min="7690" max="7690" width="15.5703125" style="1313" bestFit="1" customWidth="1"/>
    <col min="7691" max="7691" width="11.28515625" style="1313" bestFit="1" customWidth="1"/>
    <col min="7692" max="7692" width="17" style="1313" customWidth="1"/>
    <col min="7693" max="7693" width="16" style="1313" bestFit="1" customWidth="1"/>
    <col min="7694" max="7933" width="9.140625" style="1313"/>
    <col min="7934" max="7935" width="7" style="1313" customWidth="1"/>
    <col min="7936" max="7936" width="50" style="1313" bestFit="1" customWidth="1"/>
    <col min="7937" max="7937" width="15" style="1313" bestFit="1" customWidth="1"/>
    <col min="7938" max="7938" width="16" style="1313" bestFit="1" customWidth="1"/>
    <col min="7939" max="7939" width="15" style="1313" bestFit="1" customWidth="1"/>
    <col min="7940" max="7940" width="13.42578125" style="1313" bestFit="1" customWidth="1"/>
    <col min="7941" max="7941" width="15.5703125" style="1313" bestFit="1" customWidth="1"/>
    <col min="7942" max="7942" width="11.28515625" style="1313" bestFit="1" customWidth="1"/>
    <col min="7943" max="7943" width="15.5703125" style="1313" customWidth="1"/>
    <col min="7944" max="7944" width="15" style="1313" bestFit="1" customWidth="1"/>
    <col min="7945" max="7945" width="13.42578125" style="1313" bestFit="1" customWidth="1"/>
    <col min="7946" max="7946" width="15.5703125" style="1313" bestFit="1" customWidth="1"/>
    <col min="7947" max="7947" width="11.28515625" style="1313" bestFit="1" customWidth="1"/>
    <col min="7948" max="7948" width="17" style="1313" customWidth="1"/>
    <col min="7949" max="7949" width="16" style="1313" bestFit="1" customWidth="1"/>
    <col min="7950" max="8189" width="9.140625" style="1313"/>
    <col min="8190" max="8191" width="7" style="1313" customWidth="1"/>
    <col min="8192" max="8192" width="50" style="1313" bestFit="1" customWidth="1"/>
    <col min="8193" max="8193" width="15" style="1313" bestFit="1" customWidth="1"/>
    <col min="8194" max="8194" width="16" style="1313" bestFit="1" customWidth="1"/>
    <col min="8195" max="8195" width="15" style="1313" bestFit="1" customWidth="1"/>
    <col min="8196" max="8196" width="13.42578125" style="1313" bestFit="1" customWidth="1"/>
    <col min="8197" max="8197" width="15.5703125" style="1313" bestFit="1" customWidth="1"/>
    <col min="8198" max="8198" width="11.28515625" style="1313" bestFit="1" customWidth="1"/>
    <col min="8199" max="8199" width="15.5703125" style="1313" customWidth="1"/>
    <col min="8200" max="8200" width="15" style="1313" bestFit="1" customWidth="1"/>
    <col min="8201" max="8201" width="13.42578125" style="1313" bestFit="1" customWidth="1"/>
    <col min="8202" max="8202" width="15.5703125" style="1313" bestFit="1" customWidth="1"/>
    <col min="8203" max="8203" width="11.28515625" style="1313" bestFit="1" customWidth="1"/>
    <col min="8204" max="8204" width="17" style="1313" customWidth="1"/>
    <col min="8205" max="8205" width="16" style="1313" bestFit="1" customWidth="1"/>
    <col min="8206" max="8445" width="9.140625" style="1313"/>
    <col min="8446" max="8447" width="7" style="1313" customWidth="1"/>
    <col min="8448" max="8448" width="50" style="1313" bestFit="1" customWidth="1"/>
    <col min="8449" max="8449" width="15" style="1313" bestFit="1" customWidth="1"/>
    <col min="8450" max="8450" width="16" style="1313" bestFit="1" customWidth="1"/>
    <col min="8451" max="8451" width="15" style="1313" bestFit="1" customWidth="1"/>
    <col min="8452" max="8452" width="13.42578125" style="1313" bestFit="1" customWidth="1"/>
    <col min="8453" max="8453" width="15.5703125" style="1313" bestFit="1" customWidth="1"/>
    <col min="8454" max="8454" width="11.28515625" style="1313" bestFit="1" customWidth="1"/>
    <col min="8455" max="8455" width="15.5703125" style="1313" customWidth="1"/>
    <col min="8456" max="8456" width="15" style="1313" bestFit="1" customWidth="1"/>
    <col min="8457" max="8457" width="13.42578125" style="1313" bestFit="1" customWidth="1"/>
    <col min="8458" max="8458" width="15.5703125" style="1313" bestFit="1" customWidth="1"/>
    <col min="8459" max="8459" width="11.28515625" style="1313" bestFit="1" customWidth="1"/>
    <col min="8460" max="8460" width="17" style="1313" customWidth="1"/>
    <col min="8461" max="8461" width="16" style="1313" bestFit="1" customWidth="1"/>
    <col min="8462" max="8701" width="9.140625" style="1313"/>
    <col min="8702" max="8703" width="7" style="1313" customWidth="1"/>
    <col min="8704" max="8704" width="50" style="1313" bestFit="1" customWidth="1"/>
    <col min="8705" max="8705" width="15" style="1313" bestFit="1" customWidth="1"/>
    <col min="8706" max="8706" width="16" style="1313" bestFit="1" customWidth="1"/>
    <col min="8707" max="8707" width="15" style="1313" bestFit="1" customWidth="1"/>
    <col min="8708" max="8708" width="13.42578125" style="1313" bestFit="1" customWidth="1"/>
    <col min="8709" max="8709" width="15.5703125" style="1313" bestFit="1" customWidth="1"/>
    <col min="8710" max="8710" width="11.28515625" style="1313" bestFit="1" customWidth="1"/>
    <col min="8711" max="8711" width="15.5703125" style="1313" customWidth="1"/>
    <col min="8712" max="8712" width="15" style="1313" bestFit="1" customWidth="1"/>
    <col min="8713" max="8713" width="13.42578125" style="1313" bestFit="1" customWidth="1"/>
    <col min="8714" max="8714" width="15.5703125" style="1313" bestFit="1" customWidth="1"/>
    <col min="8715" max="8715" width="11.28515625" style="1313" bestFit="1" customWidth="1"/>
    <col min="8716" max="8716" width="17" style="1313" customWidth="1"/>
    <col min="8717" max="8717" width="16" style="1313" bestFit="1" customWidth="1"/>
    <col min="8718" max="8957" width="9.140625" style="1313"/>
    <col min="8958" max="8959" width="7" style="1313" customWidth="1"/>
    <col min="8960" max="8960" width="50" style="1313" bestFit="1" customWidth="1"/>
    <col min="8961" max="8961" width="15" style="1313" bestFit="1" customWidth="1"/>
    <col min="8962" max="8962" width="16" style="1313" bestFit="1" customWidth="1"/>
    <col min="8963" max="8963" width="15" style="1313" bestFit="1" customWidth="1"/>
    <col min="8964" max="8964" width="13.42578125" style="1313" bestFit="1" customWidth="1"/>
    <col min="8965" max="8965" width="15.5703125" style="1313" bestFit="1" customWidth="1"/>
    <col min="8966" max="8966" width="11.28515625" style="1313" bestFit="1" customWidth="1"/>
    <col min="8967" max="8967" width="15.5703125" style="1313" customWidth="1"/>
    <col min="8968" max="8968" width="15" style="1313" bestFit="1" customWidth="1"/>
    <col min="8969" max="8969" width="13.42578125" style="1313" bestFit="1" customWidth="1"/>
    <col min="8970" max="8970" width="15.5703125" style="1313" bestFit="1" customWidth="1"/>
    <col min="8971" max="8971" width="11.28515625" style="1313" bestFit="1" customWidth="1"/>
    <col min="8972" max="8972" width="17" style="1313" customWidth="1"/>
    <col min="8973" max="8973" width="16" style="1313" bestFit="1" customWidth="1"/>
    <col min="8974" max="9213" width="9.140625" style="1313"/>
    <col min="9214" max="9215" width="7" style="1313" customWidth="1"/>
    <col min="9216" max="9216" width="50" style="1313" bestFit="1" customWidth="1"/>
    <col min="9217" max="9217" width="15" style="1313" bestFit="1" customWidth="1"/>
    <col min="9218" max="9218" width="16" style="1313" bestFit="1" customWidth="1"/>
    <col min="9219" max="9219" width="15" style="1313" bestFit="1" customWidth="1"/>
    <col min="9220" max="9220" width="13.42578125" style="1313" bestFit="1" customWidth="1"/>
    <col min="9221" max="9221" width="15.5703125" style="1313" bestFit="1" customWidth="1"/>
    <col min="9222" max="9222" width="11.28515625" style="1313" bestFit="1" customWidth="1"/>
    <col min="9223" max="9223" width="15.5703125" style="1313" customWidth="1"/>
    <col min="9224" max="9224" width="15" style="1313" bestFit="1" customWidth="1"/>
    <col min="9225" max="9225" width="13.42578125" style="1313" bestFit="1" customWidth="1"/>
    <col min="9226" max="9226" width="15.5703125" style="1313" bestFit="1" customWidth="1"/>
    <col min="9227" max="9227" width="11.28515625" style="1313" bestFit="1" customWidth="1"/>
    <col min="9228" max="9228" width="17" style="1313" customWidth="1"/>
    <col min="9229" max="9229" width="16" style="1313" bestFit="1" customWidth="1"/>
    <col min="9230" max="9469" width="9.140625" style="1313"/>
    <col min="9470" max="9471" width="7" style="1313" customWidth="1"/>
    <col min="9472" max="9472" width="50" style="1313" bestFit="1" customWidth="1"/>
    <col min="9473" max="9473" width="15" style="1313" bestFit="1" customWidth="1"/>
    <col min="9474" max="9474" width="16" style="1313" bestFit="1" customWidth="1"/>
    <col min="9475" max="9475" width="15" style="1313" bestFit="1" customWidth="1"/>
    <col min="9476" max="9476" width="13.42578125" style="1313" bestFit="1" customWidth="1"/>
    <col min="9477" max="9477" width="15.5703125" style="1313" bestFit="1" customWidth="1"/>
    <col min="9478" max="9478" width="11.28515625" style="1313" bestFit="1" customWidth="1"/>
    <col min="9479" max="9479" width="15.5703125" style="1313" customWidth="1"/>
    <col min="9480" max="9480" width="15" style="1313" bestFit="1" customWidth="1"/>
    <col min="9481" max="9481" width="13.42578125" style="1313" bestFit="1" customWidth="1"/>
    <col min="9482" max="9482" width="15.5703125" style="1313" bestFit="1" customWidth="1"/>
    <col min="9483" max="9483" width="11.28515625" style="1313" bestFit="1" customWidth="1"/>
    <col min="9484" max="9484" width="17" style="1313" customWidth="1"/>
    <col min="9485" max="9485" width="16" style="1313" bestFit="1" customWidth="1"/>
    <col min="9486" max="9725" width="9.140625" style="1313"/>
    <col min="9726" max="9727" width="7" style="1313" customWidth="1"/>
    <col min="9728" max="9728" width="50" style="1313" bestFit="1" customWidth="1"/>
    <col min="9729" max="9729" width="15" style="1313" bestFit="1" customWidth="1"/>
    <col min="9730" max="9730" width="16" style="1313" bestFit="1" customWidth="1"/>
    <col min="9731" max="9731" width="15" style="1313" bestFit="1" customWidth="1"/>
    <col min="9732" max="9732" width="13.42578125" style="1313" bestFit="1" customWidth="1"/>
    <col min="9733" max="9733" width="15.5703125" style="1313" bestFit="1" customWidth="1"/>
    <col min="9734" max="9734" width="11.28515625" style="1313" bestFit="1" customWidth="1"/>
    <col min="9735" max="9735" width="15.5703125" style="1313" customWidth="1"/>
    <col min="9736" max="9736" width="15" style="1313" bestFit="1" customWidth="1"/>
    <col min="9737" max="9737" width="13.42578125" style="1313" bestFit="1" customWidth="1"/>
    <col min="9738" max="9738" width="15.5703125" style="1313" bestFit="1" customWidth="1"/>
    <col min="9739" max="9739" width="11.28515625" style="1313" bestFit="1" customWidth="1"/>
    <col min="9740" max="9740" width="17" style="1313" customWidth="1"/>
    <col min="9741" max="9741" width="16" style="1313" bestFit="1" customWidth="1"/>
    <col min="9742" max="9981" width="9.140625" style="1313"/>
    <col min="9982" max="9983" width="7" style="1313" customWidth="1"/>
    <col min="9984" max="9984" width="50" style="1313" bestFit="1" customWidth="1"/>
    <col min="9985" max="9985" width="15" style="1313" bestFit="1" customWidth="1"/>
    <col min="9986" max="9986" width="16" style="1313" bestFit="1" customWidth="1"/>
    <col min="9987" max="9987" width="15" style="1313" bestFit="1" customWidth="1"/>
    <col min="9988" max="9988" width="13.42578125" style="1313" bestFit="1" customWidth="1"/>
    <col min="9989" max="9989" width="15.5703125" style="1313" bestFit="1" customWidth="1"/>
    <col min="9990" max="9990" width="11.28515625" style="1313" bestFit="1" customWidth="1"/>
    <col min="9991" max="9991" width="15.5703125" style="1313" customWidth="1"/>
    <col min="9992" max="9992" width="15" style="1313" bestFit="1" customWidth="1"/>
    <col min="9993" max="9993" width="13.42578125" style="1313" bestFit="1" customWidth="1"/>
    <col min="9994" max="9994" width="15.5703125" style="1313" bestFit="1" customWidth="1"/>
    <col min="9995" max="9995" width="11.28515625" style="1313" bestFit="1" customWidth="1"/>
    <col min="9996" max="9996" width="17" style="1313" customWidth="1"/>
    <col min="9997" max="9997" width="16" style="1313" bestFit="1" customWidth="1"/>
    <col min="9998" max="10237" width="9.140625" style="1313"/>
    <col min="10238" max="10239" width="7" style="1313" customWidth="1"/>
    <col min="10240" max="10240" width="50" style="1313" bestFit="1" customWidth="1"/>
    <col min="10241" max="10241" width="15" style="1313" bestFit="1" customWidth="1"/>
    <col min="10242" max="10242" width="16" style="1313" bestFit="1" customWidth="1"/>
    <col min="10243" max="10243" width="15" style="1313" bestFit="1" customWidth="1"/>
    <col min="10244" max="10244" width="13.42578125" style="1313" bestFit="1" customWidth="1"/>
    <col min="10245" max="10245" width="15.5703125" style="1313" bestFit="1" customWidth="1"/>
    <col min="10246" max="10246" width="11.28515625" style="1313" bestFit="1" customWidth="1"/>
    <col min="10247" max="10247" width="15.5703125" style="1313" customWidth="1"/>
    <col min="10248" max="10248" width="15" style="1313" bestFit="1" customWidth="1"/>
    <col min="10249" max="10249" width="13.42578125" style="1313" bestFit="1" customWidth="1"/>
    <col min="10250" max="10250" width="15.5703125" style="1313" bestFit="1" customWidth="1"/>
    <col min="10251" max="10251" width="11.28515625" style="1313" bestFit="1" customWidth="1"/>
    <col min="10252" max="10252" width="17" style="1313" customWidth="1"/>
    <col min="10253" max="10253" width="16" style="1313" bestFit="1" customWidth="1"/>
    <col min="10254" max="10493" width="9.140625" style="1313"/>
    <col min="10494" max="10495" width="7" style="1313" customWidth="1"/>
    <col min="10496" max="10496" width="50" style="1313" bestFit="1" customWidth="1"/>
    <col min="10497" max="10497" width="15" style="1313" bestFit="1" customWidth="1"/>
    <col min="10498" max="10498" width="16" style="1313" bestFit="1" customWidth="1"/>
    <col min="10499" max="10499" width="15" style="1313" bestFit="1" customWidth="1"/>
    <col min="10500" max="10500" width="13.42578125" style="1313" bestFit="1" customWidth="1"/>
    <col min="10501" max="10501" width="15.5703125" style="1313" bestFit="1" customWidth="1"/>
    <col min="10502" max="10502" width="11.28515625" style="1313" bestFit="1" customWidth="1"/>
    <col min="10503" max="10503" width="15.5703125" style="1313" customWidth="1"/>
    <col min="10504" max="10504" width="15" style="1313" bestFit="1" customWidth="1"/>
    <col min="10505" max="10505" width="13.42578125" style="1313" bestFit="1" customWidth="1"/>
    <col min="10506" max="10506" width="15.5703125" style="1313" bestFit="1" customWidth="1"/>
    <col min="10507" max="10507" width="11.28515625" style="1313" bestFit="1" customWidth="1"/>
    <col min="10508" max="10508" width="17" style="1313" customWidth="1"/>
    <col min="10509" max="10509" width="16" style="1313" bestFit="1" customWidth="1"/>
    <col min="10510" max="10749" width="9.140625" style="1313"/>
    <col min="10750" max="10751" width="7" style="1313" customWidth="1"/>
    <col min="10752" max="10752" width="50" style="1313" bestFit="1" customWidth="1"/>
    <col min="10753" max="10753" width="15" style="1313" bestFit="1" customWidth="1"/>
    <col min="10754" max="10754" width="16" style="1313" bestFit="1" customWidth="1"/>
    <col min="10755" max="10755" width="15" style="1313" bestFit="1" customWidth="1"/>
    <col min="10756" max="10756" width="13.42578125" style="1313" bestFit="1" customWidth="1"/>
    <col min="10757" max="10757" width="15.5703125" style="1313" bestFit="1" customWidth="1"/>
    <col min="10758" max="10758" width="11.28515625" style="1313" bestFit="1" customWidth="1"/>
    <col min="10759" max="10759" width="15.5703125" style="1313" customWidth="1"/>
    <col min="10760" max="10760" width="15" style="1313" bestFit="1" customWidth="1"/>
    <col min="10761" max="10761" width="13.42578125" style="1313" bestFit="1" customWidth="1"/>
    <col min="10762" max="10762" width="15.5703125" style="1313" bestFit="1" customWidth="1"/>
    <col min="10763" max="10763" width="11.28515625" style="1313" bestFit="1" customWidth="1"/>
    <col min="10764" max="10764" width="17" style="1313" customWidth="1"/>
    <col min="10765" max="10765" width="16" style="1313" bestFit="1" customWidth="1"/>
    <col min="10766" max="11005" width="9.140625" style="1313"/>
    <col min="11006" max="11007" width="7" style="1313" customWidth="1"/>
    <col min="11008" max="11008" width="50" style="1313" bestFit="1" customWidth="1"/>
    <col min="11009" max="11009" width="15" style="1313" bestFit="1" customWidth="1"/>
    <col min="11010" max="11010" width="16" style="1313" bestFit="1" customWidth="1"/>
    <col min="11011" max="11011" width="15" style="1313" bestFit="1" customWidth="1"/>
    <col min="11012" max="11012" width="13.42578125" style="1313" bestFit="1" customWidth="1"/>
    <col min="11013" max="11013" width="15.5703125" style="1313" bestFit="1" customWidth="1"/>
    <col min="11014" max="11014" width="11.28515625" style="1313" bestFit="1" customWidth="1"/>
    <col min="11015" max="11015" width="15.5703125" style="1313" customWidth="1"/>
    <col min="11016" max="11016" width="15" style="1313" bestFit="1" customWidth="1"/>
    <col min="11017" max="11017" width="13.42578125" style="1313" bestFit="1" customWidth="1"/>
    <col min="11018" max="11018" width="15.5703125" style="1313" bestFit="1" customWidth="1"/>
    <col min="11019" max="11019" width="11.28515625" style="1313" bestFit="1" customWidth="1"/>
    <col min="11020" max="11020" width="17" style="1313" customWidth="1"/>
    <col min="11021" max="11021" width="16" style="1313" bestFit="1" customWidth="1"/>
    <col min="11022" max="11261" width="9.140625" style="1313"/>
    <col min="11262" max="11263" width="7" style="1313" customWidth="1"/>
    <col min="11264" max="11264" width="50" style="1313" bestFit="1" customWidth="1"/>
    <col min="11265" max="11265" width="15" style="1313" bestFit="1" customWidth="1"/>
    <col min="11266" max="11266" width="16" style="1313" bestFit="1" customWidth="1"/>
    <col min="11267" max="11267" width="15" style="1313" bestFit="1" customWidth="1"/>
    <col min="11268" max="11268" width="13.42578125" style="1313" bestFit="1" customWidth="1"/>
    <col min="11269" max="11269" width="15.5703125" style="1313" bestFit="1" customWidth="1"/>
    <col min="11270" max="11270" width="11.28515625" style="1313" bestFit="1" customWidth="1"/>
    <col min="11271" max="11271" width="15.5703125" style="1313" customWidth="1"/>
    <col min="11272" max="11272" width="15" style="1313" bestFit="1" customWidth="1"/>
    <col min="11273" max="11273" width="13.42578125" style="1313" bestFit="1" customWidth="1"/>
    <col min="11274" max="11274" width="15.5703125" style="1313" bestFit="1" customWidth="1"/>
    <col min="11275" max="11275" width="11.28515625" style="1313" bestFit="1" customWidth="1"/>
    <col min="11276" max="11276" width="17" style="1313" customWidth="1"/>
    <col min="11277" max="11277" width="16" style="1313" bestFit="1" customWidth="1"/>
    <col min="11278" max="11517" width="9.140625" style="1313"/>
    <col min="11518" max="11519" width="7" style="1313" customWidth="1"/>
    <col min="11520" max="11520" width="50" style="1313" bestFit="1" customWidth="1"/>
    <col min="11521" max="11521" width="15" style="1313" bestFit="1" customWidth="1"/>
    <col min="11522" max="11522" width="16" style="1313" bestFit="1" customWidth="1"/>
    <col min="11523" max="11523" width="15" style="1313" bestFit="1" customWidth="1"/>
    <col min="11524" max="11524" width="13.42578125" style="1313" bestFit="1" customWidth="1"/>
    <col min="11525" max="11525" width="15.5703125" style="1313" bestFit="1" customWidth="1"/>
    <col min="11526" max="11526" width="11.28515625" style="1313" bestFit="1" customWidth="1"/>
    <col min="11527" max="11527" width="15.5703125" style="1313" customWidth="1"/>
    <col min="11528" max="11528" width="15" style="1313" bestFit="1" customWidth="1"/>
    <col min="11529" max="11529" width="13.42578125" style="1313" bestFit="1" customWidth="1"/>
    <col min="11530" max="11530" width="15.5703125" style="1313" bestFit="1" customWidth="1"/>
    <col min="11531" max="11531" width="11.28515625" style="1313" bestFit="1" customWidth="1"/>
    <col min="11532" max="11532" width="17" style="1313" customWidth="1"/>
    <col min="11533" max="11533" width="16" style="1313" bestFit="1" customWidth="1"/>
    <col min="11534" max="11773" width="9.140625" style="1313"/>
    <col min="11774" max="11775" width="7" style="1313" customWidth="1"/>
    <col min="11776" max="11776" width="50" style="1313" bestFit="1" customWidth="1"/>
    <col min="11777" max="11777" width="15" style="1313" bestFit="1" customWidth="1"/>
    <col min="11778" max="11778" width="16" style="1313" bestFit="1" customWidth="1"/>
    <col min="11779" max="11779" width="15" style="1313" bestFit="1" customWidth="1"/>
    <col min="11780" max="11780" width="13.42578125" style="1313" bestFit="1" customWidth="1"/>
    <col min="11781" max="11781" width="15.5703125" style="1313" bestFit="1" customWidth="1"/>
    <col min="11782" max="11782" width="11.28515625" style="1313" bestFit="1" customWidth="1"/>
    <col min="11783" max="11783" width="15.5703125" style="1313" customWidth="1"/>
    <col min="11784" max="11784" width="15" style="1313" bestFit="1" customWidth="1"/>
    <col min="11785" max="11785" width="13.42578125" style="1313" bestFit="1" customWidth="1"/>
    <col min="11786" max="11786" width="15.5703125" style="1313" bestFit="1" customWidth="1"/>
    <col min="11787" max="11787" width="11.28515625" style="1313" bestFit="1" customWidth="1"/>
    <col min="11788" max="11788" width="17" style="1313" customWidth="1"/>
    <col min="11789" max="11789" width="16" style="1313" bestFit="1" customWidth="1"/>
    <col min="11790" max="12029" width="9.140625" style="1313"/>
    <col min="12030" max="12031" width="7" style="1313" customWidth="1"/>
    <col min="12032" max="12032" width="50" style="1313" bestFit="1" customWidth="1"/>
    <col min="12033" max="12033" width="15" style="1313" bestFit="1" customWidth="1"/>
    <col min="12034" max="12034" width="16" style="1313" bestFit="1" customWidth="1"/>
    <col min="12035" max="12035" width="15" style="1313" bestFit="1" customWidth="1"/>
    <col min="12036" max="12036" width="13.42578125" style="1313" bestFit="1" customWidth="1"/>
    <col min="12037" max="12037" width="15.5703125" style="1313" bestFit="1" customWidth="1"/>
    <col min="12038" max="12038" width="11.28515625" style="1313" bestFit="1" customWidth="1"/>
    <col min="12039" max="12039" width="15.5703125" style="1313" customWidth="1"/>
    <col min="12040" max="12040" width="15" style="1313" bestFit="1" customWidth="1"/>
    <col min="12041" max="12041" width="13.42578125" style="1313" bestFit="1" customWidth="1"/>
    <col min="12042" max="12042" width="15.5703125" style="1313" bestFit="1" customWidth="1"/>
    <col min="12043" max="12043" width="11.28515625" style="1313" bestFit="1" customWidth="1"/>
    <col min="12044" max="12044" width="17" style="1313" customWidth="1"/>
    <col min="12045" max="12045" width="16" style="1313" bestFit="1" customWidth="1"/>
    <col min="12046" max="12285" width="9.140625" style="1313"/>
    <col min="12286" max="12287" width="7" style="1313" customWidth="1"/>
    <col min="12288" max="12288" width="50" style="1313" bestFit="1" customWidth="1"/>
    <col min="12289" max="12289" width="15" style="1313" bestFit="1" customWidth="1"/>
    <col min="12290" max="12290" width="16" style="1313" bestFit="1" customWidth="1"/>
    <col min="12291" max="12291" width="15" style="1313" bestFit="1" customWidth="1"/>
    <col min="12292" max="12292" width="13.42578125" style="1313" bestFit="1" customWidth="1"/>
    <col min="12293" max="12293" width="15.5703125" style="1313" bestFit="1" customWidth="1"/>
    <col min="12294" max="12294" width="11.28515625" style="1313" bestFit="1" customWidth="1"/>
    <col min="12295" max="12295" width="15.5703125" style="1313" customWidth="1"/>
    <col min="12296" max="12296" width="15" style="1313" bestFit="1" customWidth="1"/>
    <col min="12297" max="12297" width="13.42578125" style="1313" bestFit="1" customWidth="1"/>
    <col min="12298" max="12298" width="15.5703125" style="1313" bestFit="1" customWidth="1"/>
    <col min="12299" max="12299" width="11.28515625" style="1313" bestFit="1" customWidth="1"/>
    <col min="12300" max="12300" width="17" style="1313" customWidth="1"/>
    <col min="12301" max="12301" width="16" style="1313" bestFit="1" customWidth="1"/>
    <col min="12302" max="12541" width="9.140625" style="1313"/>
    <col min="12542" max="12543" width="7" style="1313" customWidth="1"/>
    <col min="12544" max="12544" width="50" style="1313" bestFit="1" customWidth="1"/>
    <col min="12545" max="12545" width="15" style="1313" bestFit="1" customWidth="1"/>
    <col min="12546" max="12546" width="16" style="1313" bestFit="1" customWidth="1"/>
    <col min="12547" max="12547" width="15" style="1313" bestFit="1" customWidth="1"/>
    <col min="12548" max="12548" width="13.42578125" style="1313" bestFit="1" customWidth="1"/>
    <col min="12549" max="12549" width="15.5703125" style="1313" bestFit="1" customWidth="1"/>
    <col min="12550" max="12550" width="11.28515625" style="1313" bestFit="1" customWidth="1"/>
    <col min="12551" max="12551" width="15.5703125" style="1313" customWidth="1"/>
    <col min="12552" max="12552" width="15" style="1313" bestFit="1" customWidth="1"/>
    <col min="12553" max="12553" width="13.42578125" style="1313" bestFit="1" customWidth="1"/>
    <col min="12554" max="12554" width="15.5703125" style="1313" bestFit="1" customWidth="1"/>
    <col min="12555" max="12555" width="11.28515625" style="1313" bestFit="1" customWidth="1"/>
    <col min="12556" max="12556" width="17" style="1313" customWidth="1"/>
    <col min="12557" max="12557" width="16" style="1313" bestFit="1" customWidth="1"/>
    <col min="12558" max="12797" width="9.140625" style="1313"/>
    <col min="12798" max="12799" width="7" style="1313" customWidth="1"/>
    <col min="12800" max="12800" width="50" style="1313" bestFit="1" customWidth="1"/>
    <col min="12801" max="12801" width="15" style="1313" bestFit="1" customWidth="1"/>
    <col min="12802" max="12802" width="16" style="1313" bestFit="1" customWidth="1"/>
    <col min="12803" max="12803" width="15" style="1313" bestFit="1" customWidth="1"/>
    <col min="12804" max="12804" width="13.42578125" style="1313" bestFit="1" customWidth="1"/>
    <col min="12805" max="12805" width="15.5703125" style="1313" bestFit="1" customWidth="1"/>
    <col min="12806" max="12806" width="11.28515625" style="1313" bestFit="1" customWidth="1"/>
    <col min="12807" max="12807" width="15.5703125" style="1313" customWidth="1"/>
    <col min="12808" max="12808" width="15" style="1313" bestFit="1" customWidth="1"/>
    <col min="12809" max="12809" width="13.42578125" style="1313" bestFit="1" customWidth="1"/>
    <col min="12810" max="12810" width="15.5703125" style="1313" bestFit="1" customWidth="1"/>
    <col min="12811" max="12811" width="11.28515625" style="1313" bestFit="1" customWidth="1"/>
    <col min="12812" max="12812" width="17" style="1313" customWidth="1"/>
    <col min="12813" max="12813" width="16" style="1313" bestFit="1" customWidth="1"/>
    <col min="12814" max="13053" width="9.140625" style="1313"/>
    <col min="13054" max="13055" width="7" style="1313" customWidth="1"/>
    <col min="13056" max="13056" width="50" style="1313" bestFit="1" customWidth="1"/>
    <col min="13057" max="13057" width="15" style="1313" bestFit="1" customWidth="1"/>
    <col min="13058" max="13058" width="16" style="1313" bestFit="1" customWidth="1"/>
    <col min="13059" max="13059" width="15" style="1313" bestFit="1" customWidth="1"/>
    <col min="13060" max="13060" width="13.42578125" style="1313" bestFit="1" customWidth="1"/>
    <col min="13061" max="13061" width="15.5703125" style="1313" bestFit="1" customWidth="1"/>
    <col min="13062" max="13062" width="11.28515625" style="1313" bestFit="1" customWidth="1"/>
    <col min="13063" max="13063" width="15.5703125" style="1313" customWidth="1"/>
    <col min="13064" max="13064" width="15" style="1313" bestFit="1" customWidth="1"/>
    <col min="13065" max="13065" width="13.42578125" style="1313" bestFit="1" customWidth="1"/>
    <col min="13066" max="13066" width="15.5703125" style="1313" bestFit="1" customWidth="1"/>
    <col min="13067" max="13067" width="11.28515625" style="1313" bestFit="1" customWidth="1"/>
    <col min="13068" max="13068" width="17" style="1313" customWidth="1"/>
    <col min="13069" max="13069" width="16" style="1313" bestFit="1" customWidth="1"/>
    <col min="13070" max="13309" width="9.140625" style="1313"/>
    <col min="13310" max="13311" width="7" style="1313" customWidth="1"/>
    <col min="13312" max="13312" width="50" style="1313" bestFit="1" customWidth="1"/>
    <col min="13313" max="13313" width="15" style="1313" bestFit="1" customWidth="1"/>
    <col min="13314" max="13314" width="16" style="1313" bestFit="1" customWidth="1"/>
    <col min="13315" max="13315" width="15" style="1313" bestFit="1" customWidth="1"/>
    <col min="13316" max="13316" width="13.42578125" style="1313" bestFit="1" customWidth="1"/>
    <col min="13317" max="13317" width="15.5703125" style="1313" bestFit="1" customWidth="1"/>
    <col min="13318" max="13318" width="11.28515625" style="1313" bestFit="1" customWidth="1"/>
    <col min="13319" max="13319" width="15.5703125" style="1313" customWidth="1"/>
    <col min="13320" max="13320" width="15" style="1313" bestFit="1" customWidth="1"/>
    <col min="13321" max="13321" width="13.42578125" style="1313" bestFit="1" customWidth="1"/>
    <col min="13322" max="13322" width="15.5703125" style="1313" bestFit="1" customWidth="1"/>
    <col min="13323" max="13323" width="11.28515625" style="1313" bestFit="1" customWidth="1"/>
    <col min="13324" max="13324" width="17" style="1313" customWidth="1"/>
    <col min="13325" max="13325" width="16" style="1313" bestFit="1" customWidth="1"/>
    <col min="13326" max="13565" width="9.140625" style="1313"/>
    <col min="13566" max="13567" width="7" style="1313" customWidth="1"/>
    <col min="13568" max="13568" width="50" style="1313" bestFit="1" customWidth="1"/>
    <col min="13569" max="13569" width="15" style="1313" bestFit="1" customWidth="1"/>
    <col min="13570" max="13570" width="16" style="1313" bestFit="1" customWidth="1"/>
    <col min="13571" max="13571" width="15" style="1313" bestFit="1" customWidth="1"/>
    <col min="13572" max="13572" width="13.42578125" style="1313" bestFit="1" customWidth="1"/>
    <col min="13573" max="13573" width="15.5703125" style="1313" bestFit="1" customWidth="1"/>
    <col min="13574" max="13574" width="11.28515625" style="1313" bestFit="1" customWidth="1"/>
    <col min="13575" max="13575" width="15.5703125" style="1313" customWidth="1"/>
    <col min="13576" max="13576" width="15" style="1313" bestFit="1" customWidth="1"/>
    <col min="13577" max="13577" width="13.42578125" style="1313" bestFit="1" customWidth="1"/>
    <col min="13578" max="13578" width="15.5703125" style="1313" bestFit="1" customWidth="1"/>
    <col min="13579" max="13579" width="11.28515625" style="1313" bestFit="1" customWidth="1"/>
    <col min="13580" max="13580" width="17" style="1313" customWidth="1"/>
    <col min="13581" max="13581" width="16" style="1313" bestFit="1" customWidth="1"/>
    <col min="13582" max="13821" width="9.140625" style="1313"/>
    <col min="13822" max="13823" width="7" style="1313" customWidth="1"/>
    <col min="13824" max="13824" width="50" style="1313" bestFit="1" customWidth="1"/>
    <col min="13825" max="13825" width="15" style="1313" bestFit="1" customWidth="1"/>
    <col min="13826" max="13826" width="16" style="1313" bestFit="1" customWidth="1"/>
    <col min="13827" max="13827" width="15" style="1313" bestFit="1" customWidth="1"/>
    <col min="13828" max="13828" width="13.42578125" style="1313" bestFit="1" customWidth="1"/>
    <col min="13829" max="13829" width="15.5703125" style="1313" bestFit="1" customWidth="1"/>
    <col min="13830" max="13830" width="11.28515625" style="1313" bestFit="1" customWidth="1"/>
    <col min="13831" max="13831" width="15.5703125" style="1313" customWidth="1"/>
    <col min="13832" max="13832" width="15" style="1313" bestFit="1" customWidth="1"/>
    <col min="13833" max="13833" width="13.42578125" style="1313" bestFit="1" customWidth="1"/>
    <col min="13834" max="13834" width="15.5703125" style="1313" bestFit="1" customWidth="1"/>
    <col min="13835" max="13835" width="11.28515625" style="1313" bestFit="1" customWidth="1"/>
    <col min="13836" max="13836" width="17" style="1313" customWidth="1"/>
    <col min="13837" max="13837" width="16" style="1313" bestFit="1" customWidth="1"/>
    <col min="13838" max="14077" width="9.140625" style="1313"/>
    <col min="14078" max="14079" width="7" style="1313" customWidth="1"/>
    <col min="14080" max="14080" width="50" style="1313" bestFit="1" customWidth="1"/>
    <col min="14081" max="14081" width="15" style="1313" bestFit="1" customWidth="1"/>
    <col min="14082" max="14082" width="16" style="1313" bestFit="1" customWidth="1"/>
    <col min="14083" max="14083" width="15" style="1313" bestFit="1" customWidth="1"/>
    <col min="14084" max="14084" width="13.42578125" style="1313" bestFit="1" customWidth="1"/>
    <col min="14085" max="14085" width="15.5703125" style="1313" bestFit="1" customWidth="1"/>
    <col min="14086" max="14086" width="11.28515625" style="1313" bestFit="1" customWidth="1"/>
    <col min="14087" max="14087" width="15.5703125" style="1313" customWidth="1"/>
    <col min="14088" max="14088" width="15" style="1313" bestFit="1" customWidth="1"/>
    <col min="14089" max="14089" width="13.42578125" style="1313" bestFit="1" customWidth="1"/>
    <col min="14090" max="14090" width="15.5703125" style="1313" bestFit="1" customWidth="1"/>
    <col min="14091" max="14091" width="11.28515625" style="1313" bestFit="1" customWidth="1"/>
    <col min="14092" max="14092" width="17" style="1313" customWidth="1"/>
    <col min="14093" max="14093" width="16" style="1313" bestFit="1" customWidth="1"/>
    <col min="14094" max="14333" width="9.140625" style="1313"/>
    <col min="14334" max="14335" width="7" style="1313" customWidth="1"/>
    <col min="14336" max="14336" width="50" style="1313" bestFit="1" customWidth="1"/>
    <col min="14337" max="14337" width="15" style="1313" bestFit="1" customWidth="1"/>
    <col min="14338" max="14338" width="16" style="1313" bestFit="1" customWidth="1"/>
    <col min="14339" max="14339" width="15" style="1313" bestFit="1" customWidth="1"/>
    <col min="14340" max="14340" width="13.42578125" style="1313" bestFit="1" customWidth="1"/>
    <col min="14341" max="14341" width="15.5703125" style="1313" bestFit="1" customWidth="1"/>
    <col min="14342" max="14342" width="11.28515625" style="1313" bestFit="1" customWidth="1"/>
    <col min="14343" max="14343" width="15.5703125" style="1313" customWidth="1"/>
    <col min="14344" max="14344" width="15" style="1313" bestFit="1" customWidth="1"/>
    <col min="14345" max="14345" width="13.42578125" style="1313" bestFit="1" customWidth="1"/>
    <col min="14346" max="14346" width="15.5703125" style="1313" bestFit="1" customWidth="1"/>
    <col min="14347" max="14347" width="11.28515625" style="1313" bestFit="1" customWidth="1"/>
    <col min="14348" max="14348" width="17" style="1313" customWidth="1"/>
    <col min="14349" max="14349" width="16" style="1313" bestFit="1" customWidth="1"/>
    <col min="14350" max="14589" width="9.140625" style="1313"/>
    <col min="14590" max="14591" width="7" style="1313" customWidth="1"/>
    <col min="14592" max="14592" width="50" style="1313" bestFit="1" customWidth="1"/>
    <col min="14593" max="14593" width="15" style="1313" bestFit="1" customWidth="1"/>
    <col min="14594" max="14594" width="16" style="1313" bestFit="1" customWidth="1"/>
    <col min="14595" max="14595" width="15" style="1313" bestFit="1" customWidth="1"/>
    <col min="14596" max="14596" width="13.42578125" style="1313" bestFit="1" customWidth="1"/>
    <col min="14597" max="14597" width="15.5703125" style="1313" bestFit="1" customWidth="1"/>
    <col min="14598" max="14598" width="11.28515625" style="1313" bestFit="1" customWidth="1"/>
    <col min="14599" max="14599" width="15.5703125" style="1313" customWidth="1"/>
    <col min="14600" max="14600" width="15" style="1313" bestFit="1" customWidth="1"/>
    <col min="14601" max="14601" width="13.42578125" style="1313" bestFit="1" customWidth="1"/>
    <col min="14602" max="14602" width="15.5703125" style="1313" bestFit="1" customWidth="1"/>
    <col min="14603" max="14603" width="11.28515625" style="1313" bestFit="1" customWidth="1"/>
    <col min="14604" max="14604" width="17" style="1313" customWidth="1"/>
    <col min="14605" max="14605" width="16" style="1313" bestFit="1" customWidth="1"/>
    <col min="14606" max="14845" width="9.140625" style="1313"/>
    <col min="14846" max="14847" width="7" style="1313" customWidth="1"/>
    <col min="14848" max="14848" width="50" style="1313" bestFit="1" customWidth="1"/>
    <col min="14849" max="14849" width="15" style="1313" bestFit="1" customWidth="1"/>
    <col min="14850" max="14850" width="16" style="1313" bestFit="1" customWidth="1"/>
    <col min="14851" max="14851" width="15" style="1313" bestFit="1" customWidth="1"/>
    <col min="14852" max="14852" width="13.42578125" style="1313" bestFit="1" customWidth="1"/>
    <col min="14853" max="14853" width="15.5703125" style="1313" bestFit="1" customWidth="1"/>
    <col min="14854" max="14854" width="11.28515625" style="1313" bestFit="1" customWidth="1"/>
    <col min="14855" max="14855" width="15.5703125" style="1313" customWidth="1"/>
    <col min="14856" max="14856" width="15" style="1313" bestFit="1" customWidth="1"/>
    <col min="14857" max="14857" width="13.42578125" style="1313" bestFit="1" customWidth="1"/>
    <col min="14858" max="14858" width="15.5703125" style="1313" bestFit="1" customWidth="1"/>
    <col min="14859" max="14859" width="11.28515625" style="1313" bestFit="1" customWidth="1"/>
    <col min="14860" max="14860" width="17" style="1313" customWidth="1"/>
    <col min="14861" max="14861" width="16" style="1313" bestFit="1" customWidth="1"/>
    <col min="14862" max="15101" width="9.140625" style="1313"/>
    <col min="15102" max="15103" width="7" style="1313" customWidth="1"/>
    <col min="15104" max="15104" width="50" style="1313" bestFit="1" customWidth="1"/>
    <col min="15105" max="15105" width="15" style="1313" bestFit="1" customWidth="1"/>
    <col min="15106" max="15106" width="16" style="1313" bestFit="1" customWidth="1"/>
    <col min="15107" max="15107" width="15" style="1313" bestFit="1" customWidth="1"/>
    <col min="15108" max="15108" width="13.42578125" style="1313" bestFit="1" customWidth="1"/>
    <col min="15109" max="15109" width="15.5703125" style="1313" bestFit="1" customWidth="1"/>
    <col min="15110" max="15110" width="11.28515625" style="1313" bestFit="1" customWidth="1"/>
    <col min="15111" max="15111" width="15.5703125" style="1313" customWidth="1"/>
    <col min="15112" max="15112" width="15" style="1313" bestFit="1" customWidth="1"/>
    <col min="15113" max="15113" width="13.42578125" style="1313" bestFit="1" customWidth="1"/>
    <col min="15114" max="15114" width="15.5703125" style="1313" bestFit="1" customWidth="1"/>
    <col min="15115" max="15115" width="11.28515625" style="1313" bestFit="1" customWidth="1"/>
    <col min="15116" max="15116" width="17" style="1313" customWidth="1"/>
    <col min="15117" max="15117" width="16" style="1313" bestFit="1" customWidth="1"/>
    <col min="15118" max="15357" width="9.140625" style="1313"/>
    <col min="15358" max="15359" width="7" style="1313" customWidth="1"/>
    <col min="15360" max="15360" width="50" style="1313" bestFit="1" customWidth="1"/>
    <col min="15361" max="15361" width="15" style="1313" bestFit="1" customWidth="1"/>
    <col min="15362" max="15362" width="16" style="1313" bestFit="1" customWidth="1"/>
    <col min="15363" max="15363" width="15" style="1313" bestFit="1" customWidth="1"/>
    <col min="15364" max="15364" width="13.42578125" style="1313" bestFit="1" customWidth="1"/>
    <col min="15365" max="15365" width="15.5703125" style="1313" bestFit="1" customWidth="1"/>
    <col min="15366" max="15366" width="11.28515625" style="1313" bestFit="1" customWidth="1"/>
    <col min="15367" max="15367" width="15.5703125" style="1313" customWidth="1"/>
    <col min="15368" max="15368" width="15" style="1313" bestFit="1" customWidth="1"/>
    <col min="15369" max="15369" width="13.42578125" style="1313" bestFit="1" customWidth="1"/>
    <col min="15370" max="15370" width="15.5703125" style="1313" bestFit="1" customWidth="1"/>
    <col min="15371" max="15371" width="11.28515625" style="1313" bestFit="1" customWidth="1"/>
    <col min="15372" max="15372" width="17" style="1313" customWidth="1"/>
    <col min="15373" max="15373" width="16" style="1313" bestFit="1" customWidth="1"/>
    <col min="15374" max="15613" width="9.140625" style="1313"/>
    <col min="15614" max="15615" width="7" style="1313" customWidth="1"/>
    <col min="15616" max="15616" width="50" style="1313" bestFit="1" customWidth="1"/>
    <col min="15617" max="15617" width="15" style="1313" bestFit="1" customWidth="1"/>
    <col min="15618" max="15618" width="16" style="1313" bestFit="1" customWidth="1"/>
    <col min="15619" max="15619" width="15" style="1313" bestFit="1" customWidth="1"/>
    <col min="15620" max="15620" width="13.42578125" style="1313" bestFit="1" customWidth="1"/>
    <col min="15621" max="15621" width="15.5703125" style="1313" bestFit="1" customWidth="1"/>
    <col min="15622" max="15622" width="11.28515625" style="1313" bestFit="1" customWidth="1"/>
    <col min="15623" max="15623" width="15.5703125" style="1313" customWidth="1"/>
    <col min="15624" max="15624" width="15" style="1313" bestFit="1" customWidth="1"/>
    <col min="15625" max="15625" width="13.42578125" style="1313" bestFit="1" customWidth="1"/>
    <col min="15626" max="15626" width="15.5703125" style="1313" bestFit="1" customWidth="1"/>
    <col min="15627" max="15627" width="11.28515625" style="1313" bestFit="1" customWidth="1"/>
    <col min="15628" max="15628" width="17" style="1313" customWidth="1"/>
    <col min="15629" max="15629" width="16" style="1313" bestFit="1" customWidth="1"/>
    <col min="15630" max="15869" width="9.140625" style="1313"/>
    <col min="15870" max="15871" width="7" style="1313" customWidth="1"/>
    <col min="15872" max="15872" width="50" style="1313" bestFit="1" customWidth="1"/>
    <col min="15873" max="15873" width="15" style="1313" bestFit="1" customWidth="1"/>
    <col min="15874" max="15874" width="16" style="1313" bestFit="1" customWidth="1"/>
    <col min="15875" max="15875" width="15" style="1313" bestFit="1" customWidth="1"/>
    <col min="15876" max="15876" width="13.42578125" style="1313" bestFit="1" customWidth="1"/>
    <col min="15877" max="15877" width="15.5703125" style="1313" bestFit="1" customWidth="1"/>
    <col min="15878" max="15878" width="11.28515625" style="1313" bestFit="1" customWidth="1"/>
    <col min="15879" max="15879" width="15.5703125" style="1313" customWidth="1"/>
    <col min="15880" max="15880" width="15" style="1313" bestFit="1" customWidth="1"/>
    <col min="15881" max="15881" width="13.42578125" style="1313" bestFit="1" customWidth="1"/>
    <col min="15882" max="15882" width="15.5703125" style="1313" bestFit="1" customWidth="1"/>
    <col min="15883" max="15883" width="11.28515625" style="1313" bestFit="1" customWidth="1"/>
    <col min="15884" max="15884" width="17" style="1313" customWidth="1"/>
    <col min="15885" max="15885" width="16" style="1313" bestFit="1" customWidth="1"/>
    <col min="15886" max="16125" width="9.140625" style="1313"/>
    <col min="16126" max="16127" width="7" style="1313" customWidth="1"/>
    <col min="16128" max="16128" width="50" style="1313" bestFit="1" customWidth="1"/>
    <col min="16129" max="16129" width="15" style="1313" bestFit="1" customWidth="1"/>
    <col min="16130" max="16130" width="16" style="1313" bestFit="1" customWidth="1"/>
    <col min="16131" max="16131" width="15" style="1313" bestFit="1" customWidth="1"/>
    <col min="16132" max="16132" width="13.42578125" style="1313" bestFit="1" customWidth="1"/>
    <col min="16133" max="16133" width="15.5703125" style="1313" bestFit="1" customWidth="1"/>
    <col min="16134" max="16134" width="11.28515625" style="1313" bestFit="1" customWidth="1"/>
    <col min="16135" max="16135" width="15.5703125" style="1313" customWidth="1"/>
    <col min="16136" max="16136" width="15" style="1313" bestFit="1" customWidth="1"/>
    <col min="16137" max="16137" width="13.42578125" style="1313" bestFit="1" customWidth="1"/>
    <col min="16138" max="16138" width="15.5703125" style="1313" bestFit="1" customWidth="1"/>
    <col min="16139" max="16139" width="11.28515625" style="1313" bestFit="1" customWidth="1"/>
    <col min="16140" max="16140" width="17" style="1313" customWidth="1"/>
    <col min="16141" max="16141" width="16" style="1313" bestFit="1" customWidth="1"/>
    <col min="16142" max="16384" width="9.140625" style="1313"/>
  </cols>
  <sheetData>
    <row r="1" spans="1:13" s="1310" customFormat="1" x14ac:dyDescent="0.2">
      <c r="A1" s="1310" t="s">
        <v>1465</v>
      </c>
      <c r="D1" s="1311" t="s">
        <v>1466</v>
      </c>
      <c r="E1" s="1312">
        <f t="shared" ref="E1:M1" si="0">E33*2-E350</f>
        <v>0</v>
      </c>
      <c r="F1" s="1312">
        <f t="shared" si="0"/>
        <v>0</v>
      </c>
      <c r="G1" s="1312">
        <f t="shared" si="0"/>
        <v>0</v>
      </c>
      <c r="H1" s="1312">
        <f t="shared" si="0"/>
        <v>-10997.339161396027</v>
      </c>
      <c r="I1" s="1312">
        <f t="shared" si="0"/>
        <v>-10997.339162826538</v>
      </c>
      <c r="J1" s="1312">
        <f t="shared" si="0"/>
        <v>0</v>
      </c>
      <c r="K1" s="1312">
        <f t="shared" si="0"/>
        <v>-11000.530000209808</v>
      </c>
      <c r="L1" s="1312">
        <f t="shared" si="0"/>
        <v>-11000.529998779297</v>
      </c>
      <c r="M1" s="1312">
        <f t="shared" si="0"/>
        <v>-21997.869159698486</v>
      </c>
    </row>
    <row r="2" spans="1:13" s="1310" customFormat="1" x14ac:dyDescent="0.2"/>
    <row r="3" spans="1:13" s="1310" customFormat="1" x14ac:dyDescent="0.2">
      <c r="A3" s="1310" t="s">
        <v>1467</v>
      </c>
      <c r="B3" s="1310" t="s">
        <v>1468</v>
      </c>
      <c r="D3" s="1310" t="s">
        <v>1803</v>
      </c>
    </row>
    <row r="4" spans="1:13" s="1310" customFormat="1" x14ac:dyDescent="0.2">
      <c r="A4" s="1310" t="s">
        <v>1469</v>
      </c>
      <c r="B4" s="1310" t="s">
        <v>1470</v>
      </c>
      <c r="D4" s="1310" t="s">
        <v>1801</v>
      </c>
    </row>
    <row r="5" spans="1:13" s="1310" customFormat="1" x14ac:dyDescent="0.2">
      <c r="A5" s="1310" t="s">
        <v>1471</v>
      </c>
      <c r="B5" s="1310" t="s">
        <v>1472</v>
      </c>
      <c r="D5" s="1310" t="s">
        <v>1802</v>
      </c>
    </row>
    <row r="6" spans="1:13" s="1310" customFormat="1" x14ac:dyDescent="0.2">
      <c r="A6" s="1310" t="s">
        <v>1473</v>
      </c>
      <c r="B6" s="1310" t="s">
        <v>1474</v>
      </c>
      <c r="D6" s="1310" t="s">
        <v>1820</v>
      </c>
    </row>
    <row r="8" spans="1:13" x14ac:dyDescent="0.2">
      <c r="A8" s="1313" t="s">
        <v>1475</v>
      </c>
      <c r="B8" s="1313" t="s">
        <v>1476</v>
      </c>
      <c r="C8" s="1313" t="s">
        <v>1477</v>
      </c>
      <c r="D8" s="1313" t="s">
        <v>1478</v>
      </c>
      <c r="E8" s="1313" t="s">
        <v>1479</v>
      </c>
      <c r="F8" s="1313" t="s">
        <v>1480</v>
      </c>
      <c r="G8" s="1313" t="s">
        <v>1481</v>
      </c>
      <c r="H8" s="1313" t="s">
        <v>1482</v>
      </c>
      <c r="I8" s="1313" t="s">
        <v>1483</v>
      </c>
      <c r="J8" s="1313" t="s">
        <v>1480</v>
      </c>
      <c r="K8" s="1313" t="s">
        <v>1482</v>
      </c>
      <c r="L8" s="1313" t="s">
        <v>1484</v>
      </c>
      <c r="M8" s="1313" t="s">
        <v>1485</v>
      </c>
    </row>
    <row r="9" spans="1:13" s="1314" customFormat="1" ht="15" outlineLevel="2" x14ac:dyDescent="0.25">
      <c r="A9" s="1314" t="s">
        <v>1486</v>
      </c>
      <c r="B9" s="1315">
        <v>2501</v>
      </c>
      <c r="C9" s="1314" t="s">
        <v>1487</v>
      </c>
      <c r="D9" s="1316">
        <v>1396939483</v>
      </c>
      <c r="E9" s="1316">
        <v>1223780931</v>
      </c>
      <c r="F9" s="1314">
        <v>1340877248</v>
      </c>
      <c r="G9" s="1314">
        <v>0</v>
      </c>
      <c r="H9" s="1314">
        <f>SUMIF('1.3 Budgeted Revenues YR1'!$A$8:$A$33,B9,'1.3 Budgeted Revenues YR1'!$C$8:$C$33)-F9</f>
        <v>-202881284</v>
      </c>
      <c r="I9" s="1317">
        <f>SUM($F9:H9)</f>
        <v>1137995964</v>
      </c>
      <c r="J9" s="1314">
        <v>1117717480</v>
      </c>
      <c r="K9" s="1314">
        <f>SUMIF('5.3 Budgeted Revenues YR2'!$A$8:$A$33,B9,'5.3 Budgeted Revenues YR2'!$C$8:$C$33)-J9</f>
        <v>370278484</v>
      </c>
      <c r="L9" s="1317">
        <f t="shared" ref="L9:L32" si="1">SUM(J9:K9)</f>
        <v>1487995964</v>
      </c>
      <c r="M9" s="1317">
        <f t="shared" ref="M9:M32" si="2">+I9+L9</f>
        <v>2625991928</v>
      </c>
    </row>
    <row r="10" spans="1:13" s="1314" customFormat="1" ht="15" outlineLevel="2" x14ac:dyDescent="0.25">
      <c r="A10" s="1314" t="s">
        <v>1486</v>
      </c>
      <c r="B10" s="1315">
        <v>2511</v>
      </c>
      <c r="C10" s="1314" t="s">
        <v>1488</v>
      </c>
      <c r="D10" s="1316">
        <v>9000009</v>
      </c>
      <c r="E10" s="1316">
        <v>549478081</v>
      </c>
      <c r="F10" s="1431">
        <v>25531000</v>
      </c>
      <c r="G10" s="1314">
        <v>0</v>
      </c>
      <c r="H10" s="1314">
        <f>SUMIF('1.3 Budgeted Revenues YR1'!$A$8:$A$33,B10,'1.3 Budgeted Revenues YR1'!$C$8:$C$33)-F10</f>
        <v>283284945.48083806</v>
      </c>
      <c r="I10" s="1317">
        <f>SUM($F10:H10)</f>
        <v>308815945.48083806</v>
      </c>
      <c r="J10" s="1431">
        <v>23463000</v>
      </c>
      <c r="K10" s="1314">
        <f>SUMIF('5.3 Budgeted Revenues YR2'!$A$8:$A$33,B10,'5.3 Budgeted Revenues YR2'!$C$8:$C$33)-J10</f>
        <v>-3861000</v>
      </c>
      <c r="L10" s="1317">
        <f t="shared" si="1"/>
        <v>19602000</v>
      </c>
      <c r="M10" s="1317">
        <f t="shared" si="2"/>
        <v>328417945.48083806</v>
      </c>
    </row>
    <row r="11" spans="1:13" s="1314" customFormat="1" ht="15" outlineLevel="2" x14ac:dyDescent="0.25">
      <c r="A11" s="1314" t="s">
        <v>1486</v>
      </c>
      <c r="B11" s="1315">
        <v>2512</v>
      </c>
      <c r="C11" s="1314" t="s">
        <v>1489</v>
      </c>
      <c r="D11" s="1316">
        <v>-549478081</v>
      </c>
      <c r="E11" s="1316">
        <v>0</v>
      </c>
      <c r="F11" s="1314">
        <v>0</v>
      </c>
      <c r="G11" s="1314">
        <v>0</v>
      </c>
      <c r="H11" s="1314">
        <f>SUMIF('1.3 Budgeted Revenues YR1'!$A$8:$A$33,B11,'1.3 Budgeted Revenues YR1'!$C$8:$C$33)-F11</f>
        <v>0</v>
      </c>
      <c r="I11" s="1317">
        <f>SUM($F11:H11)</f>
        <v>0</v>
      </c>
      <c r="J11" s="1314">
        <v>0</v>
      </c>
      <c r="K11" s="1314">
        <f>SUMIF('5.3 Budgeted Revenues YR2'!$A$8:$A$33,B11,'5.3 Budgeted Revenues YR2'!$C$8:$C$33)-J11</f>
        <v>0</v>
      </c>
      <c r="L11" s="1317">
        <f t="shared" si="1"/>
        <v>0</v>
      </c>
      <c r="M11" s="1317">
        <f t="shared" si="2"/>
        <v>0</v>
      </c>
    </row>
    <row r="12" spans="1:13" s="1314" customFormat="1" ht="15" outlineLevel="2" x14ac:dyDescent="0.25">
      <c r="A12" s="1314" t="s">
        <v>1486</v>
      </c>
      <c r="B12" s="1315">
        <v>3064</v>
      </c>
      <c r="C12" s="1314" t="s">
        <v>1490</v>
      </c>
      <c r="D12" s="1316">
        <v>0</v>
      </c>
      <c r="E12" s="1316">
        <v>0</v>
      </c>
      <c r="F12" s="1314">
        <v>0</v>
      </c>
      <c r="G12" s="1314">
        <v>0</v>
      </c>
      <c r="H12" s="1314">
        <f>SUMIF('1.3 Budgeted Revenues YR1'!$A$8:$A$33,B12,'1.3 Budgeted Revenues YR1'!$C$8:$C$33)-F12</f>
        <v>37525000</v>
      </c>
      <c r="I12" s="1317">
        <f>SUM($F12:H12)</f>
        <v>37525000</v>
      </c>
      <c r="J12" s="1314">
        <v>71067000</v>
      </c>
      <c r="K12" s="1314">
        <f>SUMIF('5.3 Budgeted Revenues YR2'!$A$8:$A$33,B12,'5.3 Budgeted Revenues YR2'!$C$8:$C$33)-J12</f>
        <v>-12762000</v>
      </c>
      <c r="L12" s="1317">
        <f t="shared" si="1"/>
        <v>58305000</v>
      </c>
      <c r="M12" s="1317">
        <f t="shared" si="2"/>
        <v>95830000</v>
      </c>
    </row>
    <row r="13" spans="1:13" s="1314" customFormat="1" ht="15" outlineLevel="2" x14ac:dyDescent="0.25">
      <c r="A13" s="1314" t="s">
        <v>1486</v>
      </c>
      <c r="B13" s="1315">
        <v>3074</v>
      </c>
      <c r="C13" s="1314" t="s">
        <v>1491</v>
      </c>
      <c r="D13" s="1316">
        <v>0</v>
      </c>
      <c r="E13" s="1316">
        <v>0</v>
      </c>
      <c r="F13" s="1314">
        <v>80996000</v>
      </c>
      <c r="G13" s="1314">
        <v>0</v>
      </c>
      <c r="H13" s="1314">
        <f>SUMIF('1.3 Budgeted Revenues YR1'!$A$8:$A$33,B13,'1.3 Budgeted Revenues YR1'!$C$8:$C$33)-F13</f>
        <v>-15249000</v>
      </c>
      <c r="I13" s="1317">
        <f>SUM($F13:H13)</f>
        <v>65747000</v>
      </c>
      <c r="J13" s="1314">
        <v>80996000</v>
      </c>
      <c r="K13" s="1314">
        <f>SUMIF('5.3 Budgeted Revenues YR2'!$A$8:$A$33,B13,'5.3 Budgeted Revenues YR2'!$C$8:$C$33)-J13</f>
        <v>-17933000</v>
      </c>
      <c r="L13" s="1317">
        <f t="shared" si="1"/>
        <v>63063000</v>
      </c>
      <c r="M13" s="1317">
        <f t="shared" si="2"/>
        <v>128810000</v>
      </c>
    </row>
    <row r="14" spans="1:13" s="1314" customFormat="1" ht="15" outlineLevel="2" x14ac:dyDescent="0.25">
      <c r="A14" s="1314" t="s">
        <v>1486</v>
      </c>
      <c r="B14" s="1315">
        <v>3324</v>
      </c>
      <c r="C14" s="1314" t="s">
        <v>1492</v>
      </c>
      <c r="D14" s="1316">
        <v>124174029</v>
      </c>
      <c r="E14" s="1316">
        <v>125635000</v>
      </c>
      <c r="F14" s="1314">
        <v>111836528</v>
      </c>
      <c r="G14" s="1314">
        <v>0</v>
      </c>
      <c r="H14" s="1314">
        <f>SUMIF('1.3 Budgeted Revenues YR1'!$A$8:$A$33,B14,'1.3 Budgeted Revenues YR1'!$C$8:$C$33)-F14</f>
        <v>18303472</v>
      </c>
      <c r="I14" s="1317">
        <f>SUM($F14:H14)</f>
        <v>130140000</v>
      </c>
      <c r="J14" s="1314">
        <v>117875700</v>
      </c>
      <c r="K14" s="1314">
        <f>SUMIF('5.3 Budgeted Revenues YR2'!$A$8:$A$33,B14,'5.3 Budgeted Revenues YR2'!$C$8:$C$33)-J14</f>
        <v>16623300</v>
      </c>
      <c r="L14" s="1317">
        <f t="shared" si="1"/>
        <v>134499000</v>
      </c>
      <c r="M14" s="1317">
        <f t="shared" si="2"/>
        <v>264639000</v>
      </c>
    </row>
    <row r="15" spans="1:13" s="1314" customFormat="1" ht="15" outlineLevel="2" x14ac:dyDescent="0.25">
      <c r="A15" s="1314" t="s">
        <v>1486</v>
      </c>
      <c r="B15" s="1315">
        <v>3325</v>
      </c>
      <c r="C15" s="1314" t="s">
        <v>1493</v>
      </c>
      <c r="D15" s="1316">
        <v>89314456</v>
      </c>
      <c r="E15" s="1316">
        <v>94934000</v>
      </c>
      <c r="F15" s="1314">
        <v>80621005</v>
      </c>
      <c r="G15" s="1314">
        <v>0</v>
      </c>
      <c r="H15" s="1314">
        <f>SUMIF('1.3 Budgeted Revenues YR1'!$A$8:$A$33,B15,'1.3 Budgeted Revenues YR1'!$C$8:$C$33)-F15</f>
        <v>-4584005</v>
      </c>
      <c r="I15" s="1317">
        <f>SUM($F15:H15)</f>
        <v>76037000</v>
      </c>
      <c r="J15" s="1314">
        <v>84974539</v>
      </c>
      <c r="K15" s="1314">
        <f>SUMIF('5.3 Budgeted Revenues YR2'!$A$8:$A$33,B15,'5.3 Budgeted Revenues YR2'!$C$8:$C$33)-J15</f>
        <v>-9570539</v>
      </c>
      <c r="L15" s="1317">
        <f t="shared" si="1"/>
        <v>75404000</v>
      </c>
      <c r="M15" s="1317">
        <f t="shared" si="2"/>
        <v>151441000</v>
      </c>
    </row>
    <row r="16" spans="1:13" s="1314" customFormat="1" ht="15" outlineLevel="2" x14ac:dyDescent="0.25">
      <c r="A16" s="1314" t="s">
        <v>1486</v>
      </c>
      <c r="B16" s="1315">
        <v>3328</v>
      </c>
      <c r="C16" s="1314" t="s">
        <v>1494</v>
      </c>
      <c r="D16" s="1316">
        <v>2066588990</v>
      </c>
      <c r="E16" s="1316">
        <v>1787026000</v>
      </c>
      <c r="F16" s="1314">
        <v>1670352246</v>
      </c>
      <c r="G16" s="1314">
        <v>0</v>
      </c>
      <c r="H16" s="1314">
        <f>SUMIF('1.3 Budgeted Revenues YR1'!$A$8:$A$33,B16,'1.3 Budgeted Revenues YR1'!$C$8:$C$33)-F16</f>
        <v>677075754</v>
      </c>
      <c r="I16" s="1317">
        <f>SUM($F16:H16)</f>
        <v>2347428000</v>
      </c>
      <c r="J16" s="1314">
        <v>1760551268</v>
      </c>
      <c r="K16" s="1314">
        <f>SUMIF('5.3 Budgeted Revenues YR2'!$A$8:$A$33,B16,'5.3 Budgeted Revenues YR2'!$C$8:$C$33)-J16</f>
        <v>693855732</v>
      </c>
      <c r="L16" s="1317">
        <f t="shared" si="1"/>
        <v>2454407000</v>
      </c>
      <c r="M16" s="1317">
        <f t="shared" si="2"/>
        <v>4801835000</v>
      </c>
    </row>
    <row r="17" spans="1:13" s="1314" customFormat="1" ht="15" outlineLevel="2" x14ac:dyDescent="0.25">
      <c r="A17" s="1314" t="s">
        <v>1486</v>
      </c>
      <c r="B17" s="1315">
        <v>3329</v>
      </c>
      <c r="C17" s="1314" t="s">
        <v>1495</v>
      </c>
      <c r="D17" s="1316">
        <v>23296450</v>
      </c>
      <c r="E17" s="1316">
        <v>25322000</v>
      </c>
      <c r="F17" s="1314">
        <v>24791641</v>
      </c>
      <c r="G17" s="1314">
        <v>0</v>
      </c>
      <c r="H17" s="1314">
        <f>SUMIF('1.3 Budgeted Revenues YR1'!$A$8:$A$33,B17,'1.3 Budgeted Revenues YR1'!$C$8:$C$33)-F17</f>
        <v>996359</v>
      </c>
      <c r="I17" s="1317">
        <f>SUM($F17:H17)</f>
        <v>25788000</v>
      </c>
      <c r="J17" s="1314">
        <v>26130390</v>
      </c>
      <c r="K17" s="1314">
        <f>SUMIF('5.3 Budgeted Revenues YR2'!$A$8:$A$33,B17,'5.3 Budgeted Revenues YR2'!$C$8:$C$33)-J17</f>
        <v>-978390</v>
      </c>
      <c r="L17" s="1317">
        <f t="shared" si="1"/>
        <v>25152000</v>
      </c>
      <c r="M17" s="1317">
        <f t="shared" si="2"/>
        <v>50940000</v>
      </c>
    </row>
    <row r="18" spans="1:13" s="1314" customFormat="1" ht="15" outlineLevel="2" x14ac:dyDescent="0.25">
      <c r="A18" s="1314" t="s">
        <v>1486</v>
      </c>
      <c r="B18" s="1315">
        <v>3335</v>
      </c>
      <c r="C18" s="1314" t="s">
        <v>1496</v>
      </c>
      <c r="D18" s="1316">
        <v>192343898</v>
      </c>
      <c r="E18" s="1316">
        <v>173735000</v>
      </c>
      <c r="F18" s="1314">
        <v>149148018</v>
      </c>
      <c r="G18" s="1314">
        <v>0</v>
      </c>
      <c r="H18" s="1314">
        <f>SUMIF('1.3 Budgeted Revenues YR1'!$A$8:$A$33,B18,'1.3 Budgeted Revenues YR1'!$C$8:$C$33)-F18</f>
        <v>100590982</v>
      </c>
      <c r="I18" s="1317">
        <f>SUM($F18:H18)</f>
        <v>249739000</v>
      </c>
      <c r="J18" s="1314">
        <v>157202011</v>
      </c>
      <c r="K18" s="1314">
        <f>SUMIF('5.3 Budgeted Revenues YR2'!$A$8:$A$33,B18,'5.3 Budgeted Revenues YR2'!$C$8:$C$33)-J18</f>
        <v>84637989</v>
      </c>
      <c r="L18" s="1317">
        <f t="shared" si="1"/>
        <v>241840000</v>
      </c>
      <c r="M18" s="1317">
        <f t="shared" si="2"/>
        <v>491579000</v>
      </c>
    </row>
    <row r="19" spans="1:13" s="1314" customFormat="1" ht="15" outlineLevel="2" x14ac:dyDescent="0.25">
      <c r="A19" s="1314" t="s">
        <v>1486</v>
      </c>
      <c r="B19" s="1315">
        <v>3340</v>
      </c>
      <c r="C19" s="1314" t="s">
        <v>1497</v>
      </c>
      <c r="D19" s="1316">
        <v>866967711</v>
      </c>
      <c r="E19" s="1316">
        <v>918578000</v>
      </c>
      <c r="F19" s="1314">
        <v>758197324</v>
      </c>
      <c r="G19" s="1314">
        <v>0</v>
      </c>
      <c r="H19" s="1314">
        <f>SUMIF('1.3 Budgeted Revenues YR1'!$A$8:$A$33,B19,'1.3 Budgeted Revenues YR1'!$C$8:$C$33)-F19</f>
        <v>254252676</v>
      </c>
      <c r="I19" s="1317">
        <f>SUM($F19:H19)</f>
        <v>1012450000</v>
      </c>
      <c r="J19" s="1314">
        <v>799139980</v>
      </c>
      <c r="K19" s="1314">
        <f>SUMIF('5.3 Budgeted Revenues YR2'!$A$8:$A$33,B19,'5.3 Budgeted Revenues YR2'!$C$8:$C$33)-J19</f>
        <v>281139020</v>
      </c>
      <c r="L19" s="1317">
        <f t="shared" si="1"/>
        <v>1080279000</v>
      </c>
      <c r="M19" s="1317">
        <f t="shared" si="2"/>
        <v>2092729000</v>
      </c>
    </row>
    <row r="20" spans="1:13" s="1314" customFormat="1" ht="15" outlineLevel="2" x14ac:dyDescent="0.25">
      <c r="A20" s="1314" t="s">
        <v>1486</v>
      </c>
      <c r="B20" s="1315">
        <v>3536</v>
      </c>
      <c r="C20" s="1314" t="s">
        <v>1498</v>
      </c>
      <c r="D20" s="1316">
        <v>6260381</v>
      </c>
      <c r="E20" s="1316">
        <v>5000000</v>
      </c>
      <c r="F20" s="1314">
        <v>5563018</v>
      </c>
      <c r="G20" s="1314">
        <v>0</v>
      </c>
      <c r="H20" s="1314">
        <f>SUMIF('1.3 Budgeted Revenues YR1'!$A$8:$A$33,B20,'1.3 Budgeted Revenues YR1'!$C$8:$C$33)-F20</f>
        <v>1936982</v>
      </c>
      <c r="I20" s="1317">
        <f>SUM($F20:H20)</f>
        <v>7500000</v>
      </c>
      <c r="J20" s="1314">
        <v>5863421</v>
      </c>
      <c r="K20" s="1314">
        <f>SUMIF('5.3 Budgeted Revenues YR2'!$A$8:$A$33,B20,'5.3 Budgeted Revenues YR2'!$C$8:$C$33)-J20</f>
        <v>1636579</v>
      </c>
      <c r="L20" s="1317">
        <f t="shared" si="1"/>
        <v>7500000</v>
      </c>
      <c r="M20" s="1317">
        <f t="shared" si="2"/>
        <v>15000000</v>
      </c>
    </row>
    <row r="21" spans="1:13" s="1314" customFormat="1" ht="15" outlineLevel="2" x14ac:dyDescent="0.25">
      <c r="A21" s="1314" t="s">
        <v>1486</v>
      </c>
      <c r="B21" s="1315">
        <v>3736</v>
      </c>
      <c r="C21" s="1314" t="s">
        <v>1499</v>
      </c>
      <c r="D21" s="1316">
        <v>0</v>
      </c>
      <c r="E21" s="1316">
        <v>0</v>
      </c>
      <c r="F21" s="1314">
        <v>13141</v>
      </c>
      <c r="G21" s="1314">
        <v>0</v>
      </c>
      <c r="H21" s="1314">
        <f>SUMIF('1.3 Budgeted Revenues YR1'!$A$8:$A$33,B21,'1.3 Budgeted Revenues YR1'!$C$8:$C$33)-F21</f>
        <v>-13141</v>
      </c>
      <c r="I21" s="1317">
        <f>SUM($F21:H21)</f>
        <v>0</v>
      </c>
      <c r="J21" s="1314">
        <v>13141</v>
      </c>
      <c r="K21" s="1314">
        <f>SUMIF('5.3 Budgeted Revenues YR2'!$A$8:$A$33,B21,'5.3 Budgeted Revenues YR2'!$C$8:$C$33)-J21</f>
        <v>-13141</v>
      </c>
      <c r="L21" s="1317">
        <f t="shared" si="1"/>
        <v>0</v>
      </c>
      <c r="M21" s="1317">
        <f t="shared" si="2"/>
        <v>0</v>
      </c>
    </row>
    <row r="22" spans="1:13" s="1314" customFormat="1" ht="15" outlineLevel="2" x14ac:dyDescent="0.25">
      <c r="A22" s="1314" t="s">
        <v>1486</v>
      </c>
      <c r="B22" s="1315">
        <v>3867</v>
      </c>
      <c r="C22" s="1314" t="s">
        <v>1500</v>
      </c>
      <c r="D22" s="1316">
        <v>1770286</v>
      </c>
      <c r="E22" s="1316">
        <v>3366900</v>
      </c>
      <c r="F22" s="1314">
        <v>3188560</v>
      </c>
      <c r="G22" s="1314">
        <v>0</v>
      </c>
      <c r="H22" s="1314">
        <f>SUMIF('1.3 Budgeted Revenues YR1'!$A$8:$A$33,B22,'1.3 Budgeted Revenues YR1'!$C$8:$C$33)-F22</f>
        <v>311440</v>
      </c>
      <c r="I22" s="1317">
        <f>SUM($F22:H22)</f>
        <v>3500000</v>
      </c>
      <c r="J22" s="1314">
        <v>3360742</v>
      </c>
      <c r="K22" s="1314">
        <f>SUMIF('5.3 Budgeted Revenues YR2'!$A$8:$A$33,B22,'5.3 Budgeted Revenues YR2'!$C$8:$C$33)-J22</f>
        <v>139258</v>
      </c>
      <c r="L22" s="1317">
        <f t="shared" si="1"/>
        <v>3500000</v>
      </c>
      <c r="M22" s="1317">
        <f t="shared" si="2"/>
        <v>7000000</v>
      </c>
    </row>
    <row r="23" spans="1:13" s="1314" customFormat="1" ht="15" outlineLevel="2" x14ac:dyDescent="0.25">
      <c r="A23" s="1314" t="s">
        <v>1486</v>
      </c>
      <c r="B23" s="1315">
        <v>3868</v>
      </c>
      <c r="C23" s="1314" t="s">
        <v>1501</v>
      </c>
      <c r="D23" s="1316">
        <v>22214871</v>
      </c>
      <c r="E23" s="1431">
        <v>25531000</v>
      </c>
      <c r="F23" s="1431">
        <v>23463000</v>
      </c>
      <c r="G23" s="1314">
        <v>0</v>
      </c>
      <c r="H23" s="1314">
        <f>SUMIF('1.3 Budgeted Revenues YR1'!$A$8:$A$33,B23,'1.3 Budgeted Revenues YR1'!$C$8:$C$33)-F23</f>
        <v>-3861000</v>
      </c>
      <c r="I23" s="1317">
        <f>SUM($F23:H23)</f>
        <v>19602000</v>
      </c>
      <c r="J23" s="1314">
        <v>23039000</v>
      </c>
      <c r="K23" s="1314">
        <f>SUMIF('5.3 Budgeted Revenues YR2'!$A$8:$A$33,B23,'5.3 Budgeted Revenues YR2'!$C$8:$C$33)-J23</f>
        <v>-3816000</v>
      </c>
      <c r="L23" s="1317">
        <f t="shared" si="1"/>
        <v>19223000</v>
      </c>
      <c r="M23" s="1317">
        <f t="shared" si="2"/>
        <v>38825000</v>
      </c>
    </row>
    <row r="24" spans="1:13" s="1314" customFormat="1" ht="15" outlineLevel="2" x14ac:dyDescent="0.25">
      <c r="A24" s="1314" t="s">
        <v>1486</v>
      </c>
      <c r="B24" s="1315">
        <v>4152</v>
      </c>
      <c r="C24" s="1314" t="s">
        <v>1502</v>
      </c>
      <c r="D24" s="1316">
        <v>740369</v>
      </c>
      <c r="E24" s="1316">
        <v>361800</v>
      </c>
      <c r="F24" s="1314">
        <v>106803</v>
      </c>
      <c r="G24" s="1314">
        <v>0</v>
      </c>
      <c r="H24" s="1314">
        <f>SUMIF('1.3 Budgeted Revenues YR1'!$A$8:$A$33,B24,'1.3 Budgeted Revenues YR1'!$C$8:$C$33)-F24</f>
        <v>633197</v>
      </c>
      <c r="I24" s="1317">
        <f>SUM($F24:H24)</f>
        <v>740000</v>
      </c>
      <c r="J24" s="1314">
        <v>112570</v>
      </c>
      <c r="K24" s="1314">
        <f>SUMIF('5.3 Budgeted Revenues YR2'!$A$8:$A$33,B24,'5.3 Budgeted Revenues YR2'!$C$8:$C$33)-J24</f>
        <v>627430</v>
      </c>
      <c r="L24" s="1317">
        <f t="shared" si="1"/>
        <v>740000</v>
      </c>
      <c r="M24" s="1317">
        <f t="shared" si="2"/>
        <v>1480000</v>
      </c>
    </row>
    <row r="25" spans="1:13" s="1314" customFormat="1" ht="15" outlineLevel="2" x14ac:dyDescent="0.25">
      <c r="A25" s="1314" t="s">
        <v>1486</v>
      </c>
      <c r="B25" s="1315">
        <v>4157</v>
      </c>
      <c r="C25" s="1314" t="s">
        <v>1503</v>
      </c>
      <c r="D25" s="1316">
        <v>7000</v>
      </c>
      <c r="E25" s="1316">
        <v>0</v>
      </c>
      <c r="F25" s="1314">
        <v>38914</v>
      </c>
      <c r="G25" s="1314">
        <v>0</v>
      </c>
      <c r="H25" s="1314">
        <f>SUMIF('1.3 Budgeted Revenues YR1'!$A$8:$A$33,B25,'1.3 Budgeted Revenues YR1'!$C$8:$C$33)-F25</f>
        <v>11086</v>
      </c>
      <c r="I25" s="1317">
        <f>SUM($F25:H25)</f>
        <v>50000</v>
      </c>
      <c r="J25" s="1314">
        <v>41016</v>
      </c>
      <c r="K25" s="1314">
        <f>SUMIF('5.3 Budgeted Revenues YR2'!$A$8:$A$33,B25,'5.3 Budgeted Revenues YR2'!$C$8:$C$33)-J25</f>
        <v>8984</v>
      </c>
      <c r="L25" s="1317">
        <f t="shared" si="1"/>
        <v>50000</v>
      </c>
      <c r="M25" s="1317">
        <f t="shared" si="2"/>
        <v>100000</v>
      </c>
    </row>
    <row r="26" spans="1:13" s="1314" customFormat="1" ht="15" outlineLevel="2" x14ac:dyDescent="0.25">
      <c r="A26" s="1314" t="s">
        <v>1486</v>
      </c>
      <c r="B26" s="1315">
        <v>4203</v>
      </c>
      <c r="C26" s="1314" t="s">
        <v>1504</v>
      </c>
      <c r="D26" s="1316">
        <v>0</v>
      </c>
      <c r="E26" s="1316">
        <v>7532470</v>
      </c>
      <c r="F26" s="1314">
        <v>0</v>
      </c>
      <c r="G26" s="1314">
        <v>0</v>
      </c>
      <c r="H26" s="1314">
        <f>SUMIF('1.3 Budgeted Revenues YR1'!$A$8:$A$33,B26,'1.3 Budgeted Revenues YR1'!$C$8:$C$33)-F26</f>
        <v>0</v>
      </c>
      <c r="I26" s="1317">
        <f>SUM($F26:H26)</f>
        <v>0</v>
      </c>
      <c r="J26" s="1314">
        <v>0</v>
      </c>
      <c r="K26" s="1314">
        <f>SUMIF('5.3 Budgeted Revenues YR2'!$A$8:$A$33,B26,'5.3 Budgeted Revenues YR2'!$C$8:$C$33)-J26</f>
        <v>0</v>
      </c>
      <c r="L26" s="1317">
        <f t="shared" si="1"/>
        <v>0</v>
      </c>
      <c r="M26" s="1317">
        <f t="shared" si="2"/>
        <v>0</v>
      </c>
    </row>
    <row r="27" spans="1:13" s="1314" customFormat="1" ht="15" outlineLevel="2" x14ac:dyDescent="0.25">
      <c r="A27" s="1314" t="s">
        <v>1486</v>
      </c>
      <c r="B27" s="1315">
        <v>4251</v>
      </c>
      <c r="C27" s="1314" t="s">
        <v>1505</v>
      </c>
      <c r="D27" s="1316">
        <v>876</v>
      </c>
      <c r="E27" s="1316">
        <v>0</v>
      </c>
      <c r="F27" s="1314">
        <v>0</v>
      </c>
      <c r="G27" s="1314">
        <v>0</v>
      </c>
      <c r="H27" s="1314">
        <f>SUMIF('1.3 Budgeted Revenues YR1'!$A$8:$A$33,B27,'1.3 Budgeted Revenues YR1'!$C$8:$C$33)-F27</f>
        <v>900</v>
      </c>
      <c r="I27" s="1317">
        <f>SUM($F27:H27)</f>
        <v>900</v>
      </c>
      <c r="J27" s="1314">
        <v>0</v>
      </c>
      <c r="K27" s="1314">
        <f>SUMIF('5.3 Budgeted Revenues YR2'!$A$8:$A$33,B27,'5.3 Budgeted Revenues YR2'!$C$8:$C$33)-J27</f>
        <v>900</v>
      </c>
      <c r="L27" s="1317">
        <f t="shared" si="1"/>
        <v>900</v>
      </c>
      <c r="M27" s="1317">
        <f t="shared" si="2"/>
        <v>1800</v>
      </c>
    </row>
    <row r="28" spans="1:13" s="1314" customFormat="1" ht="15" outlineLevel="2" x14ac:dyDescent="0.25">
      <c r="A28" s="1314" t="s">
        <v>1486</v>
      </c>
      <c r="B28" s="1315">
        <v>4326</v>
      </c>
      <c r="C28" s="1314" t="s">
        <v>1506</v>
      </c>
      <c r="D28" s="1316">
        <v>2150274</v>
      </c>
      <c r="E28" s="1316">
        <v>603000</v>
      </c>
      <c r="F28" s="1314">
        <v>9205972</v>
      </c>
      <c r="G28" s="1314">
        <v>0</v>
      </c>
      <c r="H28" s="1314">
        <f>SUMIF('1.3 Budgeted Revenues YR1'!$A$8:$A$33,B28,'1.3 Budgeted Revenues YR1'!$C$8:$C$33)-F28</f>
        <v>9363028</v>
      </c>
      <c r="I28" s="1317">
        <f>SUM($F28:H28)</f>
        <v>18569000</v>
      </c>
      <c r="J28" s="1314">
        <v>9205972</v>
      </c>
      <c r="K28" s="1314">
        <f>SUMIF('5.3 Budgeted Revenues YR2'!$A$8:$A$33,B28,'5.3 Budgeted Revenues YR2'!$C$8:$C$33)-J28</f>
        <v>5334028</v>
      </c>
      <c r="L28" s="1317">
        <f t="shared" si="1"/>
        <v>14540000</v>
      </c>
      <c r="M28" s="1317">
        <f t="shared" si="2"/>
        <v>33109000</v>
      </c>
    </row>
    <row r="29" spans="1:13" s="1314" customFormat="1" ht="15" outlineLevel="2" x14ac:dyDescent="0.25">
      <c r="A29" s="1314" t="s">
        <v>1486</v>
      </c>
      <c r="B29" s="1315">
        <v>4621</v>
      </c>
      <c r="C29" s="1314" t="s">
        <v>1507</v>
      </c>
      <c r="D29" s="1316">
        <v>0</v>
      </c>
      <c r="E29" s="1316">
        <v>148000</v>
      </c>
      <c r="F29" s="1314">
        <v>111501</v>
      </c>
      <c r="G29" s="1314">
        <v>0</v>
      </c>
      <c r="H29" s="1314">
        <f>SUMIF('1.3 Budgeted Revenues YR1'!$A$8:$A$33,B29,'1.3 Budgeted Revenues YR1'!$C$8:$C$33)-F29</f>
        <v>-77501</v>
      </c>
      <c r="I29" s="1317">
        <f>SUM($F29:H29)</f>
        <v>34000</v>
      </c>
      <c r="J29" s="1314">
        <v>117522</v>
      </c>
      <c r="K29" s="1314">
        <f>SUMIF('5.3 Budgeted Revenues YR2'!$A$8:$A$33,B29,'5.3 Budgeted Revenues YR2'!$C$8:$C$33)-J29</f>
        <v>-83522</v>
      </c>
      <c r="L29" s="1317">
        <f t="shared" si="1"/>
        <v>34000</v>
      </c>
      <c r="M29" s="1317">
        <f t="shared" si="2"/>
        <v>68000</v>
      </c>
    </row>
    <row r="30" spans="1:13" s="1314" customFormat="1" ht="15" outlineLevel="2" x14ac:dyDescent="0.25">
      <c r="A30" s="1314" t="s">
        <v>1486</v>
      </c>
      <c r="B30" s="1315">
        <v>4770</v>
      </c>
      <c r="C30" s="1314" t="s">
        <v>1508</v>
      </c>
      <c r="D30" s="1316">
        <v>897310</v>
      </c>
      <c r="E30" s="1316">
        <v>729000</v>
      </c>
      <c r="F30" s="1314">
        <v>246664</v>
      </c>
      <c r="G30" s="1314">
        <v>0</v>
      </c>
      <c r="H30" s="1314">
        <f>SUMIF('1.3 Budgeted Revenues YR1'!$A$8:$A$33,B30,'1.3 Budgeted Revenues YR1'!$C$8:$C$33)-F30</f>
        <v>653336</v>
      </c>
      <c r="I30" s="1317">
        <f>SUM($F30:H30)</f>
        <v>900000</v>
      </c>
      <c r="J30" s="1314">
        <v>259984</v>
      </c>
      <c r="K30" s="1314">
        <f>SUMIF('5.3 Budgeted Revenues YR2'!$A$8:$A$33,B30,'5.3 Budgeted Revenues YR2'!$C$8:$C$33)-J30</f>
        <v>640016</v>
      </c>
      <c r="L30" s="1317">
        <f t="shared" si="1"/>
        <v>900000</v>
      </c>
      <c r="M30" s="1317">
        <f t="shared" si="2"/>
        <v>1800000</v>
      </c>
    </row>
    <row r="31" spans="1:13" s="1314" customFormat="1" ht="15" outlineLevel="2" x14ac:dyDescent="0.25">
      <c r="A31" s="1314" t="s">
        <v>1486</v>
      </c>
      <c r="B31" s="1315">
        <v>4771</v>
      </c>
      <c r="C31" s="1314" t="s">
        <v>1509</v>
      </c>
      <c r="D31" s="1316">
        <v>58886476</v>
      </c>
      <c r="E31" s="1316">
        <v>72584527</v>
      </c>
      <c r="F31" s="1314">
        <v>50626795</v>
      </c>
      <c r="G31" s="1314">
        <v>0</v>
      </c>
      <c r="H31" s="1314">
        <f>SUMIF('1.3 Budgeted Revenues YR1'!$A$8:$A$33,B31,'1.3 Budgeted Revenues YR1'!$C$8:$C$33)-F31</f>
        <v>-10122795</v>
      </c>
      <c r="I31" s="1317">
        <f>SUM($F31:H31)</f>
        <v>40504000</v>
      </c>
      <c r="J31" s="1314">
        <v>53360642</v>
      </c>
      <c r="K31" s="1314">
        <f>SUMIF('5.3 Budgeted Revenues YR2'!$A$8:$A$33,B31,'5.3 Budgeted Revenues YR2'!$C$8:$C$33)-J31</f>
        <v>-12453642</v>
      </c>
      <c r="L31" s="1317">
        <f t="shared" si="1"/>
        <v>40907000</v>
      </c>
      <c r="M31" s="1317">
        <f t="shared" si="2"/>
        <v>81411000</v>
      </c>
    </row>
    <row r="32" spans="1:13" s="1314" customFormat="1" ht="15" outlineLevel="2" x14ac:dyDescent="0.25">
      <c r="A32" s="1314" t="s">
        <v>1486</v>
      </c>
      <c r="B32" s="1315">
        <v>4869</v>
      </c>
      <c r="C32" s="1314" t="s">
        <v>1510</v>
      </c>
      <c r="D32" s="1316">
        <v>10674993</v>
      </c>
      <c r="E32" s="1316">
        <v>11577000</v>
      </c>
      <c r="F32" s="1314">
        <v>11297403</v>
      </c>
      <c r="G32" s="1314">
        <v>0</v>
      </c>
      <c r="H32" s="1314">
        <f>SUMIF('1.3 Budgeted Revenues YR1'!$A$8:$A$33,B32,'1.3 Budgeted Revenues YR1'!$C$8:$C$33)-F32</f>
        <v>2149597</v>
      </c>
      <c r="I32" s="1317">
        <f>SUM($F32:H32)</f>
        <v>13447000</v>
      </c>
      <c r="J32" s="1314">
        <v>11297403</v>
      </c>
      <c r="K32" s="1314">
        <f>SUMIF('5.3 Budgeted Revenues YR2'!$A$8:$A$33,B32,'5.3 Budgeted Revenues YR2'!$C$8:$C$33)-J32</f>
        <v>203597</v>
      </c>
      <c r="L32" s="1317">
        <f t="shared" si="1"/>
        <v>11501000</v>
      </c>
      <c r="M32" s="1317">
        <f t="shared" si="2"/>
        <v>24948000</v>
      </c>
    </row>
    <row r="33" spans="1:13" outlineLevel="1" x14ac:dyDescent="0.2">
      <c r="A33" s="1313" t="s">
        <v>1511</v>
      </c>
      <c r="D33" s="1313">
        <f t="shared" ref="D33" si="3">SUBTOTAL(9,D9:D32)</f>
        <v>4322749781</v>
      </c>
      <c r="E33" s="1313">
        <f t="shared" ref="E33" si="4">SUBTOTAL(9,E9:E32)</f>
        <v>5025922709</v>
      </c>
      <c r="F33" s="1313">
        <f t="shared" ref="F33" si="5">SUBTOTAL(9,F9:F32)</f>
        <v>4346212781</v>
      </c>
      <c r="G33" s="1313">
        <f t="shared" ref="G33" si="6">SUBTOTAL(9,G9:G32)</f>
        <v>0</v>
      </c>
      <c r="H33" s="1313">
        <f t="shared" ref="H33" si="7">SUBTOTAL(9,H9:H32)</f>
        <v>1150300028.4808381</v>
      </c>
      <c r="I33" s="1313">
        <f t="shared" ref="I33" si="8">SUBTOTAL(9,I9:I32)</f>
        <v>5496512809.4808378</v>
      </c>
      <c r="J33" s="1313">
        <f t="shared" ref="J33" si="9">SUBTOTAL(9,J9:J32)</f>
        <v>4345788781</v>
      </c>
      <c r="K33" s="1313">
        <f t="shared" ref="K33" si="10">SUBTOTAL(9,K9:K32)</f>
        <v>1393654083</v>
      </c>
      <c r="L33" s="1313">
        <f t="shared" ref="L33:M33" si="11">SUBTOTAL(9,L9:L32)</f>
        <v>5739442864</v>
      </c>
      <c r="M33" s="1313">
        <f t="shared" si="11"/>
        <v>11235955673.480839</v>
      </c>
    </row>
    <row r="34" spans="1:13" s="1314" customFormat="1" ht="15" hidden="1" outlineLevel="2" x14ac:dyDescent="0.25">
      <c r="A34" s="1314" t="s">
        <v>1512</v>
      </c>
      <c r="B34" s="1314" t="s">
        <v>1513</v>
      </c>
      <c r="C34" s="1314" t="s">
        <v>1514</v>
      </c>
      <c r="D34" s="1316">
        <v>5355733</v>
      </c>
      <c r="E34" s="1316">
        <v>0</v>
      </c>
      <c r="F34" s="1314">
        <v>5355733</v>
      </c>
      <c r="G34" s="1314">
        <v>0</v>
      </c>
      <c r="H34" s="1314">
        <v>-5355733</v>
      </c>
      <c r="I34" s="1317">
        <f>SUM($F34:H34)</f>
        <v>0</v>
      </c>
      <c r="J34" s="1314">
        <v>5355733</v>
      </c>
      <c r="K34" s="1314">
        <v>-5355733</v>
      </c>
      <c r="L34" s="1317">
        <f t="shared" ref="L34:L97" si="12">SUM(J34:K34)</f>
        <v>0</v>
      </c>
      <c r="M34" s="1317">
        <f t="shared" ref="M34:M97" si="13">+I34+L34</f>
        <v>0</v>
      </c>
    </row>
    <row r="35" spans="1:13" s="1314" customFormat="1" ht="15" hidden="1" outlineLevel="2" x14ac:dyDescent="0.25">
      <c r="A35" s="1314" t="s">
        <v>1512</v>
      </c>
      <c r="B35" s="1314" t="s">
        <v>1515</v>
      </c>
      <c r="C35" s="1314" t="s">
        <v>1516</v>
      </c>
      <c r="D35" s="1316">
        <v>0</v>
      </c>
      <c r="E35" s="1316">
        <v>3667227214</v>
      </c>
      <c r="F35" s="1314">
        <v>0</v>
      </c>
      <c r="G35" s="1314">
        <v>0</v>
      </c>
      <c r="H35" s="1314">
        <f>'3.1b Allocation Adj. YR1 '!$F$30</f>
        <v>4379176003.8199997</v>
      </c>
      <c r="I35" s="1317">
        <f>SUM($F35:H35)</f>
        <v>4379176003.8199997</v>
      </c>
      <c r="J35" s="1314">
        <v>0</v>
      </c>
      <c r="K35" s="1314">
        <f>'7.1b Allocation Adj. YR2'!$F$30</f>
        <v>4601409680.0100002</v>
      </c>
      <c r="L35" s="1317">
        <f t="shared" si="12"/>
        <v>4601409680.0100002</v>
      </c>
      <c r="M35" s="1317">
        <f t="shared" si="13"/>
        <v>8980585683.8299999</v>
      </c>
    </row>
    <row r="36" spans="1:13" s="1314" customFormat="1" ht="15" hidden="1" outlineLevel="2" x14ac:dyDescent="0.25">
      <c r="A36" s="1314" t="s">
        <v>1512</v>
      </c>
      <c r="B36" s="1314" t="s">
        <v>1517</v>
      </c>
      <c r="C36" s="1314" t="s">
        <v>1518</v>
      </c>
      <c r="D36" s="1316">
        <v>59825684</v>
      </c>
      <c r="E36" s="1316">
        <v>0</v>
      </c>
      <c r="F36" s="1314">
        <v>59825684</v>
      </c>
      <c r="G36" s="1314">
        <v>0</v>
      </c>
      <c r="H36" s="1314">
        <v>-59825684</v>
      </c>
      <c r="I36" s="1317">
        <f>SUM($F36:H36)</f>
        <v>0</v>
      </c>
      <c r="J36" s="1314">
        <v>59825684</v>
      </c>
      <c r="K36" s="1314">
        <v>-59825684</v>
      </c>
      <c r="L36" s="1317">
        <f t="shared" si="12"/>
        <v>0</v>
      </c>
      <c r="M36" s="1317">
        <f t="shared" si="13"/>
        <v>0</v>
      </c>
    </row>
    <row r="37" spans="1:13" s="1314" customFormat="1" ht="15" hidden="1" outlineLevel="2" x14ac:dyDescent="0.25">
      <c r="A37" s="1314" t="s">
        <v>1512</v>
      </c>
      <c r="B37" s="1314" t="s">
        <v>1519</v>
      </c>
      <c r="C37" s="1314" t="s">
        <v>1520</v>
      </c>
      <c r="D37" s="1316">
        <v>25827957</v>
      </c>
      <c r="E37" s="1316">
        <v>0</v>
      </c>
      <c r="F37" s="1314">
        <v>25827957</v>
      </c>
      <c r="G37" s="1314">
        <v>0</v>
      </c>
      <c r="H37" s="1314">
        <v>-25827957</v>
      </c>
      <c r="I37" s="1317">
        <f>SUM($F37:H37)</f>
        <v>0</v>
      </c>
      <c r="J37" s="1314">
        <v>25827957</v>
      </c>
      <c r="K37" s="1314">
        <v>-25827957</v>
      </c>
      <c r="L37" s="1317">
        <f t="shared" si="12"/>
        <v>0</v>
      </c>
      <c r="M37" s="1317">
        <f t="shared" si="13"/>
        <v>0</v>
      </c>
    </row>
    <row r="38" spans="1:13" s="1314" customFormat="1" ht="15" hidden="1" outlineLevel="2" x14ac:dyDescent="0.25">
      <c r="A38" s="1314" t="s">
        <v>1512</v>
      </c>
      <c r="B38" s="1314" t="s">
        <v>1521</v>
      </c>
      <c r="C38" s="1314" t="s">
        <v>1522</v>
      </c>
      <c r="D38" s="1316">
        <v>2183566814</v>
      </c>
      <c r="E38" s="1316">
        <v>0</v>
      </c>
      <c r="F38" s="1314">
        <v>2183566814</v>
      </c>
      <c r="G38" s="1314">
        <v>0</v>
      </c>
      <c r="H38" s="1314">
        <v>-2183566814</v>
      </c>
      <c r="I38" s="1317">
        <f>SUM($F38:H38)</f>
        <v>0</v>
      </c>
      <c r="J38" s="1314">
        <v>2183566814</v>
      </c>
      <c r="K38" s="1314">
        <v>-2183566814</v>
      </c>
      <c r="L38" s="1317">
        <f t="shared" si="12"/>
        <v>0</v>
      </c>
      <c r="M38" s="1317">
        <f t="shared" si="13"/>
        <v>0</v>
      </c>
    </row>
    <row r="39" spans="1:13" s="1314" customFormat="1" ht="15" hidden="1" outlineLevel="2" x14ac:dyDescent="0.25">
      <c r="A39" s="1314" t="s">
        <v>1512</v>
      </c>
      <c r="B39" s="1314" t="s">
        <v>1523</v>
      </c>
      <c r="C39" s="1314" t="s">
        <v>1524</v>
      </c>
      <c r="D39" s="1316">
        <v>51661087</v>
      </c>
      <c r="E39" s="1316">
        <v>0</v>
      </c>
      <c r="F39" s="1314">
        <v>51661087</v>
      </c>
      <c r="G39" s="1314">
        <v>0</v>
      </c>
      <c r="H39" s="1314">
        <v>-51661087</v>
      </c>
      <c r="I39" s="1317">
        <f>SUM($F39:H39)</f>
        <v>0</v>
      </c>
      <c r="J39" s="1314">
        <v>51661087</v>
      </c>
      <c r="K39" s="1314">
        <v>-51661087</v>
      </c>
      <c r="L39" s="1317">
        <f t="shared" si="12"/>
        <v>0</v>
      </c>
      <c r="M39" s="1317">
        <f t="shared" si="13"/>
        <v>0</v>
      </c>
    </row>
    <row r="40" spans="1:13" s="1314" customFormat="1" ht="15" hidden="1" outlineLevel="2" x14ac:dyDescent="0.25">
      <c r="A40" s="1314" t="s">
        <v>1512</v>
      </c>
      <c r="B40" s="1314" t="s">
        <v>1525</v>
      </c>
      <c r="C40" s="1314" t="s">
        <v>1526</v>
      </c>
      <c r="D40" s="1316">
        <v>85099623</v>
      </c>
      <c r="E40" s="1316">
        <v>0</v>
      </c>
      <c r="F40" s="1314">
        <v>85099623</v>
      </c>
      <c r="G40" s="1314">
        <v>0</v>
      </c>
      <c r="H40" s="1314">
        <v>-85099623</v>
      </c>
      <c r="I40" s="1317">
        <f>SUM($F40:H40)</f>
        <v>0</v>
      </c>
      <c r="J40" s="1314">
        <v>85099623</v>
      </c>
      <c r="K40" s="1314">
        <v>-85099623</v>
      </c>
      <c r="L40" s="1317">
        <f t="shared" si="12"/>
        <v>0</v>
      </c>
      <c r="M40" s="1317">
        <f t="shared" si="13"/>
        <v>0</v>
      </c>
    </row>
    <row r="41" spans="1:13" s="1314" customFormat="1" ht="15" hidden="1" outlineLevel="2" x14ac:dyDescent="0.25">
      <c r="A41" s="1314" t="s">
        <v>1512</v>
      </c>
      <c r="B41" s="1314" t="s">
        <v>1527</v>
      </c>
      <c r="C41" s="1314" t="s">
        <v>1528</v>
      </c>
      <c r="D41" s="1316">
        <v>1934351</v>
      </c>
      <c r="E41" s="1316">
        <v>0</v>
      </c>
      <c r="F41" s="1314">
        <v>1934351</v>
      </c>
      <c r="G41" s="1314">
        <v>0</v>
      </c>
      <c r="H41" s="1314">
        <v>-1934351</v>
      </c>
      <c r="I41" s="1317">
        <f>SUM($F41:H41)</f>
        <v>0</v>
      </c>
      <c r="J41" s="1314">
        <v>1934351</v>
      </c>
      <c r="K41" s="1314">
        <v>-1934351</v>
      </c>
      <c r="L41" s="1317">
        <f t="shared" si="12"/>
        <v>0</v>
      </c>
      <c r="M41" s="1317">
        <f t="shared" si="13"/>
        <v>0</v>
      </c>
    </row>
    <row r="42" spans="1:13" s="1314" customFormat="1" ht="15" hidden="1" outlineLevel="2" x14ac:dyDescent="0.25">
      <c r="A42" s="1314" t="s">
        <v>1512</v>
      </c>
      <c r="B42" s="1314" t="s">
        <v>1529</v>
      </c>
      <c r="C42" s="1314" t="s">
        <v>1530</v>
      </c>
      <c r="D42" s="1316">
        <v>8093395</v>
      </c>
      <c r="E42" s="1316">
        <v>0</v>
      </c>
      <c r="F42" s="1314">
        <v>8093395</v>
      </c>
      <c r="G42" s="1314">
        <v>0</v>
      </c>
      <c r="H42" s="1314">
        <v>-8093395</v>
      </c>
      <c r="I42" s="1317">
        <f>SUM($F42:H42)</f>
        <v>0</v>
      </c>
      <c r="J42" s="1314">
        <v>8093395</v>
      </c>
      <c r="K42" s="1314">
        <v>-8093395</v>
      </c>
      <c r="L42" s="1317">
        <f t="shared" si="12"/>
        <v>0</v>
      </c>
      <c r="M42" s="1317">
        <f t="shared" si="13"/>
        <v>0</v>
      </c>
    </row>
    <row r="43" spans="1:13" s="1314" customFormat="1" ht="15" hidden="1" outlineLevel="2" x14ac:dyDescent="0.25">
      <c r="A43" s="1314" t="s">
        <v>1512</v>
      </c>
      <c r="B43" s="1314" t="s">
        <v>1531</v>
      </c>
      <c r="C43" s="1314" t="s">
        <v>1532</v>
      </c>
      <c r="D43" s="1316">
        <v>26852245</v>
      </c>
      <c r="E43" s="1316">
        <v>0</v>
      </c>
      <c r="F43" s="1314">
        <v>26852245</v>
      </c>
      <c r="G43" s="1314">
        <v>0</v>
      </c>
      <c r="H43" s="1314">
        <v>-26852245</v>
      </c>
      <c r="I43" s="1317">
        <f>SUM($F43:H43)</f>
        <v>0</v>
      </c>
      <c r="J43" s="1314">
        <v>26852245</v>
      </c>
      <c r="K43" s="1314">
        <v>-26852245</v>
      </c>
      <c r="L43" s="1317">
        <f t="shared" si="12"/>
        <v>0</v>
      </c>
      <c r="M43" s="1317">
        <f t="shared" si="13"/>
        <v>0</v>
      </c>
    </row>
    <row r="44" spans="1:13" s="1314" customFormat="1" ht="15" hidden="1" outlineLevel="2" x14ac:dyDescent="0.25">
      <c r="A44" s="1314" t="s">
        <v>1512</v>
      </c>
      <c r="B44" s="1314" t="s">
        <v>1533</v>
      </c>
      <c r="C44" s="1314" t="s">
        <v>1534</v>
      </c>
      <c r="D44" s="1316">
        <v>4176060</v>
      </c>
      <c r="E44" s="1316">
        <v>0</v>
      </c>
      <c r="F44" s="1314">
        <v>4176060</v>
      </c>
      <c r="G44" s="1314">
        <v>0</v>
      </c>
      <c r="H44" s="1314">
        <v>-4176060</v>
      </c>
      <c r="I44" s="1317">
        <f>SUM($F44:H44)</f>
        <v>0</v>
      </c>
      <c r="J44" s="1314">
        <v>4176060</v>
      </c>
      <c r="K44" s="1314">
        <v>-4176060</v>
      </c>
      <c r="L44" s="1317">
        <f t="shared" si="12"/>
        <v>0</v>
      </c>
      <c r="M44" s="1317">
        <f t="shared" si="13"/>
        <v>0</v>
      </c>
    </row>
    <row r="45" spans="1:13" s="1314" customFormat="1" ht="15" hidden="1" outlineLevel="2" x14ac:dyDescent="0.25">
      <c r="A45" s="1314" t="s">
        <v>1512</v>
      </c>
      <c r="B45" s="1314" t="s">
        <v>1535</v>
      </c>
      <c r="C45" s="1314" t="s">
        <v>1536</v>
      </c>
      <c r="D45" s="1316">
        <v>11782500</v>
      </c>
      <c r="E45" s="1316">
        <v>0</v>
      </c>
      <c r="F45" s="1314">
        <v>11782500</v>
      </c>
      <c r="G45" s="1314">
        <v>0</v>
      </c>
      <c r="H45" s="1314">
        <v>-11782500</v>
      </c>
      <c r="I45" s="1317">
        <f>SUM($F45:H45)</f>
        <v>0</v>
      </c>
      <c r="J45" s="1314">
        <v>11782500</v>
      </c>
      <c r="K45" s="1314">
        <v>-11782500</v>
      </c>
      <c r="L45" s="1317">
        <f t="shared" si="12"/>
        <v>0</v>
      </c>
      <c r="M45" s="1317">
        <f t="shared" si="13"/>
        <v>0</v>
      </c>
    </row>
    <row r="46" spans="1:13" s="1314" customFormat="1" ht="15" hidden="1" outlineLevel="2" x14ac:dyDescent="0.25">
      <c r="A46" s="1314" t="s">
        <v>1512</v>
      </c>
      <c r="B46" s="1314" t="s">
        <v>1537</v>
      </c>
      <c r="C46" s="1314" t="s">
        <v>1538</v>
      </c>
      <c r="D46" s="1316">
        <v>75619900</v>
      </c>
      <c r="E46" s="1316">
        <v>0</v>
      </c>
      <c r="F46" s="1314">
        <v>75619900</v>
      </c>
      <c r="G46" s="1314">
        <v>0</v>
      </c>
      <c r="H46" s="1314">
        <v>-75619900</v>
      </c>
      <c r="I46" s="1317">
        <f>SUM($F46:H46)</f>
        <v>0</v>
      </c>
      <c r="J46" s="1314">
        <v>75619900</v>
      </c>
      <c r="K46" s="1314">
        <v>-75619900</v>
      </c>
      <c r="L46" s="1317">
        <f t="shared" si="12"/>
        <v>0</v>
      </c>
      <c r="M46" s="1317">
        <f t="shared" si="13"/>
        <v>0</v>
      </c>
    </row>
    <row r="47" spans="1:13" s="1314" customFormat="1" ht="15" hidden="1" outlineLevel="2" x14ac:dyDescent="0.25">
      <c r="A47" s="1314" t="s">
        <v>1512</v>
      </c>
      <c r="B47" s="1314" t="s">
        <v>1539</v>
      </c>
      <c r="C47" s="1314" t="s">
        <v>1540</v>
      </c>
      <c r="D47" s="1316">
        <v>6699091</v>
      </c>
      <c r="E47" s="1316">
        <v>0</v>
      </c>
      <c r="F47" s="1314">
        <v>6699091</v>
      </c>
      <c r="G47" s="1314">
        <v>0</v>
      </c>
      <c r="H47" s="1314">
        <v>-6699091</v>
      </c>
      <c r="I47" s="1317">
        <f>SUM($F47:H47)</f>
        <v>0</v>
      </c>
      <c r="J47" s="1314">
        <v>6699091</v>
      </c>
      <c r="K47" s="1314">
        <v>-6699091</v>
      </c>
      <c r="L47" s="1317">
        <f t="shared" si="12"/>
        <v>0</v>
      </c>
      <c r="M47" s="1317">
        <f t="shared" si="13"/>
        <v>0</v>
      </c>
    </row>
    <row r="48" spans="1:13" s="1314" customFormat="1" ht="15" hidden="1" outlineLevel="2" x14ac:dyDescent="0.25">
      <c r="A48" s="1314" t="s">
        <v>1512</v>
      </c>
      <c r="B48" s="1314" t="s">
        <v>1541</v>
      </c>
      <c r="C48" s="1314" t="s">
        <v>1542</v>
      </c>
      <c r="D48" s="1316">
        <v>46011367</v>
      </c>
      <c r="E48" s="1316">
        <v>0</v>
      </c>
      <c r="F48" s="1314">
        <v>46011367</v>
      </c>
      <c r="G48" s="1314">
        <v>0</v>
      </c>
      <c r="H48" s="1314">
        <v>-46011367</v>
      </c>
      <c r="I48" s="1317">
        <f>SUM($F48:H48)</f>
        <v>0</v>
      </c>
      <c r="J48" s="1314">
        <v>46011367</v>
      </c>
      <c r="K48" s="1314">
        <v>-46011367</v>
      </c>
      <c r="L48" s="1317">
        <f t="shared" si="12"/>
        <v>0</v>
      </c>
      <c r="M48" s="1317">
        <f t="shared" si="13"/>
        <v>0</v>
      </c>
    </row>
    <row r="49" spans="1:13" s="1314" customFormat="1" ht="15" hidden="1" outlineLevel="2" x14ac:dyDescent="0.25">
      <c r="A49" s="1314" t="s">
        <v>1512</v>
      </c>
      <c r="B49" s="1314" t="s">
        <v>1543</v>
      </c>
      <c r="C49" s="1314" t="s">
        <v>1544</v>
      </c>
      <c r="D49" s="1316">
        <v>7598793</v>
      </c>
      <c r="E49" s="1316">
        <v>0</v>
      </c>
      <c r="F49" s="1314">
        <v>7598793</v>
      </c>
      <c r="G49" s="1314">
        <v>0</v>
      </c>
      <c r="H49" s="1314">
        <v>-7598793</v>
      </c>
      <c r="I49" s="1317">
        <f>SUM($F49:H49)</f>
        <v>0</v>
      </c>
      <c r="J49" s="1314">
        <v>7598793</v>
      </c>
      <c r="K49" s="1314">
        <v>-7598793</v>
      </c>
      <c r="L49" s="1317">
        <f t="shared" si="12"/>
        <v>0</v>
      </c>
      <c r="M49" s="1317">
        <f t="shared" si="13"/>
        <v>0</v>
      </c>
    </row>
    <row r="50" spans="1:13" s="1314" customFormat="1" ht="15" hidden="1" outlineLevel="2" x14ac:dyDescent="0.25">
      <c r="A50" s="1314" t="s">
        <v>1512</v>
      </c>
      <c r="B50" s="1314" t="s">
        <v>1545</v>
      </c>
      <c r="C50" s="1314" t="s">
        <v>1546</v>
      </c>
      <c r="D50" s="1316">
        <v>9738854</v>
      </c>
      <c r="E50" s="1316">
        <v>0</v>
      </c>
      <c r="F50" s="1314">
        <v>9738854</v>
      </c>
      <c r="G50" s="1314">
        <v>0</v>
      </c>
      <c r="H50" s="1314">
        <v>-9738854</v>
      </c>
      <c r="I50" s="1317">
        <f>SUM($F50:H50)</f>
        <v>0</v>
      </c>
      <c r="J50" s="1314">
        <v>9738854</v>
      </c>
      <c r="K50" s="1314">
        <v>-9738854</v>
      </c>
      <c r="L50" s="1317">
        <f t="shared" si="12"/>
        <v>0</v>
      </c>
      <c r="M50" s="1317">
        <f t="shared" si="13"/>
        <v>0</v>
      </c>
    </row>
    <row r="51" spans="1:13" s="1314" customFormat="1" ht="15" hidden="1" outlineLevel="2" x14ac:dyDescent="0.25">
      <c r="A51" s="1314" t="s">
        <v>1512</v>
      </c>
      <c r="B51" s="1314" t="s">
        <v>1547</v>
      </c>
      <c r="C51" s="1314" t="s">
        <v>1548</v>
      </c>
      <c r="D51" s="1316">
        <v>444796511</v>
      </c>
      <c r="E51" s="1316">
        <v>0</v>
      </c>
      <c r="F51" s="1314">
        <v>444796511</v>
      </c>
      <c r="G51" s="1314">
        <v>0</v>
      </c>
      <c r="H51" s="1314">
        <v>-444796511</v>
      </c>
      <c r="I51" s="1317">
        <f>SUM($F51:H51)</f>
        <v>0</v>
      </c>
      <c r="J51" s="1314">
        <v>444796511</v>
      </c>
      <c r="K51" s="1314">
        <v>-444796511</v>
      </c>
      <c r="L51" s="1317">
        <f t="shared" si="12"/>
        <v>0</v>
      </c>
      <c r="M51" s="1317">
        <f t="shared" si="13"/>
        <v>0</v>
      </c>
    </row>
    <row r="52" spans="1:13" s="1314" customFormat="1" ht="15" hidden="1" outlineLevel="2" x14ac:dyDescent="0.25">
      <c r="A52" s="1314" t="s">
        <v>1512</v>
      </c>
      <c r="B52" s="1314" t="s">
        <v>1549</v>
      </c>
      <c r="C52" s="1314" t="s">
        <v>1550</v>
      </c>
      <c r="D52" s="1316">
        <v>12872070</v>
      </c>
      <c r="E52" s="1316">
        <v>0</v>
      </c>
      <c r="F52" s="1314">
        <v>12872070</v>
      </c>
      <c r="G52" s="1314">
        <v>0</v>
      </c>
      <c r="H52" s="1314">
        <v>-12872070</v>
      </c>
      <c r="I52" s="1317">
        <f>SUM($F52:H52)</f>
        <v>0</v>
      </c>
      <c r="J52" s="1314">
        <v>12872070</v>
      </c>
      <c r="K52" s="1314">
        <v>-12872070</v>
      </c>
      <c r="L52" s="1317">
        <f t="shared" si="12"/>
        <v>0</v>
      </c>
      <c r="M52" s="1317">
        <f t="shared" si="13"/>
        <v>0</v>
      </c>
    </row>
    <row r="53" spans="1:13" s="1314" customFormat="1" ht="15" hidden="1" outlineLevel="2" x14ac:dyDescent="0.25">
      <c r="A53" s="1314" t="s">
        <v>1512</v>
      </c>
      <c r="B53" s="1314" t="s">
        <v>1551</v>
      </c>
      <c r="C53" s="1314" t="s">
        <v>1552</v>
      </c>
      <c r="D53" s="1316">
        <v>579071</v>
      </c>
      <c r="E53" s="1316">
        <v>0</v>
      </c>
      <c r="F53" s="1314">
        <v>579071</v>
      </c>
      <c r="G53" s="1314">
        <v>0</v>
      </c>
      <c r="H53" s="1314">
        <v>-579071</v>
      </c>
      <c r="I53" s="1317">
        <f>SUM($F53:H53)</f>
        <v>0</v>
      </c>
      <c r="J53" s="1314">
        <v>579071</v>
      </c>
      <c r="K53" s="1314">
        <v>-579071</v>
      </c>
      <c r="L53" s="1317">
        <f t="shared" si="12"/>
        <v>0</v>
      </c>
      <c r="M53" s="1317">
        <f t="shared" si="13"/>
        <v>0</v>
      </c>
    </row>
    <row r="54" spans="1:13" s="1314" customFormat="1" ht="15" hidden="1" outlineLevel="2" x14ac:dyDescent="0.25">
      <c r="A54" s="1314" t="s">
        <v>1512</v>
      </c>
      <c r="B54" s="1314" t="s">
        <v>1553</v>
      </c>
      <c r="C54" s="1314" t="s">
        <v>1554</v>
      </c>
      <c r="D54" s="1316">
        <v>2508548</v>
      </c>
      <c r="E54" s="1316">
        <v>0</v>
      </c>
      <c r="F54" s="1314">
        <v>2508548</v>
      </c>
      <c r="G54" s="1314">
        <v>0</v>
      </c>
      <c r="H54" s="1314">
        <v>-2508548</v>
      </c>
      <c r="I54" s="1317">
        <f>SUM($F54:H54)</f>
        <v>0</v>
      </c>
      <c r="J54" s="1314">
        <v>2508548</v>
      </c>
      <c r="K54" s="1314">
        <v>-2508548</v>
      </c>
      <c r="L54" s="1317">
        <f t="shared" si="12"/>
        <v>0</v>
      </c>
      <c r="M54" s="1317">
        <f t="shared" si="13"/>
        <v>0</v>
      </c>
    </row>
    <row r="55" spans="1:13" s="1314" customFormat="1" ht="15" hidden="1" outlineLevel="2" x14ac:dyDescent="0.25">
      <c r="A55" s="1314" t="s">
        <v>1512</v>
      </c>
      <c r="B55" s="1314" t="s">
        <v>1555</v>
      </c>
      <c r="C55" s="1314" t="s">
        <v>1556</v>
      </c>
      <c r="D55" s="1316">
        <v>10967412</v>
      </c>
      <c r="E55" s="1316">
        <v>0</v>
      </c>
      <c r="F55" s="1314">
        <v>10967412</v>
      </c>
      <c r="G55" s="1314">
        <v>0</v>
      </c>
      <c r="H55" s="1314">
        <v>-10967412</v>
      </c>
      <c r="I55" s="1317">
        <f>SUM($F55:H55)</f>
        <v>0</v>
      </c>
      <c r="J55" s="1314">
        <v>10967412</v>
      </c>
      <c r="K55" s="1314">
        <v>-10967412</v>
      </c>
      <c r="L55" s="1317">
        <f t="shared" si="12"/>
        <v>0</v>
      </c>
      <c r="M55" s="1317">
        <f t="shared" si="13"/>
        <v>0</v>
      </c>
    </row>
    <row r="56" spans="1:13" s="1314" customFormat="1" ht="15" hidden="1" outlineLevel="2" x14ac:dyDescent="0.25">
      <c r="A56" s="1314" t="s">
        <v>1512</v>
      </c>
      <c r="B56" s="1314" t="s">
        <v>1557</v>
      </c>
      <c r="C56" s="1314" t="s">
        <v>1558</v>
      </c>
      <c r="D56" s="1316">
        <v>9470732</v>
      </c>
      <c r="E56" s="1316">
        <v>0</v>
      </c>
      <c r="F56" s="1314">
        <v>9470732</v>
      </c>
      <c r="G56" s="1314">
        <v>0</v>
      </c>
      <c r="H56" s="1314">
        <v>-9470732</v>
      </c>
      <c r="I56" s="1317">
        <f>SUM($F56:H56)</f>
        <v>0</v>
      </c>
      <c r="J56" s="1314">
        <v>9470732</v>
      </c>
      <c r="K56" s="1314">
        <v>-9470732</v>
      </c>
      <c r="L56" s="1317">
        <f t="shared" si="12"/>
        <v>0</v>
      </c>
      <c r="M56" s="1317">
        <f t="shared" si="13"/>
        <v>0</v>
      </c>
    </row>
    <row r="57" spans="1:13" s="1314" customFormat="1" ht="15" hidden="1" outlineLevel="2" x14ac:dyDescent="0.25">
      <c r="A57" s="1314" t="s">
        <v>1512</v>
      </c>
      <c r="B57" s="1314" t="s">
        <v>1559</v>
      </c>
      <c r="C57" s="1314" t="s">
        <v>1560</v>
      </c>
      <c r="D57" s="1316">
        <v>1440239</v>
      </c>
      <c r="E57" s="1316">
        <v>0</v>
      </c>
      <c r="F57" s="1314">
        <v>1440239</v>
      </c>
      <c r="G57" s="1314">
        <v>0</v>
      </c>
      <c r="H57" s="1314">
        <v>-1440239</v>
      </c>
      <c r="I57" s="1317">
        <f>SUM($F57:H57)</f>
        <v>0</v>
      </c>
      <c r="J57" s="1314">
        <v>1440239</v>
      </c>
      <c r="K57" s="1314">
        <v>-1440239</v>
      </c>
      <c r="L57" s="1317">
        <f t="shared" si="12"/>
        <v>0</v>
      </c>
      <c r="M57" s="1317">
        <f t="shared" si="13"/>
        <v>0</v>
      </c>
    </row>
    <row r="58" spans="1:13" s="1314" customFormat="1" ht="15" hidden="1" outlineLevel="2" x14ac:dyDescent="0.25">
      <c r="A58" s="1314" t="s">
        <v>1512</v>
      </c>
      <c r="B58" s="1314" t="s">
        <v>1561</v>
      </c>
      <c r="C58" s="1314" t="s">
        <v>1562</v>
      </c>
      <c r="D58" s="1316">
        <v>48606849</v>
      </c>
      <c r="E58" s="1316">
        <v>0</v>
      </c>
      <c r="F58" s="1314">
        <v>48606849</v>
      </c>
      <c r="G58" s="1314">
        <v>0</v>
      </c>
      <c r="H58" s="1314">
        <v>-48606849</v>
      </c>
      <c r="I58" s="1317">
        <f>SUM($F58:H58)</f>
        <v>0</v>
      </c>
      <c r="J58" s="1314">
        <v>48606849</v>
      </c>
      <c r="K58" s="1314">
        <v>-48606849</v>
      </c>
      <c r="L58" s="1317">
        <f t="shared" si="12"/>
        <v>0</v>
      </c>
      <c r="M58" s="1317">
        <f t="shared" si="13"/>
        <v>0</v>
      </c>
    </row>
    <row r="59" spans="1:13" s="1314" customFormat="1" ht="15" hidden="1" outlineLevel="2" x14ac:dyDescent="0.25">
      <c r="A59" s="1314" t="s">
        <v>1512</v>
      </c>
      <c r="B59" s="1314" t="s">
        <v>1563</v>
      </c>
      <c r="C59" s="1314" t="s">
        <v>1564</v>
      </c>
      <c r="D59" s="1316">
        <v>3231804</v>
      </c>
      <c r="E59" s="1316">
        <v>0</v>
      </c>
      <c r="F59" s="1314">
        <v>3231804</v>
      </c>
      <c r="G59" s="1314">
        <v>0</v>
      </c>
      <c r="H59" s="1314">
        <v>-3231804</v>
      </c>
      <c r="I59" s="1317">
        <f>SUM($F59:H59)</f>
        <v>0</v>
      </c>
      <c r="J59" s="1314">
        <v>3231804</v>
      </c>
      <c r="K59" s="1314">
        <v>-3231804</v>
      </c>
      <c r="L59" s="1317">
        <f t="shared" si="12"/>
        <v>0</v>
      </c>
      <c r="M59" s="1317">
        <f t="shared" si="13"/>
        <v>0</v>
      </c>
    </row>
    <row r="60" spans="1:13" s="1314" customFormat="1" ht="15" hidden="1" outlineLevel="2" x14ac:dyDescent="0.25">
      <c r="A60" s="1314" t="s">
        <v>1512</v>
      </c>
      <c r="B60" s="1314" t="s">
        <v>1565</v>
      </c>
      <c r="C60" s="1314" t="s">
        <v>1566</v>
      </c>
      <c r="D60" s="1316">
        <v>14895526</v>
      </c>
      <c r="E60" s="1316">
        <v>0</v>
      </c>
      <c r="F60" s="1314">
        <v>14895526</v>
      </c>
      <c r="G60" s="1314">
        <v>0</v>
      </c>
      <c r="H60" s="1314">
        <v>-14895526</v>
      </c>
      <c r="I60" s="1317">
        <f>SUM($F60:H60)</f>
        <v>0</v>
      </c>
      <c r="J60" s="1314">
        <v>14895526</v>
      </c>
      <c r="K60" s="1314">
        <v>-14895526</v>
      </c>
      <c r="L60" s="1317">
        <f t="shared" si="12"/>
        <v>0</v>
      </c>
      <c r="M60" s="1317">
        <f t="shared" si="13"/>
        <v>0</v>
      </c>
    </row>
    <row r="61" spans="1:13" s="1314" customFormat="1" ht="15" hidden="1" outlineLevel="2" x14ac:dyDescent="0.25">
      <c r="A61" s="1314" t="s">
        <v>1512</v>
      </c>
      <c r="B61" s="1314" t="s">
        <v>1567</v>
      </c>
      <c r="C61" s="1314" t="s">
        <v>1568</v>
      </c>
      <c r="D61" s="1316">
        <v>1177035</v>
      </c>
      <c r="E61" s="1316">
        <v>0</v>
      </c>
      <c r="F61" s="1314">
        <v>1177035</v>
      </c>
      <c r="G61" s="1314">
        <v>0</v>
      </c>
      <c r="H61" s="1314">
        <v>-1177035</v>
      </c>
      <c r="I61" s="1317">
        <f>SUM($F61:H61)</f>
        <v>0</v>
      </c>
      <c r="J61" s="1314">
        <v>1177035</v>
      </c>
      <c r="K61" s="1314">
        <v>-1177035</v>
      </c>
      <c r="L61" s="1317">
        <f t="shared" si="12"/>
        <v>0</v>
      </c>
      <c r="M61" s="1317">
        <f t="shared" si="13"/>
        <v>0</v>
      </c>
    </row>
    <row r="62" spans="1:13" s="1314" customFormat="1" ht="15" hidden="1" outlineLevel="2" x14ac:dyDescent="0.25">
      <c r="A62" s="1314" t="s">
        <v>1512</v>
      </c>
      <c r="B62" s="1314" t="s">
        <v>1569</v>
      </c>
      <c r="C62" s="1314" t="s">
        <v>1570</v>
      </c>
      <c r="D62" s="1316">
        <v>5654080</v>
      </c>
      <c r="E62" s="1316">
        <v>0</v>
      </c>
      <c r="F62" s="1314">
        <v>5654080</v>
      </c>
      <c r="G62" s="1314">
        <v>0</v>
      </c>
      <c r="H62" s="1314">
        <v>-5654080</v>
      </c>
      <c r="I62" s="1317">
        <f>SUM($F62:H62)</f>
        <v>0</v>
      </c>
      <c r="J62" s="1314">
        <v>5654080</v>
      </c>
      <c r="K62" s="1314">
        <v>-5654080</v>
      </c>
      <c r="L62" s="1317">
        <f t="shared" si="12"/>
        <v>0</v>
      </c>
      <c r="M62" s="1317">
        <f t="shared" si="13"/>
        <v>0</v>
      </c>
    </row>
    <row r="63" spans="1:13" s="1314" customFormat="1" ht="15" hidden="1" outlineLevel="2" x14ac:dyDescent="0.25">
      <c r="A63" s="1314" t="s">
        <v>1512</v>
      </c>
      <c r="B63" s="1314" t="s">
        <v>1571</v>
      </c>
      <c r="C63" s="1314" t="s">
        <v>1572</v>
      </c>
      <c r="D63" s="1316">
        <v>17475118</v>
      </c>
      <c r="E63" s="1316">
        <v>0</v>
      </c>
      <c r="F63" s="1314">
        <v>17475118</v>
      </c>
      <c r="G63" s="1314">
        <v>0</v>
      </c>
      <c r="H63" s="1314">
        <v>-17475118</v>
      </c>
      <c r="I63" s="1317">
        <f>SUM($F63:H63)</f>
        <v>0</v>
      </c>
      <c r="J63" s="1314">
        <v>17475118</v>
      </c>
      <c r="K63" s="1314">
        <v>-17475118</v>
      </c>
      <c r="L63" s="1317">
        <f t="shared" si="12"/>
        <v>0</v>
      </c>
      <c r="M63" s="1317">
        <f t="shared" si="13"/>
        <v>0</v>
      </c>
    </row>
    <row r="64" spans="1:13" s="1314" customFormat="1" ht="15" hidden="1" outlineLevel="2" x14ac:dyDescent="0.25">
      <c r="A64" s="1314" t="s">
        <v>1512</v>
      </c>
      <c r="B64" s="1314" t="s">
        <v>1573</v>
      </c>
      <c r="C64" s="1314" t="s">
        <v>1574</v>
      </c>
      <c r="D64" s="1316">
        <v>1836319</v>
      </c>
      <c r="E64" s="1316">
        <v>0</v>
      </c>
      <c r="F64" s="1314">
        <v>1836319</v>
      </c>
      <c r="G64" s="1314">
        <v>0</v>
      </c>
      <c r="H64" s="1314">
        <v>-1836319</v>
      </c>
      <c r="I64" s="1317">
        <f>SUM($F64:H64)</f>
        <v>0</v>
      </c>
      <c r="J64" s="1314">
        <v>1836319</v>
      </c>
      <c r="K64" s="1314">
        <v>-1836319</v>
      </c>
      <c r="L64" s="1317">
        <f t="shared" si="12"/>
        <v>0</v>
      </c>
      <c r="M64" s="1317">
        <f t="shared" si="13"/>
        <v>0</v>
      </c>
    </row>
    <row r="65" spans="1:13" s="1314" customFormat="1" ht="15" hidden="1" outlineLevel="2" x14ac:dyDescent="0.25">
      <c r="A65" s="1314" t="s">
        <v>1512</v>
      </c>
      <c r="B65" s="1314" t="s">
        <v>1575</v>
      </c>
      <c r="C65" s="1314" t="s">
        <v>1576</v>
      </c>
      <c r="D65" s="1316">
        <v>2637835</v>
      </c>
      <c r="E65" s="1316">
        <v>0</v>
      </c>
      <c r="F65" s="1314">
        <v>2637835</v>
      </c>
      <c r="G65" s="1314">
        <v>0</v>
      </c>
      <c r="H65" s="1314">
        <v>-2637835</v>
      </c>
      <c r="I65" s="1317">
        <f>SUM($F65:H65)</f>
        <v>0</v>
      </c>
      <c r="J65" s="1314">
        <v>2637835</v>
      </c>
      <c r="K65" s="1314">
        <v>-2637835</v>
      </c>
      <c r="L65" s="1317">
        <f t="shared" si="12"/>
        <v>0</v>
      </c>
      <c r="M65" s="1317">
        <f t="shared" si="13"/>
        <v>0</v>
      </c>
    </row>
    <row r="66" spans="1:13" s="1314" customFormat="1" ht="15" hidden="1" outlineLevel="2" x14ac:dyDescent="0.25">
      <c r="A66" s="1314" t="s">
        <v>1512</v>
      </c>
      <c r="B66" s="1314" t="s">
        <v>1577</v>
      </c>
      <c r="C66" s="1314" t="s">
        <v>1578</v>
      </c>
      <c r="D66" s="1316">
        <v>26425098</v>
      </c>
      <c r="E66" s="1316">
        <v>0</v>
      </c>
      <c r="F66" s="1314">
        <v>26425098</v>
      </c>
      <c r="G66" s="1314">
        <v>0</v>
      </c>
      <c r="H66" s="1314">
        <v>-26425098</v>
      </c>
      <c r="I66" s="1317">
        <f>SUM($F66:H66)</f>
        <v>0</v>
      </c>
      <c r="J66" s="1314">
        <v>26425098</v>
      </c>
      <c r="K66" s="1314">
        <v>-26425098</v>
      </c>
      <c r="L66" s="1317">
        <f t="shared" si="12"/>
        <v>0</v>
      </c>
      <c r="M66" s="1317">
        <f t="shared" si="13"/>
        <v>0</v>
      </c>
    </row>
    <row r="67" spans="1:13" s="1314" customFormat="1" ht="15" hidden="1" outlineLevel="2" x14ac:dyDescent="0.25">
      <c r="A67" s="1314" t="s">
        <v>1512</v>
      </c>
      <c r="B67" s="1314" t="s">
        <v>1579</v>
      </c>
      <c r="C67" s="1314" t="s">
        <v>1580</v>
      </c>
      <c r="D67" s="1316">
        <v>5436472</v>
      </c>
      <c r="E67" s="1316">
        <v>0</v>
      </c>
      <c r="F67" s="1314">
        <v>5436472</v>
      </c>
      <c r="G67" s="1314">
        <v>0</v>
      </c>
      <c r="H67" s="1314">
        <v>-5436472</v>
      </c>
      <c r="I67" s="1317">
        <f>SUM($F67:H67)</f>
        <v>0</v>
      </c>
      <c r="J67" s="1314">
        <v>5436472</v>
      </c>
      <c r="K67" s="1314">
        <v>-5436472</v>
      </c>
      <c r="L67" s="1317">
        <f t="shared" si="12"/>
        <v>0</v>
      </c>
      <c r="M67" s="1317">
        <f t="shared" si="13"/>
        <v>0</v>
      </c>
    </row>
    <row r="68" spans="1:13" s="1314" customFormat="1" ht="15" hidden="1" outlineLevel="2" x14ac:dyDescent="0.25">
      <c r="A68" s="1314" t="s">
        <v>1512</v>
      </c>
      <c r="B68" s="1314" t="s">
        <v>1581</v>
      </c>
      <c r="C68" s="1314" t="s">
        <v>1582</v>
      </c>
      <c r="D68" s="1316">
        <v>1050588</v>
      </c>
      <c r="E68" s="1316">
        <v>0</v>
      </c>
      <c r="F68" s="1314">
        <v>1050588</v>
      </c>
      <c r="G68" s="1314">
        <v>0</v>
      </c>
      <c r="H68" s="1314">
        <v>-1050588</v>
      </c>
      <c r="I68" s="1317">
        <f>SUM($F68:H68)</f>
        <v>0</v>
      </c>
      <c r="J68" s="1314">
        <v>1050588</v>
      </c>
      <c r="K68" s="1314">
        <v>-1050588</v>
      </c>
      <c r="L68" s="1317">
        <f t="shared" si="12"/>
        <v>0</v>
      </c>
      <c r="M68" s="1317">
        <f t="shared" si="13"/>
        <v>0</v>
      </c>
    </row>
    <row r="69" spans="1:13" s="1314" customFormat="1" ht="15" hidden="1" outlineLevel="2" x14ac:dyDescent="0.25">
      <c r="A69" s="1314" t="s">
        <v>1512</v>
      </c>
      <c r="B69" s="1314" t="s">
        <v>1583</v>
      </c>
      <c r="C69" s="1314" t="s">
        <v>1584</v>
      </c>
      <c r="D69" s="1316">
        <v>4088209</v>
      </c>
      <c r="E69" s="1316">
        <v>0</v>
      </c>
      <c r="F69" s="1314">
        <v>4088209</v>
      </c>
      <c r="G69" s="1314">
        <v>0</v>
      </c>
      <c r="H69" s="1314">
        <v>-4088209</v>
      </c>
      <c r="I69" s="1317">
        <f>SUM($F69:H69)</f>
        <v>0</v>
      </c>
      <c r="J69" s="1314">
        <v>4088209</v>
      </c>
      <c r="K69" s="1314">
        <v>-4088209</v>
      </c>
      <c r="L69" s="1317">
        <f t="shared" si="12"/>
        <v>0</v>
      </c>
      <c r="M69" s="1317">
        <f t="shared" si="13"/>
        <v>0</v>
      </c>
    </row>
    <row r="70" spans="1:13" s="1314" customFormat="1" ht="15" hidden="1" outlineLevel="2" x14ac:dyDescent="0.25">
      <c r="A70" s="1314" t="s">
        <v>1512</v>
      </c>
      <c r="B70" s="1314" t="s">
        <v>1585</v>
      </c>
      <c r="C70" s="1314" t="s">
        <v>1586</v>
      </c>
      <c r="D70" s="1316">
        <v>718623</v>
      </c>
      <c r="E70" s="1316">
        <v>0</v>
      </c>
      <c r="F70" s="1314">
        <v>718623</v>
      </c>
      <c r="G70" s="1314">
        <v>0</v>
      </c>
      <c r="H70" s="1314">
        <v>-718623</v>
      </c>
      <c r="I70" s="1317">
        <f>SUM($F70:H70)</f>
        <v>0</v>
      </c>
      <c r="J70" s="1314">
        <v>718623</v>
      </c>
      <c r="K70" s="1314">
        <v>-718623</v>
      </c>
      <c r="L70" s="1317">
        <f t="shared" si="12"/>
        <v>0</v>
      </c>
      <c r="M70" s="1317">
        <f t="shared" si="13"/>
        <v>0</v>
      </c>
    </row>
    <row r="71" spans="1:13" s="1314" customFormat="1" ht="15" hidden="1" outlineLevel="2" x14ac:dyDescent="0.25">
      <c r="A71" s="1314" t="s">
        <v>1512</v>
      </c>
      <c r="B71" s="1314" t="s">
        <v>1587</v>
      </c>
      <c r="C71" s="1314" t="s">
        <v>1588</v>
      </c>
      <c r="D71" s="1316">
        <v>6344581</v>
      </c>
      <c r="E71" s="1316">
        <v>0</v>
      </c>
      <c r="F71" s="1314">
        <v>6344581</v>
      </c>
      <c r="G71" s="1314">
        <v>0</v>
      </c>
      <c r="H71" s="1314">
        <v>-6344581</v>
      </c>
      <c r="I71" s="1317">
        <f>SUM($F71:H71)</f>
        <v>0</v>
      </c>
      <c r="J71" s="1314">
        <v>6344581</v>
      </c>
      <c r="K71" s="1314">
        <v>-6344581</v>
      </c>
      <c r="L71" s="1317">
        <f t="shared" si="12"/>
        <v>0</v>
      </c>
      <c r="M71" s="1317">
        <f t="shared" si="13"/>
        <v>0</v>
      </c>
    </row>
    <row r="72" spans="1:13" s="1314" customFormat="1" ht="15" hidden="1" outlineLevel="2" x14ac:dyDescent="0.25">
      <c r="A72" s="1314" t="s">
        <v>1512</v>
      </c>
      <c r="B72" s="1314" t="s">
        <v>1589</v>
      </c>
      <c r="C72" s="1314" t="s">
        <v>1590</v>
      </c>
      <c r="D72" s="1316">
        <v>1566445</v>
      </c>
      <c r="E72" s="1316">
        <v>0</v>
      </c>
      <c r="F72" s="1314">
        <v>1566445</v>
      </c>
      <c r="G72" s="1314">
        <v>0</v>
      </c>
      <c r="H72" s="1314">
        <v>-1566445</v>
      </c>
      <c r="I72" s="1317">
        <f>SUM($F72:H72)</f>
        <v>0</v>
      </c>
      <c r="J72" s="1314">
        <v>1566445</v>
      </c>
      <c r="K72" s="1314">
        <v>-1566445</v>
      </c>
      <c r="L72" s="1317">
        <f t="shared" si="12"/>
        <v>0</v>
      </c>
      <c r="M72" s="1317">
        <f t="shared" si="13"/>
        <v>0</v>
      </c>
    </row>
    <row r="73" spans="1:13" s="1314" customFormat="1" ht="15" hidden="1" outlineLevel="2" x14ac:dyDescent="0.25">
      <c r="A73" s="1314" t="s">
        <v>1512</v>
      </c>
      <c r="B73" s="1314" t="s">
        <v>1591</v>
      </c>
      <c r="C73" s="1314" t="s">
        <v>1592</v>
      </c>
      <c r="D73" s="1316">
        <v>2082598</v>
      </c>
      <c r="E73" s="1316">
        <v>0</v>
      </c>
      <c r="F73" s="1314">
        <v>2082598</v>
      </c>
      <c r="G73" s="1314">
        <v>0</v>
      </c>
      <c r="H73" s="1314">
        <v>-2082598</v>
      </c>
      <c r="I73" s="1317">
        <f>SUM($F73:H73)</f>
        <v>0</v>
      </c>
      <c r="J73" s="1314">
        <v>2082598</v>
      </c>
      <c r="K73" s="1314">
        <v>-2082598</v>
      </c>
      <c r="L73" s="1317">
        <f t="shared" si="12"/>
        <v>0</v>
      </c>
      <c r="M73" s="1317">
        <f t="shared" si="13"/>
        <v>0</v>
      </c>
    </row>
    <row r="74" spans="1:13" s="1314" customFormat="1" ht="15" hidden="1" outlineLevel="2" x14ac:dyDescent="0.25">
      <c r="A74" s="1314" t="s">
        <v>1512</v>
      </c>
      <c r="B74" s="1314" t="s">
        <v>1593</v>
      </c>
      <c r="C74" s="1314" t="s">
        <v>1594</v>
      </c>
      <c r="D74" s="1316">
        <v>5727662</v>
      </c>
      <c r="E74" s="1316">
        <v>0</v>
      </c>
      <c r="F74" s="1314">
        <v>5727662</v>
      </c>
      <c r="G74" s="1314">
        <v>0</v>
      </c>
      <c r="H74" s="1314">
        <v>-5727662</v>
      </c>
      <c r="I74" s="1317">
        <f>SUM($F74:H74)</f>
        <v>0</v>
      </c>
      <c r="J74" s="1314">
        <v>5727662</v>
      </c>
      <c r="K74" s="1314">
        <v>-5727662</v>
      </c>
      <c r="L74" s="1317">
        <f t="shared" si="12"/>
        <v>0</v>
      </c>
      <c r="M74" s="1317">
        <f t="shared" si="13"/>
        <v>0</v>
      </c>
    </row>
    <row r="75" spans="1:13" s="1314" customFormat="1" ht="15" hidden="1" outlineLevel="2" x14ac:dyDescent="0.25">
      <c r="A75" s="1314" t="s">
        <v>1512</v>
      </c>
      <c r="B75" s="1314" t="s">
        <v>1595</v>
      </c>
      <c r="C75" s="1314" t="s">
        <v>1596</v>
      </c>
      <c r="D75" s="1316">
        <v>321572</v>
      </c>
      <c r="E75" s="1316">
        <v>0</v>
      </c>
      <c r="F75" s="1314">
        <v>321572</v>
      </c>
      <c r="G75" s="1314">
        <v>0</v>
      </c>
      <c r="H75" s="1314">
        <v>-321572</v>
      </c>
      <c r="I75" s="1317">
        <f>SUM($F75:H75)</f>
        <v>0</v>
      </c>
      <c r="J75" s="1314">
        <v>321572</v>
      </c>
      <c r="K75" s="1314">
        <v>-321572</v>
      </c>
      <c r="L75" s="1317">
        <f t="shared" si="12"/>
        <v>0</v>
      </c>
      <c r="M75" s="1317">
        <f t="shared" si="13"/>
        <v>0</v>
      </c>
    </row>
    <row r="76" spans="1:13" s="1314" customFormat="1" ht="15" hidden="1" outlineLevel="2" x14ac:dyDescent="0.25">
      <c r="A76" s="1314" t="s">
        <v>1512</v>
      </c>
      <c r="B76" s="1314" t="s">
        <v>1597</v>
      </c>
      <c r="C76" s="1314" t="s">
        <v>1598</v>
      </c>
      <c r="D76" s="1316">
        <v>5042273</v>
      </c>
      <c r="E76" s="1316">
        <v>0</v>
      </c>
      <c r="F76" s="1314">
        <v>5042273</v>
      </c>
      <c r="G76" s="1314">
        <v>0</v>
      </c>
      <c r="H76" s="1314">
        <v>-5042273</v>
      </c>
      <c r="I76" s="1317">
        <f>SUM($F76:H76)</f>
        <v>0</v>
      </c>
      <c r="J76" s="1314">
        <v>5042273</v>
      </c>
      <c r="K76" s="1314">
        <v>-5042273</v>
      </c>
      <c r="L76" s="1317">
        <f t="shared" si="12"/>
        <v>0</v>
      </c>
      <c r="M76" s="1317">
        <f t="shared" si="13"/>
        <v>0</v>
      </c>
    </row>
    <row r="77" spans="1:13" s="1314" customFormat="1" ht="15" hidden="1" outlineLevel="2" x14ac:dyDescent="0.25">
      <c r="A77" s="1314" t="s">
        <v>1512</v>
      </c>
      <c r="B77" s="1314" t="s">
        <v>1599</v>
      </c>
      <c r="C77" s="1314" t="s">
        <v>1600</v>
      </c>
      <c r="D77" s="1316">
        <v>6641016</v>
      </c>
      <c r="E77" s="1316">
        <v>0</v>
      </c>
      <c r="F77" s="1314">
        <v>6641016</v>
      </c>
      <c r="G77" s="1314">
        <v>0</v>
      </c>
      <c r="H77" s="1314">
        <v>-6641016</v>
      </c>
      <c r="I77" s="1317">
        <f>SUM($F77:H77)</f>
        <v>0</v>
      </c>
      <c r="J77" s="1314">
        <v>6641016</v>
      </c>
      <c r="K77" s="1314">
        <v>-6641016</v>
      </c>
      <c r="L77" s="1317">
        <f t="shared" si="12"/>
        <v>0</v>
      </c>
      <c r="M77" s="1317">
        <f t="shared" si="13"/>
        <v>0</v>
      </c>
    </row>
    <row r="78" spans="1:13" s="1314" customFormat="1" ht="15" hidden="1" outlineLevel="2" x14ac:dyDescent="0.25">
      <c r="A78" s="1314" t="s">
        <v>1512</v>
      </c>
      <c r="B78" s="1314" t="s">
        <v>1601</v>
      </c>
      <c r="C78" s="1314" t="s">
        <v>1602</v>
      </c>
      <c r="D78" s="1316">
        <v>3665931</v>
      </c>
      <c r="E78" s="1316">
        <v>0</v>
      </c>
      <c r="F78" s="1314">
        <v>3665931</v>
      </c>
      <c r="G78" s="1314">
        <v>0</v>
      </c>
      <c r="H78" s="1314">
        <v>-3665931</v>
      </c>
      <c r="I78" s="1317">
        <f>SUM($F78:H78)</f>
        <v>0</v>
      </c>
      <c r="J78" s="1314">
        <v>3665931</v>
      </c>
      <c r="K78" s="1314">
        <v>-3665931</v>
      </c>
      <c r="L78" s="1317">
        <f t="shared" si="12"/>
        <v>0</v>
      </c>
      <c r="M78" s="1317">
        <f t="shared" si="13"/>
        <v>0</v>
      </c>
    </row>
    <row r="79" spans="1:13" s="1314" customFormat="1" ht="15" hidden="1" outlineLevel="2" x14ac:dyDescent="0.25">
      <c r="A79" s="1314" t="s">
        <v>1512</v>
      </c>
      <c r="B79" s="1314" t="s">
        <v>1603</v>
      </c>
      <c r="C79" s="1314" t="s">
        <v>1604</v>
      </c>
      <c r="D79" s="1316">
        <v>6375786</v>
      </c>
      <c r="E79" s="1316">
        <v>0</v>
      </c>
      <c r="F79" s="1314">
        <v>6375786</v>
      </c>
      <c r="G79" s="1314">
        <v>0</v>
      </c>
      <c r="H79" s="1314">
        <v>-6375786</v>
      </c>
      <c r="I79" s="1317">
        <f>SUM($F79:H79)</f>
        <v>0</v>
      </c>
      <c r="J79" s="1314">
        <v>6375786</v>
      </c>
      <c r="K79" s="1314">
        <v>-6375786</v>
      </c>
      <c r="L79" s="1317">
        <f t="shared" si="12"/>
        <v>0</v>
      </c>
      <c r="M79" s="1317">
        <f t="shared" si="13"/>
        <v>0</v>
      </c>
    </row>
    <row r="80" spans="1:13" s="1314" customFormat="1" ht="15" hidden="1" outlineLevel="2" x14ac:dyDescent="0.25">
      <c r="A80" s="1314" t="s">
        <v>1512</v>
      </c>
      <c r="B80" s="1314" t="s">
        <v>1605</v>
      </c>
      <c r="C80" s="1314" t="s">
        <v>1606</v>
      </c>
      <c r="D80" s="1316">
        <v>2807979</v>
      </c>
      <c r="E80" s="1316">
        <v>0</v>
      </c>
      <c r="F80" s="1314">
        <v>2807979</v>
      </c>
      <c r="G80" s="1314">
        <v>0</v>
      </c>
      <c r="H80" s="1314">
        <v>-2807979</v>
      </c>
      <c r="I80" s="1317">
        <f>SUM($F80:H80)</f>
        <v>0</v>
      </c>
      <c r="J80" s="1314">
        <v>2807979</v>
      </c>
      <c r="K80" s="1314">
        <v>-2807979</v>
      </c>
      <c r="L80" s="1317">
        <f t="shared" si="12"/>
        <v>0</v>
      </c>
      <c r="M80" s="1317">
        <f t="shared" si="13"/>
        <v>0</v>
      </c>
    </row>
    <row r="81" spans="1:13" s="1314" customFormat="1" ht="15" hidden="1" outlineLevel="2" x14ac:dyDescent="0.25">
      <c r="A81" s="1314" t="s">
        <v>1512</v>
      </c>
      <c r="B81" s="1314" t="s">
        <v>1607</v>
      </c>
      <c r="C81" s="1314" t="s">
        <v>1608</v>
      </c>
      <c r="D81" s="1316">
        <v>3405503</v>
      </c>
      <c r="E81" s="1316">
        <v>0</v>
      </c>
      <c r="F81" s="1314">
        <v>3405503</v>
      </c>
      <c r="G81" s="1314">
        <v>0</v>
      </c>
      <c r="H81" s="1314">
        <v>-3405503</v>
      </c>
      <c r="I81" s="1317">
        <f>SUM($F81:H81)</f>
        <v>0</v>
      </c>
      <c r="J81" s="1314">
        <v>3405503</v>
      </c>
      <c r="K81" s="1314">
        <v>-3405503</v>
      </c>
      <c r="L81" s="1317">
        <f t="shared" si="12"/>
        <v>0</v>
      </c>
      <c r="M81" s="1317">
        <f t="shared" si="13"/>
        <v>0</v>
      </c>
    </row>
    <row r="82" spans="1:13" s="1314" customFormat="1" ht="15" hidden="1" outlineLevel="2" x14ac:dyDescent="0.25">
      <c r="A82" s="1314" t="s">
        <v>1512</v>
      </c>
      <c r="B82" s="1314" t="s">
        <v>1609</v>
      </c>
      <c r="C82" s="1314" t="s">
        <v>1610</v>
      </c>
      <c r="D82" s="1316">
        <v>1505737</v>
      </c>
      <c r="E82" s="1316">
        <v>0</v>
      </c>
      <c r="F82" s="1314">
        <v>1505737</v>
      </c>
      <c r="G82" s="1314">
        <v>0</v>
      </c>
      <c r="H82" s="1314">
        <v>-1505737</v>
      </c>
      <c r="I82" s="1317">
        <f>SUM($F82:H82)</f>
        <v>0</v>
      </c>
      <c r="J82" s="1314">
        <v>1505737</v>
      </c>
      <c r="K82" s="1314">
        <v>-1505737</v>
      </c>
      <c r="L82" s="1317">
        <f t="shared" si="12"/>
        <v>0</v>
      </c>
      <c r="M82" s="1317">
        <f t="shared" si="13"/>
        <v>0</v>
      </c>
    </row>
    <row r="83" spans="1:13" s="1314" customFormat="1" ht="15" hidden="1" outlineLevel="2" x14ac:dyDescent="0.25">
      <c r="A83" s="1314" t="s">
        <v>1512</v>
      </c>
      <c r="B83" s="1314" t="s">
        <v>1611</v>
      </c>
      <c r="C83" s="1314" t="s">
        <v>1612</v>
      </c>
      <c r="D83" s="1316">
        <v>2110760</v>
      </c>
      <c r="E83" s="1316">
        <v>0</v>
      </c>
      <c r="F83" s="1314">
        <v>2110760</v>
      </c>
      <c r="G83" s="1314">
        <v>0</v>
      </c>
      <c r="H83" s="1314">
        <v>-2110760</v>
      </c>
      <c r="I83" s="1317">
        <f>SUM($F83:H83)</f>
        <v>0</v>
      </c>
      <c r="J83" s="1314">
        <v>2110760</v>
      </c>
      <c r="K83" s="1314">
        <v>-2110760</v>
      </c>
      <c r="L83" s="1317">
        <f t="shared" si="12"/>
        <v>0</v>
      </c>
      <c r="M83" s="1317">
        <f t="shared" si="13"/>
        <v>0</v>
      </c>
    </row>
    <row r="84" spans="1:13" s="1314" customFormat="1" ht="15" hidden="1" outlineLevel="2" x14ac:dyDescent="0.25">
      <c r="A84" s="1314" t="s">
        <v>1512</v>
      </c>
      <c r="B84" s="1314" t="s">
        <v>1613</v>
      </c>
      <c r="C84" s="1314" t="s">
        <v>1614</v>
      </c>
      <c r="D84" s="1316">
        <v>955630</v>
      </c>
      <c r="E84" s="1316">
        <v>0</v>
      </c>
      <c r="F84" s="1314">
        <v>955630</v>
      </c>
      <c r="G84" s="1314">
        <v>0</v>
      </c>
      <c r="H84" s="1314">
        <v>-955630</v>
      </c>
      <c r="I84" s="1317">
        <f>SUM($F84:H84)</f>
        <v>0</v>
      </c>
      <c r="J84" s="1314">
        <v>955630</v>
      </c>
      <c r="K84" s="1314">
        <v>-955630</v>
      </c>
      <c r="L84" s="1317">
        <f t="shared" si="12"/>
        <v>0</v>
      </c>
      <c r="M84" s="1317">
        <f t="shared" si="13"/>
        <v>0</v>
      </c>
    </row>
    <row r="85" spans="1:13" s="1314" customFormat="1" ht="15" hidden="1" outlineLevel="2" x14ac:dyDescent="0.25">
      <c r="A85" s="1314" t="s">
        <v>1512</v>
      </c>
      <c r="B85" s="1314" t="s">
        <v>1615</v>
      </c>
      <c r="C85" s="1314" t="s">
        <v>1616</v>
      </c>
      <c r="D85" s="1316">
        <v>67974577</v>
      </c>
      <c r="E85" s="1316">
        <v>0</v>
      </c>
      <c r="F85" s="1314">
        <v>67974577</v>
      </c>
      <c r="G85" s="1314">
        <v>0</v>
      </c>
      <c r="H85" s="1314">
        <v>-67974577</v>
      </c>
      <c r="I85" s="1317">
        <f>SUM($F85:H85)</f>
        <v>0</v>
      </c>
      <c r="J85" s="1314">
        <v>67974577</v>
      </c>
      <c r="K85" s="1314">
        <v>-67974577</v>
      </c>
      <c r="L85" s="1317">
        <f t="shared" si="12"/>
        <v>0</v>
      </c>
      <c r="M85" s="1317">
        <f t="shared" si="13"/>
        <v>0</v>
      </c>
    </row>
    <row r="86" spans="1:13" s="1314" customFormat="1" ht="15" hidden="1" outlineLevel="2" x14ac:dyDescent="0.25">
      <c r="A86" s="1314" t="s">
        <v>1512</v>
      </c>
      <c r="B86" s="1314" t="s">
        <v>1617</v>
      </c>
      <c r="C86" s="1314" t="s">
        <v>1618</v>
      </c>
      <c r="D86" s="1316">
        <v>1992104</v>
      </c>
      <c r="E86" s="1316">
        <v>0</v>
      </c>
      <c r="F86" s="1314">
        <v>1992104</v>
      </c>
      <c r="G86" s="1314">
        <v>0</v>
      </c>
      <c r="H86" s="1314">
        <v>-1992104</v>
      </c>
      <c r="I86" s="1317">
        <f>SUM($F86:H86)</f>
        <v>0</v>
      </c>
      <c r="J86" s="1314">
        <v>1992104</v>
      </c>
      <c r="K86" s="1314">
        <v>-1992104</v>
      </c>
      <c r="L86" s="1317">
        <f t="shared" si="12"/>
        <v>0</v>
      </c>
      <c r="M86" s="1317">
        <f t="shared" si="13"/>
        <v>0</v>
      </c>
    </row>
    <row r="87" spans="1:13" s="1314" customFormat="1" ht="15" hidden="1" outlineLevel="2" x14ac:dyDescent="0.25">
      <c r="A87" s="1314" t="s">
        <v>1512</v>
      </c>
      <c r="B87" s="1314" t="s">
        <v>1619</v>
      </c>
      <c r="C87" s="1314" t="s">
        <v>1620</v>
      </c>
      <c r="D87" s="1316">
        <v>43316232</v>
      </c>
      <c r="E87" s="1316">
        <v>0</v>
      </c>
      <c r="F87" s="1314">
        <v>43316232</v>
      </c>
      <c r="G87" s="1314">
        <v>0</v>
      </c>
      <c r="H87" s="1314">
        <v>-43316232</v>
      </c>
      <c r="I87" s="1317">
        <f>SUM($F87:H87)</f>
        <v>0</v>
      </c>
      <c r="J87" s="1314">
        <v>43316232</v>
      </c>
      <c r="K87" s="1314">
        <v>-43316232</v>
      </c>
      <c r="L87" s="1317">
        <f t="shared" si="12"/>
        <v>0</v>
      </c>
      <c r="M87" s="1317">
        <f t="shared" si="13"/>
        <v>0</v>
      </c>
    </row>
    <row r="88" spans="1:13" s="1314" customFormat="1" ht="15" hidden="1" outlineLevel="2" x14ac:dyDescent="0.25">
      <c r="A88" s="1314" t="s">
        <v>1512</v>
      </c>
      <c r="B88" s="1314" t="s">
        <v>1621</v>
      </c>
      <c r="C88" s="1314" t="s">
        <v>1622</v>
      </c>
      <c r="D88" s="1316">
        <v>6427404</v>
      </c>
      <c r="E88" s="1316">
        <v>0</v>
      </c>
      <c r="F88" s="1314">
        <v>6427404</v>
      </c>
      <c r="G88" s="1314">
        <v>0</v>
      </c>
      <c r="H88" s="1314">
        <v>-6427404</v>
      </c>
      <c r="I88" s="1317">
        <f>SUM($F88:H88)</f>
        <v>0</v>
      </c>
      <c r="J88" s="1314">
        <v>6427404</v>
      </c>
      <c r="K88" s="1314">
        <v>-6427404</v>
      </c>
      <c r="L88" s="1317">
        <f t="shared" si="12"/>
        <v>0</v>
      </c>
      <c r="M88" s="1317">
        <f t="shared" si="13"/>
        <v>0</v>
      </c>
    </row>
    <row r="89" spans="1:13" s="1314" customFormat="1" ht="15" hidden="1" outlineLevel="2" x14ac:dyDescent="0.25">
      <c r="A89" s="1314" t="s">
        <v>1512</v>
      </c>
      <c r="B89" s="1314" t="s">
        <v>1623</v>
      </c>
      <c r="C89" s="1314" t="s">
        <v>1624</v>
      </c>
      <c r="D89" s="1316">
        <v>2175846</v>
      </c>
      <c r="E89" s="1316">
        <v>0</v>
      </c>
      <c r="F89" s="1314">
        <v>2175846</v>
      </c>
      <c r="G89" s="1314">
        <v>0</v>
      </c>
      <c r="H89" s="1314">
        <v>-2175846</v>
      </c>
      <c r="I89" s="1317">
        <f>SUM($F89:H89)</f>
        <v>0</v>
      </c>
      <c r="J89" s="1314">
        <v>2175846</v>
      </c>
      <c r="K89" s="1314">
        <v>-2175846</v>
      </c>
      <c r="L89" s="1317">
        <f t="shared" si="12"/>
        <v>0</v>
      </c>
      <c r="M89" s="1317">
        <f t="shared" si="13"/>
        <v>0</v>
      </c>
    </row>
    <row r="90" spans="1:13" s="1314" customFormat="1" ht="15" hidden="1" outlineLevel="2" x14ac:dyDescent="0.25">
      <c r="A90" s="1314" t="s">
        <v>1512</v>
      </c>
      <c r="B90" s="1314" t="s">
        <v>1625</v>
      </c>
      <c r="C90" s="1314" t="s">
        <v>1626</v>
      </c>
      <c r="D90" s="1316">
        <v>25386993</v>
      </c>
      <c r="E90" s="1316">
        <v>0</v>
      </c>
      <c r="F90" s="1314">
        <v>25386993</v>
      </c>
      <c r="G90" s="1314">
        <v>0</v>
      </c>
      <c r="H90" s="1314">
        <v>-25386993</v>
      </c>
      <c r="I90" s="1317">
        <f>SUM($F90:H90)</f>
        <v>0</v>
      </c>
      <c r="J90" s="1314">
        <v>25386993</v>
      </c>
      <c r="K90" s="1314">
        <v>-25386993</v>
      </c>
      <c r="L90" s="1317">
        <f t="shared" si="12"/>
        <v>0</v>
      </c>
      <c r="M90" s="1317">
        <f t="shared" si="13"/>
        <v>0</v>
      </c>
    </row>
    <row r="91" spans="1:13" s="1314" customFormat="1" ht="15" hidden="1" outlineLevel="2" x14ac:dyDescent="0.25">
      <c r="A91" s="1314" t="s">
        <v>1512</v>
      </c>
      <c r="B91" s="1314" t="s">
        <v>1627</v>
      </c>
      <c r="C91" s="1314" t="s">
        <v>1628</v>
      </c>
      <c r="D91" s="1316">
        <v>15903070</v>
      </c>
      <c r="E91" s="1316">
        <v>0</v>
      </c>
      <c r="F91" s="1314">
        <v>15903070</v>
      </c>
      <c r="G91" s="1314">
        <v>0</v>
      </c>
      <c r="H91" s="1314">
        <v>-15903070</v>
      </c>
      <c r="I91" s="1317">
        <f>SUM($F91:H91)</f>
        <v>0</v>
      </c>
      <c r="J91" s="1314">
        <v>15903070</v>
      </c>
      <c r="K91" s="1314">
        <v>-15903070</v>
      </c>
      <c r="L91" s="1317">
        <f t="shared" si="12"/>
        <v>0</v>
      </c>
      <c r="M91" s="1317">
        <f t="shared" si="13"/>
        <v>0</v>
      </c>
    </row>
    <row r="92" spans="1:13" s="1314" customFormat="1" ht="15" hidden="1" outlineLevel="2" x14ac:dyDescent="0.25">
      <c r="A92" s="1314" t="s">
        <v>1512</v>
      </c>
      <c r="B92" s="1314" t="s">
        <v>1629</v>
      </c>
      <c r="C92" s="1314" t="s">
        <v>1630</v>
      </c>
      <c r="D92" s="1316">
        <v>5907740</v>
      </c>
      <c r="E92" s="1316">
        <v>0</v>
      </c>
      <c r="F92" s="1314">
        <v>5907740</v>
      </c>
      <c r="G92" s="1314">
        <v>0</v>
      </c>
      <c r="H92" s="1314">
        <v>-5907740</v>
      </c>
      <c r="I92" s="1317">
        <f>SUM($F92:H92)</f>
        <v>0</v>
      </c>
      <c r="J92" s="1314">
        <v>5907740</v>
      </c>
      <c r="K92" s="1314">
        <v>-5907740</v>
      </c>
      <c r="L92" s="1317">
        <f t="shared" si="12"/>
        <v>0</v>
      </c>
      <c r="M92" s="1317">
        <f t="shared" si="13"/>
        <v>0</v>
      </c>
    </row>
    <row r="93" spans="1:13" s="1314" customFormat="1" ht="15" hidden="1" outlineLevel="2" x14ac:dyDescent="0.25">
      <c r="A93" s="1314" t="s">
        <v>1512</v>
      </c>
      <c r="B93" s="1314" t="s">
        <v>1631</v>
      </c>
      <c r="C93" s="1314" t="s">
        <v>1632</v>
      </c>
      <c r="D93" s="1316">
        <v>11516782</v>
      </c>
      <c r="E93" s="1316">
        <v>0</v>
      </c>
      <c r="F93" s="1314">
        <v>11516782</v>
      </c>
      <c r="G93" s="1314">
        <v>0</v>
      </c>
      <c r="H93" s="1314">
        <v>-11516782</v>
      </c>
      <c r="I93" s="1317">
        <f>SUM($F93:H93)</f>
        <v>0</v>
      </c>
      <c r="J93" s="1314">
        <v>11516782</v>
      </c>
      <c r="K93" s="1314">
        <v>-11516782</v>
      </c>
      <c r="L93" s="1317">
        <f t="shared" si="12"/>
        <v>0</v>
      </c>
      <c r="M93" s="1317">
        <f t="shared" si="13"/>
        <v>0</v>
      </c>
    </row>
    <row r="94" spans="1:13" s="1314" customFormat="1" ht="15" hidden="1" outlineLevel="2" x14ac:dyDescent="0.25">
      <c r="A94" s="1314" t="s">
        <v>1512</v>
      </c>
      <c r="B94" s="1314" t="s">
        <v>1633</v>
      </c>
      <c r="C94" s="1314" t="s">
        <v>1634</v>
      </c>
      <c r="D94" s="1316">
        <v>7514561</v>
      </c>
      <c r="E94" s="1316">
        <v>0</v>
      </c>
      <c r="F94" s="1314">
        <v>7514561</v>
      </c>
      <c r="G94" s="1314">
        <v>0</v>
      </c>
      <c r="H94" s="1314">
        <v>-7514561</v>
      </c>
      <c r="I94" s="1317">
        <f>SUM($F94:H94)</f>
        <v>0</v>
      </c>
      <c r="J94" s="1314">
        <v>7514561</v>
      </c>
      <c r="K94" s="1314">
        <v>-7514561</v>
      </c>
      <c r="L94" s="1317">
        <f t="shared" si="12"/>
        <v>0</v>
      </c>
      <c r="M94" s="1317">
        <f t="shared" si="13"/>
        <v>0</v>
      </c>
    </row>
    <row r="95" spans="1:13" s="1314" customFormat="1" ht="15" hidden="1" outlineLevel="2" x14ac:dyDescent="0.25">
      <c r="A95" s="1314" t="s">
        <v>1512</v>
      </c>
      <c r="B95" s="1314" t="s">
        <v>1635</v>
      </c>
      <c r="C95" s="1314" t="s">
        <v>1636</v>
      </c>
      <c r="D95" s="1316">
        <v>3451160</v>
      </c>
      <c r="E95" s="1316">
        <v>0</v>
      </c>
      <c r="F95" s="1314">
        <v>3451160</v>
      </c>
      <c r="G95" s="1314">
        <v>0</v>
      </c>
      <c r="H95" s="1314">
        <v>-3451160</v>
      </c>
      <c r="I95" s="1317">
        <f>SUM($F95:H95)</f>
        <v>0</v>
      </c>
      <c r="J95" s="1314">
        <v>3451160</v>
      </c>
      <c r="K95" s="1314">
        <v>-3451160</v>
      </c>
      <c r="L95" s="1317">
        <f t="shared" si="12"/>
        <v>0</v>
      </c>
      <c r="M95" s="1317">
        <f t="shared" si="13"/>
        <v>0</v>
      </c>
    </row>
    <row r="96" spans="1:13" s="1314" customFormat="1" ht="15" hidden="1" outlineLevel="2" x14ac:dyDescent="0.25">
      <c r="A96" s="1314" t="s">
        <v>1512</v>
      </c>
      <c r="B96" s="1314" t="s">
        <v>1637</v>
      </c>
      <c r="C96" s="1314" t="s">
        <v>1638</v>
      </c>
      <c r="D96" s="1316">
        <v>7928650</v>
      </c>
      <c r="E96" s="1316">
        <v>0</v>
      </c>
      <c r="F96" s="1314">
        <v>7928650</v>
      </c>
      <c r="G96" s="1314">
        <v>0</v>
      </c>
      <c r="H96" s="1314">
        <v>-7928650</v>
      </c>
      <c r="I96" s="1317">
        <f>SUM($F96:H96)</f>
        <v>0</v>
      </c>
      <c r="J96" s="1314">
        <v>7928650</v>
      </c>
      <c r="K96" s="1314">
        <v>-7928650</v>
      </c>
      <c r="L96" s="1317">
        <f t="shared" si="12"/>
        <v>0</v>
      </c>
      <c r="M96" s="1317">
        <f t="shared" si="13"/>
        <v>0</v>
      </c>
    </row>
    <row r="97" spans="1:13" s="1314" customFormat="1" ht="15" hidden="1" outlineLevel="2" x14ac:dyDescent="0.25">
      <c r="A97" s="1314" t="s">
        <v>1512</v>
      </c>
      <c r="B97" s="1314" t="s">
        <v>1639</v>
      </c>
      <c r="C97" s="1314" t="s">
        <v>1640</v>
      </c>
      <c r="D97" s="1316">
        <v>6384442</v>
      </c>
      <c r="E97" s="1316">
        <v>0</v>
      </c>
      <c r="F97" s="1314">
        <v>6384442</v>
      </c>
      <c r="G97" s="1314">
        <v>0</v>
      </c>
      <c r="H97" s="1314">
        <v>-6384442</v>
      </c>
      <c r="I97" s="1317">
        <f>SUM($F97:H97)</f>
        <v>0</v>
      </c>
      <c r="J97" s="1314">
        <v>6384442</v>
      </c>
      <c r="K97" s="1314">
        <v>-6384442</v>
      </c>
      <c r="L97" s="1317">
        <f t="shared" si="12"/>
        <v>0</v>
      </c>
      <c r="M97" s="1317">
        <f t="shared" si="13"/>
        <v>0</v>
      </c>
    </row>
    <row r="98" spans="1:13" s="1314" customFormat="1" ht="15" hidden="1" outlineLevel="2" x14ac:dyDescent="0.25">
      <c r="A98" s="1314" t="s">
        <v>1512</v>
      </c>
      <c r="B98" s="1314" t="s">
        <v>1641</v>
      </c>
      <c r="C98" s="1314" t="s">
        <v>1642</v>
      </c>
      <c r="D98" s="1316">
        <v>3420108</v>
      </c>
      <c r="E98" s="1316">
        <v>0</v>
      </c>
      <c r="F98" s="1314">
        <v>3420108</v>
      </c>
      <c r="G98" s="1314">
        <v>0</v>
      </c>
      <c r="H98" s="1314">
        <v>-3420108</v>
      </c>
      <c r="I98" s="1317">
        <f>SUM($F98:H98)</f>
        <v>0</v>
      </c>
      <c r="J98" s="1314">
        <v>3420108</v>
      </c>
      <c r="K98" s="1314">
        <v>-3420108</v>
      </c>
      <c r="L98" s="1317">
        <f t="shared" ref="L98:L107" si="14">SUM(J98:K98)</f>
        <v>0</v>
      </c>
      <c r="M98" s="1317">
        <f t="shared" ref="M98:M107" si="15">+I98+L98</f>
        <v>0</v>
      </c>
    </row>
    <row r="99" spans="1:13" s="1314" customFormat="1" ht="15" hidden="1" outlineLevel="2" x14ac:dyDescent="0.25">
      <c r="A99" s="1314" t="s">
        <v>1512</v>
      </c>
      <c r="B99" s="1314" t="s">
        <v>1643</v>
      </c>
      <c r="C99" s="1314" t="s">
        <v>1644</v>
      </c>
      <c r="D99" s="1316">
        <v>30028250</v>
      </c>
      <c r="E99" s="1316">
        <v>0</v>
      </c>
      <c r="F99" s="1314">
        <v>30028250</v>
      </c>
      <c r="G99" s="1314">
        <v>0</v>
      </c>
      <c r="H99" s="1314">
        <v>-30028250</v>
      </c>
      <c r="I99" s="1317">
        <f>SUM($F99:H99)</f>
        <v>0</v>
      </c>
      <c r="J99" s="1314">
        <v>30028250</v>
      </c>
      <c r="K99" s="1314">
        <v>-30028250</v>
      </c>
      <c r="L99" s="1317">
        <f t="shared" si="14"/>
        <v>0</v>
      </c>
      <c r="M99" s="1317">
        <f t="shared" si="15"/>
        <v>0</v>
      </c>
    </row>
    <row r="100" spans="1:13" s="1314" customFormat="1" ht="15" hidden="1" outlineLevel="2" x14ac:dyDescent="0.25">
      <c r="A100" s="1314" t="s">
        <v>1512</v>
      </c>
      <c r="B100" s="1314" t="s">
        <v>1645</v>
      </c>
      <c r="C100" s="1314" t="s">
        <v>1646</v>
      </c>
      <c r="D100" s="1316">
        <v>2688140</v>
      </c>
      <c r="E100" s="1316">
        <v>0</v>
      </c>
      <c r="F100" s="1314">
        <v>2688140</v>
      </c>
      <c r="G100" s="1314">
        <v>0</v>
      </c>
      <c r="H100" s="1314">
        <v>-2688140</v>
      </c>
      <c r="I100" s="1317">
        <f>SUM($F100:H100)</f>
        <v>0</v>
      </c>
      <c r="J100" s="1314">
        <v>2688140</v>
      </c>
      <c r="K100" s="1314">
        <v>-2688140</v>
      </c>
      <c r="L100" s="1317">
        <f t="shared" si="14"/>
        <v>0</v>
      </c>
      <c r="M100" s="1317">
        <f t="shared" si="15"/>
        <v>0</v>
      </c>
    </row>
    <row r="101" spans="1:13" s="1314" customFormat="1" ht="15" hidden="1" outlineLevel="2" x14ac:dyDescent="0.25">
      <c r="A101" s="1314" t="s">
        <v>1512</v>
      </c>
      <c r="B101" s="1314" t="s">
        <v>1647</v>
      </c>
      <c r="C101" s="1314" t="s">
        <v>1648</v>
      </c>
      <c r="D101" s="1316">
        <v>481392</v>
      </c>
      <c r="E101" s="1316">
        <v>0</v>
      </c>
      <c r="F101" s="1314">
        <v>481392</v>
      </c>
      <c r="G101" s="1314">
        <v>0</v>
      </c>
      <c r="H101" s="1314">
        <v>-481392</v>
      </c>
      <c r="I101" s="1317">
        <f>SUM($F101:H101)</f>
        <v>0</v>
      </c>
      <c r="J101" s="1314">
        <v>481392</v>
      </c>
      <c r="K101" s="1314">
        <v>-481392</v>
      </c>
      <c r="L101" s="1317">
        <f t="shared" si="14"/>
        <v>0</v>
      </c>
      <c r="M101" s="1317">
        <f t="shared" si="15"/>
        <v>0</v>
      </c>
    </row>
    <row r="102" spans="1:13" s="1314" customFormat="1" ht="15" hidden="1" outlineLevel="2" x14ac:dyDescent="0.25">
      <c r="A102" s="1314" t="s">
        <v>1512</v>
      </c>
      <c r="B102" s="1314" t="s">
        <v>1649</v>
      </c>
      <c r="C102" s="1314" t="s">
        <v>1650</v>
      </c>
      <c r="D102" s="1316">
        <v>1771792</v>
      </c>
      <c r="E102" s="1316">
        <v>0</v>
      </c>
      <c r="F102" s="1314">
        <v>1771792</v>
      </c>
      <c r="G102" s="1314">
        <v>0</v>
      </c>
      <c r="H102" s="1314">
        <v>-1771792</v>
      </c>
      <c r="I102" s="1317">
        <f>SUM($F102:H102)</f>
        <v>0</v>
      </c>
      <c r="J102" s="1314">
        <v>1771792</v>
      </c>
      <c r="K102" s="1314">
        <v>-1771792</v>
      </c>
      <c r="L102" s="1317">
        <f t="shared" si="14"/>
        <v>0</v>
      </c>
      <c r="M102" s="1317">
        <f t="shared" si="15"/>
        <v>0</v>
      </c>
    </row>
    <row r="103" spans="1:13" s="1314" customFormat="1" ht="15" hidden="1" outlineLevel="2" x14ac:dyDescent="0.25">
      <c r="A103" s="1314" t="s">
        <v>1512</v>
      </c>
      <c r="B103" s="1314" t="s">
        <v>1651</v>
      </c>
      <c r="C103" s="1314" t="s">
        <v>1652</v>
      </c>
      <c r="D103" s="1316">
        <v>168979</v>
      </c>
      <c r="E103" s="1316">
        <v>0</v>
      </c>
      <c r="F103" s="1314">
        <v>168979</v>
      </c>
      <c r="G103" s="1314">
        <v>0</v>
      </c>
      <c r="H103" s="1314">
        <v>-168979</v>
      </c>
      <c r="I103" s="1317">
        <f>SUM($F103:H103)</f>
        <v>0</v>
      </c>
      <c r="J103" s="1314">
        <v>168979</v>
      </c>
      <c r="K103" s="1314">
        <v>-168979</v>
      </c>
      <c r="L103" s="1317">
        <f t="shared" si="14"/>
        <v>0</v>
      </c>
      <c r="M103" s="1317">
        <f t="shared" si="15"/>
        <v>0</v>
      </c>
    </row>
    <row r="104" spans="1:13" s="1314" customFormat="1" ht="15" hidden="1" outlineLevel="2" x14ac:dyDescent="0.25">
      <c r="A104" s="1314" t="s">
        <v>1512</v>
      </c>
      <c r="B104" s="1314" t="s">
        <v>1653</v>
      </c>
      <c r="C104" s="1314" t="s">
        <v>1654</v>
      </c>
      <c r="D104" s="1316">
        <v>740278</v>
      </c>
      <c r="E104" s="1316">
        <v>0</v>
      </c>
      <c r="F104" s="1314">
        <v>740278</v>
      </c>
      <c r="G104" s="1314">
        <v>0</v>
      </c>
      <c r="H104" s="1314">
        <v>-740278</v>
      </c>
      <c r="I104" s="1317">
        <f>SUM($F104:H104)</f>
        <v>0</v>
      </c>
      <c r="J104" s="1314">
        <v>740278</v>
      </c>
      <c r="K104" s="1314">
        <v>-740278</v>
      </c>
      <c r="L104" s="1317">
        <f t="shared" si="14"/>
        <v>0</v>
      </c>
      <c r="M104" s="1317">
        <f t="shared" si="15"/>
        <v>0</v>
      </c>
    </row>
    <row r="105" spans="1:13" s="1314" customFormat="1" ht="15" hidden="1" outlineLevel="2" x14ac:dyDescent="0.25">
      <c r="A105" s="1314" t="s">
        <v>1512</v>
      </c>
      <c r="B105" s="1314" t="s">
        <v>1655</v>
      </c>
      <c r="C105" s="1314" t="s">
        <v>1656</v>
      </c>
      <c r="D105" s="1316">
        <v>1281512</v>
      </c>
      <c r="E105" s="1316">
        <v>0</v>
      </c>
      <c r="F105" s="1314">
        <v>1281512</v>
      </c>
      <c r="G105" s="1314">
        <v>0</v>
      </c>
      <c r="H105" s="1314">
        <v>-1281512</v>
      </c>
      <c r="I105" s="1317">
        <f>SUM($F105:H105)</f>
        <v>0</v>
      </c>
      <c r="J105" s="1314">
        <v>1281512</v>
      </c>
      <c r="K105" s="1314">
        <v>-1281512</v>
      </c>
      <c r="L105" s="1317">
        <f t="shared" si="14"/>
        <v>0</v>
      </c>
      <c r="M105" s="1317">
        <f t="shared" si="15"/>
        <v>0</v>
      </c>
    </row>
    <row r="106" spans="1:13" s="1314" customFormat="1" ht="15" hidden="1" outlineLevel="2" x14ac:dyDescent="0.25">
      <c r="A106" s="1314" t="s">
        <v>1512</v>
      </c>
      <c r="B106" s="1314" t="s">
        <v>1657</v>
      </c>
      <c r="C106" s="1314" t="s">
        <v>1658</v>
      </c>
      <c r="D106" s="1316">
        <v>5972038</v>
      </c>
      <c r="E106" s="1316">
        <v>0</v>
      </c>
      <c r="F106" s="1314">
        <v>5972038</v>
      </c>
      <c r="G106" s="1314">
        <v>0</v>
      </c>
      <c r="H106" s="1314">
        <v>-5972038</v>
      </c>
      <c r="I106" s="1317">
        <f>SUM($F106:H106)</f>
        <v>0</v>
      </c>
      <c r="J106" s="1314">
        <v>5972038</v>
      </c>
      <c r="K106" s="1314">
        <v>-5972038</v>
      </c>
      <c r="L106" s="1317">
        <f t="shared" si="14"/>
        <v>0</v>
      </c>
      <c r="M106" s="1317">
        <f t="shared" si="15"/>
        <v>0</v>
      </c>
    </row>
    <row r="107" spans="1:13" s="1314" customFormat="1" ht="15" hidden="1" outlineLevel="2" x14ac:dyDescent="0.25">
      <c r="A107" s="1314" t="s">
        <v>1512</v>
      </c>
      <c r="B107" s="1314" t="s">
        <v>1659</v>
      </c>
      <c r="C107" s="1314" t="s">
        <v>1660</v>
      </c>
      <c r="D107" s="1316">
        <v>810792</v>
      </c>
      <c r="E107" s="1316">
        <v>0</v>
      </c>
      <c r="F107" s="1314">
        <v>810792</v>
      </c>
      <c r="G107" s="1314">
        <v>0</v>
      </c>
      <c r="H107" s="1314">
        <v>-810792</v>
      </c>
      <c r="I107" s="1317">
        <f>SUM($F107:H107)</f>
        <v>0</v>
      </c>
      <c r="J107" s="1314">
        <v>810792</v>
      </c>
      <c r="K107" s="1314">
        <v>-810792</v>
      </c>
      <c r="L107" s="1317">
        <f t="shared" si="14"/>
        <v>0</v>
      </c>
      <c r="M107" s="1317">
        <f t="shared" si="15"/>
        <v>0</v>
      </c>
    </row>
    <row r="108" spans="1:13" outlineLevel="1" collapsed="1" x14ac:dyDescent="0.2">
      <c r="A108" s="1313" t="s">
        <v>1661</v>
      </c>
      <c r="D108" s="1313">
        <f t="shared" ref="D108:M108" si="16">SUBTOTAL(9,D34:D107)</f>
        <v>3527507908</v>
      </c>
      <c r="E108" s="1313">
        <f t="shared" si="16"/>
        <v>3667227214</v>
      </c>
      <c r="F108" s="1313">
        <f t="shared" si="16"/>
        <v>3527507908</v>
      </c>
      <c r="G108" s="1313">
        <f t="shared" si="16"/>
        <v>0</v>
      </c>
      <c r="H108" s="1313">
        <f t="shared" si="16"/>
        <v>851668095.81999969</v>
      </c>
      <c r="I108" s="1313">
        <f t="shared" si="16"/>
        <v>4379176003.8199997</v>
      </c>
      <c r="J108" s="1313">
        <f t="shared" si="16"/>
        <v>3527507908</v>
      </c>
      <c r="K108" s="1313">
        <f t="shared" si="16"/>
        <v>1073901772.0100002</v>
      </c>
      <c r="L108" s="1313">
        <f t="shared" si="16"/>
        <v>4601409680.0100002</v>
      </c>
      <c r="M108" s="1313">
        <f t="shared" si="16"/>
        <v>8980585683.8299999</v>
      </c>
    </row>
    <row r="109" spans="1:13" s="1314" customFormat="1" ht="15" hidden="1" outlineLevel="2" x14ac:dyDescent="0.25">
      <c r="A109" s="1314" t="s">
        <v>1662</v>
      </c>
      <c r="B109" s="1314" t="s">
        <v>1515</v>
      </c>
      <c r="C109" s="1314" t="s">
        <v>1516</v>
      </c>
      <c r="D109" s="1316">
        <v>0</v>
      </c>
      <c r="E109" s="1316">
        <v>199260749</v>
      </c>
      <c r="F109" s="1314">
        <v>0</v>
      </c>
      <c r="G109" s="1314">
        <v>0</v>
      </c>
      <c r="H109" s="1314">
        <f>'3.1b Allocation Adj. YR1 '!$N$30</f>
        <v>193150692</v>
      </c>
      <c r="I109" s="1317">
        <f>SUM($F109:H109)</f>
        <v>193150692</v>
      </c>
      <c r="J109" s="1314">
        <v>0</v>
      </c>
      <c r="K109" s="1314">
        <f>'7.1b Allocation Adj. YR2'!$N$30</f>
        <v>193187746.28999996</v>
      </c>
      <c r="L109" s="1317">
        <f t="shared" ref="L109:L126" si="17">SUM(J109:K109)</f>
        <v>193187746.28999996</v>
      </c>
      <c r="M109" s="1317">
        <f t="shared" ref="M109:M126" si="18">+I109+L109</f>
        <v>386338438.28999996</v>
      </c>
    </row>
    <row r="110" spans="1:13" s="1314" customFormat="1" ht="15" hidden="1" outlineLevel="2" x14ac:dyDescent="0.25">
      <c r="A110" s="1314" t="s">
        <v>1662</v>
      </c>
      <c r="B110" s="1314" t="s">
        <v>1517</v>
      </c>
      <c r="C110" s="1314" t="s">
        <v>1518</v>
      </c>
      <c r="D110" s="1316">
        <v>2338121</v>
      </c>
      <c r="E110" s="1316">
        <v>0</v>
      </c>
      <c r="F110" s="1314">
        <v>2338121</v>
      </c>
      <c r="G110" s="1314">
        <v>0</v>
      </c>
      <c r="H110" s="1314">
        <v>-2338121</v>
      </c>
      <c r="I110" s="1317">
        <f>SUM($F110:H110)</f>
        <v>0</v>
      </c>
      <c r="J110" s="1314">
        <v>2338121</v>
      </c>
      <c r="K110" s="1314">
        <v>-2338121</v>
      </c>
      <c r="L110" s="1317">
        <f t="shared" si="17"/>
        <v>0</v>
      </c>
      <c r="M110" s="1317">
        <f t="shared" si="18"/>
        <v>0</v>
      </c>
    </row>
    <row r="111" spans="1:13" s="1314" customFormat="1" ht="15" hidden="1" outlineLevel="2" x14ac:dyDescent="0.25">
      <c r="A111" s="1314" t="s">
        <v>1662</v>
      </c>
      <c r="B111" s="1314" t="s">
        <v>1519</v>
      </c>
      <c r="C111" s="1314" t="s">
        <v>1520</v>
      </c>
      <c r="D111" s="1316">
        <v>1834525</v>
      </c>
      <c r="E111" s="1316">
        <v>0</v>
      </c>
      <c r="F111" s="1314">
        <v>1834525</v>
      </c>
      <c r="G111" s="1314">
        <v>0</v>
      </c>
      <c r="H111" s="1314">
        <v>-1834525</v>
      </c>
      <c r="I111" s="1317">
        <f>SUM($F111:H111)</f>
        <v>0</v>
      </c>
      <c r="J111" s="1314">
        <v>1834525</v>
      </c>
      <c r="K111" s="1314">
        <v>-1834525</v>
      </c>
      <c r="L111" s="1317">
        <f t="shared" si="17"/>
        <v>0</v>
      </c>
      <c r="M111" s="1317">
        <f t="shared" si="18"/>
        <v>0</v>
      </c>
    </row>
    <row r="112" spans="1:13" s="1314" customFormat="1" ht="15" hidden="1" outlineLevel="2" x14ac:dyDescent="0.25">
      <c r="A112" s="1314" t="s">
        <v>1662</v>
      </c>
      <c r="B112" s="1314" t="s">
        <v>1521</v>
      </c>
      <c r="C112" s="1314" t="s">
        <v>1522</v>
      </c>
      <c r="D112" s="1316">
        <v>146298844</v>
      </c>
      <c r="E112" s="1316">
        <v>0</v>
      </c>
      <c r="F112" s="1314">
        <v>146298844</v>
      </c>
      <c r="G112" s="1314">
        <v>0</v>
      </c>
      <c r="H112" s="1314">
        <v>-146298844</v>
      </c>
      <c r="I112" s="1317">
        <f>SUM($F112:H112)</f>
        <v>0</v>
      </c>
      <c r="J112" s="1314">
        <v>146298844</v>
      </c>
      <c r="K112" s="1314">
        <v>-146298844</v>
      </c>
      <c r="L112" s="1317">
        <f t="shared" si="17"/>
        <v>0</v>
      </c>
      <c r="M112" s="1317">
        <f t="shared" si="18"/>
        <v>0</v>
      </c>
    </row>
    <row r="113" spans="1:13" s="1314" customFormat="1" ht="15" hidden="1" outlineLevel="2" x14ac:dyDescent="0.25">
      <c r="A113" s="1314" t="s">
        <v>1662</v>
      </c>
      <c r="B113" s="1314" t="s">
        <v>1523</v>
      </c>
      <c r="C113" s="1314" t="s">
        <v>1524</v>
      </c>
      <c r="D113" s="1316">
        <v>3441571</v>
      </c>
      <c r="E113" s="1316">
        <v>0</v>
      </c>
      <c r="F113" s="1314">
        <v>3441571</v>
      </c>
      <c r="G113" s="1314">
        <v>0</v>
      </c>
      <c r="H113" s="1314">
        <v>-3441571</v>
      </c>
      <c r="I113" s="1317">
        <f>SUM($F113:H113)</f>
        <v>0</v>
      </c>
      <c r="J113" s="1314">
        <v>3441571</v>
      </c>
      <c r="K113" s="1314">
        <v>-3441571</v>
      </c>
      <c r="L113" s="1317">
        <f t="shared" si="17"/>
        <v>0</v>
      </c>
      <c r="M113" s="1317">
        <f t="shared" si="18"/>
        <v>0</v>
      </c>
    </row>
    <row r="114" spans="1:13" s="1314" customFormat="1" ht="15" hidden="1" outlineLevel="2" x14ac:dyDescent="0.25">
      <c r="A114" s="1314" t="s">
        <v>1662</v>
      </c>
      <c r="B114" s="1314" t="s">
        <v>1525</v>
      </c>
      <c r="C114" s="1314" t="s">
        <v>1526</v>
      </c>
      <c r="D114" s="1316">
        <v>4255428</v>
      </c>
      <c r="E114" s="1316">
        <v>0</v>
      </c>
      <c r="F114" s="1314">
        <v>4255428</v>
      </c>
      <c r="G114" s="1314">
        <v>0</v>
      </c>
      <c r="H114" s="1314">
        <v>-4255428</v>
      </c>
      <c r="I114" s="1317">
        <f>SUM($F114:H114)</f>
        <v>0</v>
      </c>
      <c r="J114" s="1314">
        <v>4255428</v>
      </c>
      <c r="K114" s="1314">
        <v>-4255428</v>
      </c>
      <c r="L114" s="1317">
        <f t="shared" si="17"/>
        <v>0</v>
      </c>
      <c r="M114" s="1317">
        <f t="shared" si="18"/>
        <v>0</v>
      </c>
    </row>
    <row r="115" spans="1:13" s="1314" customFormat="1" ht="15" hidden="1" outlineLevel="2" x14ac:dyDescent="0.25">
      <c r="A115" s="1314" t="s">
        <v>1662</v>
      </c>
      <c r="B115" s="1314" t="s">
        <v>1527</v>
      </c>
      <c r="C115" s="1314" t="s">
        <v>1528</v>
      </c>
      <c r="D115" s="1316">
        <v>326275</v>
      </c>
      <c r="E115" s="1316">
        <v>0</v>
      </c>
      <c r="F115" s="1314">
        <v>326275</v>
      </c>
      <c r="G115" s="1314">
        <v>0</v>
      </c>
      <c r="H115" s="1314">
        <v>-326275</v>
      </c>
      <c r="I115" s="1317">
        <f>SUM($F115:H115)</f>
        <v>0</v>
      </c>
      <c r="J115" s="1314">
        <v>326275</v>
      </c>
      <c r="K115" s="1314">
        <v>-326275</v>
      </c>
      <c r="L115" s="1317">
        <f t="shared" si="17"/>
        <v>0</v>
      </c>
      <c r="M115" s="1317">
        <f t="shared" si="18"/>
        <v>0</v>
      </c>
    </row>
    <row r="116" spans="1:13" s="1314" customFormat="1" ht="15" hidden="1" outlineLevel="2" x14ac:dyDescent="0.25">
      <c r="A116" s="1314" t="s">
        <v>1662</v>
      </c>
      <c r="B116" s="1314" t="s">
        <v>1529</v>
      </c>
      <c r="C116" s="1314" t="s">
        <v>1530</v>
      </c>
      <c r="D116" s="1316">
        <v>431253</v>
      </c>
      <c r="E116" s="1316">
        <v>0</v>
      </c>
      <c r="F116" s="1314">
        <v>431253</v>
      </c>
      <c r="G116" s="1314">
        <v>0</v>
      </c>
      <c r="H116" s="1314">
        <v>-431253</v>
      </c>
      <c r="I116" s="1317">
        <f>SUM($F116:H116)</f>
        <v>0</v>
      </c>
      <c r="J116" s="1314">
        <v>431253</v>
      </c>
      <c r="K116" s="1314">
        <v>-431253</v>
      </c>
      <c r="L116" s="1317">
        <f t="shared" si="17"/>
        <v>0</v>
      </c>
      <c r="M116" s="1317">
        <f t="shared" si="18"/>
        <v>0</v>
      </c>
    </row>
    <row r="117" spans="1:13" s="1314" customFormat="1" ht="15" hidden="1" outlineLevel="2" x14ac:dyDescent="0.25">
      <c r="A117" s="1314" t="s">
        <v>1662</v>
      </c>
      <c r="B117" s="1314" t="s">
        <v>1531</v>
      </c>
      <c r="C117" s="1314" t="s">
        <v>1532</v>
      </c>
      <c r="D117" s="1316">
        <v>1608762</v>
      </c>
      <c r="E117" s="1316">
        <v>0</v>
      </c>
      <c r="F117" s="1314">
        <v>1608762</v>
      </c>
      <c r="G117" s="1314">
        <v>0</v>
      </c>
      <c r="H117" s="1314">
        <v>-1608762</v>
      </c>
      <c r="I117" s="1317">
        <f>SUM($F117:H117)</f>
        <v>0</v>
      </c>
      <c r="J117" s="1314">
        <v>1608762</v>
      </c>
      <c r="K117" s="1314">
        <v>-1608762</v>
      </c>
      <c r="L117" s="1317">
        <f t="shared" si="17"/>
        <v>0</v>
      </c>
      <c r="M117" s="1317">
        <f t="shared" si="18"/>
        <v>0</v>
      </c>
    </row>
    <row r="118" spans="1:13" s="1314" customFormat="1" ht="15" hidden="1" outlineLevel="2" x14ac:dyDescent="0.25">
      <c r="A118" s="1314" t="s">
        <v>1662</v>
      </c>
      <c r="B118" s="1314" t="s">
        <v>1533</v>
      </c>
      <c r="C118" s="1314" t="s">
        <v>1534</v>
      </c>
      <c r="D118" s="1316">
        <v>430551</v>
      </c>
      <c r="E118" s="1316">
        <v>0</v>
      </c>
      <c r="F118" s="1314">
        <v>430551</v>
      </c>
      <c r="G118" s="1314">
        <v>0</v>
      </c>
      <c r="H118" s="1314">
        <v>-430551</v>
      </c>
      <c r="I118" s="1317">
        <f>SUM($F118:H118)</f>
        <v>0</v>
      </c>
      <c r="J118" s="1314">
        <v>430551</v>
      </c>
      <c r="K118" s="1314">
        <v>-430551</v>
      </c>
      <c r="L118" s="1317">
        <f t="shared" si="17"/>
        <v>0</v>
      </c>
      <c r="M118" s="1317">
        <f t="shared" si="18"/>
        <v>0</v>
      </c>
    </row>
    <row r="119" spans="1:13" s="1314" customFormat="1" ht="15" hidden="1" outlineLevel="2" x14ac:dyDescent="0.25">
      <c r="A119" s="1314" t="s">
        <v>1662</v>
      </c>
      <c r="B119" s="1314" t="s">
        <v>1535</v>
      </c>
      <c r="C119" s="1314" t="s">
        <v>1536</v>
      </c>
      <c r="D119" s="1316">
        <v>767800</v>
      </c>
      <c r="E119" s="1316">
        <v>0</v>
      </c>
      <c r="F119" s="1314">
        <v>767800</v>
      </c>
      <c r="G119" s="1314">
        <v>0</v>
      </c>
      <c r="H119" s="1314">
        <v>-767800</v>
      </c>
      <c r="I119" s="1317">
        <f>SUM($F119:H119)</f>
        <v>0</v>
      </c>
      <c r="J119" s="1314">
        <v>767800</v>
      </c>
      <c r="K119" s="1314">
        <v>-767800</v>
      </c>
      <c r="L119" s="1317">
        <f t="shared" si="17"/>
        <v>0</v>
      </c>
      <c r="M119" s="1317">
        <f t="shared" si="18"/>
        <v>0</v>
      </c>
    </row>
    <row r="120" spans="1:13" s="1314" customFormat="1" ht="15" hidden="1" outlineLevel="2" x14ac:dyDescent="0.25">
      <c r="A120" s="1314" t="s">
        <v>1662</v>
      </c>
      <c r="B120" s="1314" t="s">
        <v>1537</v>
      </c>
      <c r="C120" s="1314" t="s">
        <v>1538</v>
      </c>
      <c r="D120" s="1316">
        <v>4699837</v>
      </c>
      <c r="E120" s="1316">
        <v>0</v>
      </c>
      <c r="F120" s="1314">
        <v>4699837</v>
      </c>
      <c r="G120" s="1314">
        <v>0</v>
      </c>
      <c r="H120" s="1314">
        <v>-4699837</v>
      </c>
      <c r="I120" s="1317">
        <f>SUM($F120:H120)</f>
        <v>0</v>
      </c>
      <c r="J120" s="1314">
        <v>4699837</v>
      </c>
      <c r="K120" s="1314">
        <v>-4699837</v>
      </c>
      <c r="L120" s="1317">
        <f t="shared" si="17"/>
        <v>0</v>
      </c>
      <c r="M120" s="1317">
        <f t="shared" si="18"/>
        <v>0</v>
      </c>
    </row>
    <row r="121" spans="1:13" s="1314" customFormat="1" ht="15" hidden="1" outlineLevel="2" x14ac:dyDescent="0.25">
      <c r="A121" s="1314" t="s">
        <v>1662</v>
      </c>
      <c r="B121" s="1314" t="s">
        <v>1539</v>
      </c>
      <c r="C121" s="1314" t="s">
        <v>1540</v>
      </c>
      <c r="D121" s="1316">
        <v>353442</v>
      </c>
      <c r="E121" s="1316">
        <v>0</v>
      </c>
      <c r="F121" s="1314">
        <v>353442</v>
      </c>
      <c r="G121" s="1314">
        <v>0</v>
      </c>
      <c r="H121" s="1314">
        <v>-353442</v>
      </c>
      <c r="I121" s="1317">
        <f>SUM($F121:H121)</f>
        <v>0</v>
      </c>
      <c r="J121" s="1314">
        <v>353442</v>
      </c>
      <c r="K121" s="1314">
        <v>-353442</v>
      </c>
      <c r="L121" s="1317">
        <f t="shared" si="17"/>
        <v>0</v>
      </c>
      <c r="M121" s="1317">
        <f t="shared" si="18"/>
        <v>0</v>
      </c>
    </row>
    <row r="122" spans="1:13" s="1314" customFormat="1" ht="15" hidden="1" outlineLevel="2" x14ac:dyDescent="0.25">
      <c r="A122" s="1314" t="s">
        <v>1662</v>
      </c>
      <c r="B122" s="1314" t="s">
        <v>1541</v>
      </c>
      <c r="C122" s="1314" t="s">
        <v>1542</v>
      </c>
      <c r="D122" s="1316">
        <v>3847541</v>
      </c>
      <c r="E122" s="1316">
        <v>0</v>
      </c>
      <c r="F122" s="1314">
        <v>3847541</v>
      </c>
      <c r="G122" s="1314">
        <v>0</v>
      </c>
      <c r="H122" s="1314">
        <v>-3847541</v>
      </c>
      <c r="I122" s="1317">
        <f>SUM($F122:H122)</f>
        <v>0</v>
      </c>
      <c r="J122" s="1314">
        <v>3847541</v>
      </c>
      <c r="K122" s="1314">
        <v>-3847541</v>
      </c>
      <c r="L122" s="1317">
        <f t="shared" si="17"/>
        <v>0</v>
      </c>
      <c r="M122" s="1317">
        <f t="shared" si="18"/>
        <v>0</v>
      </c>
    </row>
    <row r="123" spans="1:13" s="1314" customFormat="1" ht="15" hidden="1" outlineLevel="2" x14ac:dyDescent="0.25">
      <c r="A123" s="1314" t="s">
        <v>1662</v>
      </c>
      <c r="B123" s="1314" t="s">
        <v>1543</v>
      </c>
      <c r="C123" s="1314" t="s">
        <v>1544</v>
      </c>
      <c r="D123" s="1316">
        <v>718387</v>
      </c>
      <c r="E123" s="1316">
        <v>0</v>
      </c>
      <c r="F123" s="1314">
        <v>718387</v>
      </c>
      <c r="G123" s="1314">
        <v>0</v>
      </c>
      <c r="H123" s="1314">
        <v>-718387</v>
      </c>
      <c r="I123" s="1317">
        <f>SUM($F123:H123)</f>
        <v>0</v>
      </c>
      <c r="J123" s="1314">
        <v>718387</v>
      </c>
      <c r="K123" s="1314">
        <v>-718387</v>
      </c>
      <c r="L123" s="1317">
        <f t="shared" si="17"/>
        <v>0</v>
      </c>
      <c r="M123" s="1317">
        <f t="shared" si="18"/>
        <v>0</v>
      </c>
    </row>
    <row r="124" spans="1:13" s="1314" customFormat="1" ht="15" hidden="1" outlineLevel="2" x14ac:dyDescent="0.25">
      <c r="A124" s="1314" t="s">
        <v>1662</v>
      </c>
      <c r="B124" s="1314" t="s">
        <v>1545</v>
      </c>
      <c r="C124" s="1314" t="s">
        <v>1546</v>
      </c>
      <c r="D124" s="1316">
        <v>543585</v>
      </c>
      <c r="E124" s="1316">
        <v>0</v>
      </c>
      <c r="F124" s="1314">
        <v>543585</v>
      </c>
      <c r="G124" s="1314">
        <v>0</v>
      </c>
      <c r="H124" s="1314">
        <v>-543585</v>
      </c>
      <c r="I124" s="1317">
        <f>SUM($F124:H124)</f>
        <v>0</v>
      </c>
      <c r="J124" s="1314">
        <v>543585</v>
      </c>
      <c r="K124" s="1314">
        <v>-543585</v>
      </c>
      <c r="L124" s="1317">
        <f t="shared" si="17"/>
        <v>0</v>
      </c>
      <c r="M124" s="1317">
        <f t="shared" si="18"/>
        <v>0</v>
      </c>
    </row>
    <row r="125" spans="1:13" s="1314" customFormat="1" ht="15" hidden="1" outlineLevel="2" x14ac:dyDescent="0.25">
      <c r="A125" s="1314" t="s">
        <v>1662</v>
      </c>
      <c r="B125" s="1314" t="s">
        <v>1547</v>
      </c>
      <c r="C125" s="1314" t="s">
        <v>1548</v>
      </c>
      <c r="D125" s="1316">
        <v>25958402</v>
      </c>
      <c r="E125" s="1316">
        <v>0</v>
      </c>
      <c r="F125" s="1314">
        <v>25958402</v>
      </c>
      <c r="G125" s="1314">
        <v>0</v>
      </c>
      <c r="H125" s="1314">
        <v>-25958402</v>
      </c>
      <c r="I125" s="1317">
        <f>SUM($F125:H125)</f>
        <v>0</v>
      </c>
      <c r="J125" s="1314">
        <v>25958402</v>
      </c>
      <c r="K125" s="1314">
        <v>-25958402</v>
      </c>
      <c r="L125" s="1317">
        <f t="shared" si="17"/>
        <v>0</v>
      </c>
      <c r="M125" s="1317">
        <f t="shared" si="18"/>
        <v>0</v>
      </c>
    </row>
    <row r="126" spans="1:13" s="1314" customFormat="1" ht="15" hidden="1" outlineLevel="2" x14ac:dyDescent="0.25">
      <c r="A126" s="1314" t="s">
        <v>1662</v>
      </c>
      <c r="B126" s="1314" t="s">
        <v>1549</v>
      </c>
      <c r="C126" s="1314" t="s">
        <v>1550</v>
      </c>
      <c r="D126" s="1316">
        <v>1086215</v>
      </c>
      <c r="E126" s="1316">
        <v>0</v>
      </c>
      <c r="F126" s="1314">
        <v>1086215</v>
      </c>
      <c r="G126" s="1314">
        <v>0</v>
      </c>
      <c r="H126" s="1314">
        <v>-1086215</v>
      </c>
      <c r="I126" s="1317">
        <f>SUM($F126:H126)</f>
        <v>0</v>
      </c>
      <c r="J126" s="1314">
        <v>1086215</v>
      </c>
      <c r="K126" s="1314">
        <v>-1086215</v>
      </c>
      <c r="L126" s="1317">
        <f t="shared" si="17"/>
        <v>0</v>
      </c>
      <c r="M126" s="1317">
        <f t="shared" si="18"/>
        <v>0</v>
      </c>
    </row>
    <row r="127" spans="1:13" outlineLevel="1" collapsed="1" x14ac:dyDescent="0.2">
      <c r="A127" s="1313" t="s">
        <v>1663</v>
      </c>
      <c r="D127" s="1313">
        <f t="shared" ref="D127:M127" si="19">SUBTOTAL(9,D109:D126)</f>
        <v>198940539</v>
      </c>
      <c r="E127" s="1313">
        <f t="shared" si="19"/>
        <v>199260749</v>
      </c>
      <c r="F127" s="1313">
        <f t="shared" si="19"/>
        <v>198940539</v>
      </c>
      <c r="G127" s="1313">
        <f t="shared" si="19"/>
        <v>0</v>
      </c>
      <c r="H127" s="1313">
        <f t="shared" si="19"/>
        <v>-5789847</v>
      </c>
      <c r="I127" s="1313">
        <f t="shared" si="19"/>
        <v>193150692</v>
      </c>
      <c r="J127" s="1313">
        <f t="shared" si="19"/>
        <v>198940539</v>
      </c>
      <c r="K127" s="1313">
        <f t="shared" si="19"/>
        <v>-5752792.7100000381</v>
      </c>
      <c r="L127" s="1313">
        <f t="shared" si="19"/>
        <v>193187746.28999996</v>
      </c>
      <c r="M127" s="1313">
        <f t="shared" si="19"/>
        <v>386338438.28999996</v>
      </c>
    </row>
    <row r="128" spans="1:13" s="1314" customFormat="1" ht="15" hidden="1" outlineLevel="2" x14ac:dyDescent="0.25">
      <c r="A128" s="1314" t="s">
        <v>1664</v>
      </c>
      <c r="B128" s="1314" t="s">
        <v>1515</v>
      </c>
      <c r="C128" s="1314" t="s">
        <v>1516</v>
      </c>
      <c r="D128" s="1316">
        <v>0</v>
      </c>
      <c r="E128" s="1316">
        <v>2207551</v>
      </c>
      <c r="F128" s="1314">
        <v>0</v>
      </c>
      <c r="G128" s="1314">
        <v>0</v>
      </c>
      <c r="H128" s="1314">
        <f>'3.1b Allocation Adj. YR1 '!$P$30</f>
        <v>1619718</v>
      </c>
      <c r="I128" s="1317">
        <f>SUM($F128:H128)</f>
        <v>1619718</v>
      </c>
      <c r="J128" s="1314">
        <v>0</v>
      </c>
      <c r="K128" s="1314">
        <f>'7.1b Allocation Adj. YR2'!$P$30</f>
        <v>1620030</v>
      </c>
      <c r="L128" s="1317">
        <f t="shared" ref="L128:L141" si="20">SUM(J128:K128)</f>
        <v>1620030</v>
      </c>
      <c r="M128" s="1317">
        <f t="shared" ref="M128:M141" si="21">+I128+L128</f>
        <v>3239748</v>
      </c>
    </row>
    <row r="129" spans="1:13" s="1314" customFormat="1" ht="15" hidden="1" outlineLevel="2" x14ac:dyDescent="0.25">
      <c r="A129" s="1314" t="s">
        <v>1664</v>
      </c>
      <c r="B129" s="1314" t="s">
        <v>1517</v>
      </c>
      <c r="C129" s="1314" t="s">
        <v>1518</v>
      </c>
      <c r="D129" s="1316">
        <v>525621</v>
      </c>
      <c r="E129" s="1316">
        <v>0</v>
      </c>
      <c r="F129" s="1314">
        <v>525621</v>
      </c>
      <c r="G129" s="1314">
        <v>0</v>
      </c>
      <c r="H129" s="1314">
        <v>-525621</v>
      </c>
      <c r="I129" s="1317">
        <f>SUM($F129:H129)</f>
        <v>0</v>
      </c>
      <c r="J129" s="1314">
        <v>525621</v>
      </c>
      <c r="K129" s="1314">
        <v>-525621</v>
      </c>
      <c r="L129" s="1317">
        <f t="shared" si="20"/>
        <v>0</v>
      </c>
      <c r="M129" s="1317">
        <f t="shared" si="21"/>
        <v>0</v>
      </c>
    </row>
    <row r="130" spans="1:13" s="1314" customFormat="1" ht="15" hidden="1" outlineLevel="2" x14ac:dyDescent="0.25">
      <c r="A130" s="1314" t="s">
        <v>1664</v>
      </c>
      <c r="B130" s="1314" t="s">
        <v>1519</v>
      </c>
      <c r="C130" s="1314" t="s">
        <v>1520</v>
      </c>
      <c r="D130" s="1316">
        <v>125376</v>
      </c>
      <c r="E130" s="1316">
        <v>0</v>
      </c>
      <c r="F130" s="1314">
        <v>125376</v>
      </c>
      <c r="G130" s="1314">
        <v>0</v>
      </c>
      <c r="H130" s="1314">
        <v>-125376</v>
      </c>
      <c r="I130" s="1317">
        <f>SUM($F130:H130)</f>
        <v>0</v>
      </c>
      <c r="J130" s="1314">
        <v>125376</v>
      </c>
      <c r="K130" s="1314">
        <v>-125376</v>
      </c>
      <c r="L130" s="1317">
        <f t="shared" si="20"/>
        <v>0</v>
      </c>
      <c r="M130" s="1317">
        <f t="shared" si="21"/>
        <v>0</v>
      </c>
    </row>
    <row r="131" spans="1:13" s="1314" customFormat="1" ht="15" hidden="1" outlineLevel="2" x14ac:dyDescent="0.25">
      <c r="A131" s="1314" t="s">
        <v>1664</v>
      </c>
      <c r="B131" s="1314" t="s">
        <v>1521</v>
      </c>
      <c r="C131" s="1314" t="s">
        <v>1522</v>
      </c>
      <c r="D131" s="1316">
        <v>363705</v>
      </c>
      <c r="E131" s="1316">
        <v>0</v>
      </c>
      <c r="F131" s="1314">
        <v>363705</v>
      </c>
      <c r="G131" s="1314">
        <v>0</v>
      </c>
      <c r="H131" s="1314">
        <v>-363705</v>
      </c>
      <c r="I131" s="1317">
        <f>SUM($F131:H131)</f>
        <v>0</v>
      </c>
      <c r="J131" s="1314">
        <v>363705</v>
      </c>
      <c r="K131" s="1314">
        <v>-363705</v>
      </c>
      <c r="L131" s="1317">
        <f t="shared" si="20"/>
        <v>0</v>
      </c>
      <c r="M131" s="1317">
        <f t="shared" si="21"/>
        <v>0</v>
      </c>
    </row>
    <row r="132" spans="1:13" s="1314" customFormat="1" ht="15" hidden="1" outlineLevel="2" x14ac:dyDescent="0.25">
      <c r="A132" s="1314" t="s">
        <v>1664</v>
      </c>
      <c r="B132" s="1314" t="s">
        <v>1525</v>
      </c>
      <c r="C132" s="1314" t="s">
        <v>1526</v>
      </c>
      <c r="D132" s="1316">
        <v>344693</v>
      </c>
      <c r="E132" s="1316">
        <v>0</v>
      </c>
      <c r="F132" s="1314">
        <v>344693</v>
      </c>
      <c r="G132" s="1314">
        <v>0</v>
      </c>
      <c r="H132" s="1314">
        <v>-344693</v>
      </c>
      <c r="I132" s="1317">
        <f>SUM($F132:H132)</f>
        <v>0</v>
      </c>
      <c r="J132" s="1314">
        <v>344693</v>
      </c>
      <c r="K132" s="1314">
        <v>-344693</v>
      </c>
      <c r="L132" s="1317">
        <f t="shared" si="20"/>
        <v>0</v>
      </c>
      <c r="M132" s="1317">
        <f t="shared" si="21"/>
        <v>0</v>
      </c>
    </row>
    <row r="133" spans="1:13" s="1314" customFormat="1" ht="15" hidden="1" outlineLevel="2" x14ac:dyDescent="0.25">
      <c r="A133" s="1314" t="s">
        <v>1664</v>
      </c>
      <c r="B133" s="1314" t="s">
        <v>1527</v>
      </c>
      <c r="C133" s="1314" t="s">
        <v>1528</v>
      </c>
      <c r="D133" s="1316">
        <v>48943</v>
      </c>
      <c r="E133" s="1316">
        <v>0</v>
      </c>
      <c r="F133" s="1314">
        <v>48943</v>
      </c>
      <c r="G133" s="1314">
        <v>0</v>
      </c>
      <c r="H133" s="1314">
        <v>-48943</v>
      </c>
      <c r="I133" s="1317">
        <f>SUM($F133:H133)</f>
        <v>0</v>
      </c>
      <c r="J133" s="1314">
        <v>48943</v>
      </c>
      <c r="K133" s="1314">
        <v>-48943</v>
      </c>
      <c r="L133" s="1317">
        <f t="shared" si="20"/>
        <v>0</v>
      </c>
      <c r="M133" s="1317">
        <f t="shared" si="21"/>
        <v>0</v>
      </c>
    </row>
    <row r="134" spans="1:13" s="1314" customFormat="1" ht="15" hidden="1" outlineLevel="2" x14ac:dyDescent="0.25">
      <c r="A134" s="1314" t="s">
        <v>1664</v>
      </c>
      <c r="B134" s="1314" t="s">
        <v>1529</v>
      </c>
      <c r="C134" s="1314" t="s">
        <v>1530</v>
      </c>
      <c r="D134" s="1316">
        <v>396459</v>
      </c>
      <c r="E134" s="1316">
        <v>0</v>
      </c>
      <c r="F134" s="1314">
        <v>396459</v>
      </c>
      <c r="G134" s="1314">
        <v>0</v>
      </c>
      <c r="H134" s="1314">
        <v>-396459</v>
      </c>
      <c r="I134" s="1317">
        <f>SUM($F134:H134)</f>
        <v>0</v>
      </c>
      <c r="J134" s="1314">
        <v>396459</v>
      </c>
      <c r="K134" s="1314">
        <v>-396459</v>
      </c>
      <c r="L134" s="1317">
        <f t="shared" si="20"/>
        <v>0</v>
      </c>
      <c r="M134" s="1317">
        <f t="shared" si="21"/>
        <v>0</v>
      </c>
    </row>
    <row r="135" spans="1:13" s="1314" customFormat="1" ht="15" hidden="1" outlineLevel="2" x14ac:dyDescent="0.25">
      <c r="A135" s="1314" t="s">
        <v>1664</v>
      </c>
      <c r="B135" s="1314" t="s">
        <v>1531</v>
      </c>
      <c r="C135" s="1314" t="s">
        <v>1532</v>
      </c>
      <c r="D135" s="1316">
        <v>56081</v>
      </c>
      <c r="E135" s="1316">
        <v>0</v>
      </c>
      <c r="F135" s="1314">
        <v>56081</v>
      </c>
      <c r="G135" s="1314">
        <v>0</v>
      </c>
      <c r="H135" s="1314">
        <v>-56081</v>
      </c>
      <c r="I135" s="1317">
        <f>SUM($F135:H135)</f>
        <v>0</v>
      </c>
      <c r="J135" s="1314">
        <v>56081</v>
      </c>
      <c r="K135" s="1314">
        <v>-56081</v>
      </c>
      <c r="L135" s="1317">
        <f t="shared" si="20"/>
        <v>0</v>
      </c>
      <c r="M135" s="1317">
        <f t="shared" si="21"/>
        <v>0</v>
      </c>
    </row>
    <row r="136" spans="1:13" s="1314" customFormat="1" ht="15" hidden="1" outlineLevel="2" x14ac:dyDescent="0.25">
      <c r="A136" s="1314" t="s">
        <v>1664</v>
      </c>
      <c r="B136" s="1314" t="s">
        <v>1533</v>
      </c>
      <c r="C136" s="1314" t="s">
        <v>1534</v>
      </c>
      <c r="D136" s="1316">
        <v>37240</v>
      </c>
      <c r="E136" s="1316">
        <v>0</v>
      </c>
      <c r="F136" s="1314">
        <v>37240</v>
      </c>
      <c r="G136" s="1314">
        <v>0</v>
      </c>
      <c r="H136" s="1314">
        <v>-37240</v>
      </c>
      <c r="I136" s="1317">
        <f>SUM($F136:H136)</f>
        <v>0</v>
      </c>
      <c r="J136" s="1314">
        <v>37240</v>
      </c>
      <c r="K136" s="1314">
        <v>-37240</v>
      </c>
      <c r="L136" s="1317">
        <f t="shared" si="20"/>
        <v>0</v>
      </c>
      <c r="M136" s="1317">
        <f t="shared" si="21"/>
        <v>0</v>
      </c>
    </row>
    <row r="137" spans="1:13" s="1314" customFormat="1" ht="15" hidden="1" outlineLevel="2" x14ac:dyDescent="0.25">
      <c r="A137" s="1314" t="s">
        <v>1664</v>
      </c>
      <c r="B137" s="1314" t="s">
        <v>1535</v>
      </c>
      <c r="C137" s="1314" t="s">
        <v>1536</v>
      </c>
      <c r="D137" s="1316">
        <v>69515</v>
      </c>
      <c r="E137" s="1316">
        <v>0</v>
      </c>
      <c r="F137" s="1314">
        <v>69515</v>
      </c>
      <c r="G137" s="1314">
        <v>0</v>
      </c>
      <c r="H137" s="1314">
        <v>-69515</v>
      </c>
      <c r="I137" s="1317">
        <f>SUM($F137:H137)</f>
        <v>0</v>
      </c>
      <c r="J137" s="1314">
        <v>69515</v>
      </c>
      <c r="K137" s="1314">
        <v>-69515</v>
      </c>
      <c r="L137" s="1317">
        <f t="shared" si="20"/>
        <v>0</v>
      </c>
      <c r="M137" s="1317">
        <f t="shared" si="21"/>
        <v>0</v>
      </c>
    </row>
    <row r="138" spans="1:13" s="1314" customFormat="1" ht="15" hidden="1" outlineLevel="2" x14ac:dyDescent="0.25">
      <c r="A138" s="1314" t="s">
        <v>1664</v>
      </c>
      <c r="B138" s="1314" t="s">
        <v>1539</v>
      </c>
      <c r="C138" s="1314" t="s">
        <v>1540</v>
      </c>
      <c r="D138" s="1316">
        <v>72495</v>
      </c>
      <c r="E138" s="1316">
        <v>0</v>
      </c>
      <c r="F138" s="1314">
        <v>72495</v>
      </c>
      <c r="G138" s="1314">
        <v>0</v>
      </c>
      <c r="H138" s="1314">
        <v>-72495</v>
      </c>
      <c r="I138" s="1317">
        <f>SUM($F138:H138)</f>
        <v>0</v>
      </c>
      <c r="J138" s="1314">
        <v>72495</v>
      </c>
      <c r="K138" s="1314">
        <v>-72495</v>
      </c>
      <c r="L138" s="1317">
        <f t="shared" si="20"/>
        <v>0</v>
      </c>
      <c r="M138" s="1317">
        <f t="shared" si="21"/>
        <v>0</v>
      </c>
    </row>
    <row r="139" spans="1:13" s="1314" customFormat="1" ht="15" hidden="1" outlineLevel="2" x14ac:dyDescent="0.25">
      <c r="A139" s="1314" t="s">
        <v>1664</v>
      </c>
      <c r="B139" s="1314" t="s">
        <v>1543</v>
      </c>
      <c r="C139" s="1314" t="s">
        <v>1544</v>
      </c>
      <c r="D139" s="1316">
        <v>60477</v>
      </c>
      <c r="E139" s="1316">
        <v>0</v>
      </c>
      <c r="F139" s="1314">
        <v>60477</v>
      </c>
      <c r="G139" s="1314">
        <v>0</v>
      </c>
      <c r="H139" s="1314">
        <v>-60477</v>
      </c>
      <c r="I139" s="1317">
        <f>SUM($F139:H139)</f>
        <v>0</v>
      </c>
      <c r="J139" s="1314">
        <v>60477</v>
      </c>
      <c r="K139" s="1314">
        <v>-60477</v>
      </c>
      <c r="L139" s="1317">
        <f t="shared" si="20"/>
        <v>0</v>
      </c>
      <c r="M139" s="1317">
        <f t="shared" si="21"/>
        <v>0</v>
      </c>
    </row>
    <row r="140" spans="1:13" s="1314" customFormat="1" ht="15" hidden="1" outlineLevel="2" x14ac:dyDescent="0.25">
      <c r="A140" s="1314" t="s">
        <v>1664</v>
      </c>
      <c r="B140" s="1314" t="s">
        <v>1545</v>
      </c>
      <c r="C140" s="1314" t="s">
        <v>1546</v>
      </c>
      <c r="D140" s="1316">
        <v>22843</v>
      </c>
      <c r="E140" s="1316">
        <v>0</v>
      </c>
      <c r="F140" s="1314">
        <v>22843</v>
      </c>
      <c r="G140" s="1314">
        <v>0</v>
      </c>
      <c r="H140" s="1314">
        <v>-22843</v>
      </c>
      <c r="I140" s="1317">
        <f>SUM($F140:H140)</f>
        <v>0</v>
      </c>
      <c r="J140" s="1314">
        <v>22843</v>
      </c>
      <c r="K140" s="1314">
        <v>-22843</v>
      </c>
      <c r="L140" s="1317">
        <f t="shared" si="20"/>
        <v>0</v>
      </c>
      <c r="M140" s="1317">
        <f t="shared" si="21"/>
        <v>0</v>
      </c>
    </row>
    <row r="141" spans="1:13" s="1314" customFormat="1" ht="15" hidden="1" outlineLevel="2" x14ac:dyDescent="0.25">
      <c r="A141" s="1314" t="s">
        <v>1664</v>
      </c>
      <c r="B141" s="1314" t="s">
        <v>1549</v>
      </c>
      <c r="C141" s="1314" t="s">
        <v>1550</v>
      </c>
      <c r="D141" s="1316">
        <v>82178</v>
      </c>
      <c r="E141" s="1316">
        <v>0</v>
      </c>
      <c r="F141" s="1314">
        <v>82178</v>
      </c>
      <c r="G141" s="1314">
        <v>0</v>
      </c>
      <c r="H141" s="1314">
        <v>-82178</v>
      </c>
      <c r="I141" s="1317">
        <f>SUM($F141:H141)</f>
        <v>0</v>
      </c>
      <c r="J141" s="1314">
        <v>82178</v>
      </c>
      <c r="K141" s="1314">
        <v>-82178</v>
      </c>
      <c r="L141" s="1317">
        <f t="shared" si="20"/>
        <v>0</v>
      </c>
      <c r="M141" s="1317">
        <f t="shared" si="21"/>
        <v>0</v>
      </c>
    </row>
    <row r="142" spans="1:13" outlineLevel="1" collapsed="1" x14ac:dyDescent="0.2">
      <c r="A142" s="1313" t="s">
        <v>1665</v>
      </c>
      <c r="D142" s="1313">
        <f t="shared" ref="D142:M142" si="22">SUBTOTAL(9,D128:D141)</f>
        <v>2205626</v>
      </c>
      <c r="E142" s="1313">
        <f t="shared" si="22"/>
        <v>2207551</v>
      </c>
      <c r="F142" s="1313">
        <f t="shared" si="22"/>
        <v>2205626</v>
      </c>
      <c r="G142" s="1313">
        <f t="shared" si="22"/>
        <v>0</v>
      </c>
      <c r="H142" s="1313">
        <f t="shared" si="22"/>
        <v>-585908</v>
      </c>
      <c r="I142" s="1313">
        <f t="shared" si="22"/>
        <v>1619718</v>
      </c>
      <c r="J142" s="1313">
        <f t="shared" si="22"/>
        <v>2205626</v>
      </c>
      <c r="K142" s="1313">
        <f t="shared" si="22"/>
        <v>-585596</v>
      </c>
      <c r="L142" s="1313">
        <f t="shared" si="22"/>
        <v>1620030</v>
      </c>
      <c r="M142" s="1313">
        <f t="shared" si="22"/>
        <v>3239748</v>
      </c>
    </row>
    <row r="143" spans="1:13" s="1314" customFormat="1" ht="15" hidden="1" outlineLevel="2" x14ac:dyDescent="0.25">
      <c r="A143" s="1314" t="s">
        <v>1666</v>
      </c>
      <c r="B143" s="1314" t="s">
        <v>1515</v>
      </c>
      <c r="C143" s="1314" t="s">
        <v>1516</v>
      </c>
      <c r="D143" s="1316">
        <v>0</v>
      </c>
      <c r="E143" s="1316">
        <v>442438392</v>
      </c>
      <c r="F143" s="1314">
        <v>0</v>
      </c>
      <c r="G143" s="1314">
        <v>0</v>
      </c>
      <c r="H143" s="1314">
        <f>'3.1b Allocation Adj. YR1 '!$S$30</f>
        <v>483781493</v>
      </c>
      <c r="I143" s="1317">
        <f>SUM($F143:H143)</f>
        <v>483781493</v>
      </c>
      <c r="J143" s="1314">
        <v>0</v>
      </c>
      <c r="K143" s="1314">
        <f>'7.1b Allocation Adj. YR2'!$S$30</f>
        <v>483874302.23000002</v>
      </c>
      <c r="L143" s="1317">
        <f t="shared" ref="L143:L188" si="23">SUM(J143:K143)</f>
        <v>483874302.23000002</v>
      </c>
      <c r="M143" s="1317">
        <f t="shared" ref="M143:M188" si="24">+I143+L143</f>
        <v>967655795.23000002</v>
      </c>
    </row>
    <row r="144" spans="1:13" s="1314" customFormat="1" ht="15" hidden="1" outlineLevel="2" x14ac:dyDescent="0.25">
      <c r="A144" s="1314" t="s">
        <v>1666</v>
      </c>
      <c r="B144" s="1314" t="s">
        <v>1517</v>
      </c>
      <c r="C144" s="1314" t="s">
        <v>1518</v>
      </c>
      <c r="D144" s="1316">
        <v>7547383</v>
      </c>
      <c r="E144" s="1316">
        <v>0</v>
      </c>
      <c r="F144" s="1314">
        <v>7547383</v>
      </c>
      <c r="G144" s="1314">
        <v>0</v>
      </c>
      <c r="H144" s="1314">
        <v>-7547383</v>
      </c>
      <c r="I144" s="1317">
        <f>SUM($F144:H144)</f>
        <v>0</v>
      </c>
      <c r="J144" s="1314">
        <v>7547383</v>
      </c>
      <c r="K144" s="1314">
        <v>-7547383</v>
      </c>
      <c r="L144" s="1317">
        <f t="shared" si="23"/>
        <v>0</v>
      </c>
      <c r="M144" s="1317">
        <f t="shared" si="24"/>
        <v>0</v>
      </c>
    </row>
    <row r="145" spans="1:13" s="1314" customFormat="1" ht="15" hidden="1" outlineLevel="2" x14ac:dyDescent="0.25">
      <c r="A145" s="1314" t="s">
        <v>1666</v>
      </c>
      <c r="B145" s="1314" t="s">
        <v>1519</v>
      </c>
      <c r="C145" s="1314" t="s">
        <v>1520</v>
      </c>
      <c r="D145" s="1316">
        <v>1862019</v>
      </c>
      <c r="E145" s="1316">
        <v>0</v>
      </c>
      <c r="F145" s="1314">
        <v>1862019</v>
      </c>
      <c r="G145" s="1314">
        <v>0</v>
      </c>
      <c r="H145" s="1314">
        <v>-1862019</v>
      </c>
      <c r="I145" s="1317">
        <f>SUM($F145:H145)</f>
        <v>0</v>
      </c>
      <c r="J145" s="1314">
        <v>1862019</v>
      </c>
      <c r="K145" s="1314">
        <v>-1862019</v>
      </c>
      <c r="L145" s="1317">
        <f t="shared" si="23"/>
        <v>0</v>
      </c>
      <c r="M145" s="1317">
        <f t="shared" si="24"/>
        <v>0</v>
      </c>
    </row>
    <row r="146" spans="1:13" s="1314" customFormat="1" ht="15" hidden="1" outlineLevel="2" x14ac:dyDescent="0.25">
      <c r="A146" s="1314" t="s">
        <v>1666</v>
      </c>
      <c r="B146" s="1314" t="s">
        <v>1521</v>
      </c>
      <c r="C146" s="1314" t="s">
        <v>1522</v>
      </c>
      <c r="D146" s="1316">
        <v>350169543</v>
      </c>
      <c r="E146" s="1316">
        <v>0</v>
      </c>
      <c r="F146" s="1314">
        <v>350169543</v>
      </c>
      <c r="G146" s="1314">
        <v>0</v>
      </c>
      <c r="H146" s="1314">
        <v>-350169543</v>
      </c>
      <c r="I146" s="1317">
        <f>SUM($F146:H146)</f>
        <v>0</v>
      </c>
      <c r="J146" s="1314">
        <v>350169543</v>
      </c>
      <c r="K146" s="1314">
        <v>-350169543</v>
      </c>
      <c r="L146" s="1317">
        <f t="shared" si="23"/>
        <v>0</v>
      </c>
      <c r="M146" s="1317">
        <f t="shared" si="24"/>
        <v>0</v>
      </c>
    </row>
    <row r="147" spans="1:13" s="1314" customFormat="1" ht="15" hidden="1" outlineLevel="2" x14ac:dyDescent="0.25">
      <c r="A147" s="1314" t="s">
        <v>1666</v>
      </c>
      <c r="B147" s="1314" t="s">
        <v>1523</v>
      </c>
      <c r="C147" s="1314" t="s">
        <v>1524</v>
      </c>
      <c r="D147" s="1316">
        <v>3785594</v>
      </c>
      <c r="E147" s="1316">
        <v>0</v>
      </c>
      <c r="F147" s="1314">
        <v>3785594</v>
      </c>
      <c r="G147" s="1314">
        <v>0</v>
      </c>
      <c r="H147" s="1314">
        <v>-3785594</v>
      </c>
      <c r="I147" s="1317">
        <f>SUM($F147:H147)</f>
        <v>0</v>
      </c>
      <c r="J147" s="1314">
        <v>3785594</v>
      </c>
      <c r="K147" s="1314">
        <v>-3785594</v>
      </c>
      <c r="L147" s="1317">
        <f t="shared" si="23"/>
        <v>0</v>
      </c>
      <c r="M147" s="1317">
        <f t="shared" si="24"/>
        <v>0</v>
      </c>
    </row>
    <row r="148" spans="1:13" s="1314" customFormat="1" ht="15" hidden="1" outlineLevel="2" x14ac:dyDescent="0.25">
      <c r="A148" s="1314" t="s">
        <v>1666</v>
      </c>
      <c r="B148" s="1314" t="s">
        <v>1525</v>
      </c>
      <c r="C148" s="1314" t="s">
        <v>1526</v>
      </c>
      <c r="D148" s="1316">
        <v>5859740</v>
      </c>
      <c r="E148" s="1316">
        <v>0</v>
      </c>
      <c r="F148" s="1314">
        <v>5859740</v>
      </c>
      <c r="G148" s="1314">
        <v>0</v>
      </c>
      <c r="H148" s="1314">
        <v>-5859740</v>
      </c>
      <c r="I148" s="1317">
        <f>SUM($F148:H148)</f>
        <v>0</v>
      </c>
      <c r="J148" s="1314">
        <v>5859740</v>
      </c>
      <c r="K148" s="1314">
        <v>-5859740</v>
      </c>
      <c r="L148" s="1317">
        <f t="shared" si="23"/>
        <v>0</v>
      </c>
      <c r="M148" s="1317">
        <f t="shared" si="24"/>
        <v>0</v>
      </c>
    </row>
    <row r="149" spans="1:13" s="1314" customFormat="1" ht="15" hidden="1" outlineLevel="2" x14ac:dyDescent="0.25">
      <c r="A149" s="1314" t="s">
        <v>1666</v>
      </c>
      <c r="B149" s="1314" t="s">
        <v>1527</v>
      </c>
      <c r="C149" s="1314" t="s">
        <v>1528</v>
      </c>
      <c r="D149" s="1316">
        <v>44311</v>
      </c>
      <c r="E149" s="1316">
        <v>0</v>
      </c>
      <c r="F149" s="1314">
        <v>44311</v>
      </c>
      <c r="G149" s="1314">
        <v>0</v>
      </c>
      <c r="H149" s="1314">
        <v>-44311</v>
      </c>
      <c r="I149" s="1317">
        <f>SUM($F149:H149)</f>
        <v>0</v>
      </c>
      <c r="J149" s="1314">
        <v>44311</v>
      </c>
      <c r="K149" s="1314">
        <v>-44311</v>
      </c>
      <c r="L149" s="1317">
        <f t="shared" si="23"/>
        <v>0</v>
      </c>
      <c r="M149" s="1317">
        <f t="shared" si="24"/>
        <v>0</v>
      </c>
    </row>
    <row r="150" spans="1:13" s="1314" customFormat="1" ht="15" hidden="1" outlineLevel="2" x14ac:dyDescent="0.25">
      <c r="A150" s="1314" t="s">
        <v>1666</v>
      </c>
      <c r="B150" s="1314" t="s">
        <v>1529</v>
      </c>
      <c r="C150" s="1314" t="s">
        <v>1530</v>
      </c>
      <c r="D150" s="1316">
        <v>198615</v>
      </c>
      <c r="E150" s="1316">
        <v>0</v>
      </c>
      <c r="F150" s="1314">
        <v>198615</v>
      </c>
      <c r="G150" s="1314">
        <v>0</v>
      </c>
      <c r="H150" s="1314">
        <v>-198615</v>
      </c>
      <c r="I150" s="1317">
        <f>SUM($F150:H150)</f>
        <v>0</v>
      </c>
      <c r="J150" s="1314">
        <v>198615</v>
      </c>
      <c r="K150" s="1314">
        <v>-198615</v>
      </c>
      <c r="L150" s="1317">
        <f t="shared" si="23"/>
        <v>0</v>
      </c>
      <c r="M150" s="1317">
        <f t="shared" si="24"/>
        <v>0</v>
      </c>
    </row>
    <row r="151" spans="1:13" s="1314" customFormat="1" ht="15" hidden="1" outlineLevel="2" x14ac:dyDescent="0.25">
      <c r="A151" s="1314" t="s">
        <v>1666</v>
      </c>
      <c r="B151" s="1314" t="s">
        <v>1531</v>
      </c>
      <c r="C151" s="1314" t="s">
        <v>1532</v>
      </c>
      <c r="D151" s="1316">
        <v>2374930</v>
      </c>
      <c r="E151" s="1316">
        <v>0</v>
      </c>
      <c r="F151" s="1314">
        <v>2374930</v>
      </c>
      <c r="G151" s="1314">
        <v>0</v>
      </c>
      <c r="H151" s="1314">
        <v>-2374930</v>
      </c>
      <c r="I151" s="1317">
        <f>SUM($F151:H151)</f>
        <v>0</v>
      </c>
      <c r="J151" s="1314">
        <v>2374930</v>
      </c>
      <c r="K151" s="1314">
        <v>-2374930</v>
      </c>
      <c r="L151" s="1317">
        <f t="shared" si="23"/>
        <v>0</v>
      </c>
      <c r="M151" s="1317">
        <f t="shared" si="24"/>
        <v>0</v>
      </c>
    </row>
    <row r="152" spans="1:13" s="1314" customFormat="1" ht="15" hidden="1" outlineLevel="2" x14ac:dyDescent="0.25">
      <c r="A152" s="1314" t="s">
        <v>1666</v>
      </c>
      <c r="B152" s="1314" t="s">
        <v>1533</v>
      </c>
      <c r="C152" s="1314" t="s">
        <v>1534</v>
      </c>
      <c r="D152" s="1316">
        <v>732955</v>
      </c>
      <c r="E152" s="1316">
        <v>0</v>
      </c>
      <c r="F152" s="1314">
        <v>732955</v>
      </c>
      <c r="G152" s="1314">
        <v>0</v>
      </c>
      <c r="H152" s="1314">
        <v>-732955</v>
      </c>
      <c r="I152" s="1317">
        <f>SUM($F152:H152)</f>
        <v>0</v>
      </c>
      <c r="J152" s="1314">
        <v>732955</v>
      </c>
      <c r="K152" s="1314">
        <v>-732955</v>
      </c>
      <c r="L152" s="1317">
        <f t="shared" si="23"/>
        <v>0</v>
      </c>
      <c r="M152" s="1317">
        <f t="shared" si="24"/>
        <v>0</v>
      </c>
    </row>
    <row r="153" spans="1:13" s="1314" customFormat="1" ht="15" hidden="1" outlineLevel="2" x14ac:dyDescent="0.25">
      <c r="A153" s="1314" t="s">
        <v>1666</v>
      </c>
      <c r="B153" s="1314" t="s">
        <v>1535</v>
      </c>
      <c r="C153" s="1314" t="s">
        <v>1536</v>
      </c>
      <c r="D153" s="1316">
        <v>327715</v>
      </c>
      <c r="E153" s="1316">
        <v>0</v>
      </c>
      <c r="F153" s="1314">
        <v>327715</v>
      </c>
      <c r="G153" s="1314">
        <v>0</v>
      </c>
      <c r="H153" s="1314">
        <v>-327715</v>
      </c>
      <c r="I153" s="1317">
        <f>SUM($F153:H153)</f>
        <v>0</v>
      </c>
      <c r="J153" s="1314">
        <v>327715</v>
      </c>
      <c r="K153" s="1314">
        <v>-327715</v>
      </c>
      <c r="L153" s="1317">
        <f t="shared" si="23"/>
        <v>0</v>
      </c>
      <c r="M153" s="1317">
        <f t="shared" si="24"/>
        <v>0</v>
      </c>
    </row>
    <row r="154" spans="1:13" s="1314" customFormat="1" ht="15" hidden="1" outlineLevel="2" x14ac:dyDescent="0.25">
      <c r="A154" s="1314" t="s">
        <v>1666</v>
      </c>
      <c r="B154" s="1314" t="s">
        <v>1537</v>
      </c>
      <c r="C154" s="1314" t="s">
        <v>1538</v>
      </c>
      <c r="D154" s="1316">
        <v>8182953</v>
      </c>
      <c r="E154" s="1316">
        <v>0</v>
      </c>
      <c r="F154" s="1314">
        <v>8182953</v>
      </c>
      <c r="G154" s="1314">
        <v>0</v>
      </c>
      <c r="H154" s="1314">
        <v>-8182953</v>
      </c>
      <c r="I154" s="1317">
        <f>SUM($F154:H154)</f>
        <v>0</v>
      </c>
      <c r="J154" s="1314">
        <v>8182953</v>
      </c>
      <c r="K154" s="1314">
        <v>-8182953</v>
      </c>
      <c r="L154" s="1317">
        <f t="shared" si="23"/>
        <v>0</v>
      </c>
      <c r="M154" s="1317">
        <f t="shared" si="24"/>
        <v>0</v>
      </c>
    </row>
    <row r="155" spans="1:13" s="1314" customFormat="1" ht="15" hidden="1" outlineLevel="2" x14ac:dyDescent="0.25">
      <c r="A155" s="1314" t="s">
        <v>1666</v>
      </c>
      <c r="B155" s="1314" t="s">
        <v>1539</v>
      </c>
      <c r="C155" s="1314" t="s">
        <v>1540</v>
      </c>
      <c r="D155" s="1316">
        <v>215665</v>
      </c>
      <c r="E155" s="1316">
        <v>0</v>
      </c>
      <c r="F155" s="1314">
        <v>215665</v>
      </c>
      <c r="G155" s="1314">
        <v>0</v>
      </c>
      <c r="H155" s="1314">
        <v>-215665</v>
      </c>
      <c r="I155" s="1317">
        <f>SUM($F155:H155)</f>
        <v>0</v>
      </c>
      <c r="J155" s="1314">
        <v>215665</v>
      </c>
      <c r="K155" s="1314">
        <v>-215665</v>
      </c>
      <c r="L155" s="1317">
        <f t="shared" si="23"/>
        <v>0</v>
      </c>
      <c r="M155" s="1317">
        <f t="shared" si="24"/>
        <v>0</v>
      </c>
    </row>
    <row r="156" spans="1:13" s="1314" customFormat="1" ht="15" hidden="1" outlineLevel="2" x14ac:dyDescent="0.25">
      <c r="A156" s="1314" t="s">
        <v>1666</v>
      </c>
      <c r="B156" s="1314" t="s">
        <v>1541</v>
      </c>
      <c r="C156" s="1314" t="s">
        <v>1542</v>
      </c>
      <c r="D156" s="1316">
        <v>7569572</v>
      </c>
      <c r="E156" s="1316">
        <v>0</v>
      </c>
      <c r="F156" s="1314">
        <v>7569572</v>
      </c>
      <c r="G156" s="1314">
        <v>0</v>
      </c>
      <c r="H156" s="1314">
        <v>-7569572</v>
      </c>
      <c r="I156" s="1317">
        <f>SUM($F156:H156)</f>
        <v>0</v>
      </c>
      <c r="J156" s="1314">
        <v>7569572</v>
      </c>
      <c r="K156" s="1314">
        <v>-7569572</v>
      </c>
      <c r="L156" s="1317">
        <f t="shared" si="23"/>
        <v>0</v>
      </c>
      <c r="M156" s="1317">
        <f t="shared" si="24"/>
        <v>0</v>
      </c>
    </row>
    <row r="157" spans="1:13" s="1314" customFormat="1" ht="15" hidden="1" outlineLevel="2" x14ac:dyDescent="0.25">
      <c r="A157" s="1314" t="s">
        <v>1666</v>
      </c>
      <c r="B157" s="1314" t="s">
        <v>1543</v>
      </c>
      <c r="C157" s="1314" t="s">
        <v>1544</v>
      </c>
      <c r="D157" s="1316">
        <v>456815</v>
      </c>
      <c r="E157" s="1316">
        <v>0</v>
      </c>
      <c r="F157" s="1314">
        <v>456815</v>
      </c>
      <c r="G157" s="1314">
        <v>0</v>
      </c>
      <c r="H157" s="1314">
        <v>-456815</v>
      </c>
      <c r="I157" s="1317">
        <f>SUM($F157:H157)</f>
        <v>0</v>
      </c>
      <c r="J157" s="1314">
        <v>456815</v>
      </c>
      <c r="K157" s="1314">
        <v>-456815</v>
      </c>
      <c r="L157" s="1317">
        <f t="shared" si="23"/>
        <v>0</v>
      </c>
      <c r="M157" s="1317">
        <f t="shared" si="24"/>
        <v>0</v>
      </c>
    </row>
    <row r="158" spans="1:13" s="1314" customFormat="1" ht="15" hidden="1" outlineLevel="2" x14ac:dyDescent="0.25">
      <c r="A158" s="1314" t="s">
        <v>1666</v>
      </c>
      <c r="B158" s="1314" t="s">
        <v>1545</v>
      </c>
      <c r="C158" s="1314" t="s">
        <v>1546</v>
      </c>
      <c r="D158" s="1316">
        <v>54667</v>
      </c>
      <c r="E158" s="1316">
        <v>0</v>
      </c>
      <c r="F158" s="1314">
        <v>54667</v>
      </c>
      <c r="G158" s="1314">
        <v>0</v>
      </c>
      <c r="H158" s="1314">
        <v>-54667</v>
      </c>
      <c r="I158" s="1317">
        <f>SUM($F158:H158)</f>
        <v>0</v>
      </c>
      <c r="J158" s="1314">
        <v>54667</v>
      </c>
      <c r="K158" s="1314">
        <v>-54667</v>
      </c>
      <c r="L158" s="1317">
        <f t="shared" si="23"/>
        <v>0</v>
      </c>
      <c r="M158" s="1317">
        <f t="shared" si="24"/>
        <v>0</v>
      </c>
    </row>
    <row r="159" spans="1:13" s="1314" customFormat="1" ht="15" hidden="1" outlineLevel="2" x14ac:dyDescent="0.25">
      <c r="A159" s="1314" t="s">
        <v>1666</v>
      </c>
      <c r="B159" s="1314" t="s">
        <v>1547</v>
      </c>
      <c r="C159" s="1314" t="s">
        <v>1548</v>
      </c>
      <c r="D159" s="1316">
        <v>45738073</v>
      </c>
      <c r="E159" s="1316">
        <v>0</v>
      </c>
      <c r="F159" s="1314">
        <v>45738073</v>
      </c>
      <c r="G159" s="1314">
        <v>0</v>
      </c>
      <c r="H159" s="1314">
        <v>-45738073</v>
      </c>
      <c r="I159" s="1317">
        <f>SUM($F159:H159)</f>
        <v>0</v>
      </c>
      <c r="J159" s="1314">
        <v>45738073</v>
      </c>
      <c r="K159" s="1314">
        <v>-45738073</v>
      </c>
      <c r="L159" s="1317">
        <f t="shared" si="23"/>
        <v>0</v>
      </c>
      <c r="M159" s="1317">
        <f t="shared" si="24"/>
        <v>0</v>
      </c>
    </row>
    <row r="160" spans="1:13" s="1314" customFormat="1" ht="15" hidden="1" outlineLevel="2" x14ac:dyDescent="0.25">
      <c r="A160" s="1314" t="s">
        <v>1666</v>
      </c>
      <c r="B160" s="1314" t="s">
        <v>1549</v>
      </c>
      <c r="C160" s="1314" t="s">
        <v>1550</v>
      </c>
      <c r="D160" s="1316">
        <v>517218</v>
      </c>
      <c r="E160" s="1316">
        <v>0</v>
      </c>
      <c r="F160" s="1314">
        <v>517218</v>
      </c>
      <c r="G160" s="1314">
        <v>0</v>
      </c>
      <c r="H160" s="1314">
        <v>-517218</v>
      </c>
      <c r="I160" s="1317">
        <f>SUM($F160:H160)</f>
        <v>0</v>
      </c>
      <c r="J160" s="1314">
        <v>517218</v>
      </c>
      <c r="K160" s="1314">
        <v>-517218</v>
      </c>
      <c r="L160" s="1317">
        <f t="shared" si="23"/>
        <v>0</v>
      </c>
      <c r="M160" s="1317">
        <f t="shared" si="24"/>
        <v>0</v>
      </c>
    </row>
    <row r="161" spans="1:13" s="1314" customFormat="1" ht="15" hidden="1" outlineLevel="2" x14ac:dyDescent="0.25">
      <c r="A161" s="1314" t="s">
        <v>1666</v>
      </c>
      <c r="B161" s="1314" t="s">
        <v>1553</v>
      </c>
      <c r="C161" s="1314" t="s">
        <v>1554</v>
      </c>
      <c r="D161" s="1316">
        <v>164199</v>
      </c>
      <c r="E161" s="1316">
        <v>0</v>
      </c>
      <c r="F161" s="1314">
        <v>164199</v>
      </c>
      <c r="G161" s="1314">
        <v>0</v>
      </c>
      <c r="H161" s="1314">
        <v>-164199</v>
      </c>
      <c r="I161" s="1317">
        <f>SUM($F161:H161)</f>
        <v>0</v>
      </c>
      <c r="J161" s="1314">
        <v>164199</v>
      </c>
      <c r="K161" s="1314">
        <v>-164199</v>
      </c>
      <c r="L161" s="1317">
        <f t="shared" si="23"/>
        <v>0</v>
      </c>
      <c r="M161" s="1317">
        <f t="shared" si="24"/>
        <v>0</v>
      </c>
    </row>
    <row r="162" spans="1:13" s="1314" customFormat="1" ht="15" hidden="1" outlineLevel="2" x14ac:dyDescent="0.25">
      <c r="A162" s="1314" t="s">
        <v>1666</v>
      </c>
      <c r="B162" s="1314" t="s">
        <v>1555</v>
      </c>
      <c r="C162" s="1314" t="s">
        <v>1556</v>
      </c>
      <c r="D162" s="1316">
        <v>228471</v>
      </c>
      <c r="E162" s="1316">
        <v>0</v>
      </c>
      <c r="F162" s="1314">
        <v>228471</v>
      </c>
      <c r="G162" s="1314">
        <v>0</v>
      </c>
      <c r="H162" s="1314">
        <v>-228471</v>
      </c>
      <c r="I162" s="1317">
        <f>SUM($F162:H162)</f>
        <v>0</v>
      </c>
      <c r="J162" s="1314">
        <v>228471</v>
      </c>
      <c r="K162" s="1314">
        <v>-228471</v>
      </c>
      <c r="L162" s="1317">
        <f t="shared" si="23"/>
        <v>0</v>
      </c>
      <c r="M162" s="1317">
        <f t="shared" si="24"/>
        <v>0</v>
      </c>
    </row>
    <row r="163" spans="1:13" s="1314" customFormat="1" ht="15" hidden="1" outlineLevel="2" x14ac:dyDescent="0.25">
      <c r="A163" s="1314" t="s">
        <v>1666</v>
      </c>
      <c r="B163" s="1314" t="s">
        <v>1559</v>
      </c>
      <c r="C163" s="1314" t="s">
        <v>1560</v>
      </c>
      <c r="D163" s="1316">
        <v>95195</v>
      </c>
      <c r="E163" s="1316">
        <v>0</v>
      </c>
      <c r="F163" s="1314">
        <v>95195</v>
      </c>
      <c r="G163" s="1314">
        <v>0</v>
      </c>
      <c r="H163" s="1314">
        <v>-95195</v>
      </c>
      <c r="I163" s="1317">
        <f>SUM($F163:H163)</f>
        <v>0</v>
      </c>
      <c r="J163" s="1314">
        <v>95195</v>
      </c>
      <c r="K163" s="1314">
        <v>-95195</v>
      </c>
      <c r="L163" s="1317">
        <f t="shared" si="23"/>
        <v>0</v>
      </c>
      <c r="M163" s="1317">
        <f t="shared" si="24"/>
        <v>0</v>
      </c>
    </row>
    <row r="164" spans="1:13" s="1314" customFormat="1" ht="15" hidden="1" outlineLevel="2" x14ac:dyDescent="0.25">
      <c r="A164" s="1314" t="s">
        <v>1666</v>
      </c>
      <c r="B164" s="1314" t="s">
        <v>1563</v>
      </c>
      <c r="C164" s="1314" t="s">
        <v>1564</v>
      </c>
      <c r="D164" s="1316">
        <v>18495</v>
      </c>
      <c r="E164" s="1316">
        <v>0</v>
      </c>
      <c r="F164" s="1314">
        <v>18495</v>
      </c>
      <c r="G164" s="1314">
        <v>0</v>
      </c>
      <c r="H164" s="1314">
        <v>-18495</v>
      </c>
      <c r="I164" s="1317">
        <f>SUM($F164:H164)</f>
        <v>0</v>
      </c>
      <c r="J164" s="1314">
        <v>18495</v>
      </c>
      <c r="K164" s="1314">
        <v>-18495</v>
      </c>
      <c r="L164" s="1317">
        <f t="shared" si="23"/>
        <v>0</v>
      </c>
      <c r="M164" s="1317">
        <f t="shared" si="24"/>
        <v>0</v>
      </c>
    </row>
    <row r="165" spans="1:13" s="1314" customFormat="1" ht="15" hidden="1" outlineLevel="2" x14ac:dyDescent="0.25">
      <c r="A165" s="1314" t="s">
        <v>1666</v>
      </c>
      <c r="B165" s="1314" t="s">
        <v>1569</v>
      </c>
      <c r="C165" s="1314" t="s">
        <v>1570</v>
      </c>
      <c r="D165" s="1316">
        <v>207349</v>
      </c>
      <c r="E165" s="1316">
        <v>0</v>
      </c>
      <c r="F165" s="1314">
        <v>207349</v>
      </c>
      <c r="G165" s="1314">
        <v>0</v>
      </c>
      <c r="H165" s="1314">
        <v>-207349</v>
      </c>
      <c r="I165" s="1317">
        <f>SUM($F165:H165)</f>
        <v>0</v>
      </c>
      <c r="J165" s="1314">
        <v>207349</v>
      </c>
      <c r="K165" s="1314">
        <v>-207349</v>
      </c>
      <c r="L165" s="1317">
        <f t="shared" si="23"/>
        <v>0</v>
      </c>
      <c r="M165" s="1317">
        <f t="shared" si="24"/>
        <v>0</v>
      </c>
    </row>
    <row r="166" spans="1:13" s="1314" customFormat="1" ht="15" hidden="1" outlineLevel="2" x14ac:dyDescent="0.25">
      <c r="A166" s="1314" t="s">
        <v>1666</v>
      </c>
      <c r="B166" s="1314" t="s">
        <v>1571</v>
      </c>
      <c r="C166" s="1314" t="s">
        <v>1572</v>
      </c>
      <c r="D166" s="1316">
        <v>2167975</v>
      </c>
      <c r="E166" s="1316">
        <v>0</v>
      </c>
      <c r="F166" s="1314">
        <v>2167975</v>
      </c>
      <c r="G166" s="1314">
        <v>0</v>
      </c>
      <c r="H166" s="1314">
        <v>-2167975</v>
      </c>
      <c r="I166" s="1317">
        <f>SUM($F166:H166)</f>
        <v>0</v>
      </c>
      <c r="J166" s="1314">
        <v>2167975</v>
      </c>
      <c r="K166" s="1314">
        <v>-2167975</v>
      </c>
      <c r="L166" s="1317">
        <f t="shared" si="23"/>
        <v>0</v>
      </c>
      <c r="M166" s="1317">
        <f t="shared" si="24"/>
        <v>0</v>
      </c>
    </row>
    <row r="167" spans="1:13" s="1314" customFormat="1" ht="15" hidden="1" outlineLevel="2" x14ac:dyDescent="0.25">
      <c r="A167" s="1314" t="s">
        <v>1666</v>
      </c>
      <c r="B167" s="1314" t="s">
        <v>1573</v>
      </c>
      <c r="C167" s="1314" t="s">
        <v>1574</v>
      </c>
      <c r="D167" s="1316">
        <v>67769</v>
      </c>
      <c r="E167" s="1316">
        <v>0</v>
      </c>
      <c r="F167" s="1314">
        <v>67769</v>
      </c>
      <c r="G167" s="1314">
        <v>0</v>
      </c>
      <c r="H167" s="1314">
        <v>-67769</v>
      </c>
      <c r="I167" s="1317">
        <f>SUM($F167:H167)</f>
        <v>0</v>
      </c>
      <c r="J167" s="1314">
        <v>67769</v>
      </c>
      <c r="K167" s="1314">
        <v>-67769</v>
      </c>
      <c r="L167" s="1317">
        <f t="shared" si="23"/>
        <v>0</v>
      </c>
      <c r="M167" s="1317">
        <f t="shared" si="24"/>
        <v>0</v>
      </c>
    </row>
    <row r="168" spans="1:13" s="1314" customFormat="1" ht="15" hidden="1" outlineLevel="2" x14ac:dyDescent="0.25">
      <c r="A168" s="1314" t="s">
        <v>1666</v>
      </c>
      <c r="B168" s="1314" t="s">
        <v>1575</v>
      </c>
      <c r="C168" s="1314" t="s">
        <v>1576</v>
      </c>
      <c r="D168" s="1316">
        <v>199045</v>
      </c>
      <c r="E168" s="1316">
        <v>0</v>
      </c>
      <c r="F168" s="1314">
        <v>199045</v>
      </c>
      <c r="G168" s="1314">
        <v>0</v>
      </c>
      <c r="H168" s="1314">
        <v>-199045</v>
      </c>
      <c r="I168" s="1317">
        <f>SUM($F168:H168)</f>
        <v>0</v>
      </c>
      <c r="J168" s="1314">
        <v>199045</v>
      </c>
      <c r="K168" s="1314">
        <v>-199045</v>
      </c>
      <c r="L168" s="1317">
        <f t="shared" si="23"/>
        <v>0</v>
      </c>
      <c r="M168" s="1317">
        <f t="shared" si="24"/>
        <v>0</v>
      </c>
    </row>
    <row r="169" spans="1:13" s="1314" customFormat="1" ht="15" hidden="1" outlineLevel="2" x14ac:dyDescent="0.25">
      <c r="A169" s="1314" t="s">
        <v>1666</v>
      </c>
      <c r="B169" s="1314" t="s">
        <v>1577</v>
      </c>
      <c r="C169" s="1314" t="s">
        <v>1578</v>
      </c>
      <c r="D169" s="1316">
        <v>621925</v>
      </c>
      <c r="E169" s="1316">
        <v>0</v>
      </c>
      <c r="F169" s="1314">
        <v>621925</v>
      </c>
      <c r="G169" s="1314">
        <v>0</v>
      </c>
      <c r="H169" s="1314">
        <v>-621925</v>
      </c>
      <c r="I169" s="1317">
        <f>SUM($F169:H169)</f>
        <v>0</v>
      </c>
      <c r="J169" s="1314">
        <v>621925</v>
      </c>
      <c r="K169" s="1314">
        <v>-621925</v>
      </c>
      <c r="L169" s="1317">
        <f t="shared" si="23"/>
        <v>0</v>
      </c>
      <c r="M169" s="1317">
        <f t="shared" si="24"/>
        <v>0</v>
      </c>
    </row>
    <row r="170" spans="1:13" s="1314" customFormat="1" ht="15" hidden="1" outlineLevel="2" x14ac:dyDescent="0.25">
      <c r="A170" s="1314" t="s">
        <v>1666</v>
      </c>
      <c r="B170" s="1314" t="s">
        <v>1579</v>
      </c>
      <c r="C170" s="1314" t="s">
        <v>1580</v>
      </c>
      <c r="D170" s="1316">
        <v>350964</v>
      </c>
      <c r="E170" s="1316">
        <v>0</v>
      </c>
      <c r="F170" s="1314">
        <v>350964</v>
      </c>
      <c r="G170" s="1314">
        <v>0</v>
      </c>
      <c r="H170" s="1314">
        <v>-350964</v>
      </c>
      <c r="I170" s="1317">
        <f>SUM($F170:H170)</f>
        <v>0</v>
      </c>
      <c r="J170" s="1314">
        <v>350964</v>
      </c>
      <c r="K170" s="1314">
        <v>-350964</v>
      </c>
      <c r="L170" s="1317">
        <f t="shared" si="23"/>
        <v>0</v>
      </c>
      <c r="M170" s="1317">
        <f t="shared" si="24"/>
        <v>0</v>
      </c>
    </row>
    <row r="171" spans="1:13" s="1314" customFormat="1" ht="15" hidden="1" outlineLevel="2" x14ac:dyDescent="0.25">
      <c r="A171" s="1314" t="s">
        <v>1666</v>
      </c>
      <c r="B171" s="1314" t="s">
        <v>1581</v>
      </c>
      <c r="C171" s="1314" t="s">
        <v>1582</v>
      </c>
      <c r="D171" s="1316">
        <v>96274</v>
      </c>
      <c r="E171" s="1316">
        <v>0</v>
      </c>
      <c r="F171" s="1314">
        <v>96274</v>
      </c>
      <c r="G171" s="1314">
        <v>0</v>
      </c>
      <c r="H171" s="1314">
        <v>-96274</v>
      </c>
      <c r="I171" s="1317">
        <f>SUM($F171:H171)</f>
        <v>0</v>
      </c>
      <c r="J171" s="1314">
        <v>96274</v>
      </c>
      <c r="K171" s="1314">
        <v>-96274</v>
      </c>
      <c r="L171" s="1317">
        <f t="shared" si="23"/>
        <v>0</v>
      </c>
      <c r="M171" s="1317">
        <f t="shared" si="24"/>
        <v>0</v>
      </c>
    </row>
    <row r="172" spans="1:13" s="1314" customFormat="1" ht="15" hidden="1" outlineLevel="2" x14ac:dyDescent="0.25">
      <c r="A172" s="1314" t="s">
        <v>1666</v>
      </c>
      <c r="B172" s="1314" t="s">
        <v>1585</v>
      </c>
      <c r="C172" s="1314" t="s">
        <v>1586</v>
      </c>
      <c r="D172" s="1316">
        <v>72695</v>
      </c>
      <c r="E172" s="1316">
        <v>0</v>
      </c>
      <c r="F172" s="1314">
        <v>72695</v>
      </c>
      <c r="G172" s="1314">
        <v>0</v>
      </c>
      <c r="H172" s="1314">
        <v>-72695</v>
      </c>
      <c r="I172" s="1317">
        <f>SUM($F172:H172)</f>
        <v>0</v>
      </c>
      <c r="J172" s="1314">
        <v>72695</v>
      </c>
      <c r="K172" s="1314">
        <v>-72695</v>
      </c>
      <c r="L172" s="1317">
        <f t="shared" si="23"/>
        <v>0</v>
      </c>
      <c r="M172" s="1317">
        <f t="shared" si="24"/>
        <v>0</v>
      </c>
    </row>
    <row r="173" spans="1:13" s="1314" customFormat="1" ht="15" hidden="1" outlineLevel="2" x14ac:dyDescent="0.25">
      <c r="A173" s="1314" t="s">
        <v>1666</v>
      </c>
      <c r="B173" s="1314" t="s">
        <v>1589</v>
      </c>
      <c r="C173" s="1314" t="s">
        <v>1590</v>
      </c>
      <c r="D173" s="1316">
        <v>27349</v>
      </c>
      <c r="E173" s="1316">
        <v>0</v>
      </c>
      <c r="F173" s="1314">
        <v>27349</v>
      </c>
      <c r="G173" s="1314">
        <v>0</v>
      </c>
      <c r="H173" s="1314">
        <v>-27349</v>
      </c>
      <c r="I173" s="1317">
        <f>SUM($F173:H173)</f>
        <v>0</v>
      </c>
      <c r="J173" s="1314">
        <v>27349</v>
      </c>
      <c r="K173" s="1314">
        <v>-27349</v>
      </c>
      <c r="L173" s="1317">
        <f t="shared" si="23"/>
        <v>0</v>
      </c>
      <c r="M173" s="1317">
        <f t="shared" si="24"/>
        <v>0</v>
      </c>
    </row>
    <row r="174" spans="1:13" s="1314" customFormat="1" ht="15" hidden="1" outlineLevel="2" x14ac:dyDescent="0.25">
      <c r="A174" s="1314" t="s">
        <v>1666</v>
      </c>
      <c r="B174" s="1314" t="s">
        <v>1591</v>
      </c>
      <c r="C174" s="1314" t="s">
        <v>1592</v>
      </c>
      <c r="D174" s="1316">
        <v>117370</v>
      </c>
      <c r="E174" s="1316">
        <v>0</v>
      </c>
      <c r="F174" s="1314">
        <v>117370</v>
      </c>
      <c r="G174" s="1314">
        <v>0</v>
      </c>
      <c r="H174" s="1314">
        <v>-117370</v>
      </c>
      <c r="I174" s="1317">
        <f>SUM($F174:H174)</f>
        <v>0</v>
      </c>
      <c r="J174" s="1314">
        <v>117370</v>
      </c>
      <c r="K174" s="1314">
        <v>-117370</v>
      </c>
      <c r="L174" s="1317">
        <f t="shared" si="23"/>
        <v>0</v>
      </c>
      <c r="M174" s="1317">
        <f t="shared" si="24"/>
        <v>0</v>
      </c>
    </row>
    <row r="175" spans="1:13" s="1314" customFormat="1" ht="15" hidden="1" outlineLevel="2" x14ac:dyDescent="0.25">
      <c r="A175" s="1314" t="s">
        <v>1666</v>
      </c>
      <c r="B175" s="1314" t="s">
        <v>1593</v>
      </c>
      <c r="C175" s="1314" t="s">
        <v>1594</v>
      </c>
      <c r="D175" s="1316">
        <v>393453</v>
      </c>
      <c r="E175" s="1316">
        <v>0</v>
      </c>
      <c r="F175" s="1314">
        <v>393453</v>
      </c>
      <c r="G175" s="1314">
        <v>0</v>
      </c>
      <c r="H175" s="1314">
        <v>-393453</v>
      </c>
      <c r="I175" s="1317">
        <f>SUM($F175:H175)</f>
        <v>0</v>
      </c>
      <c r="J175" s="1314">
        <v>393453</v>
      </c>
      <c r="K175" s="1314">
        <v>-393453</v>
      </c>
      <c r="L175" s="1317">
        <f t="shared" si="23"/>
        <v>0</v>
      </c>
      <c r="M175" s="1317">
        <f t="shared" si="24"/>
        <v>0</v>
      </c>
    </row>
    <row r="176" spans="1:13" s="1314" customFormat="1" ht="15" hidden="1" outlineLevel="2" x14ac:dyDescent="0.25">
      <c r="A176" s="1314" t="s">
        <v>1666</v>
      </c>
      <c r="B176" s="1314" t="s">
        <v>1595</v>
      </c>
      <c r="C176" s="1314" t="s">
        <v>1596</v>
      </c>
      <c r="D176" s="1316">
        <v>40702</v>
      </c>
      <c r="E176" s="1316">
        <v>0</v>
      </c>
      <c r="F176" s="1314">
        <v>40702</v>
      </c>
      <c r="G176" s="1314">
        <v>0</v>
      </c>
      <c r="H176" s="1314">
        <v>-40702</v>
      </c>
      <c r="I176" s="1317">
        <f>SUM($F176:H176)</f>
        <v>0</v>
      </c>
      <c r="J176" s="1314">
        <v>40702</v>
      </c>
      <c r="K176" s="1314">
        <v>-40702</v>
      </c>
      <c r="L176" s="1317">
        <f t="shared" si="23"/>
        <v>0</v>
      </c>
      <c r="M176" s="1317">
        <f t="shared" si="24"/>
        <v>0</v>
      </c>
    </row>
    <row r="177" spans="1:13" s="1314" customFormat="1" ht="15" hidden="1" outlineLevel="2" x14ac:dyDescent="0.25">
      <c r="A177" s="1314" t="s">
        <v>1666</v>
      </c>
      <c r="B177" s="1314" t="s">
        <v>1597</v>
      </c>
      <c r="C177" s="1314" t="s">
        <v>1598</v>
      </c>
      <c r="D177" s="1316">
        <v>170300</v>
      </c>
      <c r="E177" s="1316">
        <v>0</v>
      </c>
      <c r="F177" s="1314">
        <v>170300</v>
      </c>
      <c r="G177" s="1314">
        <v>0</v>
      </c>
      <c r="H177" s="1314">
        <v>-170300</v>
      </c>
      <c r="I177" s="1317">
        <f>SUM($F177:H177)</f>
        <v>0</v>
      </c>
      <c r="J177" s="1314">
        <v>170300</v>
      </c>
      <c r="K177" s="1314">
        <v>-170300</v>
      </c>
      <c r="L177" s="1317">
        <f t="shared" si="23"/>
        <v>0</v>
      </c>
      <c r="M177" s="1317">
        <f t="shared" si="24"/>
        <v>0</v>
      </c>
    </row>
    <row r="178" spans="1:13" s="1314" customFormat="1" ht="15" hidden="1" outlineLevel="2" x14ac:dyDescent="0.25">
      <c r="A178" s="1314" t="s">
        <v>1666</v>
      </c>
      <c r="B178" s="1314" t="s">
        <v>1599</v>
      </c>
      <c r="C178" s="1314" t="s">
        <v>1600</v>
      </c>
      <c r="D178" s="1316">
        <v>150886</v>
      </c>
      <c r="E178" s="1316">
        <v>0</v>
      </c>
      <c r="F178" s="1314">
        <v>150886</v>
      </c>
      <c r="G178" s="1314">
        <v>0</v>
      </c>
      <c r="H178" s="1314">
        <v>-150886</v>
      </c>
      <c r="I178" s="1317">
        <f>SUM($F178:H178)</f>
        <v>0</v>
      </c>
      <c r="J178" s="1314">
        <v>150886</v>
      </c>
      <c r="K178" s="1314">
        <v>-150886</v>
      </c>
      <c r="L178" s="1317">
        <f t="shared" si="23"/>
        <v>0</v>
      </c>
      <c r="M178" s="1317">
        <f t="shared" si="24"/>
        <v>0</v>
      </c>
    </row>
    <row r="179" spans="1:13" s="1314" customFormat="1" ht="15" hidden="1" outlineLevel="2" x14ac:dyDescent="0.25">
      <c r="A179" s="1314" t="s">
        <v>1666</v>
      </c>
      <c r="B179" s="1314" t="s">
        <v>1601</v>
      </c>
      <c r="C179" s="1314" t="s">
        <v>1602</v>
      </c>
      <c r="D179" s="1316">
        <v>129964</v>
      </c>
      <c r="E179" s="1316">
        <v>0</v>
      </c>
      <c r="F179" s="1314">
        <v>129964</v>
      </c>
      <c r="G179" s="1314">
        <v>0</v>
      </c>
      <c r="H179" s="1314">
        <v>-129964</v>
      </c>
      <c r="I179" s="1317">
        <f>SUM($F179:H179)</f>
        <v>0</v>
      </c>
      <c r="J179" s="1314">
        <v>129964</v>
      </c>
      <c r="K179" s="1314">
        <v>-129964</v>
      </c>
      <c r="L179" s="1317">
        <f t="shared" si="23"/>
        <v>0</v>
      </c>
      <c r="M179" s="1317">
        <f t="shared" si="24"/>
        <v>0</v>
      </c>
    </row>
    <row r="180" spans="1:13" s="1314" customFormat="1" ht="15" hidden="1" outlineLevel="2" x14ac:dyDescent="0.25">
      <c r="A180" s="1314" t="s">
        <v>1666</v>
      </c>
      <c r="B180" s="1314" t="s">
        <v>1603</v>
      </c>
      <c r="C180" s="1314" t="s">
        <v>1604</v>
      </c>
      <c r="D180" s="1316">
        <v>315441</v>
      </c>
      <c r="E180" s="1316">
        <v>0</v>
      </c>
      <c r="F180" s="1314">
        <v>315441</v>
      </c>
      <c r="G180" s="1314">
        <v>0</v>
      </c>
      <c r="H180" s="1314">
        <v>-315441</v>
      </c>
      <c r="I180" s="1317">
        <f>SUM($F180:H180)</f>
        <v>0</v>
      </c>
      <c r="J180" s="1314">
        <v>315441</v>
      </c>
      <c r="K180" s="1314">
        <v>-315441</v>
      </c>
      <c r="L180" s="1317">
        <f t="shared" si="23"/>
        <v>0</v>
      </c>
      <c r="M180" s="1317">
        <f t="shared" si="24"/>
        <v>0</v>
      </c>
    </row>
    <row r="181" spans="1:13" s="1314" customFormat="1" ht="15" hidden="1" outlineLevel="2" x14ac:dyDescent="0.25">
      <c r="A181" s="1314" t="s">
        <v>1666</v>
      </c>
      <c r="B181" s="1314" t="s">
        <v>1605</v>
      </c>
      <c r="C181" s="1314" t="s">
        <v>1606</v>
      </c>
      <c r="D181" s="1316">
        <v>11844</v>
      </c>
      <c r="E181" s="1316">
        <v>0</v>
      </c>
      <c r="F181" s="1314">
        <v>11844</v>
      </c>
      <c r="G181" s="1314">
        <v>0</v>
      </c>
      <c r="H181" s="1314">
        <v>-11844</v>
      </c>
      <c r="I181" s="1317">
        <f>SUM($F181:H181)</f>
        <v>0</v>
      </c>
      <c r="J181" s="1314">
        <v>11844</v>
      </c>
      <c r="K181" s="1314">
        <v>-11844</v>
      </c>
      <c r="L181" s="1317">
        <f t="shared" si="23"/>
        <v>0</v>
      </c>
      <c r="M181" s="1317">
        <f t="shared" si="24"/>
        <v>0</v>
      </c>
    </row>
    <row r="182" spans="1:13" s="1314" customFormat="1" ht="15" hidden="1" outlineLevel="2" x14ac:dyDescent="0.25">
      <c r="A182" s="1314" t="s">
        <v>1666</v>
      </c>
      <c r="B182" s="1314" t="s">
        <v>1607</v>
      </c>
      <c r="C182" s="1314" t="s">
        <v>1608</v>
      </c>
      <c r="D182" s="1316">
        <v>46281</v>
      </c>
      <c r="E182" s="1316">
        <v>0</v>
      </c>
      <c r="F182" s="1314">
        <v>46281</v>
      </c>
      <c r="G182" s="1314">
        <v>0</v>
      </c>
      <c r="H182" s="1314">
        <v>-46281</v>
      </c>
      <c r="I182" s="1317">
        <f>SUM($F182:H182)</f>
        <v>0</v>
      </c>
      <c r="J182" s="1314">
        <v>46281</v>
      </c>
      <c r="K182" s="1314">
        <v>-46281</v>
      </c>
      <c r="L182" s="1317">
        <f t="shared" si="23"/>
        <v>0</v>
      </c>
      <c r="M182" s="1317">
        <f t="shared" si="24"/>
        <v>0</v>
      </c>
    </row>
    <row r="183" spans="1:13" s="1314" customFormat="1" ht="15" hidden="1" outlineLevel="2" x14ac:dyDescent="0.25">
      <c r="A183" s="1314" t="s">
        <v>1666</v>
      </c>
      <c r="B183" s="1314" t="s">
        <v>1621</v>
      </c>
      <c r="C183" s="1314" t="s">
        <v>1622</v>
      </c>
      <c r="D183" s="1316">
        <v>115618</v>
      </c>
      <c r="E183" s="1316">
        <v>0</v>
      </c>
      <c r="F183" s="1314">
        <v>115618</v>
      </c>
      <c r="G183" s="1314">
        <v>0</v>
      </c>
      <c r="H183" s="1314">
        <v>-115618</v>
      </c>
      <c r="I183" s="1317">
        <f>SUM($F183:H183)</f>
        <v>0</v>
      </c>
      <c r="J183" s="1314">
        <v>115618</v>
      </c>
      <c r="K183" s="1314">
        <v>-115618</v>
      </c>
      <c r="L183" s="1317">
        <f t="shared" si="23"/>
        <v>0</v>
      </c>
      <c r="M183" s="1317">
        <f t="shared" si="24"/>
        <v>0</v>
      </c>
    </row>
    <row r="184" spans="1:13" s="1314" customFormat="1" ht="15" hidden="1" outlineLevel="2" x14ac:dyDescent="0.25">
      <c r="A184" s="1314" t="s">
        <v>1666</v>
      </c>
      <c r="B184" s="1314" t="s">
        <v>1629</v>
      </c>
      <c r="C184" s="1314" t="s">
        <v>1630</v>
      </c>
      <c r="D184" s="1316">
        <v>59136</v>
      </c>
      <c r="E184" s="1316">
        <v>0</v>
      </c>
      <c r="F184" s="1314">
        <v>59136</v>
      </c>
      <c r="G184" s="1314">
        <v>0</v>
      </c>
      <c r="H184" s="1314">
        <v>-59136</v>
      </c>
      <c r="I184" s="1317">
        <f>SUM($F184:H184)</f>
        <v>0</v>
      </c>
      <c r="J184" s="1314">
        <v>59136</v>
      </c>
      <c r="K184" s="1314">
        <v>-59136</v>
      </c>
      <c r="L184" s="1317">
        <f t="shared" si="23"/>
        <v>0</v>
      </c>
      <c r="M184" s="1317">
        <f t="shared" si="24"/>
        <v>0</v>
      </c>
    </row>
    <row r="185" spans="1:13" s="1314" customFormat="1" ht="15" hidden="1" outlineLevel="2" x14ac:dyDescent="0.25">
      <c r="A185" s="1314" t="s">
        <v>1666</v>
      </c>
      <c r="B185" s="1314" t="s">
        <v>1633</v>
      </c>
      <c r="C185" s="1314" t="s">
        <v>1634</v>
      </c>
      <c r="D185" s="1316">
        <v>301886</v>
      </c>
      <c r="E185" s="1316">
        <v>0</v>
      </c>
      <c r="F185" s="1314">
        <v>301886</v>
      </c>
      <c r="G185" s="1314">
        <v>0</v>
      </c>
      <c r="H185" s="1314">
        <v>-301886</v>
      </c>
      <c r="I185" s="1317">
        <f>SUM($F185:H185)</f>
        <v>0</v>
      </c>
      <c r="J185" s="1314">
        <v>301886</v>
      </c>
      <c r="K185" s="1314">
        <v>-301886</v>
      </c>
      <c r="L185" s="1317">
        <f t="shared" si="23"/>
        <v>0</v>
      </c>
      <c r="M185" s="1317">
        <f t="shared" si="24"/>
        <v>0</v>
      </c>
    </row>
    <row r="186" spans="1:13" s="1314" customFormat="1" ht="15" hidden="1" outlineLevel="2" x14ac:dyDescent="0.25">
      <c r="A186" s="1314" t="s">
        <v>1666</v>
      </c>
      <c r="B186" s="1314" t="s">
        <v>1639</v>
      </c>
      <c r="C186" s="1314" t="s">
        <v>1640</v>
      </c>
      <c r="D186" s="1316">
        <v>73611</v>
      </c>
      <c r="E186" s="1316">
        <v>0</v>
      </c>
      <c r="F186" s="1314">
        <v>73611</v>
      </c>
      <c r="G186" s="1314">
        <v>0</v>
      </c>
      <c r="H186" s="1314">
        <v>-73611</v>
      </c>
      <c r="I186" s="1317">
        <f>SUM($F186:H186)</f>
        <v>0</v>
      </c>
      <c r="J186" s="1314">
        <v>73611</v>
      </c>
      <c r="K186" s="1314">
        <v>-73611</v>
      </c>
      <c r="L186" s="1317">
        <f t="shared" si="23"/>
        <v>0</v>
      </c>
      <c r="M186" s="1317">
        <f t="shared" si="24"/>
        <v>0</v>
      </c>
    </row>
    <row r="187" spans="1:13" s="1314" customFormat="1" ht="15" hidden="1" outlineLevel="2" x14ac:dyDescent="0.25">
      <c r="A187" s="1314" t="s">
        <v>1666</v>
      </c>
      <c r="B187" s="1314" t="s">
        <v>1641</v>
      </c>
      <c r="C187" s="1314" t="s">
        <v>1642</v>
      </c>
      <c r="D187" s="1316">
        <v>139948</v>
      </c>
      <c r="E187" s="1316">
        <v>0</v>
      </c>
      <c r="F187" s="1314">
        <v>139948</v>
      </c>
      <c r="G187" s="1314">
        <v>0</v>
      </c>
      <c r="H187" s="1314">
        <v>-139948</v>
      </c>
      <c r="I187" s="1317">
        <f>SUM($F187:H187)</f>
        <v>0</v>
      </c>
      <c r="J187" s="1314">
        <v>139948</v>
      </c>
      <c r="K187" s="1314">
        <v>-139948</v>
      </c>
      <c r="L187" s="1317">
        <f t="shared" si="23"/>
        <v>0</v>
      </c>
      <c r="M187" s="1317">
        <f t="shared" si="24"/>
        <v>0</v>
      </c>
    </row>
    <row r="188" spans="1:13" s="1314" customFormat="1" ht="15" hidden="1" outlineLevel="2" x14ac:dyDescent="0.25">
      <c r="A188" s="1314" t="s">
        <v>1666</v>
      </c>
      <c r="B188" s="1314" t="s">
        <v>1649</v>
      </c>
      <c r="C188" s="1314" t="s">
        <v>1650</v>
      </c>
      <c r="D188" s="1316">
        <v>31014</v>
      </c>
      <c r="E188" s="1316">
        <v>0</v>
      </c>
      <c r="F188" s="1314">
        <v>31014</v>
      </c>
      <c r="G188" s="1314">
        <v>0</v>
      </c>
      <c r="H188" s="1314">
        <v>-31014</v>
      </c>
      <c r="I188" s="1317">
        <f>SUM($F188:H188)</f>
        <v>0</v>
      </c>
      <c r="J188" s="1314">
        <v>31014</v>
      </c>
      <c r="K188" s="1314">
        <v>-31014</v>
      </c>
      <c r="L188" s="1317">
        <f t="shared" si="23"/>
        <v>0</v>
      </c>
      <c r="M188" s="1317">
        <f t="shared" si="24"/>
        <v>0</v>
      </c>
    </row>
    <row r="189" spans="1:13" outlineLevel="1" collapsed="1" x14ac:dyDescent="0.2">
      <c r="A189" s="1313" t="s">
        <v>1667</v>
      </c>
      <c r="D189" s="1313">
        <f t="shared" ref="D189:M189" si="25">SUBTOTAL(9,D143:D188)</f>
        <v>442052927</v>
      </c>
      <c r="E189" s="1313">
        <f t="shared" si="25"/>
        <v>442438392</v>
      </c>
      <c r="F189" s="1313">
        <f t="shared" si="25"/>
        <v>442052927</v>
      </c>
      <c r="G189" s="1313">
        <f t="shared" si="25"/>
        <v>0</v>
      </c>
      <c r="H189" s="1313">
        <f t="shared" si="25"/>
        <v>41728566</v>
      </c>
      <c r="I189" s="1313">
        <f t="shared" si="25"/>
        <v>483781493</v>
      </c>
      <c r="J189" s="1313">
        <f t="shared" si="25"/>
        <v>442052927</v>
      </c>
      <c r="K189" s="1313">
        <f t="shared" si="25"/>
        <v>41821375.230000019</v>
      </c>
      <c r="L189" s="1313">
        <f t="shared" si="25"/>
        <v>483874302.23000002</v>
      </c>
      <c r="M189" s="1313">
        <f t="shared" si="25"/>
        <v>967655795.23000002</v>
      </c>
    </row>
    <row r="190" spans="1:13" s="1314" customFormat="1" ht="15" hidden="1" outlineLevel="2" x14ac:dyDescent="0.25">
      <c r="A190" s="1314" t="s">
        <v>1668</v>
      </c>
      <c r="B190" s="1314" t="s">
        <v>1515</v>
      </c>
      <c r="C190" s="1314" t="s">
        <v>1516</v>
      </c>
      <c r="D190" s="1316">
        <v>0</v>
      </c>
      <c r="E190" s="1316">
        <v>89492734</v>
      </c>
      <c r="F190" s="1314">
        <v>0</v>
      </c>
      <c r="G190" s="1314">
        <v>0</v>
      </c>
      <c r="H190" s="1314">
        <f>'3.1b Allocation Adj. YR1 '!$I$30</f>
        <v>212534769</v>
      </c>
      <c r="I190" s="1317">
        <f>SUM($F190:H190)</f>
        <v>212534769</v>
      </c>
      <c r="J190" s="1314">
        <v>0</v>
      </c>
      <c r="K190" s="1314">
        <f>'7.1b Allocation Adj. YR2'!$I$30</f>
        <v>223153735</v>
      </c>
      <c r="L190" s="1317">
        <f t="shared" ref="L190:L253" si="26">SUM(J190:K190)</f>
        <v>223153735</v>
      </c>
      <c r="M190" s="1317">
        <f t="shared" ref="M190:M253" si="27">+I190+L190</f>
        <v>435688504</v>
      </c>
    </row>
    <row r="191" spans="1:13" s="1314" customFormat="1" ht="15" hidden="1" outlineLevel="2" x14ac:dyDescent="0.25">
      <c r="A191" s="1314" t="s">
        <v>1668</v>
      </c>
      <c r="B191" s="1314" t="s">
        <v>1517</v>
      </c>
      <c r="C191" s="1314" t="s">
        <v>1518</v>
      </c>
      <c r="D191" s="1316">
        <v>1430707</v>
      </c>
      <c r="E191" s="1316">
        <v>0</v>
      </c>
      <c r="F191" s="1314">
        <v>1430707</v>
      </c>
      <c r="G191" s="1314">
        <v>0</v>
      </c>
      <c r="H191" s="1314">
        <v>-1430707</v>
      </c>
      <c r="I191" s="1317">
        <f>SUM($F191:H191)</f>
        <v>0</v>
      </c>
      <c r="J191" s="1314">
        <v>1430707</v>
      </c>
      <c r="K191" s="1314">
        <v>-1430707</v>
      </c>
      <c r="L191" s="1317">
        <f t="shared" si="26"/>
        <v>0</v>
      </c>
      <c r="M191" s="1317">
        <f t="shared" si="27"/>
        <v>0</v>
      </c>
    </row>
    <row r="192" spans="1:13" s="1314" customFormat="1" ht="15" hidden="1" outlineLevel="2" x14ac:dyDescent="0.25">
      <c r="A192" s="1314" t="s">
        <v>1668</v>
      </c>
      <c r="B192" s="1314" t="s">
        <v>1519</v>
      </c>
      <c r="C192" s="1314" t="s">
        <v>1520</v>
      </c>
      <c r="D192" s="1316">
        <v>237020</v>
      </c>
      <c r="E192" s="1316">
        <v>0</v>
      </c>
      <c r="F192" s="1314">
        <v>237020</v>
      </c>
      <c r="G192" s="1314">
        <v>0</v>
      </c>
      <c r="H192" s="1314">
        <v>-237020</v>
      </c>
      <c r="I192" s="1317">
        <f>SUM($F192:H192)</f>
        <v>0</v>
      </c>
      <c r="J192" s="1314">
        <v>237020</v>
      </c>
      <c r="K192" s="1314">
        <v>-237020</v>
      </c>
      <c r="L192" s="1317">
        <f t="shared" si="26"/>
        <v>0</v>
      </c>
      <c r="M192" s="1317">
        <f t="shared" si="27"/>
        <v>0</v>
      </c>
    </row>
    <row r="193" spans="1:13" s="1314" customFormat="1" ht="15" hidden="1" outlineLevel="2" x14ac:dyDescent="0.25">
      <c r="A193" s="1314" t="s">
        <v>1668</v>
      </c>
      <c r="B193" s="1314" t="s">
        <v>1521</v>
      </c>
      <c r="C193" s="1314" t="s">
        <v>1522</v>
      </c>
      <c r="D193" s="1316">
        <v>61950498</v>
      </c>
      <c r="E193" s="1316">
        <v>0</v>
      </c>
      <c r="F193" s="1314">
        <v>61950498</v>
      </c>
      <c r="G193" s="1314">
        <v>0</v>
      </c>
      <c r="H193" s="1314">
        <v>-61950498</v>
      </c>
      <c r="I193" s="1317">
        <f>SUM($F193:H193)</f>
        <v>0</v>
      </c>
      <c r="J193" s="1314">
        <v>61950498</v>
      </c>
      <c r="K193" s="1314">
        <v>-61950498</v>
      </c>
      <c r="L193" s="1317">
        <f t="shared" si="26"/>
        <v>0</v>
      </c>
      <c r="M193" s="1317">
        <f t="shared" si="27"/>
        <v>0</v>
      </c>
    </row>
    <row r="194" spans="1:13" s="1314" customFormat="1" ht="15" hidden="1" outlineLevel="2" x14ac:dyDescent="0.25">
      <c r="A194" s="1314" t="s">
        <v>1668</v>
      </c>
      <c r="B194" s="1314" t="s">
        <v>1523</v>
      </c>
      <c r="C194" s="1314" t="s">
        <v>1524</v>
      </c>
      <c r="D194" s="1316">
        <v>371245</v>
      </c>
      <c r="E194" s="1316">
        <v>0</v>
      </c>
      <c r="F194" s="1314">
        <v>371245</v>
      </c>
      <c r="G194" s="1314">
        <v>0</v>
      </c>
      <c r="H194" s="1314">
        <v>-371245</v>
      </c>
      <c r="I194" s="1317">
        <f>SUM($F194:H194)</f>
        <v>0</v>
      </c>
      <c r="J194" s="1314">
        <v>371245</v>
      </c>
      <c r="K194" s="1314">
        <v>-371245</v>
      </c>
      <c r="L194" s="1317">
        <f t="shared" si="26"/>
        <v>0</v>
      </c>
      <c r="M194" s="1317">
        <f t="shared" si="27"/>
        <v>0</v>
      </c>
    </row>
    <row r="195" spans="1:13" s="1314" customFormat="1" ht="15" hidden="1" outlineLevel="2" x14ac:dyDescent="0.25">
      <c r="A195" s="1314" t="s">
        <v>1668</v>
      </c>
      <c r="B195" s="1314" t="s">
        <v>1525</v>
      </c>
      <c r="C195" s="1314" t="s">
        <v>1526</v>
      </c>
      <c r="D195" s="1316">
        <v>1132544</v>
      </c>
      <c r="E195" s="1316">
        <v>0</v>
      </c>
      <c r="F195" s="1314">
        <v>1132544</v>
      </c>
      <c r="G195" s="1314">
        <v>0</v>
      </c>
      <c r="H195" s="1314">
        <v>-1132544</v>
      </c>
      <c r="I195" s="1317">
        <f>SUM($F195:H195)</f>
        <v>0</v>
      </c>
      <c r="J195" s="1314">
        <v>1132544</v>
      </c>
      <c r="K195" s="1314">
        <v>-1132544</v>
      </c>
      <c r="L195" s="1317">
        <f t="shared" si="26"/>
        <v>0</v>
      </c>
      <c r="M195" s="1317">
        <f t="shared" si="27"/>
        <v>0</v>
      </c>
    </row>
    <row r="196" spans="1:13" s="1314" customFormat="1" ht="15" hidden="1" outlineLevel="2" x14ac:dyDescent="0.25">
      <c r="A196" s="1314" t="s">
        <v>1668</v>
      </c>
      <c r="B196" s="1314" t="s">
        <v>1527</v>
      </c>
      <c r="C196" s="1314" t="s">
        <v>1528</v>
      </c>
      <c r="D196" s="1316">
        <v>17310</v>
      </c>
      <c r="E196" s="1316">
        <v>0</v>
      </c>
      <c r="F196" s="1314">
        <v>17310</v>
      </c>
      <c r="G196" s="1314">
        <v>0</v>
      </c>
      <c r="H196" s="1314">
        <v>-17310</v>
      </c>
      <c r="I196" s="1317">
        <f>SUM($F196:H196)</f>
        <v>0</v>
      </c>
      <c r="J196" s="1314">
        <v>17310</v>
      </c>
      <c r="K196" s="1314">
        <v>-17310</v>
      </c>
      <c r="L196" s="1317">
        <f t="shared" si="26"/>
        <v>0</v>
      </c>
      <c r="M196" s="1317">
        <f t="shared" si="27"/>
        <v>0</v>
      </c>
    </row>
    <row r="197" spans="1:13" s="1314" customFormat="1" ht="15" hidden="1" outlineLevel="2" x14ac:dyDescent="0.25">
      <c r="A197" s="1314" t="s">
        <v>1668</v>
      </c>
      <c r="B197" s="1314" t="s">
        <v>1529</v>
      </c>
      <c r="C197" s="1314" t="s">
        <v>1530</v>
      </c>
      <c r="D197" s="1316">
        <v>10159</v>
      </c>
      <c r="E197" s="1316">
        <v>0</v>
      </c>
      <c r="F197" s="1314">
        <v>10159</v>
      </c>
      <c r="G197" s="1314">
        <v>0</v>
      </c>
      <c r="H197" s="1314">
        <v>-10159</v>
      </c>
      <c r="I197" s="1317">
        <f>SUM($F197:H197)</f>
        <v>0</v>
      </c>
      <c r="J197" s="1314">
        <v>10159</v>
      </c>
      <c r="K197" s="1314">
        <v>-10159</v>
      </c>
      <c r="L197" s="1317">
        <f t="shared" si="26"/>
        <v>0</v>
      </c>
      <c r="M197" s="1317">
        <f t="shared" si="27"/>
        <v>0</v>
      </c>
    </row>
    <row r="198" spans="1:13" s="1314" customFormat="1" ht="15" hidden="1" outlineLevel="2" x14ac:dyDescent="0.25">
      <c r="A198" s="1314" t="s">
        <v>1668</v>
      </c>
      <c r="B198" s="1314" t="s">
        <v>1531</v>
      </c>
      <c r="C198" s="1314" t="s">
        <v>1532</v>
      </c>
      <c r="D198" s="1316">
        <v>488403</v>
      </c>
      <c r="E198" s="1316">
        <v>0</v>
      </c>
      <c r="F198" s="1314">
        <v>488403</v>
      </c>
      <c r="G198" s="1314">
        <v>0</v>
      </c>
      <c r="H198" s="1314">
        <v>-488403</v>
      </c>
      <c r="I198" s="1317">
        <f>SUM($F198:H198)</f>
        <v>0</v>
      </c>
      <c r="J198" s="1314">
        <v>488403</v>
      </c>
      <c r="K198" s="1314">
        <v>-488403</v>
      </c>
      <c r="L198" s="1317">
        <f t="shared" si="26"/>
        <v>0</v>
      </c>
      <c r="M198" s="1317">
        <f t="shared" si="27"/>
        <v>0</v>
      </c>
    </row>
    <row r="199" spans="1:13" s="1314" customFormat="1" ht="15" hidden="1" outlineLevel="2" x14ac:dyDescent="0.25">
      <c r="A199" s="1314" t="s">
        <v>1668</v>
      </c>
      <c r="B199" s="1314" t="s">
        <v>1533</v>
      </c>
      <c r="C199" s="1314" t="s">
        <v>1534</v>
      </c>
      <c r="D199" s="1316">
        <v>76827</v>
      </c>
      <c r="E199" s="1316">
        <v>0</v>
      </c>
      <c r="F199" s="1314">
        <v>76827</v>
      </c>
      <c r="G199" s="1314">
        <v>0</v>
      </c>
      <c r="H199" s="1314">
        <v>-76827</v>
      </c>
      <c r="I199" s="1317">
        <f>SUM($F199:H199)</f>
        <v>0</v>
      </c>
      <c r="J199" s="1314">
        <v>76827</v>
      </c>
      <c r="K199" s="1314">
        <v>-76827</v>
      </c>
      <c r="L199" s="1317">
        <f t="shared" si="26"/>
        <v>0</v>
      </c>
      <c r="M199" s="1317">
        <f t="shared" si="27"/>
        <v>0</v>
      </c>
    </row>
    <row r="200" spans="1:13" s="1314" customFormat="1" ht="15" hidden="1" outlineLevel="2" x14ac:dyDescent="0.25">
      <c r="A200" s="1314" t="s">
        <v>1668</v>
      </c>
      <c r="B200" s="1314" t="s">
        <v>1535</v>
      </c>
      <c r="C200" s="1314" t="s">
        <v>1536</v>
      </c>
      <c r="D200" s="1316">
        <v>54252</v>
      </c>
      <c r="E200" s="1316">
        <v>0</v>
      </c>
      <c r="F200" s="1314">
        <v>54252</v>
      </c>
      <c r="G200" s="1314">
        <v>0</v>
      </c>
      <c r="H200" s="1314">
        <v>-54252</v>
      </c>
      <c r="I200" s="1317">
        <f>SUM($F200:H200)</f>
        <v>0</v>
      </c>
      <c r="J200" s="1314">
        <v>54252</v>
      </c>
      <c r="K200" s="1314">
        <v>-54252</v>
      </c>
      <c r="L200" s="1317">
        <f t="shared" si="26"/>
        <v>0</v>
      </c>
      <c r="M200" s="1317">
        <f t="shared" si="27"/>
        <v>0</v>
      </c>
    </row>
    <row r="201" spans="1:13" s="1314" customFormat="1" ht="15" hidden="1" outlineLevel="2" x14ac:dyDescent="0.25">
      <c r="A201" s="1314" t="s">
        <v>1668</v>
      </c>
      <c r="B201" s="1314" t="s">
        <v>1537</v>
      </c>
      <c r="C201" s="1314" t="s">
        <v>1538</v>
      </c>
      <c r="D201" s="1316">
        <v>645675</v>
      </c>
      <c r="E201" s="1316">
        <v>0</v>
      </c>
      <c r="F201" s="1314">
        <v>645675</v>
      </c>
      <c r="G201" s="1314">
        <v>0</v>
      </c>
      <c r="H201" s="1314">
        <v>-645675</v>
      </c>
      <c r="I201" s="1317">
        <f>SUM($F201:H201)</f>
        <v>0</v>
      </c>
      <c r="J201" s="1314">
        <v>645675</v>
      </c>
      <c r="K201" s="1314">
        <v>-645675</v>
      </c>
      <c r="L201" s="1317">
        <f t="shared" si="26"/>
        <v>0</v>
      </c>
      <c r="M201" s="1317">
        <f t="shared" si="27"/>
        <v>0</v>
      </c>
    </row>
    <row r="202" spans="1:13" s="1314" customFormat="1" ht="15" hidden="1" outlineLevel="2" x14ac:dyDescent="0.25">
      <c r="A202" s="1314" t="s">
        <v>1668</v>
      </c>
      <c r="B202" s="1314" t="s">
        <v>1539</v>
      </c>
      <c r="C202" s="1314" t="s">
        <v>1540</v>
      </c>
      <c r="D202" s="1316">
        <v>76827</v>
      </c>
      <c r="E202" s="1316">
        <v>0</v>
      </c>
      <c r="F202" s="1314">
        <v>76827</v>
      </c>
      <c r="G202" s="1314">
        <v>0</v>
      </c>
      <c r="H202" s="1314">
        <v>-76827</v>
      </c>
      <c r="I202" s="1317">
        <f>SUM($F202:H202)</f>
        <v>0</v>
      </c>
      <c r="J202" s="1314">
        <v>76827</v>
      </c>
      <c r="K202" s="1314">
        <v>-76827</v>
      </c>
      <c r="L202" s="1317">
        <f t="shared" si="26"/>
        <v>0</v>
      </c>
      <c r="M202" s="1317">
        <f t="shared" si="27"/>
        <v>0</v>
      </c>
    </row>
    <row r="203" spans="1:13" s="1314" customFormat="1" ht="15" hidden="1" outlineLevel="2" x14ac:dyDescent="0.25">
      <c r="A203" s="1314" t="s">
        <v>1668</v>
      </c>
      <c r="B203" s="1314" t="s">
        <v>1541</v>
      </c>
      <c r="C203" s="1314" t="s">
        <v>1542</v>
      </c>
      <c r="D203" s="1316">
        <v>532886</v>
      </c>
      <c r="E203" s="1316">
        <v>0</v>
      </c>
      <c r="F203" s="1314">
        <v>532886</v>
      </c>
      <c r="G203" s="1314">
        <v>0</v>
      </c>
      <c r="H203" s="1314">
        <v>-532886</v>
      </c>
      <c r="I203" s="1317">
        <f>SUM($F203:H203)</f>
        <v>0</v>
      </c>
      <c r="J203" s="1314">
        <v>532886</v>
      </c>
      <c r="K203" s="1314">
        <v>-532886</v>
      </c>
      <c r="L203" s="1317">
        <f t="shared" si="26"/>
        <v>0</v>
      </c>
      <c r="M203" s="1317">
        <f t="shared" si="27"/>
        <v>0</v>
      </c>
    </row>
    <row r="204" spans="1:13" s="1314" customFormat="1" ht="15" hidden="1" outlineLevel="2" x14ac:dyDescent="0.25">
      <c r="A204" s="1314" t="s">
        <v>1668</v>
      </c>
      <c r="B204" s="1314" t="s">
        <v>1543</v>
      </c>
      <c r="C204" s="1314" t="s">
        <v>1544</v>
      </c>
      <c r="D204" s="1316">
        <v>88651</v>
      </c>
      <c r="E204" s="1316">
        <v>0</v>
      </c>
      <c r="F204" s="1314">
        <v>88651</v>
      </c>
      <c r="G204" s="1314">
        <v>0</v>
      </c>
      <c r="H204" s="1314">
        <v>-88651</v>
      </c>
      <c r="I204" s="1317">
        <f>SUM($F204:H204)</f>
        <v>0</v>
      </c>
      <c r="J204" s="1314">
        <v>88651</v>
      </c>
      <c r="K204" s="1314">
        <v>-88651</v>
      </c>
      <c r="L204" s="1317">
        <f t="shared" si="26"/>
        <v>0</v>
      </c>
      <c r="M204" s="1317">
        <f t="shared" si="27"/>
        <v>0</v>
      </c>
    </row>
    <row r="205" spans="1:13" s="1314" customFormat="1" ht="15" hidden="1" outlineLevel="2" x14ac:dyDescent="0.25">
      <c r="A205" s="1314" t="s">
        <v>1668</v>
      </c>
      <c r="B205" s="1314" t="s">
        <v>1545</v>
      </c>
      <c r="C205" s="1314" t="s">
        <v>1546</v>
      </c>
      <c r="D205" s="1316">
        <v>13704</v>
      </c>
      <c r="E205" s="1316">
        <v>0</v>
      </c>
      <c r="F205" s="1314">
        <v>13704</v>
      </c>
      <c r="G205" s="1314">
        <v>0</v>
      </c>
      <c r="H205" s="1314">
        <v>-13704</v>
      </c>
      <c r="I205" s="1317">
        <f>SUM($F205:H205)</f>
        <v>0</v>
      </c>
      <c r="J205" s="1314">
        <v>13704</v>
      </c>
      <c r="K205" s="1314">
        <v>-13704</v>
      </c>
      <c r="L205" s="1317">
        <f t="shared" si="26"/>
        <v>0</v>
      </c>
      <c r="M205" s="1317">
        <f t="shared" si="27"/>
        <v>0</v>
      </c>
    </row>
    <row r="206" spans="1:13" s="1314" customFormat="1" ht="15" hidden="1" outlineLevel="2" x14ac:dyDescent="0.25">
      <c r="A206" s="1314" t="s">
        <v>1668</v>
      </c>
      <c r="B206" s="1314" t="s">
        <v>1547</v>
      </c>
      <c r="C206" s="1314" t="s">
        <v>1548</v>
      </c>
      <c r="D206" s="1316">
        <v>10976479</v>
      </c>
      <c r="E206" s="1316">
        <v>0</v>
      </c>
      <c r="F206" s="1314">
        <v>10976479</v>
      </c>
      <c r="G206" s="1314">
        <v>0</v>
      </c>
      <c r="H206" s="1314">
        <v>-10976479</v>
      </c>
      <c r="I206" s="1317">
        <f>SUM($F206:H206)</f>
        <v>0</v>
      </c>
      <c r="J206" s="1314">
        <v>10976479</v>
      </c>
      <c r="K206" s="1314">
        <v>-10976479</v>
      </c>
      <c r="L206" s="1317">
        <f t="shared" si="26"/>
        <v>0</v>
      </c>
      <c r="M206" s="1317">
        <f t="shared" si="27"/>
        <v>0</v>
      </c>
    </row>
    <row r="207" spans="1:13" s="1314" customFormat="1" ht="15" hidden="1" outlineLevel="2" x14ac:dyDescent="0.25">
      <c r="A207" s="1314" t="s">
        <v>1668</v>
      </c>
      <c r="B207" s="1314" t="s">
        <v>1549</v>
      </c>
      <c r="C207" s="1314" t="s">
        <v>1550</v>
      </c>
      <c r="D207" s="1316">
        <v>24519</v>
      </c>
      <c r="E207" s="1316">
        <v>0</v>
      </c>
      <c r="F207" s="1314">
        <v>24519</v>
      </c>
      <c r="G207" s="1314">
        <v>0</v>
      </c>
      <c r="H207" s="1314">
        <v>-24519</v>
      </c>
      <c r="I207" s="1317">
        <f>SUM($F207:H207)</f>
        <v>0</v>
      </c>
      <c r="J207" s="1314">
        <v>24519</v>
      </c>
      <c r="K207" s="1314">
        <v>-24519</v>
      </c>
      <c r="L207" s="1317">
        <f t="shared" si="26"/>
        <v>0</v>
      </c>
      <c r="M207" s="1317">
        <f t="shared" si="27"/>
        <v>0</v>
      </c>
    </row>
    <row r="208" spans="1:13" s="1314" customFormat="1" ht="15" hidden="1" outlineLevel="2" x14ac:dyDescent="0.25">
      <c r="A208" s="1314" t="s">
        <v>1668</v>
      </c>
      <c r="B208" s="1314" t="s">
        <v>1553</v>
      </c>
      <c r="C208" s="1314" t="s">
        <v>1554</v>
      </c>
      <c r="D208" s="1316">
        <v>29423</v>
      </c>
      <c r="E208" s="1316">
        <v>0</v>
      </c>
      <c r="F208" s="1314">
        <v>29423</v>
      </c>
      <c r="G208" s="1314">
        <v>0</v>
      </c>
      <c r="H208" s="1314">
        <v>-29423</v>
      </c>
      <c r="I208" s="1317">
        <f>SUM($F208:H208)</f>
        <v>0</v>
      </c>
      <c r="J208" s="1314">
        <v>29423</v>
      </c>
      <c r="K208" s="1314">
        <v>-29423</v>
      </c>
      <c r="L208" s="1317">
        <f t="shared" si="26"/>
        <v>0</v>
      </c>
      <c r="M208" s="1317">
        <f t="shared" si="27"/>
        <v>0</v>
      </c>
    </row>
    <row r="209" spans="1:13" s="1314" customFormat="1" ht="15" hidden="1" outlineLevel="2" x14ac:dyDescent="0.25">
      <c r="A209" s="1314" t="s">
        <v>1668</v>
      </c>
      <c r="B209" s="1314" t="s">
        <v>1555</v>
      </c>
      <c r="C209" s="1314" t="s">
        <v>1556</v>
      </c>
      <c r="D209" s="1316">
        <v>155289</v>
      </c>
      <c r="E209" s="1316">
        <v>0</v>
      </c>
      <c r="F209" s="1314">
        <v>155289</v>
      </c>
      <c r="G209" s="1314">
        <v>0</v>
      </c>
      <c r="H209" s="1314">
        <v>-155289</v>
      </c>
      <c r="I209" s="1317">
        <f>SUM($F209:H209)</f>
        <v>0</v>
      </c>
      <c r="J209" s="1314">
        <v>155289</v>
      </c>
      <c r="K209" s="1314">
        <v>-155289</v>
      </c>
      <c r="L209" s="1317">
        <f t="shared" si="26"/>
        <v>0</v>
      </c>
      <c r="M209" s="1317">
        <f t="shared" si="27"/>
        <v>0</v>
      </c>
    </row>
    <row r="210" spans="1:13" s="1314" customFormat="1" ht="15" hidden="1" outlineLevel="2" x14ac:dyDescent="0.25">
      <c r="A210" s="1314" t="s">
        <v>1668</v>
      </c>
      <c r="B210" s="1314" t="s">
        <v>1557</v>
      </c>
      <c r="C210" s="1314" t="s">
        <v>1558</v>
      </c>
      <c r="D210" s="1316">
        <v>34327</v>
      </c>
      <c r="E210" s="1316">
        <v>0</v>
      </c>
      <c r="F210" s="1314">
        <v>34327</v>
      </c>
      <c r="G210" s="1314">
        <v>0</v>
      </c>
      <c r="H210" s="1314">
        <v>-34327</v>
      </c>
      <c r="I210" s="1317">
        <f>SUM($F210:H210)</f>
        <v>0</v>
      </c>
      <c r="J210" s="1314">
        <v>34327</v>
      </c>
      <c r="K210" s="1314">
        <v>-34327</v>
      </c>
      <c r="L210" s="1317">
        <f t="shared" si="26"/>
        <v>0</v>
      </c>
      <c r="M210" s="1317">
        <f t="shared" si="27"/>
        <v>0</v>
      </c>
    </row>
    <row r="211" spans="1:13" s="1314" customFormat="1" ht="15" hidden="1" outlineLevel="2" x14ac:dyDescent="0.25">
      <c r="A211" s="1314" t="s">
        <v>1668</v>
      </c>
      <c r="B211" s="1314" t="s">
        <v>1559</v>
      </c>
      <c r="C211" s="1314" t="s">
        <v>1560</v>
      </c>
      <c r="D211" s="1316">
        <v>13077</v>
      </c>
      <c r="E211" s="1316">
        <v>0</v>
      </c>
      <c r="F211" s="1314">
        <v>13077</v>
      </c>
      <c r="G211" s="1314">
        <v>0</v>
      </c>
      <c r="H211" s="1314">
        <v>-13077</v>
      </c>
      <c r="I211" s="1317">
        <f>SUM($F211:H211)</f>
        <v>0</v>
      </c>
      <c r="J211" s="1314">
        <v>13077</v>
      </c>
      <c r="K211" s="1314">
        <v>-13077</v>
      </c>
      <c r="L211" s="1317">
        <f t="shared" si="26"/>
        <v>0</v>
      </c>
      <c r="M211" s="1317">
        <f t="shared" si="27"/>
        <v>0</v>
      </c>
    </row>
    <row r="212" spans="1:13" s="1314" customFormat="1" ht="15" hidden="1" outlineLevel="2" x14ac:dyDescent="0.25">
      <c r="A212" s="1314" t="s">
        <v>1668</v>
      </c>
      <c r="B212" s="1314" t="s">
        <v>1561</v>
      </c>
      <c r="C212" s="1314" t="s">
        <v>1562</v>
      </c>
      <c r="D212" s="1316">
        <v>150385</v>
      </c>
      <c r="E212" s="1316">
        <v>0</v>
      </c>
      <c r="F212" s="1314">
        <v>150385</v>
      </c>
      <c r="G212" s="1314">
        <v>0</v>
      </c>
      <c r="H212" s="1314">
        <v>-150385</v>
      </c>
      <c r="I212" s="1317">
        <f>SUM($F212:H212)</f>
        <v>0</v>
      </c>
      <c r="J212" s="1314">
        <v>150385</v>
      </c>
      <c r="K212" s="1314">
        <v>-150385</v>
      </c>
      <c r="L212" s="1317">
        <f t="shared" si="26"/>
        <v>0</v>
      </c>
      <c r="M212" s="1317">
        <f t="shared" si="27"/>
        <v>0</v>
      </c>
    </row>
    <row r="213" spans="1:13" s="1314" customFormat="1" ht="15" hidden="1" outlineLevel="2" x14ac:dyDescent="0.25">
      <c r="A213" s="1314" t="s">
        <v>1668</v>
      </c>
      <c r="B213" s="1314" t="s">
        <v>1563</v>
      </c>
      <c r="C213" s="1314" t="s">
        <v>1564</v>
      </c>
      <c r="D213" s="1316">
        <v>9808</v>
      </c>
      <c r="E213" s="1316">
        <v>0</v>
      </c>
      <c r="F213" s="1314">
        <v>9808</v>
      </c>
      <c r="G213" s="1314">
        <v>0</v>
      </c>
      <c r="H213" s="1314">
        <v>-9808</v>
      </c>
      <c r="I213" s="1317">
        <f>SUM($F213:H213)</f>
        <v>0</v>
      </c>
      <c r="J213" s="1314">
        <v>9808</v>
      </c>
      <c r="K213" s="1314">
        <v>-9808</v>
      </c>
      <c r="L213" s="1317">
        <f t="shared" si="26"/>
        <v>0</v>
      </c>
      <c r="M213" s="1317">
        <f t="shared" si="27"/>
        <v>0</v>
      </c>
    </row>
    <row r="214" spans="1:13" s="1314" customFormat="1" ht="15" hidden="1" outlineLevel="2" x14ac:dyDescent="0.25">
      <c r="A214" s="1314" t="s">
        <v>1668</v>
      </c>
      <c r="B214" s="1314" t="s">
        <v>1565</v>
      </c>
      <c r="C214" s="1314" t="s">
        <v>1566</v>
      </c>
      <c r="D214" s="1316">
        <v>62116</v>
      </c>
      <c r="E214" s="1316">
        <v>0</v>
      </c>
      <c r="F214" s="1314">
        <v>62116</v>
      </c>
      <c r="G214" s="1314">
        <v>0</v>
      </c>
      <c r="H214" s="1314">
        <v>-62116</v>
      </c>
      <c r="I214" s="1317">
        <f>SUM($F214:H214)</f>
        <v>0</v>
      </c>
      <c r="J214" s="1314">
        <v>62116</v>
      </c>
      <c r="K214" s="1314">
        <v>-62116</v>
      </c>
      <c r="L214" s="1317">
        <f t="shared" si="26"/>
        <v>0</v>
      </c>
      <c r="M214" s="1317">
        <f t="shared" si="27"/>
        <v>0</v>
      </c>
    </row>
    <row r="215" spans="1:13" s="1314" customFormat="1" ht="15" hidden="1" outlineLevel="2" x14ac:dyDescent="0.25">
      <c r="A215" s="1314" t="s">
        <v>1668</v>
      </c>
      <c r="B215" s="1314" t="s">
        <v>1569</v>
      </c>
      <c r="C215" s="1314" t="s">
        <v>1570</v>
      </c>
      <c r="D215" s="1316">
        <v>21250</v>
      </c>
      <c r="E215" s="1316">
        <v>0</v>
      </c>
      <c r="F215" s="1314">
        <v>21250</v>
      </c>
      <c r="G215" s="1314">
        <v>0</v>
      </c>
      <c r="H215" s="1314">
        <v>-21250</v>
      </c>
      <c r="I215" s="1317">
        <f>SUM($F215:H215)</f>
        <v>0</v>
      </c>
      <c r="J215" s="1314">
        <v>21250</v>
      </c>
      <c r="K215" s="1314">
        <v>-21250</v>
      </c>
      <c r="L215" s="1317">
        <f t="shared" si="26"/>
        <v>0</v>
      </c>
      <c r="M215" s="1317">
        <f t="shared" si="27"/>
        <v>0</v>
      </c>
    </row>
    <row r="216" spans="1:13" s="1314" customFormat="1" ht="15" hidden="1" outlineLevel="2" x14ac:dyDescent="0.25">
      <c r="A216" s="1314" t="s">
        <v>1668</v>
      </c>
      <c r="B216" s="1314" t="s">
        <v>1571</v>
      </c>
      <c r="C216" s="1314" t="s">
        <v>1572</v>
      </c>
      <c r="D216" s="1316">
        <v>171635</v>
      </c>
      <c r="E216" s="1316">
        <v>0</v>
      </c>
      <c r="F216" s="1314">
        <v>171635</v>
      </c>
      <c r="G216" s="1314">
        <v>0</v>
      </c>
      <c r="H216" s="1314">
        <v>-171635</v>
      </c>
      <c r="I216" s="1317">
        <f>SUM($F216:H216)</f>
        <v>0</v>
      </c>
      <c r="J216" s="1314">
        <v>171635</v>
      </c>
      <c r="K216" s="1314">
        <v>-171635</v>
      </c>
      <c r="L216" s="1317">
        <f t="shared" si="26"/>
        <v>0</v>
      </c>
      <c r="M216" s="1317">
        <f t="shared" si="27"/>
        <v>0</v>
      </c>
    </row>
    <row r="217" spans="1:13" s="1314" customFormat="1" ht="15" hidden="1" outlineLevel="2" x14ac:dyDescent="0.25">
      <c r="A217" s="1314" t="s">
        <v>1668</v>
      </c>
      <c r="B217" s="1314" t="s">
        <v>1573</v>
      </c>
      <c r="C217" s="1314" t="s">
        <v>1574</v>
      </c>
      <c r="D217" s="1316">
        <v>125866</v>
      </c>
      <c r="E217" s="1316">
        <v>0</v>
      </c>
      <c r="F217" s="1314">
        <v>125866</v>
      </c>
      <c r="G217" s="1314">
        <v>0</v>
      </c>
      <c r="H217" s="1314">
        <v>-125866</v>
      </c>
      <c r="I217" s="1317">
        <f>SUM($F217:H217)</f>
        <v>0</v>
      </c>
      <c r="J217" s="1314">
        <v>125866</v>
      </c>
      <c r="K217" s="1314">
        <v>-125866</v>
      </c>
      <c r="L217" s="1317">
        <f t="shared" si="26"/>
        <v>0</v>
      </c>
      <c r="M217" s="1317">
        <f t="shared" si="27"/>
        <v>0</v>
      </c>
    </row>
    <row r="218" spans="1:13" s="1314" customFormat="1" ht="15" hidden="1" outlineLevel="2" x14ac:dyDescent="0.25">
      <c r="A218" s="1314" t="s">
        <v>1668</v>
      </c>
      <c r="B218" s="1314" t="s">
        <v>1575</v>
      </c>
      <c r="C218" s="1314" t="s">
        <v>1576</v>
      </c>
      <c r="D218" s="1316">
        <v>16346</v>
      </c>
      <c r="E218" s="1316">
        <v>0</v>
      </c>
      <c r="F218" s="1314">
        <v>16346</v>
      </c>
      <c r="G218" s="1314">
        <v>0</v>
      </c>
      <c r="H218" s="1314">
        <v>-16346</v>
      </c>
      <c r="I218" s="1317">
        <f>SUM($F218:H218)</f>
        <v>0</v>
      </c>
      <c r="J218" s="1314">
        <v>16346</v>
      </c>
      <c r="K218" s="1314">
        <v>-16346</v>
      </c>
      <c r="L218" s="1317">
        <f t="shared" si="26"/>
        <v>0</v>
      </c>
      <c r="M218" s="1317">
        <f t="shared" si="27"/>
        <v>0</v>
      </c>
    </row>
    <row r="219" spans="1:13" s="1314" customFormat="1" ht="15" hidden="1" outlineLevel="2" x14ac:dyDescent="0.25">
      <c r="A219" s="1314" t="s">
        <v>1668</v>
      </c>
      <c r="B219" s="1314" t="s">
        <v>1577</v>
      </c>
      <c r="C219" s="1314" t="s">
        <v>1578</v>
      </c>
      <c r="D219" s="1316">
        <v>171635</v>
      </c>
      <c r="E219" s="1316">
        <v>0</v>
      </c>
      <c r="F219" s="1314">
        <v>171635</v>
      </c>
      <c r="G219" s="1314">
        <v>0</v>
      </c>
      <c r="H219" s="1314">
        <v>-171635</v>
      </c>
      <c r="I219" s="1317">
        <f>SUM($F219:H219)</f>
        <v>0</v>
      </c>
      <c r="J219" s="1314">
        <v>171635</v>
      </c>
      <c r="K219" s="1314">
        <v>-171635</v>
      </c>
      <c r="L219" s="1317">
        <f t="shared" si="26"/>
        <v>0</v>
      </c>
      <c r="M219" s="1317">
        <f t="shared" si="27"/>
        <v>0</v>
      </c>
    </row>
    <row r="220" spans="1:13" s="1314" customFormat="1" ht="15" hidden="1" outlineLevel="2" x14ac:dyDescent="0.25">
      <c r="A220" s="1314" t="s">
        <v>1668</v>
      </c>
      <c r="B220" s="1314" t="s">
        <v>1579</v>
      </c>
      <c r="C220" s="1314" t="s">
        <v>1580</v>
      </c>
      <c r="D220" s="1316">
        <v>85000</v>
      </c>
      <c r="E220" s="1316">
        <v>0</v>
      </c>
      <c r="F220" s="1314">
        <v>85000</v>
      </c>
      <c r="G220" s="1314">
        <v>0</v>
      </c>
      <c r="H220" s="1314">
        <v>-85000</v>
      </c>
      <c r="I220" s="1317">
        <f>SUM($F220:H220)</f>
        <v>0</v>
      </c>
      <c r="J220" s="1314">
        <v>85000</v>
      </c>
      <c r="K220" s="1314">
        <v>-85000</v>
      </c>
      <c r="L220" s="1317">
        <f t="shared" si="26"/>
        <v>0</v>
      </c>
      <c r="M220" s="1317">
        <f t="shared" si="27"/>
        <v>0</v>
      </c>
    </row>
    <row r="221" spans="1:13" s="1314" customFormat="1" ht="15" hidden="1" outlineLevel="2" x14ac:dyDescent="0.25">
      <c r="A221" s="1314" t="s">
        <v>1668</v>
      </c>
      <c r="B221" s="1314" t="s">
        <v>1581</v>
      </c>
      <c r="C221" s="1314" t="s">
        <v>1582</v>
      </c>
      <c r="D221" s="1316">
        <v>91539</v>
      </c>
      <c r="E221" s="1316">
        <v>0</v>
      </c>
      <c r="F221" s="1314">
        <v>91539</v>
      </c>
      <c r="G221" s="1314">
        <v>0</v>
      </c>
      <c r="H221" s="1314">
        <v>-91539</v>
      </c>
      <c r="I221" s="1317">
        <f>SUM($F221:H221)</f>
        <v>0</v>
      </c>
      <c r="J221" s="1314">
        <v>91539</v>
      </c>
      <c r="K221" s="1314">
        <v>-91539</v>
      </c>
      <c r="L221" s="1317">
        <f t="shared" si="26"/>
        <v>0</v>
      </c>
      <c r="M221" s="1317">
        <f t="shared" si="27"/>
        <v>0</v>
      </c>
    </row>
    <row r="222" spans="1:13" s="1314" customFormat="1" ht="15" hidden="1" outlineLevel="2" x14ac:dyDescent="0.25">
      <c r="A222" s="1314" t="s">
        <v>1668</v>
      </c>
      <c r="B222" s="1314" t="s">
        <v>1669</v>
      </c>
      <c r="C222" s="1314" t="s">
        <v>1670</v>
      </c>
      <c r="D222" s="1316">
        <v>-5007</v>
      </c>
      <c r="E222" s="1316">
        <v>0</v>
      </c>
      <c r="F222" s="1314">
        <v>-5007</v>
      </c>
      <c r="G222" s="1314">
        <v>0</v>
      </c>
      <c r="H222" s="1314">
        <v>5007</v>
      </c>
      <c r="I222" s="1317">
        <f>SUM($F222:H222)</f>
        <v>0</v>
      </c>
      <c r="J222" s="1314">
        <v>-5007</v>
      </c>
      <c r="K222" s="1314">
        <v>5007</v>
      </c>
      <c r="L222" s="1317">
        <f t="shared" si="26"/>
        <v>0</v>
      </c>
      <c r="M222" s="1317">
        <f t="shared" si="27"/>
        <v>0</v>
      </c>
    </row>
    <row r="223" spans="1:13" s="1314" customFormat="1" ht="15" hidden="1" outlineLevel="2" x14ac:dyDescent="0.25">
      <c r="A223" s="1314" t="s">
        <v>1668</v>
      </c>
      <c r="B223" s="1314" t="s">
        <v>1585</v>
      </c>
      <c r="C223" s="1314" t="s">
        <v>1586</v>
      </c>
      <c r="D223" s="1316">
        <v>3269</v>
      </c>
      <c r="E223" s="1316">
        <v>0</v>
      </c>
      <c r="F223" s="1314">
        <v>3269</v>
      </c>
      <c r="G223" s="1314">
        <v>0</v>
      </c>
      <c r="H223" s="1314">
        <v>-3269</v>
      </c>
      <c r="I223" s="1317">
        <f>SUM($F223:H223)</f>
        <v>0</v>
      </c>
      <c r="J223" s="1314">
        <v>3269</v>
      </c>
      <c r="K223" s="1314">
        <v>-3269</v>
      </c>
      <c r="L223" s="1317">
        <f t="shared" si="26"/>
        <v>0</v>
      </c>
      <c r="M223" s="1317">
        <f t="shared" si="27"/>
        <v>0</v>
      </c>
    </row>
    <row r="224" spans="1:13" s="1314" customFormat="1" ht="15" hidden="1" outlineLevel="2" x14ac:dyDescent="0.25">
      <c r="A224" s="1314" t="s">
        <v>1668</v>
      </c>
      <c r="B224" s="1314" t="s">
        <v>1587</v>
      </c>
      <c r="C224" s="1314" t="s">
        <v>1588</v>
      </c>
      <c r="D224" s="1316">
        <v>19615</v>
      </c>
      <c r="E224" s="1316">
        <v>0</v>
      </c>
      <c r="F224" s="1314">
        <v>19615</v>
      </c>
      <c r="G224" s="1314">
        <v>0</v>
      </c>
      <c r="H224" s="1314">
        <v>-19615</v>
      </c>
      <c r="I224" s="1317">
        <f>SUM($F224:H224)</f>
        <v>0</v>
      </c>
      <c r="J224" s="1314">
        <v>19615</v>
      </c>
      <c r="K224" s="1314">
        <v>-19615</v>
      </c>
      <c r="L224" s="1317">
        <f t="shared" si="26"/>
        <v>0</v>
      </c>
      <c r="M224" s="1317">
        <f t="shared" si="27"/>
        <v>0</v>
      </c>
    </row>
    <row r="225" spans="1:13" s="1314" customFormat="1" ht="15" hidden="1" outlineLevel="2" x14ac:dyDescent="0.25">
      <c r="A225" s="1314" t="s">
        <v>1668</v>
      </c>
      <c r="B225" s="1314" t="s">
        <v>1589</v>
      </c>
      <c r="C225" s="1314" t="s">
        <v>1590</v>
      </c>
      <c r="D225" s="1316">
        <v>11442</v>
      </c>
      <c r="E225" s="1316">
        <v>0</v>
      </c>
      <c r="F225" s="1314">
        <v>11442</v>
      </c>
      <c r="G225" s="1314">
        <v>0</v>
      </c>
      <c r="H225" s="1314">
        <v>-11442</v>
      </c>
      <c r="I225" s="1317">
        <f>SUM($F225:H225)</f>
        <v>0</v>
      </c>
      <c r="J225" s="1314">
        <v>11442</v>
      </c>
      <c r="K225" s="1314">
        <v>-11442</v>
      </c>
      <c r="L225" s="1317">
        <f t="shared" si="26"/>
        <v>0</v>
      </c>
      <c r="M225" s="1317">
        <f t="shared" si="27"/>
        <v>0</v>
      </c>
    </row>
    <row r="226" spans="1:13" s="1314" customFormat="1" ht="15" hidden="1" outlineLevel="2" x14ac:dyDescent="0.25">
      <c r="A226" s="1314" t="s">
        <v>1668</v>
      </c>
      <c r="B226" s="1314" t="s">
        <v>1591</v>
      </c>
      <c r="C226" s="1314" t="s">
        <v>1592</v>
      </c>
      <c r="D226" s="1316">
        <v>4904</v>
      </c>
      <c r="E226" s="1316">
        <v>0</v>
      </c>
      <c r="F226" s="1314">
        <v>4904</v>
      </c>
      <c r="G226" s="1314">
        <v>0</v>
      </c>
      <c r="H226" s="1314">
        <v>-4904</v>
      </c>
      <c r="I226" s="1317">
        <f>SUM($F226:H226)</f>
        <v>0</v>
      </c>
      <c r="J226" s="1314">
        <v>4904</v>
      </c>
      <c r="K226" s="1314">
        <v>-4904</v>
      </c>
      <c r="L226" s="1317">
        <f t="shared" si="26"/>
        <v>0</v>
      </c>
      <c r="M226" s="1317">
        <f t="shared" si="27"/>
        <v>0</v>
      </c>
    </row>
    <row r="227" spans="1:13" s="1314" customFormat="1" ht="15" hidden="1" outlineLevel="2" x14ac:dyDescent="0.25">
      <c r="A227" s="1314" t="s">
        <v>1668</v>
      </c>
      <c r="B227" s="1314" t="s">
        <v>1593</v>
      </c>
      <c r="C227" s="1314" t="s">
        <v>1594</v>
      </c>
      <c r="D227" s="1316">
        <v>292597</v>
      </c>
      <c r="E227" s="1316">
        <v>0</v>
      </c>
      <c r="F227" s="1314">
        <v>292597</v>
      </c>
      <c r="G227" s="1314">
        <v>0</v>
      </c>
      <c r="H227" s="1314">
        <v>-292597</v>
      </c>
      <c r="I227" s="1317">
        <f>SUM($F227:H227)</f>
        <v>0</v>
      </c>
      <c r="J227" s="1314">
        <v>292597</v>
      </c>
      <c r="K227" s="1314">
        <v>-292597</v>
      </c>
      <c r="L227" s="1317">
        <f t="shared" si="26"/>
        <v>0</v>
      </c>
      <c r="M227" s="1317">
        <f t="shared" si="27"/>
        <v>0</v>
      </c>
    </row>
    <row r="228" spans="1:13" s="1314" customFormat="1" ht="15" hidden="1" outlineLevel="2" x14ac:dyDescent="0.25">
      <c r="A228" s="1314" t="s">
        <v>1668</v>
      </c>
      <c r="B228" s="1314" t="s">
        <v>1597</v>
      </c>
      <c r="C228" s="1314" t="s">
        <v>1598</v>
      </c>
      <c r="D228" s="1316">
        <v>94808</v>
      </c>
      <c r="E228" s="1316">
        <v>0</v>
      </c>
      <c r="F228" s="1314">
        <v>94808</v>
      </c>
      <c r="G228" s="1314">
        <v>0</v>
      </c>
      <c r="H228" s="1314">
        <v>-94808</v>
      </c>
      <c r="I228" s="1317">
        <f>SUM($F228:H228)</f>
        <v>0</v>
      </c>
      <c r="J228" s="1314">
        <v>94808</v>
      </c>
      <c r="K228" s="1314">
        <v>-94808</v>
      </c>
      <c r="L228" s="1317">
        <f t="shared" si="26"/>
        <v>0</v>
      </c>
      <c r="M228" s="1317">
        <f t="shared" si="27"/>
        <v>0</v>
      </c>
    </row>
    <row r="229" spans="1:13" s="1314" customFormat="1" ht="15" hidden="1" outlineLevel="2" x14ac:dyDescent="0.25">
      <c r="A229" s="1314" t="s">
        <v>1668</v>
      </c>
      <c r="B229" s="1314" t="s">
        <v>1599</v>
      </c>
      <c r="C229" s="1314" t="s">
        <v>1600</v>
      </c>
      <c r="D229" s="1316">
        <v>94808</v>
      </c>
      <c r="E229" s="1316">
        <v>0</v>
      </c>
      <c r="F229" s="1314">
        <v>94808</v>
      </c>
      <c r="G229" s="1314">
        <v>0</v>
      </c>
      <c r="H229" s="1314">
        <v>-94808</v>
      </c>
      <c r="I229" s="1317">
        <f>SUM($F229:H229)</f>
        <v>0</v>
      </c>
      <c r="J229" s="1314">
        <v>94808</v>
      </c>
      <c r="K229" s="1314">
        <v>-94808</v>
      </c>
      <c r="L229" s="1317">
        <f t="shared" si="26"/>
        <v>0</v>
      </c>
      <c r="M229" s="1317">
        <f t="shared" si="27"/>
        <v>0</v>
      </c>
    </row>
    <row r="230" spans="1:13" s="1314" customFormat="1" ht="15" hidden="1" outlineLevel="2" x14ac:dyDescent="0.25">
      <c r="A230" s="1314" t="s">
        <v>1668</v>
      </c>
      <c r="B230" s="1314" t="s">
        <v>1601</v>
      </c>
      <c r="C230" s="1314" t="s">
        <v>1602</v>
      </c>
      <c r="D230" s="1316">
        <v>70289</v>
      </c>
      <c r="E230" s="1316">
        <v>0</v>
      </c>
      <c r="F230" s="1314">
        <v>70289</v>
      </c>
      <c r="G230" s="1314">
        <v>0</v>
      </c>
      <c r="H230" s="1314">
        <v>-70289</v>
      </c>
      <c r="I230" s="1317">
        <f>SUM($F230:H230)</f>
        <v>0</v>
      </c>
      <c r="J230" s="1314">
        <v>70289</v>
      </c>
      <c r="K230" s="1314">
        <v>-70289</v>
      </c>
      <c r="L230" s="1317">
        <f t="shared" si="26"/>
        <v>0</v>
      </c>
      <c r="M230" s="1317">
        <f t="shared" si="27"/>
        <v>0</v>
      </c>
    </row>
    <row r="231" spans="1:13" s="1314" customFormat="1" ht="15" hidden="1" outlineLevel="2" x14ac:dyDescent="0.25">
      <c r="A231" s="1314" t="s">
        <v>1668</v>
      </c>
      <c r="B231" s="1314" t="s">
        <v>1603</v>
      </c>
      <c r="C231" s="1314" t="s">
        <v>1604</v>
      </c>
      <c r="D231" s="1316">
        <v>112789</v>
      </c>
      <c r="E231" s="1316">
        <v>0</v>
      </c>
      <c r="F231" s="1314">
        <v>112789</v>
      </c>
      <c r="G231" s="1314">
        <v>0</v>
      </c>
      <c r="H231" s="1314">
        <v>-112789</v>
      </c>
      <c r="I231" s="1317">
        <f>SUM($F231:H231)</f>
        <v>0</v>
      </c>
      <c r="J231" s="1314">
        <v>112789</v>
      </c>
      <c r="K231" s="1314">
        <v>-112789</v>
      </c>
      <c r="L231" s="1317">
        <f t="shared" si="26"/>
        <v>0</v>
      </c>
      <c r="M231" s="1317">
        <f t="shared" si="27"/>
        <v>0</v>
      </c>
    </row>
    <row r="232" spans="1:13" s="1314" customFormat="1" ht="15" hidden="1" outlineLevel="2" x14ac:dyDescent="0.25">
      <c r="A232" s="1314" t="s">
        <v>1668</v>
      </c>
      <c r="B232" s="1314" t="s">
        <v>1605</v>
      </c>
      <c r="C232" s="1314" t="s">
        <v>1606</v>
      </c>
      <c r="D232" s="1316">
        <v>44135</v>
      </c>
      <c r="E232" s="1316">
        <v>0</v>
      </c>
      <c r="F232" s="1314">
        <v>44135</v>
      </c>
      <c r="G232" s="1314">
        <v>0</v>
      </c>
      <c r="H232" s="1314">
        <v>-44135</v>
      </c>
      <c r="I232" s="1317">
        <f>SUM($F232:H232)</f>
        <v>0</v>
      </c>
      <c r="J232" s="1314">
        <v>44135</v>
      </c>
      <c r="K232" s="1314">
        <v>-44135</v>
      </c>
      <c r="L232" s="1317">
        <f t="shared" si="26"/>
        <v>0</v>
      </c>
      <c r="M232" s="1317">
        <f t="shared" si="27"/>
        <v>0</v>
      </c>
    </row>
    <row r="233" spans="1:13" s="1314" customFormat="1" ht="15" hidden="1" outlineLevel="2" x14ac:dyDescent="0.25">
      <c r="A233" s="1314" t="s">
        <v>1668</v>
      </c>
      <c r="B233" s="1314" t="s">
        <v>1607</v>
      </c>
      <c r="C233" s="1314" t="s">
        <v>1608</v>
      </c>
      <c r="D233" s="1316">
        <v>57212</v>
      </c>
      <c r="E233" s="1316">
        <v>0</v>
      </c>
      <c r="F233" s="1314">
        <v>57212</v>
      </c>
      <c r="G233" s="1314">
        <v>0</v>
      </c>
      <c r="H233" s="1314">
        <v>-57212</v>
      </c>
      <c r="I233" s="1317">
        <f>SUM($F233:H233)</f>
        <v>0</v>
      </c>
      <c r="J233" s="1314">
        <v>57212</v>
      </c>
      <c r="K233" s="1314">
        <v>-57212</v>
      </c>
      <c r="L233" s="1317">
        <f t="shared" si="26"/>
        <v>0</v>
      </c>
      <c r="M233" s="1317">
        <f t="shared" si="27"/>
        <v>0</v>
      </c>
    </row>
    <row r="234" spans="1:13" s="1314" customFormat="1" ht="15" hidden="1" outlineLevel="2" x14ac:dyDescent="0.25">
      <c r="A234" s="1314" t="s">
        <v>1668</v>
      </c>
      <c r="B234" s="1314" t="s">
        <v>1609</v>
      </c>
      <c r="C234" s="1314" t="s">
        <v>1610</v>
      </c>
      <c r="D234" s="1316">
        <v>3269</v>
      </c>
      <c r="E234" s="1316">
        <v>0</v>
      </c>
      <c r="F234" s="1314">
        <v>3269</v>
      </c>
      <c r="G234" s="1314">
        <v>0</v>
      </c>
      <c r="H234" s="1314">
        <v>-3269</v>
      </c>
      <c r="I234" s="1317">
        <f>SUM($F234:H234)</f>
        <v>0</v>
      </c>
      <c r="J234" s="1314">
        <v>3269</v>
      </c>
      <c r="K234" s="1314">
        <v>-3269</v>
      </c>
      <c r="L234" s="1317">
        <f t="shared" si="26"/>
        <v>0</v>
      </c>
      <c r="M234" s="1317">
        <f t="shared" si="27"/>
        <v>0</v>
      </c>
    </row>
    <row r="235" spans="1:13" s="1314" customFormat="1" ht="15" hidden="1" outlineLevel="2" x14ac:dyDescent="0.25">
      <c r="A235" s="1314" t="s">
        <v>1668</v>
      </c>
      <c r="B235" s="1314" t="s">
        <v>1611</v>
      </c>
      <c r="C235" s="1314" t="s">
        <v>1612</v>
      </c>
      <c r="D235" s="1316">
        <v>27789</v>
      </c>
      <c r="E235" s="1316">
        <v>0</v>
      </c>
      <c r="F235" s="1314">
        <v>27789</v>
      </c>
      <c r="G235" s="1314">
        <v>0</v>
      </c>
      <c r="H235" s="1314">
        <v>-27789</v>
      </c>
      <c r="I235" s="1317">
        <f>SUM($F235:H235)</f>
        <v>0</v>
      </c>
      <c r="J235" s="1314">
        <v>27789</v>
      </c>
      <c r="K235" s="1314">
        <v>-27789</v>
      </c>
      <c r="L235" s="1317">
        <f t="shared" si="26"/>
        <v>0</v>
      </c>
      <c r="M235" s="1317">
        <f t="shared" si="27"/>
        <v>0</v>
      </c>
    </row>
    <row r="236" spans="1:13" s="1314" customFormat="1" ht="15" hidden="1" outlineLevel="2" x14ac:dyDescent="0.25">
      <c r="A236" s="1314" t="s">
        <v>1668</v>
      </c>
      <c r="B236" s="1314" t="s">
        <v>1613</v>
      </c>
      <c r="C236" s="1314" t="s">
        <v>1614</v>
      </c>
      <c r="D236" s="1316">
        <v>4904</v>
      </c>
      <c r="E236" s="1316">
        <v>0</v>
      </c>
      <c r="F236" s="1314">
        <v>4904</v>
      </c>
      <c r="G236" s="1314">
        <v>0</v>
      </c>
      <c r="H236" s="1314">
        <v>-4904</v>
      </c>
      <c r="I236" s="1317">
        <f>SUM($F236:H236)</f>
        <v>0</v>
      </c>
      <c r="J236" s="1314">
        <v>4904</v>
      </c>
      <c r="K236" s="1314">
        <v>-4904</v>
      </c>
      <c r="L236" s="1317">
        <f t="shared" si="26"/>
        <v>0</v>
      </c>
      <c r="M236" s="1317">
        <f t="shared" si="27"/>
        <v>0</v>
      </c>
    </row>
    <row r="237" spans="1:13" s="1314" customFormat="1" ht="15" hidden="1" outlineLevel="2" x14ac:dyDescent="0.25">
      <c r="A237" s="1314" t="s">
        <v>1668</v>
      </c>
      <c r="B237" s="1314" t="s">
        <v>1615</v>
      </c>
      <c r="C237" s="1314" t="s">
        <v>1616</v>
      </c>
      <c r="D237" s="1316">
        <v>601540</v>
      </c>
      <c r="E237" s="1316">
        <v>0</v>
      </c>
      <c r="F237" s="1314">
        <v>601540</v>
      </c>
      <c r="G237" s="1314">
        <v>0</v>
      </c>
      <c r="H237" s="1314">
        <v>-601540</v>
      </c>
      <c r="I237" s="1317">
        <f>SUM($F237:H237)</f>
        <v>0</v>
      </c>
      <c r="J237" s="1314">
        <v>601540</v>
      </c>
      <c r="K237" s="1314">
        <v>-601540</v>
      </c>
      <c r="L237" s="1317">
        <f t="shared" si="26"/>
        <v>0</v>
      </c>
      <c r="M237" s="1317">
        <f t="shared" si="27"/>
        <v>0</v>
      </c>
    </row>
    <row r="238" spans="1:13" s="1314" customFormat="1" ht="15" hidden="1" outlineLevel="2" x14ac:dyDescent="0.25">
      <c r="A238" s="1314" t="s">
        <v>1668</v>
      </c>
      <c r="B238" s="1314" t="s">
        <v>1617</v>
      </c>
      <c r="C238" s="1314" t="s">
        <v>1618</v>
      </c>
      <c r="D238" s="1316">
        <v>6538</v>
      </c>
      <c r="E238" s="1316">
        <v>0</v>
      </c>
      <c r="F238" s="1314">
        <v>6538</v>
      </c>
      <c r="G238" s="1314">
        <v>0</v>
      </c>
      <c r="H238" s="1314">
        <v>-6538</v>
      </c>
      <c r="I238" s="1317">
        <f>SUM($F238:H238)</f>
        <v>0</v>
      </c>
      <c r="J238" s="1314">
        <v>6538</v>
      </c>
      <c r="K238" s="1314">
        <v>-6538</v>
      </c>
      <c r="L238" s="1317">
        <f t="shared" si="26"/>
        <v>0</v>
      </c>
      <c r="M238" s="1317">
        <f t="shared" si="27"/>
        <v>0</v>
      </c>
    </row>
    <row r="239" spans="1:13" s="1314" customFormat="1" ht="15" hidden="1" outlineLevel="2" x14ac:dyDescent="0.25">
      <c r="A239" s="1314" t="s">
        <v>1668</v>
      </c>
      <c r="B239" s="1314" t="s">
        <v>1619</v>
      </c>
      <c r="C239" s="1314" t="s">
        <v>1620</v>
      </c>
      <c r="D239" s="1316">
        <v>250097</v>
      </c>
      <c r="E239" s="1316">
        <v>0</v>
      </c>
      <c r="F239" s="1314">
        <v>250097</v>
      </c>
      <c r="G239" s="1314">
        <v>0</v>
      </c>
      <c r="H239" s="1314">
        <v>-250097</v>
      </c>
      <c r="I239" s="1317">
        <f>SUM($F239:H239)</f>
        <v>0</v>
      </c>
      <c r="J239" s="1314">
        <v>250097</v>
      </c>
      <c r="K239" s="1314">
        <v>-250097</v>
      </c>
      <c r="L239" s="1317">
        <f t="shared" si="26"/>
        <v>0</v>
      </c>
      <c r="M239" s="1317">
        <f t="shared" si="27"/>
        <v>0</v>
      </c>
    </row>
    <row r="240" spans="1:13" s="1314" customFormat="1" ht="15" hidden="1" outlineLevel="2" x14ac:dyDescent="0.25">
      <c r="A240" s="1314" t="s">
        <v>1668</v>
      </c>
      <c r="B240" s="1314" t="s">
        <v>1621</v>
      </c>
      <c r="C240" s="1314" t="s">
        <v>1622</v>
      </c>
      <c r="D240" s="1316">
        <v>89904</v>
      </c>
      <c r="E240" s="1316">
        <v>0</v>
      </c>
      <c r="F240" s="1314">
        <v>89904</v>
      </c>
      <c r="G240" s="1314">
        <v>0</v>
      </c>
      <c r="H240" s="1314">
        <v>-89904</v>
      </c>
      <c r="I240" s="1317">
        <f>SUM($F240:H240)</f>
        <v>0</v>
      </c>
      <c r="J240" s="1314">
        <v>89904</v>
      </c>
      <c r="K240" s="1314">
        <v>-89904</v>
      </c>
      <c r="L240" s="1317">
        <f t="shared" si="26"/>
        <v>0</v>
      </c>
      <c r="M240" s="1317">
        <f t="shared" si="27"/>
        <v>0</v>
      </c>
    </row>
    <row r="241" spans="1:13" s="1314" customFormat="1" ht="15" hidden="1" outlineLevel="2" x14ac:dyDescent="0.25">
      <c r="A241" s="1314" t="s">
        <v>1668</v>
      </c>
      <c r="B241" s="1314" t="s">
        <v>1623</v>
      </c>
      <c r="C241" s="1314" t="s">
        <v>1624</v>
      </c>
      <c r="D241" s="1316">
        <v>4904</v>
      </c>
      <c r="E241" s="1316">
        <v>0</v>
      </c>
      <c r="F241" s="1314">
        <v>4904</v>
      </c>
      <c r="G241" s="1314">
        <v>0</v>
      </c>
      <c r="H241" s="1314">
        <v>-4904</v>
      </c>
      <c r="I241" s="1317">
        <f>SUM($F241:H241)</f>
        <v>0</v>
      </c>
      <c r="J241" s="1314">
        <v>4904</v>
      </c>
      <c r="K241" s="1314">
        <v>-4904</v>
      </c>
      <c r="L241" s="1317">
        <f t="shared" si="26"/>
        <v>0</v>
      </c>
      <c r="M241" s="1317">
        <f t="shared" si="27"/>
        <v>0</v>
      </c>
    </row>
    <row r="242" spans="1:13" s="1314" customFormat="1" ht="15" hidden="1" outlineLevel="2" x14ac:dyDescent="0.25">
      <c r="A242" s="1314" t="s">
        <v>1668</v>
      </c>
      <c r="B242" s="1314" t="s">
        <v>1625</v>
      </c>
      <c r="C242" s="1314" t="s">
        <v>1626</v>
      </c>
      <c r="D242" s="1316">
        <v>1762121</v>
      </c>
      <c r="E242" s="1316">
        <v>0</v>
      </c>
      <c r="F242" s="1314">
        <v>1762121</v>
      </c>
      <c r="G242" s="1314">
        <v>0</v>
      </c>
      <c r="H242" s="1314">
        <v>-1762121</v>
      </c>
      <c r="I242" s="1317">
        <f>SUM($F242:H242)</f>
        <v>0</v>
      </c>
      <c r="J242" s="1314">
        <v>1762121</v>
      </c>
      <c r="K242" s="1314">
        <v>-1762121</v>
      </c>
      <c r="L242" s="1317">
        <f t="shared" si="26"/>
        <v>0</v>
      </c>
      <c r="M242" s="1317">
        <f t="shared" si="27"/>
        <v>0</v>
      </c>
    </row>
    <row r="243" spans="1:13" s="1314" customFormat="1" ht="15" hidden="1" outlineLevel="2" x14ac:dyDescent="0.25">
      <c r="A243" s="1314" t="s">
        <v>1668</v>
      </c>
      <c r="B243" s="1314" t="s">
        <v>1627</v>
      </c>
      <c r="C243" s="1314" t="s">
        <v>1628</v>
      </c>
      <c r="D243" s="1316">
        <v>156924</v>
      </c>
      <c r="E243" s="1316">
        <v>0</v>
      </c>
      <c r="F243" s="1314">
        <v>156924</v>
      </c>
      <c r="G243" s="1314">
        <v>0</v>
      </c>
      <c r="H243" s="1314">
        <v>-156924</v>
      </c>
      <c r="I243" s="1317">
        <f>SUM($F243:H243)</f>
        <v>0</v>
      </c>
      <c r="J243" s="1314">
        <v>156924</v>
      </c>
      <c r="K243" s="1314">
        <v>-156924</v>
      </c>
      <c r="L243" s="1317">
        <f t="shared" si="26"/>
        <v>0</v>
      </c>
      <c r="M243" s="1317">
        <f t="shared" si="27"/>
        <v>0</v>
      </c>
    </row>
    <row r="244" spans="1:13" s="1314" customFormat="1" ht="15" hidden="1" outlineLevel="2" x14ac:dyDescent="0.25">
      <c r="A244" s="1314" t="s">
        <v>1668</v>
      </c>
      <c r="B244" s="1314" t="s">
        <v>1629</v>
      </c>
      <c r="C244" s="1314" t="s">
        <v>1630</v>
      </c>
      <c r="D244" s="1316">
        <v>403751</v>
      </c>
      <c r="E244" s="1316">
        <v>0</v>
      </c>
      <c r="F244" s="1314">
        <v>403751</v>
      </c>
      <c r="G244" s="1314">
        <v>0</v>
      </c>
      <c r="H244" s="1314">
        <v>-403751</v>
      </c>
      <c r="I244" s="1317">
        <f>SUM($F244:H244)</f>
        <v>0</v>
      </c>
      <c r="J244" s="1314">
        <v>403751</v>
      </c>
      <c r="K244" s="1314">
        <v>-403751</v>
      </c>
      <c r="L244" s="1317">
        <f t="shared" si="26"/>
        <v>0</v>
      </c>
      <c r="M244" s="1317">
        <f t="shared" si="27"/>
        <v>0</v>
      </c>
    </row>
    <row r="245" spans="1:13" s="1314" customFormat="1" ht="15" hidden="1" outlineLevel="2" x14ac:dyDescent="0.25">
      <c r="A245" s="1314" t="s">
        <v>1668</v>
      </c>
      <c r="B245" s="1314" t="s">
        <v>1631</v>
      </c>
      <c r="C245" s="1314" t="s">
        <v>1632</v>
      </c>
      <c r="D245" s="1316">
        <v>99712</v>
      </c>
      <c r="E245" s="1316">
        <v>0</v>
      </c>
      <c r="F245" s="1314">
        <v>99712</v>
      </c>
      <c r="G245" s="1314">
        <v>0</v>
      </c>
      <c r="H245" s="1314">
        <v>-99712</v>
      </c>
      <c r="I245" s="1317">
        <f>SUM($F245:H245)</f>
        <v>0</v>
      </c>
      <c r="J245" s="1314">
        <v>99712</v>
      </c>
      <c r="K245" s="1314">
        <v>-99712</v>
      </c>
      <c r="L245" s="1317">
        <f t="shared" si="26"/>
        <v>0</v>
      </c>
      <c r="M245" s="1317">
        <f t="shared" si="27"/>
        <v>0</v>
      </c>
    </row>
    <row r="246" spans="1:13" s="1314" customFormat="1" ht="15" hidden="1" outlineLevel="2" x14ac:dyDescent="0.25">
      <c r="A246" s="1314" t="s">
        <v>1668</v>
      </c>
      <c r="B246" s="1314" t="s">
        <v>1633</v>
      </c>
      <c r="C246" s="1314" t="s">
        <v>1634</v>
      </c>
      <c r="D246" s="1316">
        <v>156924</v>
      </c>
      <c r="E246" s="1316">
        <v>0</v>
      </c>
      <c r="F246" s="1314">
        <v>156924</v>
      </c>
      <c r="G246" s="1314">
        <v>0</v>
      </c>
      <c r="H246" s="1314">
        <v>-156924</v>
      </c>
      <c r="I246" s="1317">
        <f>SUM($F246:H246)</f>
        <v>0</v>
      </c>
      <c r="J246" s="1314">
        <v>156924</v>
      </c>
      <c r="K246" s="1314">
        <v>-156924</v>
      </c>
      <c r="L246" s="1317">
        <f t="shared" si="26"/>
        <v>0</v>
      </c>
      <c r="M246" s="1317">
        <f t="shared" si="27"/>
        <v>0</v>
      </c>
    </row>
    <row r="247" spans="1:13" s="1314" customFormat="1" ht="15" hidden="1" outlineLevel="2" x14ac:dyDescent="0.25">
      <c r="A247" s="1314" t="s">
        <v>1668</v>
      </c>
      <c r="B247" s="1314" t="s">
        <v>1635</v>
      </c>
      <c r="C247" s="1314" t="s">
        <v>1636</v>
      </c>
      <c r="D247" s="1316">
        <v>308943</v>
      </c>
      <c r="E247" s="1316">
        <v>0</v>
      </c>
      <c r="F247" s="1314">
        <v>308943</v>
      </c>
      <c r="G247" s="1314">
        <v>0</v>
      </c>
      <c r="H247" s="1314">
        <v>-308943</v>
      </c>
      <c r="I247" s="1317">
        <f>SUM($F247:H247)</f>
        <v>0</v>
      </c>
      <c r="J247" s="1314">
        <v>308943</v>
      </c>
      <c r="K247" s="1314">
        <v>-308943</v>
      </c>
      <c r="L247" s="1317">
        <f t="shared" si="26"/>
        <v>0</v>
      </c>
      <c r="M247" s="1317">
        <f t="shared" si="27"/>
        <v>0</v>
      </c>
    </row>
    <row r="248" spans="1:13" s="1314" customFormat="1" ht="15" hidden="1" outlineLevel="2" x14ac:dyDescent="0.25">
      <c r="A248" s="1314" t="s">
        <v>1668</v>
      </c>
      <c r="B248" s="1314" t="s">
        <v>1637</v>
      </c>
      <c r="C248" s="1314" t="s">
        <v>1638</v>
      </c>
      <c r="D248" s="1316">
        <v>168366</v>
      </c>
      <c r="E248" s="1316">
        <v>0</v>
      </c>
      <c r="F248" s="1314">
        <v>168366</v>
      </c>
      <c r="G248" s="1314">
        <v>0</v>
      </c>
      <c r="H248" s="1314">
        <v>-168366</v>
      </c>
      <c r="I248" s="1317">
        <f>SUM($F248:H248)</f>
        <v>0</v>
      </c>
      <c r="J248" s="1314">
        <v>168366</v>
      </c>
      <c r="K248" s="1314">
        <v>-168366</v>
      </c>
      <c r="L248" s="1317">
        <f t="shared" si="26"/>
        <v>0</v>
      </c>
      <c r="M248" s="1317">
        <f t="shared" si="27"/>
        <v>0</v>
      </c>
    </row>
    <row r="249" spans="1:13" s="1314" customFormat="1" ht="15" hidden="1" outlineLevel="2" x14ac:dyDescent="0.25">
      <c r="A249" s="1314" t="s">
        <v>1668</v>
      </c>
      <c r="B249" s="1314" t="s">
        <v>1639</v>
      </c>
      <c r="C249" s="1314" t="s">
        <v>1640</v>
      </c>
      <c r="D249" s="1316">
        <v>4904</v>
      </c>
      <c r="E249" s="1316">
        <v>0</v>
      </c>
      <c r="F249" s="1314">
        <v>4904</v>
      </c>
      <c r="G249" s="1314">
        <v>0</v>
      </c>
      <c r="H249" s="1314">
        <v>-4904</v>
      </c>
      <c r="I249" s="1317">
        <f>SUM($F249:H249)</f>
        <v>0</v>
      </c>
      <c r="J249" s="1314">
        <v>4904</v>
      </c>
      <c r="K249" s="1314">
        <v>-4904</v>
      </c>
      <c r="L249" s="1317">
        <f t="shared" si="26"/>
        <v>0</v>
      </c>
      <c r="M249" s="1317">
        <f t="shared" si="27"/>
        <v>0</v>
      </c>
    </row>
    <row r="250" spans="1:13" s="1314" customFormat="1" ht="15" hidden="1" outlineLevel="2" x14ac:dyDescent="0.25">
      <c r="A250" s="1314" t="s">
        <v>1668</v>
      </c>
      <c r="B250" s="1314" t="s">
        <v>1641</v>
      </c>
      <c r="C250" s="1314" t="s">
        <v>1642</v>
      </c>
      <c r="D250" s="1316">
        <v>230482</v>
      </c>
      <c r="E250" s="1316">
        <v>0</v>
      </c>
      <c r="F250" s="1314">
        <v>230482</v>
      </c>
      <c r="G250" s="1314">
        <v>0</v>
      </c>
      <c r="H250" s="1314">
        <v>-230482</v>
      </c>
      <c r="I250" s="1317">
        <f>SUM($F250:H250)</f>
        <v>0</v>
      </c>
      <c r="J250" s="1314">
        <v>230482</v>
      </c>
      <c r="K250" s="1314">
        <v>-230482</v>
      </c>
      <c r="L250" s="1317">
        <f t="shared" si="26"/>
        <v>0</v>
      </c>
      <c r="M250" s="1317">
        <f t="shared" si="27"/>
        <v>0</v>
      </c>
    </row>
    <row r="251" spans="1:13" s="1314" customFormat="1" ht="15" hidden="1" outlineLevel="2" x14ac:dyDescent="0.25">
      <c r="A251" s="1314" t="s">
        <v>1668</v>
      </c>
      <c r="B251" s="1314" t="s">
        <v>1643</v>
      </c>
      <c r="C251" s="1314" t="s">
        <v>1644</v>
      </c>
      <c r="D251" s="1316">
        <v>442982</v>
      </c>
      <c r="E251" s="1316">
        <v>0</v>
      </c>
      <c r="F251" s="1314">
        <v>442982</v>
      </c>
      <c r="G251" s="1314">
        <v>0</v>
      </c>
      <c r="H251" s="1314">
        <v>-442982</v>
      </c>
      <c r="I251" s="1317">
        <f>SUM($F251:H251)</f>
        <v>0</v>
      </c>
      <c r="J251" s="1314">
        <v>442982</v>
      </c>
      <c r="K251" s="1314">
        <v>-442982</v>
      </c>
      <c r="L251" s="1317">
        <f t="shared" si="26"/>
        <v>0</v>
      </c>
      <c r="M251" s="1317">
        <f t="shared" si="27"/>
        <v>0</v>
      </c>
    </row>
    <row r="252" spans="1:13" s="1314" customFormat="1" ht="15" hidden="1" outlineLevel="2" x14ac:dyDescent="0.25">
      <c r="A252" s="1314" t="s">
        <v>1668</v>
      </c>
      <c r="B252" s="1314" t="s">
        <v>1645</v>
      </c>
      <c r="C252" s="1314" t="s">
        <v>1646</v>
      </c>
      <c r="D252" s="1316">
        <v>76827</v>
      </c>
      <c r="E252" s="1316">
        <v>0</v>
      </c>
      <c r="F252" s="1314">
        <v>76827</v>
      </c>
      <c r="G252" s="1314">
        <v>0</v>
      </c>
      <c r="H252" s="1314">
        <v>-76827</v>
      </c>
      <c r="I252" s="1317">
        <f>SUM($F252:H252)</f>
        <v>0</v>
      </c>
      <c r="J252" s="1314">
        <v>76827</v>
      </c>
      <c r="K252" s="1314">
        <v>-76827</v>
      </c>
      <c r="L252" s="1317">
        <f t="shared" si="26"/>
        <v>0</v>
      </c>
      <c r="M252" s="1317">
        <f t="shared" si="27"/>
        <v>0</v>
      </c>
    </row>
    <row r="253" spans="1:13" s="1314" customFormat="1" ht="15" hidden="1" outlineLevel="2" x14ac:dyDescent="0.25">
      <c r="A253" s="1314" t="s">
        <v>1668</v>
      </c>
      <c r="B253" s="1314" t="s">
        <v>1647</v>
      </c>
      <c r="C253" s="1314" t="s">
        <v>1648</v>
      </c>
      <c r="D253" s="1316">
        <v>11442</v>
      </c>
      <c r="E253" s="1316">
        <v>0</v>
      </c>
      <c r="F253" s="1314">
        <v>11442</v>
      </c>
      <c r="G253" s="1314">
        <v>0</v>
      </c>
      <c r="H253" s="1314">
        <v>-11442</v>
      </c>
      <c r="I253" s="1317">
        <f>SUM($F253:H253)</f>
        <v>0</v>
      </c>
      <c r="J253" s="1314">
        <v>11442</v>
      </c>
      <c r="K253" s="1314">
        <v>-11442</v>
      </c>
      <c r="L253" s="1317">
        <f t="shared" si="26"/>
        <v>0</v>
      </c>
      <c r="M253" s="1317">
        <f t="shared" si="27"/>
        <v>0</v>
      </c>
    </row>
    <row r="254" spans="1:13" s="1314" customFormat="1" ht="15" hidden="1" outlineLevel="2" x14ac:dyDescent="0.25">
      <c r="A254" s="1314" t="s">
        <v>1668</v>
      </c>
      <c r="B254" s="1314" t="s">
        <v>1649</v>
      </c>
      <c r="C254" s="1314" t="s">
        <v>1650</v>
      </c>
      <c r="D254" s="1316">
        <v>89904</v>
      </c>
      <c r="E254" s="1316">
        <v>0</v>
      </c>
      <c r="F254" s="1314">
        <v>89904</v>
      </c>
      <c r="G254" s="1314">
        <v>0</v>
      </c>
      <c r="H254" s="1314">
        <v>-89904</v>
      </c>
      <c r="I254" s="1317">
        <f>SUM($F254:H254)</f>
        <v>0</v>
      </c>
      <c r="J254" s="1314">
        <v>89904</v>
      </c>
      <c r="K254" s="1314">
        <v>-89904</v>
      </c>
      <c r="L254" s="1317">
        <f>SUM(J254:K254)</f>
        <v>0</v>
      </c>
      <c r="M254" s="1317">
        <f>+I254+L254</f>
        <v>0</v>
      </c>
    </row>
    <row r="255" spans="1:13" s="1314" customFormat="1" ht="15" hidden="1" outlineLevel="2" x14ac:dyDescent="0.25">
      <c r="A255" s="1314" t="s">
        <v>1668</v>
      </c>
      <c r="B255" s="1314" t="s">
        <v>1653</v>
      </c>
      <c r="C255" s="1314" t="s">
        <v>1654</v>
      </c>
      <c r="D255" s="1316">
        <v>24519</v>
      </c>
      <c r="E255" s="1316">
        <v>0</v>
      </c>
      <c r="F255" s="1314">
        <v>24519</v>
      </c>
      <c r="G255" s="1314">
        <v>0</v>
      </c>
      <c r="H255" s="1314">
        <v>-24519</v>
      </c>
      <c r="I255" s="1317">
        <f>SUM($F255:H255)</f>
        <v>0</v>
      </c>
      <c r="J255" s="1314">
        <v>24519</v>
      </c>
      <c r="K255" s="1314">
        <v>-24519</v>
      </c>
      <c r="L255" s="1317">
        <f>SUM(J255:K255)</f>
        <v>0</v>
      </c>
      <c r="M255" s="1317">
        <f>+I255+L255</f>
        <v>0</v>
      </c>
    </row>
    <row r="256" spans="1:13" s="1314" customFormat="1" ht="15" hidden="1" outlineLevel="2" x14ac:dyDescent="0.25">
      <c r="A256" s="1314" t="s">
        <v>1668</v>
      </c>
      <c r="B256" s="1314" t="s">
        <v>1657</v>
      </c>
      <c r="C256" s="1314" t="s">
        <v>1658</v>
      </c>
      <c r="D256" s="1316">
        <v>27789</v>
      </c>
      <c r="E256" s="1316">
        <v>0</v>
      </c>
      <c r="F256" s="1314">
        <v>27789</v>
      </c>
      <c r="G256" s="1314">
        <v>0</v>
      </c>
      <c r="H256" s="1314">
        <v>-27789</v>
      </c>
      <c r="I256" s="1317">
        <f>SUM($F256:H256)</f>
        <v>0</v>
      </c>
      <c r="J256" s="1314">
        <v>27789</v>
      </c>
      <c r="K256" s="1314">
        <v>-27789</v>
      </c>
      <c r="L256" s="1317">
        <f>SUM(J256:K256)</f>
        <v>0</v>
      </c>
      <c r="M256" s="1317">
        <f>+I256+L256</f>
        <v>0</v>
      </c>
    </row>
    <row r="257" spans="1:13" outlineLevel="1" collapsed="1" x14ac:dyDescent="0.2">
      <c r="A257" s="1313" t="s">
        <v>1671</v>
      </c>
      <c r="D257" s="1313">
        <f t="shared" ref="D257:M257" si="28">SUBTOTAL(9,D190:D256)</f>
        <v>85020798</v>
      </c>
      <c r="E257" s="1313">
        <f t="shared" si="28"/>
        <v>89492734</v>
      </c>
      <c r="F257" s="1313">
        <f t="shared" si="28"/>
        <v>85020798</v>
      </c>
      <c r="G257" s="1313">
        <f t="shared" si="28"/>
        <v>0</v>
      </c>
      <c r="H257" s="1313">
        <f t="shared" si="28"/>
        <v>127513971</v>
      </c>
      <c r="I257" s="1313">
        <f t="shared" si="28"/>
        <v>212534769</v>
      </c>
      <c r="J257" s="1313">
        <f t="shared" si="28"/>
        <v>85020798</v>
      </c>
      <c r="K257" s="1313">
        <f t="shared" si="28"/>
        <v>138132937</v>
      </c>
      <c r="L257" s="1313">
        <f t="shared" si="28"/>
        <v>223153735</v>
      </c>
      <c r="M257" s="1313">
        <f t="shared" si="28"/>
        <v>435688504</v>
      </c>
    </row>
    <row r="258" spans="1:13" s="1314" customFormat="1" ht="15" hidden="1" outlineLevel="2" x14ac:dyDescent="0.25">
      <c r="A258" s="1314" t="s">
        <v>1672</v>
      </c>
      <c r="B258" s="1314" t="s">
        <v>1515</v>
      </c>
      <c r="C258" s="1314" t="s">
        <v>1516</v>
      </c>
      <c r="D258" s="1316">
        <v>0</v>
      </c>
      <c r="E258" s="1316">
        <v>66931736</v>
      </c>
      <c r="F258" s="1314">
        <v>0</v>
      </c>
      <c r="G258" s="1314">
        <v>0</v>
      </c>
      <c r="H258" s="1314">
        <f>'3.1b Allocation Adj. YR1 '!$J$30</f>
        <v>198666203</v>
      </c>
      <c r="I258" s="1317">
        <f>SUM($F258:H258)</f>
        <v>198666203</v>
      </c>
      <c r="J258" s="1314">
        <v>0</v>
      </c>
      <c r="K258" s="1314">
        <f>'7.1b Allocation Adj. YR2'!$J$30</f>
        <v>208593011</v>
      </c>
      <c r="L258" s="1317">
        <f t="shared" ref="L258:L321" si="29">SUM(J258:K258)</f>
        <v>208593011</v>
      </c>
      <c r="M258" s="1317">
        <f t="shared" ref="M258:M321" si="30">+I258+L258</f>
        <v>407259214</v>
      </c>
    </row>
    <row r="259" spans="1:13" s="1314" customFormat="1" ht="15" hidden="1" outlineLevel="2" x14ac:dyDescent="0.25">
      <c r="A259" s="1314" t="s">
        <v>1672</v>
      </c>
      <c r="B259" s="1314" t="s">
        <v>1517</v>
      </c>
      <c r="C259" s="1314" t="s">
        <v>1518</v>
      </c>
      <c r="D259" s="1316">
        <v>669135</v>
      </c>
      <c r="E259" s="1316">
        <v>0</v>
      </c>
      <c r="F259" s="1314">
        <v>669135</v>
      </c>
      <c r="G259" s="1314">
        <v>0</v>
      </c>
      <c r="H259" s="1314">
        <v>-669135</v>
      </c>
      <c r="I259" s="1317">
        <f>SUM($F259:H259)</f>
        <v>0</v>
      </c>
      <c r="J259" s="1314">
        <v>669135</v>
      </c>
      <c r="K259" s="1314">
        <v>-669135</v>
      </c>
      <c r="L259" s="1317">
        <f t="shared" si="29"/>
        <v>0</v>
      </c>
      <c r="M259" s="1317">
        <f t="shared" si="30"/>
        <v>0</v>
      </c>
    </row>
    <row r="260" spans="1:13" s="1314" customFormat="1" ht="15" hidden="1" outlineLevel="2" x14ac:dyDescent="0.25">
      <c r="A260" s="1314" t="s">
        <v>1672</v>
      </c>
      <c r="B260" s="1314" t="s">
        <v>1519</v>
      </c>
      <c r="C260" s="1314" t="s">
        <v>1520</v>
      </c>
      <c r="D260" s="1316">
        <v>590618</v>
      </c>
      <c r="E260" s="1316">
        <v>0</v>
      </c>
      <c r="F260" s="1314">
        <v>590618</v>
      </c>
      <c r="G260" s="1314">
        <v>0</v>
      </c>
      <c r="H260" s="1314">
        <v>-590618</v>
      </c>
      <c r="I260" s="1317">
        <f>SUM($F260:H260)</f>
        <v>0</v>
      </c>
      <c r="J260" s="1314">
        <v>590618</v>
      </c>
      <c r="K260" s="1314">
        <v>-590618</v>
      </c>
      <c r="L260" s="1317">
        <f t="shared" si="29"/>
        <v>0</v>
      </c>
      <c r="M260" s="1317">
        <f t="shared" si="30"/>
        <v>0</v>
      </c>
    </row>
    <row r="261" spans="1:13" s="1314" customFormat="1" ht="15" hidden="1" outlineLevel="2" x14ac:dyDescent="0.25">
      <c r="A261" s="1314" t="s">
        <v>1672</v>
      </c>
      <c r="B261" s="1314" t="s">
        <v>1521</v>
      </c>
      <c r="C261" s="1314" t="s">
        <v>1522</v>
      </c>
      <c r="D261" s="1316">
        <v>45419303</v>
      </c>
      <c r="E261" s="1316">
        <v>0</v>
      </c>
      <c r="F261" s="1314">
        <v>45419303</v>
      </c>
      <c r="G261" s="1314">
        <v>0</v>
      </c>
      <c r="H261" s="1314">
        <v>-45419303</v>
      </c>
      <c r="I261" s="1317">
        <f>SUM($F261:H261)</f>
        <v>0</v>
      </c>
      <c r="J261" s="1314">
        <v>45419303</v>
      </c>
      <c r="K261" s="1314">
        <v>-45419303</v>
      </c>
      <c r="L261" s="1317">
        <f t="shared" si="29"/>
        <v>0</v>
      </c>
      <c r="M261" s="1317">
        <f t="shared" si="30"/>
        <v>0</v>
      </c>
    </row>
    <row r="262" spans="1:13" s="1314" customFormat="1" ht="15" hidden="1" outlineLevel="2" x14ac:dyDescent="0.25">
      <c r="A262" s="1314" t="s">
        <v>1672</v>
      </c>
      <c r="B262" s="1314" t="s">
        <v>1523</v>
      </c>
      <c r="C262" s="1314" t="s">
        <v>1524</v>
      </c>
      <c r="D262" s="1316">
        <v>156708</v>
      </c>
      <c r="E262" s="1316">
        <v>0</v>
      </c>
      <c r="F262" s="1314">
        <v>156708</v>
      </c>
      <c r="G262" s="1314">
        <v>0</v>
      </c>
      <c r="H262" s="1314">
        <v>-156708</v>
      </c>
      <c r="I262" s="1317">
        <f>SUM($F262:H262)</f>
        <v>0</v>
      </c>
      <c r="J262" s="1314">
        <v>156708</v>
      </c>
      <c r="K262" s="1314">
        <v>-156708</v>
      </c>
      <c r="L262" s="1317">
        <f t="shared" si="29"/>
        <v>0</v>
      </c>
      <c r="M262" s="1317">
        <f t="shared" si="30"/>
        <v>0</v>
      </c>
    </row>
    <row r="263" spans="1:13" s="1314" customFormat="1" ht="15" hidden="1" outlineLevel="2" x14ac:dyDescent="0.25">
      <c r="A263" s="1314" t="s">
        <v>1672</v>
      </c>
      <c r="B263" s="1314" t="s">
        <v>1525</v>
      </c>
      <c r="C263" s="1314" t="s">
        <v>1526</v>
      </c>
      <c r="D263" s="1316">
        <v>1614769</v>
      </c>
      <c r="E263" s="1316">
        <v>0</v>
      </c>
      <c r="F263" s="1314">
        <v>1614769</v>
      </c>
      <c r="G263" s="1314">
        <v>0</v>
      </c>
      <c r="H263" s="1314">
        <v>-1614769</v>
      </c>
      <c r="I263" s="1317">
        <f>SUM($F263:H263)</f>
        <v>0</v>
      </c>
      <c r="J263" s="1314">
        <v>1614769</v>
      </c>
      <c r="K263" s="1314">
        <v>-1614769</v>
      </c>
      <c r="L263" s="1317">
        <f t="shared" si="29"/>
        <v>0</v>
      </c>
      <c r="M263" s="1317">
        <f t="shared" si="30"/>
        <v>0</v>
      </c>
    </row>
    <row r="264" spans="1:13" s="1314" customFormat="1" ht="15" hidden="1" outlineLevel="2" x14ac:dyDescent="0.25">
      <c r="A264" s="1314" t="s">
        <v>1672</v>
      </c>
      <c r="B264" s="1314" t="s">
        <v>1527</v>
      </c>
      <c r="C264" s="1314" t="s">
        <v>1528</v>
      </c>
      <c r="D264" s="1316">
        <v>8342</v>
      </c>
      <c r="E264" s="1316">
        <v>0</v>
      </c>
      <c r="F264" s="1314">
        <v>8342</v>
      </c>
      <c r="G264" s="1314">
        <v>0</v>
      </c>
      <c r="H264" s="1314">
        <v>-8342</v>
      </c>
      <c r="I264" s="1317">
        <f>SUM($F264:H264)</f>
        <v>0</v>
      </c>
      <c r="J264" s="1314">
        <v>8342</v>
      </c>
      <c r="K264" s="1314">
        <v>-8342</v>
      </c>
      <c r="L264" s="1317">
        <f t="shared" si="29"/>
        <v>0</v>
      </c>
      <c r="M264" s="1317">
        <f t="shared" si="30"/>
        <v>0</v>
      </c>
    </row>
    <row r="265" spans="1:13" s="1314" customFormat="1" ht="15" hidden="1" outlineLevel="2" x14ac:dyDescent="0.25">
      <c r="A265" s="1314" t="s">
        <v>1672</v>
      </c>
      <c r="B265" s="1314" t="s">
        <v>1529</v>
      </c>
      <c r="C265" s="1314" t="s">
        <v>1530</v>
      </c>
      <c r="D265" s="1316">
        <v>1192</v>
      </c>
      <c r="E265" s="1316">
        <v>0</v>
      </c>
      <c r="F265" s="1314">
        <v>1192</v>
      </c>
      <c r="G265" s="1314">
        <v>0</v>
      </c>
      <c r="H265" s="1314">
        <v>-1192</v>
      </c>
      <c r="I265" s="1317">
        <f>SUM($F265:H265)</f>
        <v>0</v>
      </c>
      <c r="J265" s="1314">
        <v>1192</v>
      </c>
      <c r="K265" s="1314">
        <v>-1192</v>
      </c>
      <c r="L265" s="1317">
        <f t="shared" si="29"/>
        <v>0</v>
      </c>
      <c r="M265" s="1317">
        <f t="shared" si="30"/>
        <v>0</v>
      </c>
    </row>
    <row r="266" spans="1:13" s="1314" customFormat="1" ht="15" hidden="1" outlineLevel="2" x14ac:dyDescent="0.25">
      <c r="A266" s="1314" t="s">
        <v>1672</v>
      </c>
      <c r="B266" s="1314" t="s">
        <v>1531</v>
      </c>
      <c r="C266" s="1314" t="s">
        <v>1532</v>
      </c>
      <c r="D266" s="1316">
        <v>362218</v>
      </c>
      <c r="E266" s="1316">
        <v>0</v>
      </c>
      <c r="F266" s="1314">
        <v>362218</v>
      </c>
      <c r="G266" s="1314">
        <v>0</v>
      </c>
      <c r="H266" s="1314">
        <v>-362218</v>
      </c>
      <c r="I266" s="1317">
        <f>SUM($F266:H266)</f>
        <v>0</v>
      </c>
      <c r="J266" s="1314">
        <v>362218</v>
      </c>
      <c r="K266" s="1314">
        <v>-362218</v>
      </c>
      <c r="L266" s="1317">
        <f t="shared" si="29"/>
        <v>0</v>
      </c>
      <c r="M266" s="1317">
        <f t="shared" si="30"/>
        <v>0</v>
      </c>
    </row>
    <row r="267" spans="1:13" s="1314" customFormat="1" ht="15" hidden="1" outlineLevel="2" x14ac:dyDescent="0.25">
      <c r="A267" s="1314" t="s">
        <v>1672</v>
      </c>
      <c r="B267" s="1314" t="s">
        <v>1533</v>
      </c>
      <c r="C267" s="1314" t="s">
        <v>1534</v>
      </c>
      <c r="D267" s="1316">
        <v>79247</v>
      </c>
      <c r="E267" s="1316">
        <v>0</v>
      </c>
      <c r="F267" s="1314">
        <v>79247</v>
      </c>
      <c r="G267" s="1314">
        <v>0</v>
      </c>
      <c r="H267" s="1314">
        <v>-79247</v>
      </c>
      <c r="I267" s="1317">
        <f>SUM($F267:H267)</f>
        <v>0</v>
      </c>
      <c r="J267" s="1314">
        <v>79247</v>
      </c>
      <c r="K267" s="1314">
        <v>-79247</v>
      </c>
      <c r="L267" s="1317">
        <f t="shared" si="29"/>
        <v>0</v>
      </c>
      <c r="M267" s="1317">
        <f t="shared" si="30"/>
        <v>0</v>
      </c>
    </row>
    <row r="268" spans="1:13" s="1314" customFormat="1" ht="15" hidden="1" outlineLevel="2" x14ac:dyDescent="0.25">
      <c r="A268" s="1314" t="s">
        <v>1672</v>
      </c>
      <c r="B268" s="1314" t="s">
        <v>1535</v>
      </c>
      <c r="C268" s="1314" t="s">
        <v>1536</v>
      </c>
      <c r="D268" s="1316">
        <v>45284</v>
      </c>
      <c r="E268" s="1316">
        <v>0</v>
      </c>
      <c r="F268" s="1314">
        <v>45284</v>
      </c>
      <c r="G268" s="1314">
        <v>0</v>
      </c>
      <c r="H268" s="1314">
        <v>-45284</v>
      </c>
      <c r="I268" s="1317">
        <f>SUM($F268:H268)</f>
        <v>0</v>
      </c>
      <c r="J268" s="1314">
        <v>45284</v>
      </c>
      <c r="K268" s="1314">
        <v>-45284</v>
      </c>
      <c r="L268" s="1317">
        <f t="shared" si="29"/>
        <v>0</v>
      </c>
      <c r="M268" s="1317">
        <f t="shared" si="30"/>
        <v>0</v>
      </c>
    </row>
    <row r="269" spans="1:13" s="1314" customFormat="1" ht="15" hidden="1" outlineLevel="2" x14ac:dyDescent="0.25">
      <c r="A269" s="1314" t="s">
        <v>1672</v>
      </c>
      <c r="B269" s="1314" t="s">
        <v>1537</v>
      </c>
      <c r="C269" s="1314" t="s">
        <v>1538</v>
      </c>
      <c r="D269" s="1316">
        <v>834621</v>
      </c>
      <c r="E269" s="1316">
        <v>0</v>
      </c>
      <c r="F269" s="1314">
        <v>834621</v>
      </c>
      <c r="G269" s="1314">
        <v>0</v>
      </c>
      <c r="H269" s="1314">
        <v>-834621</v>
      </c>
      <c r="I269" s="1317">
        <f>SUM($F269:H269)</f>
        <v>0</v>
      </c>
      <c r="J269" s="1314">
        <v>834621</v>
      </c>
      <c r="K269" s="1314">
        <v>-834621</v>
      </c>
      <c r="L269" s="1317">
        <f t="shared" si="29"/>
        <v>0</v>
      </c>
      <c r="M269" s="1317">
        <f t="shared" si="30"/>
        <v>0</v>
      </c>
    </row>
    <row r="270" spans="1:13" s="1314" customFormat="1" ht="15" hidden="1" outlineLevel="2" x14ac:dyDescent="0.25">
      <c r="A270" s="1314" t="s">
        <v>1672</v>
      </c>
      <c r="B270" s="1314" t="s">
        <v>1539</v>
      </c>
      <c r="C270" s="1314" t="s">
        <v>1540</v>
      </c>
      <c r="D270" s="1316">
        <v>98035</v>
      </c>
      <c r="E270" s="1316">
        <v>0</v>
      </c>
      <c r="F270" s="1314">
        <v>98035</v>
      </c>
      <c r="G270" s="1314">
        <v>0</v>
      </c>
      <c r="H270" s="1314">
        <v>-98035</v>
      </c>
      <c r="I270" s="1317">
        <f>SUM($F270:H270)</f>
        <v>0</v>
      </c>
      <c r="J270" s="1314">
        <v>98035</v>
      </c>
      <c r="K270" s="1314">
        <v>-98035</v>
      </c>
      <c r="L270" s="1317">
        <f t="shared" si="29"/>
        <v>0</v>
      </c>
      <c r="M270" s="1317">
        <f t="shared" si="30"/>
        <v>0</v>
      </c>
    </row>
    <row r="271" spans="1:13" s="1314" customFormat="1" ht="15" hidden="1" outlineLevel="2" x14ac:dyDescent="0.25">
      <c r="A271" s="1314" t="s">
        <v>1672</v>
      </c>
      <c r="B271" s="1314" t="s">
        <v>1541</v>
      </c>
      <c r="C271" s="1314" t="s">
        <v>1542</v>
      </c>
      <c r="D271" s="1316">
        <v>986130</v>
      </c>
      <c r="E271" s="1316">
        <v>0</v>
      </c>
      <c r="F271" s="1314">
        <v>986130</v>
      </c>
      <c r="G271" s="1314">
        <v>0</v>
      </c>
      <c r="H271" s="1314">
        <v>-986130</v>
      </c>
      <c r="I271" s="1317">
        <f>SUM($F271:H271)</f>
        <v>0</v>
      </c>
      <c r="J271" s="1314">
        <v>986130</v>
      </c>
      <c r="K271" s="1314">
        <v>-986130</v>
      </c>
      <c r="L271" s="1317">
        <f t="shared" si="29"/>
        <v>0</v>
      </c>
      <c r="M271" s="1317">
        <f t="shared" si="30"/>
        <v>0</v>
      </c>
    </row>
    <row r="272" spans="1:13" s="1314" customFormat="1" ht="15" hidden="1" outlineLevel="2" x14ac:dyDescent="0.25">
      <c r="A272" s="1314" t="s">
        <v>1672</v>
      </c>
      <c r="B272" s="1314" t="s">
        <v>1543</v>
      </c>
      <c r="C272" s="1314" t="s">
        <v>1544</v>
      </c>
      <c r="D272" s="1316">
        <v>58989</v>
      </c>
      <c r="E272" s="1316">
        <v>0</v>
      </c>
      <c r="F272" s="1314">
        <v>58989</v>
      </c>
      <c r="G272" s="1314">
        <v>0</v>
      </c>
      <c r="H272" s="1314">
        <v>-58989</v>
      </c>
      <c r="I272" s="1317">
        <f>SUM($F272:H272)</f>
        <v>0</v>
      </c>
      <c r="J272" s="1314">
        <v>58989</v>
      </c>
      <c r="K272" s="1314">
        <v>-58989</v>
      </c>
      <c r="L272" s="1317">
        <f t="shared" si="29"/>
        <v>0</v>
      </c>
      <c r="M272" s="1317">
        <f t="shared" si="30"/>
        <v>0</v>
      </c>
    </row>
    <row r="273" spans="1:13" s="1314" customFormat="1" ht="15" hidden="1" outlineLevel="2" x14ac:dyDescent="0.25">
      <c r="A273" s="1314" t="s">
        <v>1672</v>
      </c>
      <c r="B273" s="1314" t="s">
        <v>1545</v>
      </c>
      <c r="C273" s="1314" t="s">
        <v>1546</v>
      </c>
      <c r="D273" s="1316">
        <v>13704</v>
      </c>
      <c r="E273" s="1316">
        <v>0</v>
      </c>
      <c r="F273" s="1314">
        <v>13704</v>
      </c>
      <c r="G273" s="1314">
        <v>0</v>
      </c>
      <c r="H273" s="1314">
        <v>-13704</v>
      </c>
      <c r="I273" s="1317">
        <f>SUM($F273:H273)</f>
        <v>0</v>
      </c>
      <c r="J273" s="1314">
        <v>13704</v>
      </c>
      <c r="K273" s="1314">
        <v>-13704</v>
      </c>
      <c r="L273" s="1317">
        <f t="shared" si="29"/>
        <v>0</v>
      </c>
      <c r="M273" s="1317">
        <f t="shared" si="30"/>
        <v>0</v>
      </c>
    </row>
    <row r="274" spans="1:13" s="1314" customFormat="1" ht="15" hidden="1" outlineLevel="2" x14ac:dyDescent="0.25">
      <c r="A274" s="1314" t="s">
        <v>1672</v>
      </c>
      <c r="B274" s="1314" t="s">
        <v>1547</v>
      </c>
      <c r="C274" s="1314" t="s">
        <v>1548</v>
      </c>
      <c r="D274" s="1316">
        <v>4402514</v>
      </c>
      <c r="E274" s="1316">
        <v>0</v>
      </c>
      <c r="F274" s="1314">
        <v>4402514</v>
      </c>
      <c r="G274" s="1314">
        <v>0</v>
      </c>
      <c r="H274" s="1314">
        <v>-4402514</v>
      </c>
      <c r="I274" s="1317">
        <f>SUM($F274:H274)</f>
        <v>0</v>
      </c>
      <c r="J274" s="1314">
        <v>4402514</v>
      </c>
      <c r="K274" s="1314">
        <v>-4402514</v>
      </c>
      <c r="L274" s="1317">
        <f t="shared" si="29"/>
        <v>0</v>
      </c>
      <c r="M274" s="1317">
        <f t="shared" si="30"/>
        <v>0</v>
      </c>
    </row>
    <row r="275" spans="1:13" s="1314" customFormat="1" ht="15" hidden="1" outlineLevel="2" x14ac:dyDescent="0.25">
      <c r="A275" s="1314" t="s">
        <v>1672</v>
      </c>
      <c r="B275" s="1314" t="s">
        <v>1549</v>
      </c>
      <c r="C275" s="1314" t="s">
        <v>1550</v>
      </c>
      <c r="D275" s="1316">
        <v>168129</v>
      </c>
      <c r="E275" s="1316">
        <v>0</v>
      </c>
      <c r="F275" s="1314">
        <v>168129</v>
      </c>
      <c r="G275" s="1314">
        <v>0</v>
      </c>
      <c r="H275" s="1314">
        <v>-168129</v>
      </c>
      <c r="I275" s="1317">
        <f>SUM($F275:H275)</f>
        <v>0</v>
      </c>
      <c r="J275" s="1314">
        <v>168129</v>
      </c>
      <c r="K275" s="1314">
        <v>-168129</v>
      </c>
      <c r="L275" s="1317">
        <f t="shared" si="29"/>
        <v>0</v>
      </c>
      <c r="M275" s="1317">
        <f t="shared" si="30"/>
        <v>0</v>
      </c>
    </row>
    <row r="276" spans="1:13" s="1314" customFormat="1" ht="15" hidden="1" outlineLevel="2" x14ac:dyDescent="0.25">
      <c r="A276" s="1314" t="s">
        <v>1672</v>
      </c>
      <c r="B276" s="1314" t="s">
        <v>1553</v>
      </c>
      <c r="C276" s="1314" t="s">
        <v>1554</v>
      </c>
      <c r="D276" s="1316">
        <v>18788</v>
      </c>
      <c r="E276" s="1316">
        <v>0</v>
      </c>
      <c r="F276" s="1314">
        <v>18788</v>
      </c>
      <c r="G276" s="1314">
        <v>0</v>
      </c>
      <c r="H276" s="1314">
        <v>-18788</v>
      </c>
      <c r="I276" s="1317">
        <f>SUM($F276:H276)</f>
        <v>0</v>
      </c>
      <c r="J276" s="1314">
        <v>18788</v>
      </c>
      <c r="K276" s="1314">
        <v>-18788</v>
      </c>
      <c r="L276" s="1317">
        <f t="shared" si="29"/>
        <v>0</v>
      </c>
      <c r="M276" s="1317">
        <f t="shared" si="30"/>
        <v>0</v>
      </c>
    </row>
    <row r="277" spans="1:13" s="1314" customFormat="1" ht="15" hidden="1" outlineLevel="2" x14ac:dyDescent="0.25">
      <c r="A277" s="1314" t="s">
        <v>1672</v>
      </c>
      <c r="B277" s="1314" t="s">
        <v>1555</v>
      </c>
      <c r="C277" s="1314" t="s">
        <v>1556</v>
      </c>
      <c r="D277" s="1316">
        <v>58532</v>
      </c>
      <c r="E277" s="1316">
        <v>0</v>
      </c>
      <c r="F277" s="1314">
        <v>58532</v>
      </c>
      <c r="G277" s="1314">
        <v>0</v>
      </c>
      <c r="H277" s="1314">
        <v>-58532</v>
      </c>
      <c r="I277" s="1317">
        <f>SUM($F277:H277)</f>
        <v>0</v>
      </c>
      <c r="J277" s="1314">
        <v>58532</v>
      </c>
      <c r="K277" s="1314">
        <v>-58532</v>
      </c>
      <c r="L277" s="1317">
        <f t="shared" si="29"/>
        <v>0</v>
      </c>
      <c r="M277" s="1317">
        <f t="shared" si="30"/>
        <v>0</v>
      </c>
    </row>
    <row r="278" spans="1:13" s="1314" customFormat="1" ht="15" hidden="1" outlineLevel="2" x14ac:dyDescent="0.25">
      <c r="A278" s="1314" t="s">
        <v>1672</v>
      </c>
      <c r="B278" s="1314" t="s">
        <v>1557</v>
      </c>
      <c r="C278" s="1314" t="s">
        <v>1558</v>
      </c>
      <c r="D278" s="1316">
        <v>133202</v>
      </c>
      <c r="E278" s="1316">
        <v>0</v>
      </c>
      <c r="F278" s="1314">
        <v>133202</v>
      </c>
      <c r="G278" s="1314">
        <v>0</v>
      </c>
      <c r="H278" s="1314">
        <v>-133202</v>
      </c>
      <c r="I278" s="1317">
        <f>SUM($F278:H278)</f>
        <v>0</v>
      </c>
      <c r="J278" s="1314">
        <v>133202</v>
      </c>
      <c r="K278" s="1314">
        <v>-133202</v>
      </c>
      <c r="L278" s="1317">
        <f t="shared" si="29"/>
        <v>0</v>
      </c>
      <c r="M278" s="1317">
        <f t="shared" si="30"/>
        <v>0</v>
      </c>
    </row>
    <row r="279" spans="1:13" s="1314" customFormat="1" ht="15" hidden="1" outlineLevel="2" x14ac:dyDescent="0.25">
      <c r="A279" s="1314" t="s">
        <v>1672</v>
      </c>
      <c r="B279" s="1314" t="s">
        <v>1559</v>
      </c>
      <c r="C279" s="1314" t="s">
        <v>1560</v>
      </c>
      <c r="D279" s="1316">
        <v>8671</v>
      </c>
      <c r="E279" s="1316">
        <v>0</v>
      </c>
      <c r="F279" s="1314">
        <v>8671</v>
      </c>
      <c r="G279" s="1314">
        <v>0</v>
      </c>
      <c r="H279" s="1314">
        <v>-8671</v>
      </c>
      <c r="I279" s="1317">
        <f>SUM($F279:H279)</f>
        <v>0</v>
      </c>
      <c r="J279" s="1314">
        <v>8671</v>
      </c>
      <c r="K279" s="1314">
        <v>-8671</v>
      </c>
      <c r="L279" s="1317">
        <f t="shared" si="29"/>
        <v>0</v>
      </c>
      <c r="M279" s="1317">
        <f t="shared" si="30"/>
        <v>0</v>
      </c>
    </row>
    <row r="280" spans="1:13" s="1314" customFormat="1" ht="15" hidden="1" outlineLevel="2" x14ac:dyDescent="0.25">
      <c r="A280" s="1314" t="s">
        <v>1672</v>
      </c>
      <c r="B280" s="1314" t="s">
        <v>1561</v>
      </c>
      <c r="C280" s="1314" t="s">
        <v>1562</v>
      </c>
      <c r="D280" s="1316">
        <v>299886</v>
      </c>
      <c r="E280" s="1316">
        <v>0</v>
      </c>
      <c r="F280" s="1314">
        <v>299886</v>
      </c>
      <c r="G280" s="1314">
        <v>0</v>
      </c>
      <c r="H280" s="1314">
        <v>-299886</v>
      </c>
      <c r="I280" s="1317">
        <f>SUM($F280:H280)</f>
        <v>0</v>
      </c>
      <c r="J280" s="1314">
        <v>299886</v>
      </c>
      <c r="K280" s="1314">
        <v>-299886</v>
      </c>
      <c r="L280" s="1317">
        <f t="shared" si="29"/>
        <v>0</v>
      </c>
      <c r="M280" s="1317">
        <f t="shared" si="30"/>
        <v>0</v>
      </c>
    </row>
    <row r="281" spans="1:13" s="1314" customFormat="1" ht="15" hidden="1" outlineLevel="2" x14ac:dyDescent="0.25">
      <c r="A281" s="1314" t="s">
        <v>1672</v>
      </c>
      <c r="B281" s="1314" t="s">
        <v>1565</v>
      </c>
      <c r="C281" s="1314" t="s">
        <v>1566</v>
      </c>
      <c r="D281" s="1316">
        <v>283265</v>
      </c>
      <c r="E281" s="1316">
        <v>0</v>
      </c>
      <c r="F281" s="1314">
        <v>283265</v>
      </c>
      <c r="G281" s="1314">
        <v>0</v>
      </c>
      <c r="H281" s="1314">
        <v>-283265</v>
      </c>
      <c r="I281" s="1317">
        <f>SUM($F281:H281)</f>
        <v>0</v>
      </c>
      <c r="J281" s="1314">
        <v>283265</v>
      </c>
      <c r="K281" s="1314">
        <v>-283265</v>
      </c>
      <c r="L281" s="1317">
        <f t="shared" si="29"/>
        <v>0</v>
      </c>
      <c r="M281" s="1317">
        <f t="shared" si="30"/>
        <v>0</v>
      </c>
    </row>
    <row r="282" spans="1:13" s="1314" customFormat="1" ht="15" hidden="1" outlineLevel="2" x14ac:dyDescent="0.25">
      <c r="A282" s="1314" t="s">
        <v>1672</v>
      </c>
      <c r="B282" s="1314" t="s">
        <v>1569</v>
      </c>
      <c r="C282" s="1314" t="s">
        <v>1570</v>
      </c>
      <c r="D282" s="1316">
        <v>35167</v>
      </c>
      <c r="E282" s="1316">
        <v>0</v>
      </c>
      <c r="F282" s="1314">
        <v>35167</v>
      </c>
      <c r="G282" s="1314">
        <v>0</v>
      </c>
      <c r="H282" s="1314">
        <v>-35167</v>
      </c>
      <c r="I282" s="1317">
        <f>SUM($F282:H282)</f>
        <v>0</v>
      </c>
      <c r="J282" s="1314">
        <v>35167</v>
      </c>
      <c r="K282" s="1314">
        <v>-35167</v>
      </c>
      <c r="L282" s="1317">
        <f t="shared" si="29"/>
        <v>0</v>
      </c>
      <c r="M282" s="1317">
        <f t="shared" si="30"/>
        <v>0</v>
      </c>
    </row>
    <row r="283" spans="1:13" s="1314" customFormat="1" ht="15" hidden="1" outlineLevel="2" x14ac:dyDescent="0.25">
      <c r="A283" s="1314" t="s">
        <v>1672</v>
      </c>
      <c r="B283" s="1314" t="s">
        <v>1571</v>
      </c>
      <c r="C283" s="1314" t="s">
        <v>1572</v>
      </c>
      <c r="D283" s="1316">
        <v>508240</v>
      </c>
      <c r="E283" s="1316">
        <v>0</v>
      </c>
      <c r="F283" s="1314">
        <v>508240</v>
      </c>
      <c r="G283" s="1314">
        <v>0</v>
      </c>
      <c r="H283" s="1314">
        <v>-508240</v>
      </c>
      <c r="I283" s="1317">
        <f>SUM($F283:H283)</f>
        <v>0</v>
      </c>
      <c r="J283" s="1314">
        <v>508240</v>
      </c>
      <c r="K283" s="1314">
        <v>-508240</v>
      </c>
      <c r="L283" s="1317">
        <f t="shared" si="29"/>
        <v>0</v>
      </c>
      <c r="M283" s="1317">
        <f t="shared" si="30"/>
        <v>0</v>
      </c>
    </row>
    <row r="284" spans="1:13" s="1314" customFormat="1" ht="15" hidden="1" outlineLevel="2" x14ac:dyDescent="0.25">
      <c r="A284" s="1314" t="s">
        <v>1672</v>
      </c>
      <c r="B284" s="1314" t="s">
        <v>1573</v>
      </c>
      <c r="C284" s="1314" t="s">
        <v>1574</v>
      </c>
      <c r="D284" s="1316">
        <v>29868</v>
      </c>
      <c r="E284" s="1316">
        <v>0</v>
      </c>
      <c r="F284" s="1314">
        <v>29868</v>
      </c>
      <c r="G284" s="1314">
        <v>0</v>
      </c>
      <c r="H284" s="1314">
        <v>-29868</v>
      </c>
      <c r="I284" s="1317">
        <f>SUM($F284:H284)</f>
        <v>0</v>
      </c>
      <c r="J284" s="1314">
        <v>29868</v>
      </c>
      <c r="K284" s="1314">
        <v>-29868</v>
      </c>
      <c r="L284" s="1317">
        <f t="shared" si="29"/>
        <v>0</v>
      </c>
      <c r="M284" s="1317">
        <f t="shared" si="30"/>
        <v>0</v>
      </c>
    </row>
    <row r="285" spans="1:13" s="1314" customFormat="1" ht="15" hidden="1" outlineLevel="2" x14ac:dyDescent="0.25">
      <c r="A285" s="1314" t="s">
        <v>1672</v>
      </c>
      <c r="B285" s="1314" t="s">
        <v>1575</v>
      </c>
      <c r="C285" s="1314" t="s">
        <v>1576</v>
      </c>
      <c r="D285" s="1316">
        <v>29145</v>
      </c>
      <c r="E285" s="1316">
        <v>0</v>
      </c>
      <c r="F285" s="1314">
        <v>29145</v>
      </c>
      <c r="G285" s="1314">
        <v>0</v>
      </c>
      <c r="H285" s="1314">
        <v>-29145</v>
      </c>
      <c r="I285" s="1317">
        <f>SUM($F285:H285)</f>
        <v>0</v>
      </c>
      <c r="J285" s="1314">
        <v>29145</v>
      </c>
      <c r="K285" s="1314">
        <v>-29145</v>
      </c>
      <c r="L285" s="1317">
        <f t="shared" si="29"/>
        <v>0</v>
      </c>
      <c r="M285" s="1317">
        <f t="shared" si="30"/>
        <v>0</v>
      </c>
    </row>
    <row r="286" spans="1:13" s="1314" customFormat="1" ht="15" hidden="1" outlineLevel="2" x14ac:dyDescent="0.25">
      <c r="A286" s="1314" t="s">
        <v>1672</v>
      </c>
      <c r="B286" s="1314" t="s">
        <v>1577</v>
      </c>
      <c r="C286" s="1314" t="s">
        <v>1578</v>
      </c>
      <c r="D286" s="1316">
        <v>157289</v>
      </c>
      <c r="E286" s="1316">
        <v>0</v>
      </c>
      <c r="F286" s="1314">
        <v>157289</v>
      </c>
      <c r="G286" s="1314">
        <v>0</v>
      </c>
      <c r="H286" s="1314">
        <v>-157289</v>
      </c>
      <c r="I286" s="1317">
        <f>SUM($F286:H286)</f>
        <v>0</v>
      </c>
      <c r="J286" s="1314">
        <v>157289</v>
      </c>
      <c r="K286" s="1314">
        <v>-157289</v>
      </c>
      <c r="L286" s="1317">
        <f t="shared" si="29"/>
        <v>0</v>
      </c>
      <c r="M286" s="1317">
        <f t="shared" si="30"/>
        <v>0</v>
      </c>
    </row>
    <row r="287" spans="1:13" s="1314" customFormat="1" ht="15" hidden="1" outlineLevel="2" x14ac:dyDescent="0.25">
      <c r="A287" s="1314" t="s">
        <v>1672</v>
      </c>
      <c r="B287" s="1314" t="s">
        <v>1581</v>
      </c>
      <c r="C287" s="1314" t="s">
        <v>1582</v>
      </c>
      <c r="D287" s="1316">
        <v>18788</v>
      </c>
      <c r="E287" s="1316">
        <v>0</v>
      </c>
      <c r="F287" s="1314">
        <v>18788</v>
      </c>
      <c r="G287" s="1314">
        <v>0</v>
      </c>
      <c r="H287" s="1314">
        <v>-18788</v>
      </c>
      <c r="I287" s="1317">
        <f>SUM($F287:H287)</f>
        <v>0</v>
      </c>
      <c r="J287" s="1314">
        <v>18788</v>
      </c>
      <c r="K287" s="1314">
        <v>-18788</v>
      </c>
      <c r="L287" s="1317">
        <f t="shared" si="29"/>
        <v>0</v>
      </c>
      <c r="M287" s="1317">
        <f t="shared" si="30"/>
        <v>0</v>
      </c>
    </row>
    <row r="288" spans="1:13" s="1314" customFormat="1" ht="15" hidden="1" outlineLevel="2" x14ac:dyDescent="0.25">
      <c r="A288" s="1314" t="s">
        <v>1672</v>
      </c>
      <c r="B288" s="1314" t="s">
        <v>1669</v>
      </c>
      <c r="C288" s="1314" t="s">
        <v>1670</v>
      </c>
      <c r="D288" s="1316">
        <v>-5007</v>
      </c>
      <c r="E288" s="1316">
        <v>0</v>
      </c>
      <c r="F288" s="1314">
        <v>-5007</v>
      </c>
      <c r="G288" s="1314">
        <v>0</v>
      </c>
      <c r="H288" s="1314">
        <v>5007</v>
      </c>
      <c r="I288" s="1317">
        <f>SUM($F288:H288)</f>
        <v>0</v>
      </c>
      <c r="J288" s="1314">
        <v>-5007</v>
      </c>
      <c r="K288" s="1314">
        <v>5007</v>
      </c>
      <c r="L288" s="1317">
        <f t="shared" si="29"/>
        <v>0</v>
      </c>
      <c r="M288" s="1317">
        <f t="shared" si="30"/>
        <v>0</v>
      </c>
    </row>
    <row r="289" spans="1:13" s="1314" customFormat="1" ht="15" hidden="1" outlineLevel="2" x14ac:dyDescent="0.25">
      <c r="A289" s="1314" t="s">
        <v>1672</v>
      </c>
      <c r="B289" s="1314" t="s">
        <v>1585</v>
      </c>
      <c r="C289" s="1314" t="s">
        <v>1586</v>
      </c>
      <c r="D289" s="1316">
        <v>7467</v>
      </c>
      <c r="E289" s="1316">
        <v>0</v>
      </c>
      <c r="F289" s="1314">
        <v>7467</v>
      </c>
      <c r="G289" s="1314">
        <v>0</v>
      </c>
      <c r="H289" s="1314">
        <v>-7467</v>
      </c>
      <c r="I289" s="1317">
        <f>SUM($F289:H289)</f>
        <v>0</v>
      </c>
      <c r="J289" s="1314">
        <v>7467</v>
      </c>
      <c r="K289" s="1314">
        <v>-7467</v>
      </c>
      <c r="L289" s="1317">
        <f t="shared" si="29"/>
        <v>0</v>
      </c>
      <c r="M289" s="1317">
        <f t="shared" si="30"/>
        <v>0</v>
      </c>
    </row>
    <row r="290" spans="1:13" s="1314" customFormat="1" ht="15" hidden="1" outlineLevel="2" x14ac:dyDescent="0.25">
      <c r="A290" s="1314" t="s">
        <v>1672</v>
      </c>
      <c r="B290" s="1314" t="s">
        <v>1587</v>
      </c>
      <c r="C290" s="1314" t="s">
        <v>1588</v>
      </c>
      <c r="D290" s="1316">
        <v>66802</v>
      </c>
      <c r="E290" s="1316">
        <v>0</v>
      </c>
      <c r="F290" s="1314">
        <v>66802</v>
      </c>
      <c r="G290" s="1314">
        <v>0</v>
      </c>
      <c r="H290" s="1314">
        <v>-66802</v>
      </c>
      <c r="I290" s="1317">
        <f>SUM($F290:H290)</f>
        <v>0</v>
      </c>
      <c r="J290" s="1314">
        <v>66802</v>
      </c>
      <c r="K290" s="1314">
        <v>-66802</v>
      </c>
      <c r="L290" s="1317">
        <f t="shared" si="29"/>
        <v>0</v>
      </c>
      <c r="M290" s="1317">
        <f t="shared" si="30"/>
        <v>0</v>
      </c>
    </row>
    <row r="291" spans="1:13" s="1314" customFormat="1" ht="15" hidden="1" outlineLevel="2" x14ac:dyDescent="0.25">
      <c r="A291" s="1314" t="s">
        <v>1672</v>
      </c>
      <c r="B291" s="1314" t="s">
        <v>1589</v>
      </c>
      <c r="C291" s="1314" t="s">
        <v>1590</v>
      </c>
      <c r="D291" s="1316">
        <v>4577</v>
      </c>
      <c r="E291" s="1316">
        <v>0</v>
      </c>
      <c r="F291" s="1314">
        <v>4577</v>
      </c>
      <c r="G291" s="1314">
        <v>0</v>
      </c>
      <c r="H291" s="1314">
        <v>-4577</v>
      </c>
      <c r="I291" s="1317">
        <f>SUM($F291:H291)</f>
        <v>0</v>
      </c>
      <c r="J291" s="1314">
        <v>4577</v>
      </c>
      <c r="K291" s="1314">
        <v>-4577</v>
      </c>
      <c r="L291" s="1317">
        <f t="shared" si="29"/>
        <v>0</v>
      </c>
      <c r="M291" s="1317">
        <f t="shared" si="30"/>
        <v>0</v>
      </c>
    </row>
    <row r="292" spans="1:13" s="1314" customFormat="1" ht="15" hidden="1" outlineLevel="2" x14ac:dyDescent="0.25">
      <c r="A292" s="1314" t="s">
        <v>1672</v>
      </c>
      <c r="B292" s="1314" t="s">
        <v>1591</v>
      </c>
      <c r="C292" s="1314" t="s">
        <v>1592</v>
      </c>
      <c r="D292" s="1316">
        <v>10839</v>
      </c>
      <c r="E292" s="1316">
        <v>0</v>
      </c>
      <c r="F292" s="1314">
        <v>10839</v>
      </c>
      <c r="G292" s="1314">
        <v>0</v>
      </c>
      <c r="H292" s="1314">
        <v>-10839</v>
      </c>
      <c r="I292" s="1317">
        <f>SUM($F292:H292)</f>
        <v>0</v>
      </c>
      <c r="J292" s="1314">
        <v>10839</v>
      </c>
      <c r="K292" s="1314">
        <v>-10839</v>
      </c>
      <c r="L292" s="1317">
        <f t="shared" si="29"/>
        <v>0</v>
      </c>
      <c r="M292" s="1317">
        <f t="shared" si="30"/>
        <v>0</v>
      </c>
    </row>
    <row r="293" spans="1:13" s="1314" customFormat="1" ht="15" hidden="1" outlineLevel="2" x14ac:dyDescent="0.25">
      <c r="A293" s="1314" t="s">
        <v>1672</v>
      </c>
      <c r="B293" s="1314" t="s">
        <v>1593</v>
      </c>
      <c r="C293" s="1314" t="s">
        <v>1594</v>
      </c>
      <c r="D293" s="1316">
        <v>105020</v>
      </c>
      <c r="E293" s="1316">
        <v>0</v>
      </c>
      <c r="F293" s="1314">
        <v>105020</v>
      </c>
      <c r="G293" s="1314">
        <v>0</v>
      </c>
      <c r="H293" s="1314">
        <v>-105020</v>
      </c>
      <c r="I293" s="1317">
        <f>SUM($F293:H293)</f>
        <v>0</v>
      </c>
      <c r="J293" s="1314">
        <v>105020</v>
      </c>
      <c r="K293" s="1314">
        <v>-105020</v>
      </c>
      <c r="L293" s="1317">
        <f t="shared" si="29"/>
        <v>0</v>
      </c>
      <c r="M293" s="1317">
        <f t="shared" si="30"/>
        <v>0</v>
      </c>
    </row>
    <row r="294" spans="1:13" s="1314" customFormat="1" ht="15" hidden="1" outlineLevel="2" x14ac:dyDescent="0.25">
      <c r="A294" s="1314" t="s">
        <v>1672</v>
      </c>
      <c r="B294" s="1314" t="s">
        <v>1595</v>
      </c>
      <c r="C294" s="1314" t="s">
        <v>1596</v>
      </c>
      <c r="D294" s="1316">
        <v>7949</v>
      </c>
      <c r="E294" s="1316">
        <v>0</v>
      </c>
      <c r="F294" s="1314">
        <v>7949</v>
      </c>
      <c r="G294" s="1314">
        <v>0</v>
      </c>
      <c r="H294" s="1314">
        <v>-7949</v>
      </c>
      <c r="I294" s="1317">
        <f>SUM($F294:H294)</f>
        <v>0</v>
      </c>
      <c r="J294" s="1314">
        <v>7949</v>
      </c>
      <c r="K294" s="1314">
        <v>-7949</v>
      </c>
      <c r="L294" s="1317">
        <f t="shared" si="29"/>
        <v>0</v>
      </c>
      <c r="M294" s="1317">
        <f t="shared" si="30"/>
        <v>0</v>
      </c>
    </row>
    <row r="295" spans="1:13" s="1314" customFormat="1" ht="15" hidden="1" outlineLevel="2" x14ac:dyDescent="0.25">
      <c r="A295" s="1314" t="s">
        <v>1672</v>
      </c>
      <c r="B295" s="1314" t="s">
        <v>1597</v>
      </c>
      <c r="C295" s="1314" t="s">
        <v>1598</v>
      </c>
      <c r="D295" s="1316">
        <v>30591</v>
      </c>
      <c r="E295" s="1316">
        <v>0</v>
      </c>
      <c r="F295" s="1314">
        <v>30591</v>
      </c>
      <c r="G295" s="1314">
        <v>0</v>
      </c>
      <c r="H295" s="1314">
        <v>-30591</v>
      </c>
      <c r="I295" s="1317">
        <f>SUM($F295:H295)</f>
        <v>0</v>
      </c>
      <c r="J295" s="1314">
        <v>30591</v>
      </c>
      <c r="K295" s="1314">
        <v>-30591</v>
      </c>
      <c r="L295" s="1317">
        <f t="shared" si="29"/>
        <v>0</v>
      </c>
      <c r="M295" s="1317">
        <f t="shared" si="30"/>
        <v>0</v>
      </c>
    </row>
    <row r="296" spans="1:13" s="1314" customFormat="1" ht="15" hidden="1" outlineLevel="2" x14ac:dyDescent="0.25">
      <c r="A296" s="1314" t="s">
        <v>1672</v>
      </c>
      <c r="B296" s="1314" t="s">
        <v>1599</v>
      </c>
      <c r="C296" s="1314" t="s">
        <v>1600</v>
      </c>
      <c r="D296" s="1316">
        <v>65517</v>
      </c>
      <c r="E296" s="1316">
        <v>0</v>
      </c>
      <c r="F296" s="1314">
        <v>65517</v>
      </c>
      <c r="G296" s="1314">
        <v>0</v>
      </c>
      <c r="H296" s="1314">
        <v>-65517</v>
      </c>
      <c r="I296" s="1317">
        <f>SUM($F296:H296)</f>
        <v>0</v>
      </c>
      <c r="J296" s="1314">
        <v>65517</v>
      </c>
      <c r="K296" s="1314">
        <v>-65517</v>
      </c>
      <c r="L296" s="1317">
        <f t="shared" si="29"/>
        <v>0</v>
      </c>
      <c r="M296" s="1317">
        <f t="shared" si="30"/>
        <v>0</v>
      </c>
    </row>
    <row r="297" spans="1:13" s="1314" customFormat="1" ht="15" hidden="1" outlineLevel="2" x14ac:dyDescent="0.25">
      <c r="A297" s="1314" t="s">
        <v>1672</v>
      </c>
      <c r="B297" s="1314" t="s">
        <v>1601</v>
      </c>
      <c r="C297" s="1314" t="s">
        <v>1602</v>
      </c>
      <c r="D297" s="1316">
        <v>105020</v>
      </c>
      <c r="E297" s="1316">
        <v>0</v>
      </c>
      <c r="F297" s="1314">
        <v>105020</v>
      </c>
      <c r="G297" s="1314">
        <v>0</v>
      </c>
      <c r="H297" s="1314">
        <v>-105020</v>
      </c>
      <c r="I297" s="1317">
        <f>SUM($F297:H297)</f>
        <v>0</v>
      </c>
      <c r="J297" s="1314">
        <v>105020</v>
      </c>
      <c r="K297" s="1314">
        <v>-105020</v>
      </c>
      <c r="L297" s="1317">
        <f t="shared" si="29"/>
        <v>0</v>
      </c>
      <c r="M297" s="1317">
        <f t="shared" si="30"/>
        <v>0</v>
      </c>
    </row>
    <row r="298" spans="1:13" s="1314" customFormat="1" ht="15" hidden="1" outlineLevel="2" x14ac:dyDescent="0.25">
      <c r="A298" s="1314" t="s">
        <v>1672</v>
      </c>
      <c r="B298" s="1314" t="s">
        <v>1603</v>
      </c>
      <c r="C298" s="1314" t="s">
        <v>1604</v>
      </c>
      <c r="D298" s="1316">
        <v>134647</v>
      </c>
      <c r="E298" s="1316">
        <v>0</v>
      </c>
      <c r="F298" s="1314">
        <v>134647</v>
      </c>
      <c r="G298" s="1314">
        <v>0</v>
      </c>
      <c r="H298" s="1314">
        <v>-134647</v>
      </c>
      <c r="I298" s="1317">
        <f>SUM($F298:H298)</f>
        <v>0</v>
      </c>
      <c r="J298" s="1314">
        <v>134647</v>
      </c>
      <c r="K298" s="1314">
        <v>-134647</v>
      </c>
      <c r="L298" s="1317">
        <f t="shared" si="29"/>
        <v>0</v>
      </c>
      <c r="M298" s="1317">
        <f t="shared" si="30"/>
        <v>0</v>
      </c>
    </row>
    <row r="299" spans="1:13" s="1314" customFormat="1" ht="15" hidden="1" outlineLevel="2" x14ac:dyDescent="0.25">
      <c r="A299" s="1314" t="s">
        <v>1672</v>
      </c>
      <c r="B299" s="1314" t="s">
        <v>1605</v>
      </c>
      <c r="C299" s="1314" t="s">
        <v>1606</v>
      </c>
      <c r="D299" s="1316">
        <v>30350</v>
      </c>
      <c r="E299" s="1316">
        <v>0</v>
      </c>
      <c r="F299" s="1314">
        <v>30350</v>
      </c>
      <c r="G299" s="1314">
        <v>0</v>
      </c>
      <c r="H299" s="1314">
        <v>-30350</v>
      </c>
      <c r="I299" s="1317">
        <f>SUM($F299:H299)</f>
        <v>0</v>
      </c>
      <c r="J299" s="1314">
        <v>30350</v>
      </c>
      <c r="K299" s="1314">
        <v>-30350</v>
      </c>
      <c r="L299" s="1317">
        <f t="shared" si="29"/>
        <v>0</v>
      </c>
      <c r="M299" s="1317">
        <f t="shared" si="30"/>
        <v>0</v>
      </c>
    </row>
    <row r="300" spans="1:13" s="1314" customFormat="1" ht="15" hidden="1" outlineLevel="2" x14ac:dyDescent="0.25">
      <c r="A300" s="1314" t="s">
        <v>1672</v>
      </c>
      <c r="B300" s="1314" t="s">
        <v>1607</v>
      </c>
      <c r="C300" s="1314" t="s">
        <v>1608</v>
      </c>
      <c r="D300" s="1316">
        <v>95385</v>
      </c>
      <c r="E300" s="1316">
        <v>0</v>
      </c>
      <c r="F300" s="1314">
        <v>95385</v>
      </c>
      <c r="G300" s="1314">
        <v>0</v>
      </c>
      <c r="H300" s="1314">
        <v>-95385</v>
      </c>
      <c r="I300" s="1317">
        <f>SUM($F300:H300)</f>
        <v>0</v>
      </c>
      <c r="J300" s="1314">
        <v>95385</v>
      </c>
      <c r="K300" s="1314">
        <v>-95385</v>
      </c>
      <c r="L300" s="1317">
        <f t="shared" si="29"/>
        <v>0</v>
      </c>
      <c r="M300" s="1317">
        <f t="shared" si="30"/>
        <v>0</v>
      </c>
    </row>
    <row r="301" spans="1:13" s="1314" customFormat="1" ht="15" hidden="1" outlineLevel="2" x14ac:dyDescent="0.25">
      <c r="A301" s="1314" t="s">
        <v>1672</v>
      </c>
      <c r="B301" s="1314" t="s">
        <v>1609</v>
      </c>
      <c r="C301" s="1314" t="s">
        <v>1610</v>
      </c>
      <c r="D301" s="1316">
        <v>11562</v>
      </c>
      <c r="E301" s="1316">
        <v>0</v>
      </c>
      <c r="F301" s="1314">
        <v>11562</v>
      </c>
      <c r="G301" s="1314">
        <v>0</v>
      </c>
      <c r="H301" s="1314">
        <v>-11562</v>
      </c>
      <c r="I301" s="1317">
        <f>SUM($F301:H301)</f>
        <v>0</v>
      </c>
      <c r="J301" s="1314">
        <v>11562</v>
      </c>
      <c r="K301" s="1314">
        <v>-11562</v>
      </c>
      <c r="L301" s="1317">
        <f t="shared" si="29"/>
        <v>0</v>
      </c>
      <c r="M301" s="1317">
        <f t="shared" si="30"/>
        <v>0</v>
      </c>
    </row>
    <row r="302" spans="1:13" s="1314" customFormat="1" ht="15" hidden="1" outlineLevel="2" x14ac:dyDescent="0.25">
      <c r="A302" s="1314" t="s">
        <v>1672</v>
      </c>
      <c r="B302" s="1314" t="s">
        <v>1611</v>
      </c>
      <c r="C302" s="1314" t="s">
        <v>1612</v>
      </c>
      <c r="D302" s="1316">
        <v>18547</v>
      </c>
      <c r="E302" s="1316">
        <v>0</v>
      </c>
      <c r="F302" s="1314">
        <v>18547</v>
      </c>
      <c r="G302" s="1314">
        <v>0</v>
      </c>
      <c r="H302" s="1314">
        <v>-18547</v>
      </c>
      <c r="I302" s="1317">
        <f>SUM($F302:H302)</f>
        <v>0</v>
      </c>
      <c r="J302" s="1314">
        <v>18547</v>
      </c>
      <c r="K302" s="1314">
        <v>-18547</v>
      </c>
      <c r="L302" s="1317">
        <f t="shared" si="29"/>
        <v>0</v>
      </c>
      <c r="M302" s="1317">
        <f t="shared" si="30"/>
        <v>0</v>
      </c>
    </row>
    <row r="303" spans="1:13" s="1314" customFormat="1" ht="15" hidden="1" outlineLevel="2" x14ac:dyDescent="0.25">
      <c r="A303" s="1314" t="s">
        <v>1672</v>
      </c>
      <c r="B303" s="1314" t="s">
        <v>1613</v>
      </c>
      <c r="C303" s="1314" t="s">
        <v>1614</v>
      </c>
      <c r="D303" s="1316">
        <v>3372</v>
      </c>
      <c r="E303" s="1316">
        <v>0</v>
      </c>
      <c r="F303" s="1314">
        <v>3372</v>
      </c>
      <c r="G303" s="1314">
        <v>0</v>
      </c>
      <c r="H303" s="1314">
        <v>-3372</v>
      </c>
      <c r="I303" s="1317">
        <f>SUM($F303:H303)</f>
        <v>0</v>
      </c>
      <c r="J303" s="1314">
        <v>3372</v>
      </c>
      <c r="K303" s="1314">
        <v>-3372</v>
      </c>
      <c r="L303" s="1317">
        <f t="shared" si="29"/>
        <v>0</v>
      </c>
      <c r="M303" s="1317">
        <f t="shared" si="30"/>
        <v>0</v>
      </c>
    </row>
    <row r="304" spans="1:13" s="1314" customFormat="1" ht="15" hidden="1" outlineLevel="2" x14ac:dyDescent="0.25">
      <c r="A304" s="1314" t="s">
        <v>1672</v>
      </c>
      <c r="B304" s="1314" t="s">
        <v>1615</v>
      </c>
      <c r="C304" s="1314" t="s">
        <v>1616</v>
      </c>
      <c r="D304" s="1316">
        <v>520284</v>
      </c>
      <c r="E304" s="1316">
        <v>0</v>
      </c>
      <c r="F304" s="1314">
        <v>520284</v>
      </c>
      <c r="G304" s="1314">
        <v>0</v>
      </c>
      <c r="H304" s="1314">
        <v>-520284</v>
      </c>
      <c r="I304" s="1317">
        <f>SUM($F304:H304)</f>
        <v>0</v>
      </c>
      <c r="J304" s="1314">
        <v>520284</v>
      </c>
      <c r="K304" s="1314">
        <v>-520284</v>
      </c>
      <c r="L304" s="1317">
        <f t="shared" si="29"/>
        <v>0</v>
      </c>
      <c r="M304" s="1317">
        <f t="shared" si="30"/>
        <v>0</v>
      </c>
    </row>
    <row r="305" spans="1:13" s="1314" customFormat="1" ht="15" hidden="1" outlineLevel="2" x14ac:dyDescent="0.25">
      <c r="A305" s="1314" t="s">
        <v>1672</v>
      </c>
      <c r="B305" s="1314" t="s">
        <v>1617</v>
      </c>
      <c r="C305" s="1314" t="s">
        <v>1618</v>
      </c>
      <c r="D305" s="1316">
        <v>963</v>
      </c>
      <c r="E305" s="1316">
        <v>0</v>
      </c>
      <c r="F305" s="1314">
        <v>963</v>
      </c>
      <c r="G305" s="1314">
        <v>0</v>
      </c>
      <c r="H305" s="1314">
        <v>-963</v>
      </c>
      <c r="I305" s="1317">
        <f>SUM($F305:H305)</f>
        <v>0</v>
      </c>
      <c r="J305" s="1314">
        <v>963</v>
      </c>
      <c r="K305" s="1314">
        <v>-963</v>
      </c>
      <c r="L305" s="1317">
        <f t="shared" si="29"/>
        <v>0</v>
      </c>
      <c r="M305" s="1317">
        <f t="shared" si="30"/>
        <v>0</v>
      </c>
    </row>
    <row r="306" spans="1:13" s="1314" customFormat="1" ht="15" hidden="1" outlineLevel="2" x14ac:dyDescent="0.25">
      <c r="A306" s="1314" t="s">
        <v>1672</v>
      </c>
      <c r="B306" s="1314" t="s">
        <v>1619</v>
      </c>
      <c r="C306" s="1314" t="s">
        <v>1620</v>
      </c>
      <c r="D306" s="1316">
        <v>262791</v>
      </c>
      <c r="E306" s="1316">
        <v>0</v>
      </c>
      <c r="F306" s="1314">
        <v>262791</v>
      </c>
      <c r="G306" s="1314">
        <v>0</v>
      </c>
      <c r="H306" s="1314">
        <v>-262791</v>
      </c>
      <c r="I306" s="1317">
        <f>SUM($F306:H306)</f>
        <v>0</v>
      </c>
      <c r="J306" s="1314">
        <v>262791</v>
      </c>
      <c r="K306" s="1314">
        <v>-262791</v>
      </c>
      <c r="L306" s="1317">
        <f t="shared" si="29"/>
        <v>0</v>
      </c>
      <c r="M306" s="1317">
        <f t="shared" si="30"/>
        <v>0</v>
      </c>
    </row>
    <row r="307" spans="1:13" s="1314" customFormat="1" ht="15" hidden="1" outlineLevel="2" x14ac:dyDescent="0.25">
      <c r="A307" s="1314" t="s">
        <v>1672</v>
      </c>
      <c r="B307" s="1314" t="s">
        <v>1621</v>
      </c>
      <c r="C307" s="1314" t="s">
        <v>1622</v>
      </c>
      <c r="D307" s="1316">
        <v>40707</v>
      </c>
      <c r="E307" s="1316">
        <v>0</v>
      </c>
      <c r="F307" s="1314">
        <v>40707</v>
      </c>
      <c r="G307" s="1314">
        <v>0</v>
      </c>
      <c r="H307" s="1314">
        <v>-40707</v>
      </c>
      <c r="I307" s="1317">
        <f>SUM($F307:H307)</f>
        <v>0</v>
      </c>
      <c r="J307" s="1314">
        <v>40707</v>
      </c>
      <c r="K307" s="1314">
        <v>-40707</v>
      </c>
      <c r="L307" s="1317">
        <f t="shared" si="29"/>
        <v>0</v>
      </c>
      <c r="M307" s="1317">
        <f t="shared" si="30"/>
        <v>0</v>
      </c>
    </row>
    <row r="308" spans="1:13" s="1314" customFormat="1" ht="15" hidden="1" outlineLevel="2" x14ac:dyDescent="0.25">
      <c r="A308" s="1314" t="s">
        <v>1672</v>
      </c>
      <c r="B308" s="1314" t="s">
        <v>1623</v>
      </c>
      <c r="C308" s="1314" t="s">
        <v>1624</v>
      </c>
      <c r="D308" s="1316">
        <v>15416</v>
      </c>
      <c r="E308" s="1316">
        <v>0</v>
      </c>
      <c r="F308" s="1314">
        <v>15416</v>
      </c>
      <c r="G308" s="1314">
        <v>0</v>
      </c>
      <c r="H308" s="1314">
        <v>-15416</v>
      </c>
      <c r="I308" s="1317">
        <f>SUM($F308:H308)</f>
        <v>0</v>
      </c>
      <c r="J308" s="1314">
        <v>15416</v>
      </c>
      <c r="K308" s="1314">
        <v>-15416</v>
      </c>
      <c r="L308" s="1317">
        <f t="shared" si="29"/>
        <v>0</v>
      </c>
      <c r="M308" s="1317">
        <f t="shared" si="30"/>
        <v>0</v>
      </c>
    </row>
    <row r="309" spans="1:13" s="1314" customFormat="1" ht="15" hidden="1" outlineLevel="2" x14ac:dyDescent="0.25">
      <c r="A309" s="1314" t="s">
        <v>1672</v>
      </c>
      <c r="B309" s="1314" t="s">
        <v>1625</v>
      </c>
      <c r="C309" s="1314" t="s">
        <v>1626</v>
      </c>
      <c r="D309" s="1316">
        <v>420322</v>
      </c>
      <c r="E309" s="1316">
        <v>0</v>
      </c>
      <c r="F309" s="1314">
        <v>420322</v>
      </c>
      <c r="G309" s="1314">
        <v>0</v>
      </c>
      <c r="H309" s="1314">
        <v>-420322</v>
      </c>
      <c r="I309" s="1317">
        <f>SUM($F309:H309)</f>
        <v>0</v>
      </c>
      <c r="J309" s="1314">
        <v>420322</v>
      </c>
      <c r="K309" s="1314">
        <v>-420322</v>
      </c>
      <c r="L309" s="1317">
        <f t="shared" si="29"/>
        <v>0</v>
      </c>
      <c r="M309" s="1317">
        <f t="shared" si="30"/>
        <v>0</v>
      </c>
    </row>
    <row r="310" spans="1:13" s="1314" customFormat="1" ht="15" hidden="1" outlineLevel="2" x14ac:dyDescent="0.25">
      <c r="A310" s="1314" t="s">
        <v>1672</v>
      </c>
      <c r="B310" s="1314" t="s">
        <v>1627</v>
      </c>
      <c r="C310" s="1314" t="s">
        <v>1628</v>
      </c>
      <c r="D310" s="1316">
        <v>116582</v>
      </c>
      <c r="E310" s="1316">
        <v>0</v>
      </c>
      <c r="F310" s="1314">
        <v>116582</v>
      </c>
      <c r="G310" s="1314">
        <v>0</v>
      </c>
      <c r="H310" s="1314">
        <v>-116582</v>
      </c>
      <c r="I310" s="1317">
        <f>SUM($F310:H310)</f>
        <v>0</v>
      </c>
      <c r="J310" s="1314">
        <v>116582</v>
      </c>
      <c r="K310" s="1314">
        <v>-116582</v>
      </c>
      <c r="L310" s="1317">
        <f t="shared" si="29"/>
        <v>0</v>
      </c>
      <c r="M310" s="1317">
        <f t="shared" si="30"/>
        <v>0</v>
      </c>
    </row>
    <row r="311" spans="1:13" s="1314" customFormat="1" ht="15" hidden="1" outlineLevel="2" x14ac:dyDescent="0.25">
      <c r="A311" s="1314" t="s">
        <v>1672</v>
      </c>
      <c r="B311" s="1314" t="s">
        <v>1629</v>
      </c>
      <c r="C311" s="1314" t="s">
        <v>1630</v>
      </c>
      <c r="D311" s="1316">
        <v>121881</v>
      </c>
      <c r="E311" s="1316">
        <v>0</v>
      </c>
      <c r="F311" s="1314">
        <v>121881</v>
      </c>
      <c r="G311" s="1314">
        <v>0</v>
      </c>
      <c r="H311" s="1314">
        <v>-121881</v>
      </c>
      <c r="I311" s="1317">
        <f>SUM($F311:H311)</f>
        <v>0</v>
      </c>
      <c r="J311" s="1314">
        <v>121881</v>
      </c>
      <c r="K311" s="1314">
        <v>-121881</v>
      </c>
      <c r="L311" s="1317">
        <f t="shared" si="29"/>
        <v>0</v>
      </c>
      <c r="M311" s="1317">
        <f t="shared" si="30"/>
        <v>0</v>
      </c>
    </row>
    <row r="312" spans="1:13" s="1314" customFormat="1" ht="15" hidden="1" outlineLevel="2" x14ac:dyDescent="0.25">
      <c r="A312" s="1314" t="s">
        <v>1672</v>
      </c>
      <c r="B312" s="1314" t="s">
        <v>1631</v>
      </c>
      <c r="C312" s="1314" t="s">
        <v>1632</v>
      </c>
      <c r="D312" s="1316">
        <v>104057</v>
      </c>
      <c r="E312" s="1316">
        <v>0</v>
      </c>
      <c r="F312" s="1314">
        <v>104057</v>
      </c>
      <c r="G312" s="1314">
        <v>0</v>
      </c>
      <c r="H312" s="1314">
        <v>-104057</v>
      </c>
      <c r="I312" s="1317">
        <f>SUM($F312:H312)</f>
        <v>0</v>
      </c>
      <c r="J312" s="1314">
        <v>104057</v>
      </c>
      <c r="K312" s="1314">
        <v>-104057</v>
      </c>
      <c r="L312" s="1317">
        <f t="shared" si="29"/>
        <v>0</v>
      </c>
      <c r="M312" s="1317">
        <f t="shared" si="30"/>
        <v>0</v>
      </c>
    </row>
    <row r="313" spans="1:13" s="1314" customFormat="1" ht="15" hidden="1" outlineLevel="2" x14ac:dyDescent="0.25">
      <c r="A313" s="1314" t="s">
        <v>1672</v>
      </c>
      <c r="B313" s="1314" t="s">
        <v>1633</v>
      </c>
      <c r="C313" s="1314" t="s">
        <v>1634</v>
      </c>
      <c r="D313" s="1316">
        <v>68649</v>
      </c>
      <c r="E313" s="1316">
        <v>0</v>
      </c>
      <c r="F313" s="1314">
        <v>68649</v>
      </c>
      <c r="G313" s="1314">
        <v>0</v>
      </c>
      <c r="H313" s="1314">
        <v>-68649</v>
      </c>
      <c r="I313" s="1317">
        <f>SUM($F313:H313)</f>
        <v>0</v>
      </c>
      <c r="J313" s="1314">
        <v>68649</v>
      </c>
      <c r="K313" s="1314">
        <v>-68649</v>
      </c>
      <c r="L313" s="1317">
        <f t="shared" si="29"/>
        <v>0</v>
      </c>
      <c r="M313" s="1317">
        <f t="shared" si="30"/>
        <v>0</v>
      </c>
    </row>
    <row r="314" spans="1:13" s="1314" customFormat="1" ht="15" hidden="1" outlineLevel="2" x14ac:dyDescent="0.25">
      <c r="A314" s="1314" t="s">
        <v>1672</v>
      </c>
      <c r="B314" s="1314" t="s">
        <v>1635</v>
      </c>
      <c r="C314" s="1314" t="s">
        <v>1636</v>
      </c>
      <c r="D314" s="1316">
        <v>52510</v>
      </c>
      <c r="E314" s="1316">
        <v>0</v>
      </c>
      <c r="F314" s="1314">
        <v>52510</v>
      </c>
      <c r="G314" s="1314">
        <v>0</v>
      </c>
      <c r="H314" s="1314">
        <v>-52510</v>
      </c>
      <c r="I314" s="1317">
        <f>SUM($F314:H314)</f>
        <v>0</v>
      </c>
      <c r="J314" s="1314">
        <v>52510</v>
      </c>
      <c r="K314" s="1314">
        <v>-52510</v>
      </c>
      <c r="L314" s="1317">
        <f t="shared" si="29"/>
        <v>0</v>
      </c>
      <c r="M314" s="1317">
        <f t="shared" si="30"/>
        <v>0</v>
      </c>
    </row>
    <row r="315" spans="1:13" s="1314" customFormat="1" ht="15" hidden="1" outlineLevel="2" x14ac:dyDescent="0.25">
      <c r="A315" s="1314" t="s">
        <v>1672</v>
      </c>
      <c r="B315" s="1314" t="s">
        <v>1637</v>
      </c>
      <c r="C315" s="1314" t="s">
        <v>1638</v>
      </c>
      <c r="D315" s="1316">
        <v>214617</v>
      </c>
      <c r="E315" s="1316">
        <v>0</v>
      </c>
      <c r="F315" s="1314">
        <v>214617</v>
      </c>
      <c r="G315" s="1314">
        <v>0</v>
      </c>
      <c r="H315" s="1314">
        <v>-214617</v>
      </c>
      <c r="I315" s="1317">
        <f>SUM($F315:H315)</f>
        <v>0</v>
      </c>
      <c r="J315" s="1314">
        <v>214617</v>
      </c>
      <c r="K315" s="1314">
        <v>-214617</v>
      </c>
      <c r="L315" s="1317">
        <f t="shared" si="29"/>
        <v>0</v>
      </c>
      <c r="M315" s="1317">
        <f t="shared" si="30"/>
        <v>0</v>
      </c>
    </row>
    <row r="316" spans="1:13" s="1314" customFormat="1" ht="15" hidden="1" outlineLevel="2" x14ac:dyDescent="0.25">
      <c r="A316" s="1314" t="s">
        <v>1672</v>
      </c>
      <c r="B316" s="1314" t="s">
        <v>1639</v>
      </c>
      <c r="C316" s="1314" t="s">
        <v>1640</v>
      </c>
      <c r="D316" s="1316">
        <v>12285</v>
      </c>
      <c r="E316" s="1316">
        <v>0</v>
      </c>
      <c r="F316" s="1314">
        <v>12285</v>
      </c>
      <c r="G316" s="1314">
        <v>0</v>
      </c>
      <c r="H316" s="1314">
        <v>-12285</v>
      </c>
      <c r="I316" s="1317">
        <f>SUM($F316:H316)</f>
        <v>0</v>
      </c>
      <c r="J316" s="1314">
        <v>12285</v>
      </c>
      <c r="K316" s="1314">
        <v>-12285</v>
      </c>
      <c r="L316" s="1317">
        <f t="shared" si="29"/>
        <v>0</v>
      </c>
      <c r="M316" s="1317">
        <f t="shared" si="30"/>
        <v>0</v>
      </c>
    </row>
    <row r="317" spans="1:13" s="1314" customFormat="1" ht="15" hidden="1" outlineLevel="2" x14ac:dyDescent="0.25">
      <c r="A317" s="1314" t="s">
        <v>1672</v>
      </c>
      <c r="B317" s="1314" t="s">
        <v>1641</v>
      </c>
      <c r="C317" s="1314" t="s">
        <v>1642</v>
      </c>
      <c r="D317" s="1316">
        <v>54437</v>
      </c>
      <c r="E317" s="1316">
        <v>0</v>
      </c>
      <c r="F317" s="1314">
        <v>54437</v>
      </c>
      <c r="G317" s="1314">
        <v>0</v>
      </c>
      <c r="H317" s="1314">
        <v>-54437</v>
      </c>
      <c r="I317" s="1317">
        <f>SUM($F317:H317)</f>
        <v>0</v>
      </c>
      <c r="J317" s="1314">
        <v>54437</v>
      </c>
      <c r="K317" s="1314">
        <v>-54437</v>
      </c>
      <c r="L317" s="1317">
        <f t="shared" si="29"/>
        <v>0</v>
      </c>
      <c r="M317" s="1317">
        <f t="shared" si="30"/>
        <v>0</v>
      </c>
    </row>
    <row r="318" spans="1:13" s="1314" customFormat="1" ht="15" hidden="1" outlineLevel="2" x14ac:dyDescent="0.25">
      <c r="A318" s="1314" t="s">
        <v>1672</v>
      </c>
      <c r="B318" s="1314" t="s">
        <v>1643</v>
      </c>
      <c r="C318" s="1314" t="s">
        <v>1644</v>
      </c>
      <c r="D318" s="1316">
        <v>399125</v>
      </c>
      <c r="E318" s="1316">
        <v>0</v>
      </c>
      <c r="F318" s="1314">
        <v>399125</v>
      </c>
      <c r="G318" s="1314">
        <v>0</v>
      </c>
      <c r="H318" s="1314">
        <v>-399125</v>
      </c>
      <c r="I318" s="1317">
        <f>SUM($F318:H318)</f>
        <v>0</v>
      </c>
      <c r="J318" s="1314">
        <v>399125</v>
      </c>
      <c r="K318" s="1314">
        <v>-399125</v>
      </c>
      <c r="L318" s="1317">
        <f t="shared" si="29"/>
        <v>0</v>
      </c>
      <c r="M318" s="1317">
        <f t="shared" si="30"/>
        <v>0</v>
      </c>
    </row>
    <row r="319" spans="1:13" s="1314" customFormat="1" ht="15" hidden="1" outlineLevel="2" x14ac:dyDescent="0.25">
      <c r="A319" s="1314" t="s">
        <v>1672</v>
      </c>
      <c r="B319" s="1314" t="s">
        <v>1645</v>
      </c>
      <c r="C319" s="1314" t="s">
        <v>1646</v>
      </c>
      <c r="D319" s="1316">
        <v>63349</v>
      </c>
      <c r="E319" s="1316">
        <v>0</v>
      </c>
      <c r="F319" s="1314">
        <v>63349</v>
      </c>
      <c r="G319" s="1314">
        <v>0</v>
      </c>
      <c r="H319" s="1314">
        <v>-63349</v>
      </c>
      <c r="I319" s="1317">
        <f>SUM($F319:H319)</f>
        <v>0</v>
      </c>
      <c r="J319" s="1314">
        <v>63349</v>
      </c>
      <c r="K319" s="1314">
        <v>-63349</v>
      </c>
      <c r="L319" s="1317">
        <f t="shared" si="29"/>
        <v>0</v>
      </c>
      <c r="M319" s="1317">
        <f t="shared" si="30"/>
        <v>0</v>
      </c>
    </row>
    <row r="320" spans="1:13" s="1314" customFormat="1" ht="15" hidden="1" outlineLevel="2" x14ac:dyDescent="0.25">
      <c r="A320" s="1314" t="s">
        <v>1672</v>
      </c>
      <c r="B320" s="1314" t="s">
        <v>1647</v>
      </c>
      <c r="C320" s="1314" t="s">
        <v>1648</v>
      </c>
      <c r="D320" s="1316">
        <v>11562</v>
      </c>
      <c r="E320" s="1316">
        <v>0</v>
      </c>
      <c r="F320" s="1314">
        <v>11562</v>
      </c>
      <c r="G320" s="1314">
        <v>0</v>
      </c>
      <c r="H320" s="1314">
        <v>-11562</v>
      </c>
      <c r="I320" s="1317">
        <f>SUM($F320:H320)</f>
        <v>0</v>
      </c>
      <c r="J320" s="1314">
        <v>11562</v>
      </c>
      <c r="K320" s="1314">
        <v>-11562</v>
      </c>
      <c r="L320" s="1317">
        <f t="shared" si="29"/>
        <v>0</v>
      </c>
      <c r="M320" s="1317">
        <f t="shared" si="30"/>
        <v>0</v>
      </c>
    </row>
    <row r="321" spans="1:13" s="1314" customFormat="1" ht="15" hidden="1" outlineLevel="2" x14ac:dyDescent="0.25">
      <c r="A321" s="1314" t="s">
        <v>1672</v>
      </c>
      <c r="B321" s="1314" t="s">
        <v>1649</v>
      </c>
      <c r="C321" s="1314" t="s">
        <v>1650</v>
      </c>
      <c r="D321" s="1316">
        <v>39503</v>
      </c>
      <c r="E321" s="1316">
        <v>0</v>
      </c>
      <c r="F321" s="1314">
        <v>39503</v>
      </c>
      <c r="G321" s="1314">
        <v>0</v>
      </c>
      <c r="H321" s="1314">
        <v>-39503</v>
      </c>
      <c r="I321" s="1317">
        <f>SUM($F321:H321)</f>
        <v>0</v>
      </c>
      <c r="J321" s="1314">
        <v>39503</v>
      </c>
      <c r="K321" s="1314">
        <v>-39503</v>
      </c>
      <c r="L321" s="1317">
        <f t="shared" si="29"/>
        <v>0</v>
      </c>
      <c r="M321" s="1317">
        <f t="shared" si="30"/>
        <v>0</v>
      </c>
    </row>
    <row r="322" spans="1:13" s="1314" customFormat="1" ht="15" hidden="1" outlineLevel="2" x14ac:dyDescent="0.25">
      <c r="A322" s="1314" t="s">
        <v>1672</v>
      </c>
      <c r="B322" s="1314" t="s">
        <v>1651</v>
      </c>
      <c r="C322" s="1314" t="s">
        <v>1652</v>
      </c>
      <c r="D322" s="1316">
        <v>642</v>
      </c>
      <c r="E322" s="1316">
        <v>0</v>
      </c>
      <c r="F322" s="1314">
        <v>642</v>
      </c>
      <c r="G322" s="1314">
        <v>0</v>
      </c>
      <c r="H322" s="1314">
        <v>-642</v>
      </c>
      <c r="I322" s="1317">
        <f>SUM($F322:H322)</f>
        <v>0</v>
      </c>
      <c r="J322" s="1314">
        <v>642</v>
      </c>
      <c r="K322" s="1314">
        <v>-642</v>
      </c>
      <c r="L322" s="1317">
        <f>SUM(J322:K322)</f>
        <v>0</v>
      </c>
      <c r="M322" s="1317">
        <f>+I322+L322</f>
        <v>0</v>
      </c>
    </row>
    <row r="323" spans="1:13" s="1314" customFormat="1" ht="15" hidden="1" outlineLevel="2" x14ac:dyDescent="0.25">
      <c r="A323" s="1314" t="s">
        <v>1672</v>
      </c>
      <c r="B323" s="1314" t="s">
        <v>1653</v>
      </c>
      <c r="C323" s="1314" t="s">
        <v>1654</v>
      </c>
      <c r="D323" s="1316">
        <v>16861</v>
      </c>
      <c r="E323" s="1316">
        <v>0</v>
      </c>
      <c r="F323" s="1314">
        <v>16861</v>
      </c>
      <c r="G323" s="1314">
        <v>0</v>
      </c>
      <c r="H323" s="1314">
        <v>-16861</v>
      </c>
      <c r="I323" s="1317">
        <f>SUM($F323:H323)</f>
        <v>0</v>
      </c>
      <c r="J323" s="1314">
        <v>16861</v>
      </c>
      <c r="K323" s="1314">
        <v>-16861</v>
      </c>
      <c r="L323" s="1317">
        <f>SUM(J323:K323)</f>
        <v>0</v>
      </c>
      <c r="M323" s="1317">
        <f>+I323+L323</f>
        <v>0</v>
      </c>
    </row>
    <row r="324" spans="1:13" s="1314" customFormat="1" ht="15" hidden="1" outlineLevel="2" x14ac:dyDescent="0.25">
      <c r="A324" s="1314" t="s">
        <v>1672</v>
      </c>
      <c r="B324" s="1314" t="s">
        <v>1655</v>
      </c>
      <c r="C324" s="1314" t="s">
        <v>1656</v>
      </c>
      <c r="D324" s="1316">
        <v>10598</v>
      </c>
      <c r="E324" s="1316">
        <v>0</v>
      </c>
      <c r="F324" s="1314">
        <v>10598</v>
      </c>
      <c r="G324" s="1314">
        <v>0</v>
      </c>
      <c r="H324" s="1314">
        <v>-10598</v>
      </c>
      <c r="I324" s="1317">
        <f>SUM($F324:H324)</f>
        <v>0</v>
      </c>
      <c r="J324" s="1314">
        <v>10598</v>
      </c>
      <c r="K324" s="1314">
        <v>-10598</v>
      </c>
      <c r="L324" s="1317">
        <f>SUM(J324:K324)</f>
        <v>0</v>
      </c>
      <c r="M324" s="1317">
        <f>+I324+L324</f>
        <v>0</v>
      </c>
    </row>
    <row r="325" spans="1:13" s="1314" customFormat="1" ht="15" hidden="1" outlineLevel="2" x14ac:dyDescent="0.25">
      <c r="A325" s="1314" t="s">
        <v>1672</v>
      </c>
      <c r="B325" s="1314" t="s">
        <v>1657</v>
      </c>
      <c r="C325" s="1314" t="s">
        <v>1658</v>
      </c>
      <c r="D325" s="1316">
        <v>20233</v>
      </c>
      <c r="E325" s="1316">
        <v>0</v>
      </c>
      <c r="F325" s="1314">
        <v>20233</v>
      </c>
      <c r="G325" s="1314">
        <v>0</v>
      </c>
      <c r="H325" s="1314">
        <v>-20233</v>
      </c>
      <c r="I325" s="1317">
        <f>SUM($F325:H325)</f>
        <v>0</v>
      </c>
      <c r="J325" s="1314">
        <v>20233</v>
      </c>
      <c r="K325" s="1314">
        <v>-20233</v>
      </c>
      <c r="L325" s="1317">
        <f>SUM(J325:K325)</f>
        <v>0</v>
      </c>
      <c r="M325" s="1317">
        <f>+I325+L325</f>
        <v>0</v>
      </c>
    </row>
    <row r="326" spans="1:13" outlineLevel="1" collapsed="1" x14ac:dyDescent="0.2">
      <c r="A326" s="1313" t="s">
        <v>1673</v>
      </c>
      <c r="D326" s="1313">
        <f t="shared" ref="D326:M326" si="31">SUBTOTAL(9,D258:D325)</f>
        <v>60349791</v>
      </c>
      <c r="E326" s="1313">
        <f t="shared" si="31"/>
        <v>66931736</v>
      </c>
      <c r="F326" s="1313">
        <f t="shared" si="31"/>
        <v>60349791</v>
      </c>
      <c r="G326" s="1313">
        <f t="shared" si="31"/>
        <v>0</v>
      </c>
      <c r="H326" s="1313">
        <f t="shared" si="31"/>
        <v>138316412</v>
      </c>
      <c r="I326" s="1313">
        <f t="shared" si="31"/>
        <v>198666203</v>
      </c>
      <c r="J326" s="1313">
        <f t="shared" si="31"/>
        <v>60349791</v>
      </c>
      <c r="K326" s="1313">
        <f t="shared" si="31"/>
        <v>148243220</v>
      </c>
      <c r="L326" s="1313">
        <f t="shared" si="31"/>
        <v>208593011</v>
      </c>
      <c r="M326" s="1313">
        <f t="shared" si="31"/>
        <v>407259214</v>
      </c>
    </row>
    <row r="327" spans="1:13" s="1314" customFormat="1" ht="15" hidden="1" outlineLevel="2" x14ac:dyDescent="0.25">
      <c r="A327" s="1314" t="s">
        <v>1674</v>
      </c>
      <c r="B327" s="1314" t="s">
        <v>1515</v>
      </c>
      <c r="C327" s="1314" t="s">
        <v>1516</v>
      </c>
      <c r="D327" s="1316">
        <v>0</v>
      </c>
      <c r="E327" s="1316">
        <v>6433928</v>
      </c>
      <c r="F327" s="1314">
        <v>0</v>
      </c>
      <c r="G327" s="1314">
        <v>0</v>
      </c>
      <c r="H327" s="1314">
        <f>'3.1b Allocation Adj. YR1 '!$K$30</f>
        <v>7992928</v>
      </c>
      <c r="I327" s="1317">
        <f>SUM($F327:H327)</f>
        <v>7992928</v>
      </c>
      <c r="J327" s="1314">
        <v>0</v>
      </c>
      <c r="K327" s="1314">
        <f>'7.1b Allocation Adj. YR2'!$K$30</f>
        <v>8392360</v>
      </c>
      <c r="L327" s="1317">
        <f t="shared" ref="L327:L340" si="32">SUM(J327:K327)</f>
        <v>8392360</v>
      </c>
      <c r="M327" s="1317">
        <f t="shared" ref="M327:M340" si="33">+I327+L327</f>
        <v>16385288</v>
      </c>
    </row>
    <row r="328" spans="1:13" s="1314" customFormat="1" ht="15" hidden="1" outlineLevel="2" x14ac:dyDescent="0.25">
      <c r="A328" s="1314" t="s">
        <v>1674</v>
      </c>
      <c r="B328" s="1314" t="s">
        <v>1517</v>
      </c>
      <c r="C328" s="1314" t="s">
        <v>1518</v>
      </c>
      <c r="D328" s="1316">
        <v>354238</v>
      </c>
      <c r="E328" s="1316">
        <v>0</v>
      </c>
      <c r="F328" s="1314">
        <v>354238</v>
      </c>
      <c r="G328" s="1314">
        <v>0</v>
      </c>
      <c r="H328" s="1314">
        <v>-354238</v>
      </c>
      <c r="I328" s="1317">
        <f>SUM($F328:H328)</f>
        <v>0</v>
      </c>
      <c r="J328" s="1314">
        <v>354238</v>
      </c>
      <c r="K328" s="1314">
        <v>-354238</v>
      </c>
      <c r="L328" s="1317">
        <f t="shared" si="32"/>
        <v>0</v>
      </c>
      <c r="M328" s="1317">
        <f t="shared" si="33"/>
        <v>0</v>
      </c>
    </row>
    <row r="329" spans="1:13" s="1314" customFormat="1" ht="15" hidden="1" outlineLevel="2" x14ac:dyDescent="0.25">
      <c r="A329" s="1314" t="s">
        <v>1674</v>
      </c>
      <c r="B329" s="1314" t="s">
        <v>1521</v>
      </c>
      <c r="C329" s="1314" t="s">
        <v>1522</v>
      </c>
      <c r="D329" s="1316">
        <v>3853983</v>
      </c>
      <c r="E329" s="1316">
        <v>0</v>
      </c>
      <c r="F329" s="1314">
        <v>3853983</v>
      </c>
      <c r="G329" s="1314">
        <v>0</v>
      </c>
      <c r="H329" s="1314">
        <v>-3853983</v>
      </c>
      <c r="I329" s="1317">
        <f>SUM($F329:H329)</f>
        <v>0</v>
      </c>
      <c r="J329" s="1314">
        <v>3853983</v>
      </c>
      <c r="K329" s="1314">
        <v>-3853983</v>
      </c>
      <c r="L329" s="1317">
        <f t="shared" si="32"/>
        <v>0</v>
      </c>
      <c r="M329" s="1317">
        <f t="shared" si="33"/>
        <v>0</v>
      </c>
    </row>
    <row r="330" spans="1:13" s="1314" customFormat="1" ht="15" hidden="1" outlineLevel="2" x14ac:dyDescent="0.25">
      <c r="A330" s="1314" t="s">
        <v>1674</v>
      </c>
      <c r="B330" s="1314" t="s">
        <v>1523</v>
      </c>
      <c r="C330" s="1314" t="s">
        <v>1524</v>
      </c>
      <c r="D330" s="1316">
        <v>128814</v>
      </c>
      <c r="E330" s="1316">
        <v>0</v>
      </c>
      <c r="F330" s="1314">
        <v>128814</v>
      </c>
      <c r="G330" s="1314">
        <v>0</v>
      </c>
      <c r="H330" s="1314">
        <v>-128814</v>
      </c>
      <c r="I330" s="1317">
        <f>SUM($F330:H330)</f>
        <v>0</v>
      </c>
      <c r="J330" s="1314">
        <v>128814</v>
      </c>
      <c r="K330" s="1314">
        <v>-128814</v>
      </c>
      <c r="L330" s="1317">
        <f t="shared" si="32"/>
        <v>0</v>
      </c>
      <c r="M330" s="1317">
        <f t="shared" si="33"/>
        <v>0</v>
      </c>
    </row>
    <row r="331" spans="1:13" s="1314" customFormat="1" ht="15" hidden="1" outlineLevel="2" x14ac:dyDescent="0.25">
      <c r="A331" s="1314" t="s">
        <v>1674</v>
      </c>
      <c r="B331" s="1314" t="s">
        <v>1525</v>
      </c>
      <c r="C331" s="1314" t="s">
        <v>1526</v>
      </c>
      <c r="D331" s="1316">
        <v>128814</v>
      </c>
      <c r="E331" s="1316">
        <v>0</v>
      </c>
      <c r="F331" s="1314">
        <v>128814</v>
      </c>
      <c r="G331" s="1314">
        <v>0</v>
      </c>
      <c r="H331" s="1314">
        <v>-128814</v>
      </c>
      <c r="I331" s="1317">
        <f>SUM($F331:H331)</f>
        <v>0</v>
      </c>
      <c r="J331" s="1314">
        <v>128814</v>
      </c>
      <c r="K331" s="1314">
        <v>-128814</v>
      </c>
      <c r="L331" s="1317">
        <f t="shared" si="32"/>
        <v>0</v>
      </c>
      <c r="M331" s="1317">
        <f t="shared" si="33"/>
        <v>0</v>
      </c>
    </row>
    <row r="332" spans="1:13" s="1314" customFormat="1" ht="15" hidden="1" outlineLevel="2" x14ac:dyDescent="0.25">
      <c r="A332" s="1314" t="s">
        <v>1674</v>
      </c>
      <c r="B332" s="1314" t="s">
        <v>1537</v>
      </c>
      <c r="C332" s="1314" t="s">
        <v>1538</v>
      </c>
      <c r="D332" s="1316">
        <v>29317</v>
      </c>
      <c r="E332" s="1316">
        <v>0</v>
      </c>
      <c r="F332" s="1314">
        <v>29317</v>
      </c>
      <c r="G332" s="1314">
        <v>0</v>
      </c>
      <c r="H332" s="1314">
        <v>-29317</v>
      </c>
      <c r="I332" s="1317">
        <f>SUM($F332:H332)</f>
        <v>0</v>
      </c>
      <c r="J332" s="1314">
        <v>29317</v>
      </c>
      <c r="K332" s="1314">
        <v>-29317</v>
      </c>
      <c r="L332" s="1317">
        <f t="shared" si="32"/>
        <v>0</v>
      </c>
      <c r="M332" s="1317">
        <f t="shared" si="33"/>
        <v>0</v>
      </c>
    </row>
    <row r="333" spans="1:13" s="1314" customFormat="1" ht="15" hidden="1" outlineLevel="2" x14ac:dyDescent="0.25">
      <c r="A333" s="1314" t="s">
        <v>1674</v>
      </c>
      <c r="B333" s="1314" t="s">
        <v>1547</v>
      </c>
      <c r="C333" s="1314" t="s">
        <v>1548</v>
      </c>
      <c r="D333" s="1316">
        <v>1462520</v>
      </c>
      <c r="E333" s="1316">
        <v>0</v>
      </c>
      <c r="F333" s="1314">
        <v>1462520</v>
      </c>
      <c r="G333" s="1314">
        <v>0</v>
      </c>
      <c r="H333" s="1314">
        <v>-1462520</v>
      </c>
      <c r="I333" s="1317">
        <f>SUM($F333:H333)</f>
        <v>0</v>
      </c>
      <c r="J333" s="1314">
        <v>1462520</v>
      </c>
      <c r="K333" s="1314">
        <v>-1462520</v>
      </c>
      <c r="L333" s="1317">
        <f t="shared" si="32"/>
        <v>0</v>
      </c>
      <c r="M333" s="1317">
        <f t="shared" si="33"/>
        <v>0</v>
      </c>
    </row>
    <row r="334" spans="1:13" s="1314" customFormat="1" ht="15" hidden="1" outlineLevel="2" x14ac:dyDescent="0.25">
      <c r="A334" s="1314" t="s">
        <v>1674</v>
      </c>
      <c r="B334" s="1314" t="s">
        <v>1553</v>
      </c>
      <c r="C334" s="1314" t="s">
        <v>1554</v>
      </c>
      <c r="D334" s="1316">
        <v>4188</v>
      </c>
      <c r="E334" s="1316">
        <v>0</v>
      </c>
      <c r="F334" s="1314">
        <v>4188</v>
      </c>
      <c r="G334" s="1314">
        <v>0</v>
      </c>
      <c r="H334" s="1314">
        <v>-4188</v>
      </c>
      <c r="I334" s="1317">
        <f>SUM($F334:H334)</f>
        <v>0</v>
      </c>
      <c r="J334" s="1314">
        <v>4188</v>
      </c>
      <c r="K334" s="1314">
        <v>-4188</v>
      </c>
      <c r="L334" s="1317">
        <f t="shared" si="32"/>
        <v>0</v>
      </c>
      <c r="M334" s="1317">
        <f t="shared" si="33"/>
        <v>0</v>
      </c>
    </row>
    <row r="335" spans="1:13" s="1314" customFormat="1" ht="15" hidden="1" outlineLevel="2" x14ac:dyDescent="0.25">
      <c r="A335" s="1314" t="s">
        <v>1674</v>
      </c>
      <c r="B335" s="1314" t="s">
        <v>1555</v>
      </c>
      <c r="C335" s="1314" t="s">
        <v>1556</v>
      </c>
      <c r="D335" s="1316">
        <v>20103</v>
      </c>
      <c r="E335" s="1316">
        <v>0</v>
      </c>
      <c r="F335" s="1314">
        <v>20103</v>
      </c>
      <c r="G335" s="1314">
        <v>0</v>
      </c>
      <c r="H335" s="1314">
        <v>-20103</v>
      </c>
      <c r="I335" s="1317">
        <f>SUM($F335:H335)</f>
        <v>0</v>
      </c>
      <c r="J335" s="1314">
        <v>20103</v>
      </c>
      <c r="K335" s="1314">
        <v>-20103</v>
      </c>
      <c r="L335" s="1317">
        <f t="shared" si="32"/>
        <v>0</v>
      </c>
      <c r="M335" s="1317">
        <f t="shared" si="33"/>
        <v>0</v>
      </c>
    </row>
    <row r="336" spans="1:13" s="1314" customFormat="1" ht="15" hidden="1" outlineLevel="2" x14ac:dyDescent="0.25">
      <c r="A336" s="1314" t="s">
        <v>1674</v>
      </c>
      <c r="B336" s="1314" t="s">
        <v>1561</v>
      </c>
      <c r="C336" s="1314" t="s">
        <v>1562</v>
      </c>
      <c r="D336" s="1316">
        <v>218624</v>
      </c>
      <c r="E336" s="1316">
        <v>0</v>
      </c>
      <c r="F336" s="1314">
        <v>218624</v>
      </c>
      <c r="G336" s="1314">
        <v>0</v>
      </c>
      <c r="H336" s="1314">
        <v>-218624</v>
      </c>
      <c r="I336" s="1317">
        <f>SUM($F336:H336)</f>
        <v>0</v>
      </c>
      <c r="J336" s="1314">
        <v>218624</v>
      </c>
      <c r="K336" s="1314">
        <v>-218624</v>
      </c>
      <c r="L336" s="1317">
        <f t="shared" si="32"/>
        <v>0</v>
      </c>
      <c r="M336" s="1317">
        <f t="shared" si="33"/>
        <v>0</v>
      </c>
    </row>
    <row r="337" spans="1:13" s="1314" customFormat="1" ht="15" hidden="1" outlineLevel="2" x14ac:dyDescent="0.25">
      <c r="A337" s="1314" t="s">
        <v>1674</v>
      </c>
      <c r="B337" s="1314" t="s">
        <v>1575</v>
      </c>
      <c r="C337" s="1314" t="s">
        <v>1576</v>
      </c>
      <c r="D337" s="1316">
        <v>1675</v>
      </c>
      <c r="E337" s="1316">
        <v>0</v>
      </c>
      <c r="F337" s="1314">
        <v>1675</v>
      </c>
      <c r="G337" s="1314">
        <v>0</v>
      </c>
      <c r="H337" s="1314">
        <v>-1675</v>
      </c>
      <c r="I337" s="1317">
        <f>SUM($F337:H337)</f>
        <v>0</v>
      </c>
      <c r="J337" s="1314">
        <v>1675</v>
      </c>
      <c r="K337" s="1314">
        <v>-1675</v>
      </c>
      <c r="L337" s="1317">
        <f t="shared" si="32"/>
        <v>0</v>
      </c>
      <c r="M337" s="1317">
        <f t="shared" si="33"/>
        <v>0</v>
      </c>
    </row>
    <row r="338" spans="1:13" s="1314" customFormat="1" ht="15" hidden="1" outlineLevel="2" x14ac:dyDescent="0.25">
      <c r="A338" s="1314" t="s">
        <v>1674</v>
      </c>
      <c r="B338" s="1314" t="s">
        <v>1619</v>
      </c>
      <c r="C338" s="1314" t="s">
        <v>1620</v>
      </c>
      <c r="D338" s="1316">
        <v>240403</v>
      </c>
      <c r="E338" s="1316">
        <v>0</v>
      </c>
      <c r="F338" s="1314">
        <v>240403</v>
      </c>
      <c r="G338" s="1314">
        <v>0</v>
      </c>
      <c r="H338" s="1314">
        <v>-240403</v>
      </c>
      <c r="I338" s="1317">
        <f>SUM($F338:H338)</f>
        <v>0</v>
      </c>
      <c r="J338" s="1314">
        <v>240403</v>
      </c>
      <c r="K338" s="1314">
        <v>-240403</v>
      </c>
      <c r="L338" s="1317">
        <f t="shared" si="32"/>
        <v>0</v>
      </c>
      <c r="M338" s="1317">
        <f t="shared" si="33"/>
        <v>0</v>
      </c>
    </row>
    <row r="339" spans="1:13" s="1314" customFormat="1" ht="15" hidden="1" outlineLevel="2" x14ac:dyDescent="0.25">
      <c r="A339" s="1314" t="s">
        <v>1674</v>
      </c>
      <c r="B339" s="1314" t="s">
        <v>1639</v>
      </c>
      <c r="C339" s="1314" t="s">
        <v>1640</v>
      </c>
      <c r="D339" s="1316">
        <v>44395</v>
      </c>
      <c r="E339" s="1316">
        <v>0</v>
      </c>
      <c r="F339" s="1314">
        <v>44395</v>
      </c>
      <c r="G339" s="1314">
        <v>0</v>
      </c>
      <c r="H339" s="1314">
        <v>-44395</v>
      </c>
      <c r="I339" s="1317">
        <f>SUM($F339:H339)</f>
        <v>0</v>
      </c>
      <c r="J339" s="1314">
        <v>44395</v>
      </c>
      <c r="K339" s="1314">
        <v>-44395</v>
      </c>
      <c r="L339" s="1317">
        <f t="shared" si="32"/>
        <v>0</v>
      </c>
      <c r="M339" s="1317">
        <f t="shared" si="33"/>
        <v>0</v>
      </c>
    </row>
    <row r="340" spans="1:13" s="1314" customFormat="1" ht="15" hidden="1" outlineLevel="2" x14ac:dyDescent="0.25">
      <c r="A340" s="1314" t="s">
        <v>1674</v>
      </c>
      <c r="B340" s="1314" t="s">
        <v>1643</v>
      </c>
      <c r="C340" s="1314" t="s">
        <v>1644</v>
      </c>
      <c r="D340" s="1316">
        <v>185118</v>
      </c>
      <c r="E340" s="1316">
        <v>0</v>
      </c>
      <c r="F340" s="1314">
        <v>185118</v>
      </c>
      <c r="G340" s="1314">
        <v>0</v>
      </c>
      <c r="H340" s="1314">
        <v>-185118</v>
      </c>
      <c r="I340" s="1317">
        <f>SUM($F340:H340)</f>
        <v>0</v>
      </c>
      <c r="J340" s="1314">
        <v>185118</v>
      </c>
      <c r="K340" s="1314">
        <v>-185118</v>
      </c>
      <c r="L340" s="1317">
        <f t="shared" si="32"/>
        <v>0</v>
      </c>
      <c r="M340" s="1317">
        <f t="shared" si="33"/>
        <v>0</v>
      </c>
    </row>
    <row r="341" spans="1:13" outlineLevel="1" collapsed="1" x14ac:dyDescent="0.2">
      <c r="A341" s="1313" t="s">
        <v>1675</v>
      </c>
      <c r="D341" s="1313">
        <f t="shared" ref="D341:M341" si="34">SUBTOTAL(9,D327:D340)</f>
        <v>6672192</v>
      </c>
      <c r="E341" s="1313">
        <f t="shared" si="34"/>
        <v>6433928</v>
      </c>
      <c r="F341" s="1313">
        <f t="shared" si="34"/>
        <v>6672192</v>
      </c>
      <c r="G341" s="1313">
        <f t="shared" si="34"/>
        <v>0</v>
      </c>
      <c r="H341" s="1313">
        <f t="shared" si="34"/>
        <v>1320736</v>
      </c>
      <c r="I341" s="1313">
        <f t="shared" si="34"/>
        <v>7992928</v>
      </c>
      <c r="J341" s="1313">
        <f t="shared" si="34"/>
        <v>6672192</v>
      </c>
      <c r="K341" s="1313">
        <f t="shared" si="34"/>
        <v>1720168</v>
      </c>
      <c r="L341" s="1313">
        <f t="shared" si="34"/>
        <v>8392360</v>
      </c>
      <c r="M341" s="1313">
        <f t="shared" si="34"/>
        <v>16385288</v>
      </c>
    </row>
    <row r="342" spans="1:13" s="1314" customFormat="1" ht="15" hidden="1" outlineLevel="2" x14ac:dyDescent="0.25">
      <c r="A342" s="1314" t="s">
        <v>1676</v>
      </c>
      <c r="B342" s="1314" t="s">
        <v>1515</v>
      </c>
      <c r="C342" s="1314" t="s">
        <v>1516</v>
      </c>
      <c r="D342" s="1316">
        <v>0</v>
      </c>
      <c r="E342" s="1316">
        <v>73390</v>
      </c>
      <c r="F342" s="1314">
        <v>0</v>
      </c>
      <c r="G342" s="1314">
        <v>0</v>
      </c>
      <c r="H342" s="1314">
        <v>0</v>
      </c>
      <c r="I342" s="1317">
        <f>SUM($F342:H342)</f>
        <v>0</v>
      </c>
      <c r="J342" s="1314">
        <v>0</v>
      </c>
      <c r="K342" s="1314">
        <v>0</v>
      </c>
      <c r="L342" s="1317">
        <f>SUM(J342:K342)</f>
        <v>0</v>
      </c>
      <c r="M342" s="1317">
        <f>+I342+L342</f>
        <v>0</v>
      </c>
    </row>
    <row r="343" spans="1:13" outlineLevel="1" collapsed="1" x14ac:dyDescent="0.2">
      <c r="A343" s="1313" t="s">
        <v>1677</v>
      </c>
      <c r="D343" s="1313">
        <f t="shared" ref="D343:M343" si="35">SUBTOTAL(9,D342:D342)</f>
        <v>0</v>
      </c>
      <c r="E343" s="1313">
        <f t="shared" si="35"/>
        <v>73390</v>
      </c>
      <c r="F343" s="1313">
        <f t="shared" si="35"/>
        <v>0</v>
      </c>
      <c r="G343" s="1313">
        <f t="shared" si="35"/>
        <v>0</v>
      </c>
      <c r="H343" s="1313">
        <f t="shared" si="35"/>
        <v>0</v>
      </c>
      <c r="I343" s="1313">
        <f t="shared" si="35"/>
        <v>0</v>
      </c>
      <c r="J343" s="1313">
        <f t="shared" si="35"/>
        <v>0</v>
      </c>
      <c r="K343" s="1313">
        <f t="shared" si="35"/>
        <v>0</v>
      </c>
      <c r="L343" s="1313">
        <f t="shared" si="35"/>
        <v>0</v>
      </c>
      <c r="M343" s="1313">
        <f t="shared" si="35"/>
        <v>0</v>
      </c>
    </row>
    <row r="344" spans="1:13" s="1314" customFormat="1" ht="15" hidden="1" outlineLevel="2" x14ac:dyDescent="0.25">
      <c r="A344" s="1314" t="s">
        <v>1678</v>
      </c>
      <c r="B344" s="1314" t="s">
        <v>1679</v>
      </c>
      <c r="C344" s="1314" t="s">
        <v>1680</v>
      </c>
      <c r="D344" s="1316">
        <v>0</v>
      </c>
      <c r="E344" s="1316">
        <v>526326015</v>
      </c>
      <c r="F344" s="1314">
        <v>0</v>
      </c>
      <c r="G344" s="1314">
        <v>0</v>
      </c>
      <c r="H344" s="1314">
        <v>0</v>
      </c>
      <c r="I344" s="1317">
        <f>SUM($F344:H344)</f>
        <v>0</v>
      </c>
      <c r="J344" s="1314">
        <v>0</v>
      </c>
      <c r="K344" s="1314">
        <v>0</v>
      </c>
      <c r="L344" s="1317">
        <f>SUM(J344:K344)</f>
        <v>0</v>
      </c>
      <c r="M344" s="1317">
        <f>+I344+L344</f>
        <v>0</v>
      </c>
    </row>
    <row r="345" spans="1:13" outlineLevel="1" collapsed="1" x14ac:dyDescent="0.2">
      <c r="A345" s="1313" t="s">
        <v>1681</v>
      </c>
      <c r="D345" s="1313">
        <f t="shared" ref="D345:M345" si="36">SUBTOTAL(9,D344:D344)</f>
        <v>0</v>
      </c>
      <c r="E345" s="1313">
        <f t="shared" si="36"/>
        <v>526326015</v>
      </c>
      <c r="F345" s="1313">
        <f t="shared" si="36"/>
        <v>0</v>
      </c>
      <c r="G345" s="1313">
        <f t="shared" si="36"/>
        <v>0</v>
      </c>
      <c r="H345" s="1313">
        <f t="shared" si="36"/>
        <v>0</v>
      </c>
      <c r="I345" s="1313">
        <f t="shared" si="36"/>
        <v>0</v>
      </c>
      <c r="J345" s="1313">
        <f t="shared" si="36"/>
        <v>0</v>
      </c>
      <c r="K345" s="1313">
        <f t="shared" si="36"/>
        <v>0</v>
      </c>
      <c r="L345" s="1313">
        <f t="shared" si="36"/>
        <v>0</v>
      </c>
      <c r="M345" s="1313">
        <f t="shared" si="36"/>
        <v>0</v>
      </c>
    </row>
    <row r="346" spans="1:13" s="1314" customFormat="1" ht="15" hidden="1" outlineLevel="2" x14ac:dyDescent="0.25">
      <c r="A346" s="1314" t="s">
        <v>1682</v>
      </c>
      <c r="B346" s="1314" t="s">
        <v>1683</v>
      </c>
      <c r="C346" s="1314" t="s">
        <v>1684</v>
      </c>
      <c r="D346" s="1316">
        <v>0</v>
      </c>
      <c r="E346" s="1316">
        <v>0</v>
      </c>
      <c r="F346" s="1314">
        <v>23463000</v>
      </c>
      <c r="G346" s="1314">
        <v>0</v>
      </c>
      <c r="H346" s="1314">
        <f>K10</f>
        <v>-3861000</v>
      </c>
      <c r="I346" s="1317">
        <f>SUM($F346:H346)</f>
        <v>19602000</v>
      </c>
      <c r="J346" s="1314">
        <v>23039000</v>
      </c>
      <c r="K346" s="1314">
        <f>-'5.3 Budgeted Revenues YR2'!C33-'BA by DU'!J346</f>
        <v>-3816000</v>
      </c>
      <c r="L346" s="1317">
        <f>SUM(J346:K346)</f>
        <v>19223000</v>
      </c>
      <c r="M346" s="1317">
        <f>+I346+L346</f>
        <v>38825000</v>
      </c>
    </row>
    <row r="347" spans="1:13" outlineLevel="1" collapsed="1" x14ac:dyDescent="0.2">
      <c r="A347" s="1313" t="s">
        <v>1685</v>
      </c>
      <c r="D347" s="1313">
        <f t="shared" ref="D347:M347" si="37">SUBTOTAL(9,D346:D346)</f>
        <v>0</v>
      </c>
      <c r="E347" s="1313">
        <f t="shared" si="37"/>
        <v>0</v>
      </c>
      <c r="F347" s="1313">
        <f t="shared" si="37"/>
        <v>23463000</v>
      </c>
      <c r="G347" s="1313">
        <f t="shared" si="37"/>
        <v>0</v>
      </c>
      <c r="H347" s="1313">
        <f t="shared" si="37"/>
        <v>-3861000</v>
      </c>
      <c r="I347" s="1313">
        <f t="shared" si="37"/>
        <v>19602000</v>
      </c>
      <c r="J347" s="1313">
        <f t="shared" si="37"/>
        <v>23039000</v>
      </c>
      <c r="K347" s="1313">
        <f t="shared" si="37"/>
        <v>-3816000</v>
      </c>
      <c r="L347" s="1313">
        <f t="shared" si="37"/>
        <v>19223000</v>
      </c>
      <c r="M347" s="1313">
        <f t="shared" si="37"/>
        <v>38825000</v>
      </c>
    </row>
    <row r="348" spans="1:13" s="1314" customFormat="1" ht="15" hidden="1" outlineLevel="2" x14ac:dyDescent="0.25">
      <c r="A348" s="1314" t="s">
        <v>1686</v>
      </c>
      <c r="B348" s="1314" t="s">
        <v>1683</v>
      </c>
      <c r="C348" s="1314" t="s">
        <v>1684</v>
      </c>
      <c r="D348" s="1316">
        <v>0</v>
      </c>
      <c r="E348" s="1316">
        <v>25531000</v>
      </c>
      <c r="F348" s="1314">
        <v>0</v>
      </c>
      <c r="G348" s="1314">
        <v>0</v>
      </c>
      <c r="H348" s="1314">
        <v>0</v>
      </c>
      <c r="I348" s="1317">
        <f>SUM($F348:H348)</f>
        <v>0</v>
      </c>
      <c r="J348" s="1314">
        <v>0</v>
      </c>
      <c r="K348" s="1314">
        <v>0</v>
      </c>
      <c r="L348" s="1317">
        <f>SUM(J348:K348)</f>
        <v>0</v>
      </c>
      <c r="M348" s="1317">
        <f>+I348+L348</f>
        <v>0</v>
      </c>
    </row>
    <row r="349" spans="1:13" outlineLevel="1" collapsed="1" x14ac:dyDescent="0.2">
      <c r="A349" s="1313" t="s">
        <v>1687</v>
      </c>
      <c r="D349" s="1313">
        <f t="shared" ref="D349:K349" si="38">SUBTOTAL(9,D348:D348)</f>
        <v>0</v>
      </c>
      <c r="E349" s="1313">
        <f t="shared" si="38"/>
        <v>25531000</v>
      </c>
      <c r="F349" s="1313">
        <f t="shared" si="38"/>
        <v>0</v>
      </c>
      <c r="G349" s="1313">
        <f t="shared" si="38"/>
        <v>0</v>
      </c>
      <c r="H349" s="1313">
        <f t="shared" si="38"/>
        <v>0</v>
      </c>
      <c r="I349" s="1313">
        <f t="shared" si="38"/>
        <v>0</v>
      </c>
      <c r="J349" s="1313">
        <f t="shared" si="38"/>
        <v>0</v>
      </c>
      <c r="K349" s="1313">
        <f t="shared" si="38"/>
        <v>0</v>
      </c>
      <c r="L349" s="1313">
        <f>SUBTOTAL(9,L348:L348)</f>
        <v>0</v>
      </c>
      <c r="M349" s="1313">
        <f>SUBTOTAL(9,M348:M348)</f>
        <v>0</v>
      </c>
    </row>
    <row r="350" spans="1:13" x14ac:dyDescent="0.2">
      <c r="A350" s="1313" t="s">
        <v>1485</v>
      </c>
      <c r="D350" s="1313">
        <f t="shared" ref="D350:K350" si="39">SUBTOTAL(9,D9:D348)</f>
        <v>8645499562</v>
      </c>
      <c r="E350" s="1313">
        <f t="shared" si="39"/>
        <v>10051845418</v>
      </c>
      <c r="F350" s="1313">
        <f t="shared" si="39"/>
        <v>8692425562</v>
      </c>
      <c r="G350" s="1313">
        <f t="shared" si="39"/>
        <v>0</v>
      </c>
      <c r="H350" s="1313">
        <f t="shared" si="39"/>
        <v>2300611054.3008375</v>
      </c>
      <c r="I350" s="1313">
        <f>SUBTOTAL(9,I9:I348)</f>
        <v>10993036616.300838</v>
      </c>
      <c r="J350" s="1313">
        <f t="shared" si="39"/>
        <v>8691577562</v>
      </c>
      <c r="K350" s="1313">
        <f t="shared" si="39"/>
        <v>2787319166.5300002</v>
      </c>
      <c r="L350" s="1313">
        <f>SUBTOTAL(9,L9:L348)</f>
        <v>11478896728.529999</v>
      </c>
      <c r="M350" s="1313">
        <f>SUBTOTAL(9,M9:M348)</f>
        <v>22471933344.830837</v>
      </c>
    </row>
  </sheetData>
  <sheetProtection algorithmName="SHA-512" hashValue="txQmuGdf9hauouuc61NuAcq2PdPZIaWYxBaQ40yY4SBuD2tkyUmKzFkbBveARLk/XwZV4LpKOLAFbsa7kyoD0Q==" saltValue="OA3nkpvSn25TdBlXeO2vrA==" spinCount="100000" sheet="1" objects="1" scenarios="1"/>
  <autoFilter ref="A8:M349" xr:uid="{F28499B0-CBA7-456C-81E0-0ADEDDD50AEA}"/>
  <conditionalFormatting sqref="E1:M1">
    <cfRule type="cellIs" dxfId="0" priority="1" operator="notEqual">
      <formula>0</formula>
    </cfRule>
  </conditionalFormatting>
  <pageMargins left="0.25" right="0.25" top="0.4" bottom="0.5" header="0.17" footer="0.17"/>
  <pageSetup paperSize="9" firstPageNumber="0" fitToWidth="2" fitToHeight="0" pageOrder="overThenDown" orientation="landscape" r:id="rId1"/>
  <headerFooter>
    <oddFooter>&amp;L&amp;Z
&amp;F&amp;CPage &amp;P of &amp;N&amp;R&amp;D, &amp;T</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56859-7D47-481F-BC74-387F6CFBF5B9}">
  <sheetPr>
    <tabColor theme="7" tint="0.39997558519241921"/>
  </sheetPr>
  <dimension ref="A1:P42"/>
  <sheetViews>
    <sheetView zoomScale="115" zoomScaleNormal="115" workbookViewId="0">
      <pane xSplit="1" ySplit="5" topLeftCell="B15" activePane="bottomRight" state="frozen"/>
      <selection pane="topRight" activeCell="C1" sqref="C1"/>
      <selection pane="bottomLeft" activeCell="A5" sqref="A5"/>
      <selection pane="bottomRight" activeCell="I20" sqref="I20"/>
    </sheetView>
  </sheetViews>
  <sheetFormatPr defaultColWidth="11.42578125" defaultRowHeight="11.25" x14ac:dyDescent="0.2"/>
  <cols>
    <col min="1" max="1" width="17" style="1356" customWidth="1"/>
    <col min="2" max="2" width="11.7109375" style="1356" customWidth="1"/>
    <col min="3" max="3" width="4.85546875" style="1356" customWidth="1"/>
    <col min="4" max="4" width="78.140625" style="1355" customWidth="1"/>
    <col min="5" max="10" width="11.7109375" style="1356" bestFit="1" customWidth="1"/>
    <col min="11" max="11" width="14.5703125" style="1356" bestFit="1" customWidth="1"/>
    <col min="12" max="16384" width="11.42578125" style="1356"/>
  </cols>
  <sheetData>
    <row r="1" spans="1:16" ht="12" x14ac:dyDescent="0.2">
      <c r="A1" s="1354" t="s">
        <v>1846</v>
      </c>
      <c r="B1" s="1354"/>
      <c r="C1" s="1354"/>
    </row>
    <row r="2" spans="1:16" ht="12" x14ac:dyDescent="0.2">
      <c r="A2" s="1354" t="s">
        <v>1847</v>
      </c>
      <c r="B2" s="1354"/>
      <c r="C2" s="1354"/>
    </row>
    <row r="3" spans="1:16" ht="3.95" customHeight="1" thickBot="1" x14ac:dyDescent="0.25">
      <c r="A3" s="1357"/>
      <c r="B3" s="1357"/>
      <c r="C3" s="1357"/>
      <c r="D3" s="1357"/>
    </row>
    <row r="4" spans="1:16" x14ac:dyDescent="0.2">
      <c r="A4" s="1358"/>
      <c r="B4" s="1359"/>
      <c r="C4" s="1359"/>
      <c r="D4" s="1360"/>
      <c r="E4" s="1604" t="s">
        <v>1718</v>
      </c>
      <c r="F4" s="1605"/>
      <c r="G4" s="1606"/>
      <c r="H4" s="1607" t="s">
        <v>1719</v>
      </c>
      <c r="I4" s="1605"/>
      <c r="J4" s="1606"/>
      <c r="K4" s="1608" t="s">
        <v>1720</v>
      </c>
    </row>
    <row r="5" spans="1:16" s="1368" customFormat="1" ht="46.5" customHeight="1" thickBot="1" x14ac:dyDescent="0.3">
      <c r="A5" s="1361" t="s">
        <v>1721</v>
      </c>
      <c r="B5" s="1362" t="s">
        <v>1722</v>
      </c>
      <c r="C5" s="1362" t="s">
        <v>1723</v>
      </c>
      <c r="D5" s="1363" t="s">
        <v>1477</v>
      </c>
      <c r="E5" s="1364" t="s">
        <v>1724</v>
      </c>
      <c r="F5" s="1365" t="s">
        <v>1725</v>
      </c>
      <c r="G5" s="1366" t="s">
        <v>1726</v>
      </c>
      <c r="H5" s="1367" t="s">
        <v>1361</v>
      </c>
      <c r="I5" s="1365" t="s">
        <v>1727</v>
      </c>
      <c r="J5" s="1366" t="s">
        <v>1728</v>
      </c>
      <c r="K5" s="1609"/>
    </row>
    <row r="6" spans="1:16" ht="12.95" customHeight="1" x14ac:dyDescent="0.2">
      <c r="A6" s="1369"/>
      <c r="B6" s="1370"/>
      <c r="C6" s="1371">
        <v>45</v>
      </c>
      <c r="D6" s="1372" t="s">
        <v>1729</v>
      </c>
      <c r="E6" s="1373">
        <v>-549478081</v>
      </c>
      <c r="F6" s="1374"/>
      <c r="G6" s="1375">
        <f t="shared" ref="G6:G15" si="0">E6+F6</f>
        <v>-549478081</v>
      </c>
      <c r="H6" s="1376"/>
      <c r="I6" s="1374"/>
      <c r="J6" s="1375">
        <f t="shared" ref="J6:J15" si="1">H6+I6</f>
        <v>0</v>
      </c>
      <c r="K6" s="1375">
        <f t="shared" ref="K6:K39" si="2">J6-G6</f>
        <v>549478081</v>
      </c>
    </row>
    <row r="7" spans="1:16" ht="12.95" customHeight="1" x14ac:dyDescent="0.2">
      <c r="A7" s="1377"/>
      <c r="B7" s="1378"/>
      <c r="C7" s="1379">
        <v>47</v>
      </c>
      <c r="D7" s="1380" t="s">
        <v>1730</v>
      </c>
      <c r="E7" s="1381">
        <v>9000009</v>
      </c>
      <c r="F7" s="1382">
        <v>549478081</v>
      </c>
      <c r="G7" s="1383">
        <f t="shared" si="0"/>
        <v>558478090</v>
      </c>
      <c r="H7" s="1384"/>
      <c r="I7" s="1382"/>
      <c r="J7" s="1383">
        <f t="shared" si="1"/>
        <v>0</v>
      </c>
      <c r="K7" s="1383">
        <f t="shared" si="2"/>
        <v>-558478090</v>
      </c>
      <c r="L7" s="1512"/>
      <c r="M7" s="1512"/>
      <c r="N7" s="1512"/>
      <c r="O7" s="1512"/>
      <c r="P7" s="1512"/>
    </row>
    <row r="8" spans="1:16" ht="12.95" customHeight="1" x14ac:dyDescent="0.2">
      <c r="A8" s="1385"/>
      <c r="B8" s="1386"/>
      <c r="C8" s="1387">
        <v>4203</v>
      </c>
      <c r="D8" s="1388" t="s">
        <v>1731</v>
      </c>
      <c r="E8" s="1389"/>
      <c r="F8" s="1390">
        <v>2089037.62</v>
      </c>
      <c r="G8" s="1383">
        <f t="shared" si="0"/>
        <v>2089037.62</v>
      </c>
      <c r="H8" s="1384"/>
      <c r="I8" s="1382"/>
      <c r="J8" s="1383">
        <f t="shared" si="1"/>
        <v>0</v>
      </c>
      <c r="K8" s="1383">
        <f t="shared" si="2"/>
        <v>-2089037.62</v>
      </c>
    </row>
    <row r="9" spans="1:16" ht="12.95" customHeight="1" x14ac:dyDescent="0.2">
      <c r="A9" s="1385" t="s">
        <v>1732</v>
      </c>
      <c r="B9" s="1391">
        <v>387.03</v>
      </c>
      <c r="C9" s="1387">
        <v>4869</v>
      </c>
      <c r="D9" s="1388" t="s">
        <v>1733</v>
      </c>
      <c r="E9" s="1389">
        <v>10674992.609999999</v>
      </c>
      <c r="F9" s="1392">
        <v>9104000</v>
      </c>
      <c r="G9" s="1393">
        <f t="shared" si="0"/>
        <v>19778992.609999999</v>
      </c>
      <c r="H9" s="1394">
        <v>13447000</v>
      </c>
      <c r="I9" s="1392">
        <v>11501000</v>
      </c>
      <c r="J9" s="1393">
        <f t="shared" si="1"/>
        <v>24948000</v>
      </c>
      <c r="K9" s="1393">
        <f t="shared" si="2"/>
        <v>5169007.3900000006</v>
      </c>
    </row>
    <row r="10" spans="1:16" ht="12.95" customHeight="1" x14ac:dyDescent="0.2">
      <c r="A10" s="1369" t="s">
        <v>1734</v>
      </c>
      <c r="B10" s="1370">
        <v>244.33561</v>
      </c>
      <c r="C10" s="1371">
        <v>3335</v>
      </c>
      <c r="D10" s="1372" t="s">
        <v>1735</v>
      </c>
      <c r="E10" s="1373">
        <v>192343898.16</v>
      </c>
      <c r="F10" s="1513">
        <v>227893000</v>
      </c>
      <c r="G10" s="1514">
        <f t="shared" si="0"/>
        <v>420236898.15999997</v>
      </c>
      <c r="H10" s="1515">
        <v>249739000</v>
      </c>
      <c r="I10" s="1513">
        <v>241840000</v>
      </c>
      <c r="J10" s="1375">
        <f t="shared" si="1"/>
        <v>491579000</v>
      </c>
      <c r="K10" s="1375">
        <f t="shared" si="2"/>
        <v>71342101.840000033</v>
      </c>
    </row>
    <row r="11" spans="1:16" ht="12.95" customHeight="1" x14ac:dyDescent="0.2">
      <c r="A11" s="1377" t="s">
        <v>1736</v>
      </c>
      <c r="B11" s="1378">
        <v>387.19499999999999</v>
      </c>
      <c r="C11" s="1379">
        <v>3340</v>
      </c>
      <c r="D11" s="1380" t="s">
        <v>1737</v>
      </c>
      <c r="E11" s="1381">
        <v>866967710.97000003</v>
      </c>
      <c r="F11" s="1516">
        <f>ROUND(949857122,-3)</f>
        <v>949857000</v>
      </c>
      <c r="G11" s="1517">
        <f t="shared" si="0"/>
        <v>1816824710.97</v>
      </c>
      <c r="H11" s="1518">
        <f>ROUND(1012449949,-3)</f>
        <v>1012450000</v>
      </c>
      <c r="I11" s="1516">
        <f>ROUND(1080278532,-3)</f>
        <v>1080279000</v>
      </c>
      <c r="J11" s="1383">
        <f t="shared" si="1"/>
        <v>2092729000</v>
      </c>
      <c r="K11" s="1383">
        <f t="shared" si="2"/>
        <v>275904289.02999997</v>
      </c>
    </row>
    <row r="12" spans="1:16" ht="12.95" customHeight="1" x14ac:dyDescent="0.2">
      <c r="A12" s="1377" t="s">
        <v>1738</v>
      </c>
      <c r="B12" s="1378" t="s">
        <v>1739</v>
      </c>
      <c r="C12" s="1395">
        <v>4621</v>
      </c>
      <c r="D12" s="1380" t="s">
        <v>1740</v>
      </c>
      <c r="E12" s="1381">
        <v>0</v>
      </c>
      <c r="F12" s="1382">
        <v>68000</v>
      </c>
      <c r="G12" s="1383">
        <f t="shared" si="0"/>
        <v>68000</v>
      </c>
      <c r="H12" s="1384">
        <v>34000</v>
      </c>
      <c r="I12" s="1382">
        <v>34000</v>
      </c>
      <c r="J12" s="1383">
        <f t="shared" si="1"/>
        <v>68000</v>
      </c>
      <c r="K12" s="1383">
        <f t="shared" si="2"/>
        <v>0</v>
      </c>
    </row>
    <row r="13" spans="1:16" ht="12.95" customHeight="1" x14ac:dyDescent="0.2">
      <c r="A13" s="1377" t="s">
        <v>1741</v>
      </c>
      <c r="B13" s="1378">
        <v>179.11869999999999</v>
      </c>
      <c r="C13" s="1395">
        <v>4152</v>
      </c>
      <c r="D13" s="1380" t="s">
        <v>1742</v>
      </c>
      <c r="E13" s="1381">
        <v>740368.57</v>
      </c>
      <c r="F13" s="1382">
        <v>740000</v>
      </c>
      <c r="G13" s="1383">
        <f t="shared" si="0"/>
        <v>1480368.5699999998</v>
      </c>
      <c r="H13" s="1384">
        <v>740000</v>
      </c>
      <c r="I13" s="1382">
        <v>740000</v>
      </c>
      <c r="J13" s="1383">
        <f t="shared" si="1"/>
        <v>1480000</v>
      </c>
      <c r="K13" s="1383">
        <f t="shared" si="2"/>
        <v>-368.56999999983236</v>
      </c>
    </row>
    <row r="14" spans="1:16" ht="12.95" customHeight="1" x14ac:dyDescent="0.2">
      <c r="A14" s="1377" t="s">
        <v>1743</v>
      </c>
      <c r="B14" s="1378" t="s">
        <v>1744</v>
      </c>
      <c r="C14" s="1395"/>
      <c r="D14" s="1380" t="s">
        <v>1745</v>
      </c>
      <c r="E14" s="1381">
        <v>0</v>
      </c>
      <c r="F14" s="1382">
        <v>0</v>
      </c>
      <c r="G14" s="1383">
        <f t="shared" si="0"/>
        <v>0</v>
      </c>
      <c r="H14" s="1384">
        <v>0</v>
      </c>
      <c r="I14" s="1382">
        <v>0</v>
      </c>
      <c r="J14" s="1383">
        <f t="shared" si="1"/>
        <v>0</v>
      </c>
      <c r="K14" s="1383">
        <f t="shared" si="2"/>
        <v>0</v>
      </c>
    </row>
    <row r="15" spans="1:16" ht="12.95" customHeight="1" x14ac:dyDescent="0.2">
      <c r="A15" s="1377" t="s">
        <v>1746</v>
      </c>
      <c r="B15" s="1396">
        <v>328.45</v>
      </c>
      <c r="C15" s="1610">
        <v>3536</v>
      </c>
      <c r="D15" s="1380" t="s">
        <v>1747</v>
      </c>
      <c r="E15" s="1612">
        <v>6260380.5899999999</v>
      </c>
      <c r="F15" s="1614">
        <v>7500000</v>
      </c>
      <c r="G15" s="1616">
        <f t="shared" si="0"/>
        <v>13760380.59</v>
      </c>
      <c r="H15" s="1612">
        <v>7500000</v>
      </c>
      <c r="I15" s="1614">
        <v>7500000</v>
      </c>
      <c r="J15" s="1616">
        <f t="shared" si="1"/>
        <v>15000000</v>
      </c>
      <c r="K15" s="1616">
        <f t="shared" si="2"/>
        <v>1239619.4100000001</v>
      </c>
    </row>
    <row r="16" spans="1:16" ht="12.95" customHeight="1" x14ac:dyDescent="0.2">
      <c r="A16" s="1377" t="s">
        <v>1748</v>
      </c>
      <c r="B16" s="1396">
        <v>328.46</v>
      </c>
      <c r="C16" s="1611"/>
      <c r="D16" s="1380" t="s">
        <v>1747</v>
      </c>
      <c r="E16" s="1613"/>
      <c r="F16" s="1615"/>
      <c r="G16" s="1617"/>
      <c r="H16" s="1613"/>
      <c r="I16" s="1615"/>
      <c r="J16" s="1617"/>
      <c r="K16" s="1617">
        <f t="shared" si="2"/>
        <v>0</v>
      </c>
    </row>
    <row r="17" spans="1:11" ht="33.75" x14ac:dyDescent="0.2">
      <c r="A17" s="1377" t="s">
        <v>1749</v>
      </c>
      <c r="B17" s="1396">
        <v>360.85</v>
      </c>
      <c r="C17" s="1395"/>
      <c r="D17" s="1380" t="s">
        <v>1750</v>
      </c>
      <c r="E17" s="1381">
        <v>0</v>
      </c>
      <c r="F17" s="1382">
        <v>0</v>
      </c>
      <c r="G17" s="1383">
        <f>E17+F17</f>
        <v>0</v>
      </c>
      <c r="H17" s="1384">
        <v>0</v>
      </c>
      <c r="I17" s="1382">
        <v>0</v>
      </c>
      <c r="J17" s="1383">
        <f>H17+I17</f>
        <v>0</v>
      </c>
      <c r="K17" s="1383">
        <f t="shared" si="2"/>
        <v>0</v>
      </c>
    </row>
    <row r="18" spans="1:11" ht="45" x14ac:dyDescent="0.2">
      <c r="A18" s="1377" t="s">
        <v>1751</v>
      </c>
      <c r="B18" s="1378">
        <v>360.85500000000002</v>
      </c>
      <c r="C18" s="1395"/>
      <c r="D18" s="1380" t="s">
        <v>1752</v>
      </c>
      <c r="E18" s="1381">
        <v>0</v>
      </c>
      <c r="F18" s="1382">
        <v>0</v>
      </c>
      <c r="G18" s="1383">
        <f>E18+F18</f>
        <v>0</v>
      </c>
      <c r="H18" s="1384">
        <v>0</v>
      </c>
      <c r="I18" s="1382">
        <v>0</v>
      </c>
      <c r="J18" s="1383">
        <f>H18+I18</f>
        <v>0</v>
      </c>
      <c r="K18" s="1383">
        <f t="shared" si="2"/>
        <v>0</v>
      </c>
    </row>
    <row r="19" spans="1:11" ht="12.95" customHeight="1" x14ac:dyDescent="0.2">
      <c r="A19" s="1377" t="s">
        <v>1753</v>
      </c>
      <c r="B19" s="1396">
        <v>362.1</v>
      </c>
      <c r="C19" s="1379">
        <v>3064</v>
      </c>
      <c r="D19" s="1380" t="s">
        <v>1754</v>
      </c>
      <c r="E19" s="1400"/>
      <c r="F19" s="1401"/>
      <c r="G19" s="1383">
        <f>E19+F19</f>
        <v>0</v>
      </c>
      <c r="H19" s="1518">
        <v>37525000</v>
      </c>
      <c r="I19" s="1516">
        <v>58305000</v>
      </c>
      <c r="J19" s="1383">
        <f>H19+I19</f>
        <v>95830000</v>
      </c>
      <c r="K19" s="1383">
        <f t="shared" si="2"/>
        <v>95830000</v>
      </c>
    </row>
    <row r="20" spans="1:11" ht="12.95" customHeight="1" x14ac:dyDescent="0.2">
      <c r="A20" s="1377" t="s">
        <v>1755</v>
      </c>
      <c r="B20" s="1396">
        <v>362.17</v>
      </c>
      <c r="C20" s="1379">
        <v>3868</v>
      </c>
      <c r="D20" s="1380" t="s">
        <v>1756</v>
      </c>
      <c r="E20" s="1381">
        <v>22214870.98</v>
      </c>
      <c r="F20" s="1516">
        <v>17440000</v>
      </c>
      <c r="G20" s="1383">
        <f>E20+F20</f>
        <v>39654870.980000004</v>
      </c>
      <c r="H20" s="1518">
        <v>19602000</v>
      </c>
      <c r="I20" s="1516">
        <v>19223000</v>
      </c>
      <c r="J20" s="1383">
        <f>H20+I20</f>
        <v>38825000</v>
      </c>
      <c r="K20" s="1383">
        <f t="shared" si="2"/>
        <v>-829870.98000000417</v>
      </c>
    </row>
    <row r="21" spans="1:11" ht="12.95" customHeight="1" x14ac:dyDescent="0.2">
      <c r="A21" s="1377" t="s">
        <v>1757</v>
      </c>
      <c r="B21" s="1378" t="s">
        <v>1758</v>
      </c>
      <c r="C21" s="1625">
        <v>4771</v>
      </c>
      <c r="D21" s="1380" t="s">
        <v>1759</v>
      </c>
      <c r="E21" s="1612">
        <v>58886476.310000002</v>
      </c>
      <c r="F21" s="1614">
        <v>48996000</v>
      </c>
      <c r="G21" s="1616">
        <f>E21+F21</f>
        <v>107882476.31</v>
      </c>
      <c r="H21" s="1612">
        <v>40504000</v>
      </c>
      <c r="I21" s="1614">
        <v>40907000</v>
      </c>
      <c r="J21" s="1616">
        <f>H21+I21</f>
        <v>81411000</v>
      </c>
      <c r="K21" s="1616">
        <f t="shared" si="2"/>
        <v>-26471476.310000002</v>
      </c>
    </row>
    <row r="22" spans="1:11" ht="22.5" x14ac:dyDescent="0.2">
      <c r="A22" s="1377" t="s">
        <v>1760</v>
      </c>
      <c r="B22" s="1378" t="s">
        <v>1761</v>
      </c>
      <c r="C22" s="1626"/>
      <c r="D22" s="1380" t="s">
        <v>1762</v>
      </c>
      <c r="E22" s="1627"/>
      <c r="F22" s="1628"/>
      <c r="G22" s="1618"/>
      <c r="H22" s="1627"/>
      <c r="I22" s="1628"/>
      <c r="J22" s="1618"/>
      <c r="K22" s="1618">
        <f t="shared" si="2"/>
        <v>0</v>
      </c>
    </row>
    <row r="23" spans="1:11" ht="12.95" customHeight="1" x14ac:dyDescent="0.2">
      <c r="A23" s="1377" t="s">
        <v>1763</v>
      </c>
      <c r="B23" s="1396">
        <v>372.29</v>
      </c>
      <c r="C23" s="1379">
        <v>3325</v>
      </c>
      <c r="D23" s="1380" t="s">
        <v>1764</v>
      </c>
      <c r="E23" s="1381">
        <v>89314456.219999999</v>
      </c>
      <c r="F23" s="1516">
        <v>79363000</v>
      </c>
      <c r="G23" s="1383">
        <f>E23+F23</f>
        <v>168677456.22</v>
      </c>
      <c r="H23" s="1518">
        <v>76037000</v>
      </c>
      <c r="I23" s="1516">
        <v>75404000</v>
      </c>
      <c r="J23" s="1383">
        <f>H23+I23</f>
        <v>151441000</v>
      </c>
      <c r="K23" s="1383">
        <f t="shared" si="2"/>
        <v>-17236456.219999999</v>
      </c>
    </row>
    <row r="24" spans="1:11" ht="12.95" customHeight="1" x14ac:dyDescent="0.2">
      <c r="A24" s="1377" t="s">
        <v>1765</v>
      </c>
      <c r="B24" s="1378">
        <v>374.78500000000003</v>
      </c>
      <c r="C24" s="1379">
        <v>3328</v>
      </c>
      <c r="D24" s="1380" t="s">
        <v>1766</v>
      </c>
      <c r="E24" s="1381">
        <v>2066588989.8299999</v>
      </c>
      <c r="F24" s="1516">
        <v>2223386000</v>
      </c>
      <c r="G24" s="1383">
        <f>E24+F24</f>
        <v>4289974989.8299999</v>
      </c>
      <c r="H24" s="1518">
        <v>2347428000</v>
      </c>
      <c r="I24" s="1516">
        <v>2454407000</v>
      </c>
      <c r="J24" s="1383">
        <f t="shared" ref="J24:J25" si="3">H24+I24</f>
        <v>4801835000</v>
      </c>
      <c r="K24" s="1383">
        <f t="shared" si="2"/>
        <v>511860010.17000008</v>
      </c>
    </row>
    <row r="25" spans="1:11" ht="12.95" customHeight="1" x14ac:dyDescent="0.2">
      <c r="A25" s="1377" t="s">
        <v>1767</v>
      </c>
      <c r="B25" s="1378" t="s">
        <v>1768</v>
      </c>
      <c r="C25" s="1379">
        <v>4157</v>
      </c>
      <c r="D25" s="1380" t="s">
        <v>1769</v>
      </c>
      <c r="E25" s="1381">
        <v>7000</v>
      </c>
      <c r="F25" s="1382">
        <v>50000</v>
      </c>
      <c r="G25" s="1383">
        <f>E25+F25</f>
        <v>57000</v>
      </c>
      <c r="H25" s="1384">
        <v>50000</v>
      </c>
      <c r="I25" s="1382">
        <v>50000</v>
      </c>
      <c r="J25" s="1383">
        <f t="shared" si="3"/>
        <v>100000</v>
      </c>
      <c r="K25" s="1383">
        <f t="shared" si="2"/>
        <v>43000</v>
      </c>
    </row>
    <row r="26" spans="1:11" ht="12.95" customHeight="1" x14ac:dyDescent="0.2">
      <c r="A26" s="1377" t="s">
        <v>1770</v>
      </c>
      <c r="B26" s="1378">
        <v>463.38499999999999</v>
      </c>
      <c r="C26" s="1379">
        <v>3329</v>
      </c>
      <c r="D26" s="1380" t="s">
        <v>1771</v>
      </c>
      <c r="E26" s="1381">
        <v>23296449.850000001</v>
      </c>
      <c r="F26" s="1516">
        <v>24480000</v>
      </c>
      <c r="G26" s="1517">
        <f>E26+F26</f>
        <v>47776449.850000001</v>
      </c>
      <c r="H26" s="1518">
        <v>25788000</v>
      </c>
      <c r="I26" s="1516">
        <v>25152000</v>
      </c>
      <c r="J26" s="1383">
        <f>H26+I26</f>
        <v>50940000</v>
      </c>
      <c r="K26" s="1383">
        <f t="shared" si="2"/>
        <v>3163550.1499999985</v>
      </c>
    </row>
    <row r="27" spans="1:11" ht="12.95" customHeight="1" x14ac:dyDescent="0.2">
      <c r="A27" s="1377" t="s">
        <v>1772</v>
      </c>
      <c r="B27" s="1378">
        <v>482.18099999999998</v>
      </c>
      <c r="C27" s="1379">
        <v>3324</v>
      </c>
      <c r="D27" s="1380" t="s">
        <v>1773</v>
      </c>
      <c r="E27" s="1381">
        <v>124174029.20999999</v>
      </c>
      <c r="F27" s="1516">
        <v>127039000</v>
      </c>
      <c r="G27" s="1517">
        <f t="shared" ref="G27:G39" si="4">E27+F27</f>
        <v>251213029.20999998</v>
      </c>
      <c r="H27" s="1518">
        <v>130140000</v>
      </c>
      <c r="I27" s="1516">
        <v>134499000</v>
      </c>
      <c r="J27" s="1383">
        <f t="shared" ref="J27:J39" si="5">H27+I27</f>
        <v>264639000</v>
      </c>
      <c r="K27" s="1383">
        <f t="shared" si="2"/>
        <v>13425970.790000021</v>
      </c>
    </row>
    <row r="28" spans="1:11" ht="12.95" customHeight="1" x14ac:dyDescent="0.2">
      <c r="A28" s="1377" t="s">
        <v>1774</v>
      </c>
      <c r="B28" s="1370">
        <v>488.07499999999999</v>
      </c>
      <c r="C28" s="1371">
        <v>4770</v>
      </c>
      <c r="D28" s="1404" t="s">
        <v>1775</v>
      </c>
      <c r="E28" s="1397">
        <v>897310</v>
      </c>
      <c r="F28" s="1519">
        <v>900000</v>
      </c>
      <c r="G28" s="1399">
        <f t="shared" si="4"/>
        <v>1797310</v>
      </c>
      <c r="H28" s="1520">
        <v>900000</v>
      </c>
      <c r="I28" s="1519">
        <v>900000</v>
      </c>
      <c r="J28" s="1383">
        <f>H28+I28</f>
        <v>1800000</v>
      </c>
      <c r="K28" s="1383">
        <f>J28-G28</f>
        <v>2690</v>
      </c>
    </row>
    <row r="29" spans="1:11" ht="22.5" x14ac:dyDescent="0.2">
      <c r="A29" s="1377" t="s">
        <v>1776</v>
      </c>
      <c r="B29" s="1396">
        <v>709.11</v>
      </c>
      <c r="C29" s="1625">
        <v>3867</v>
      </c>
      <c r="D29" s="1380" t="s">
        <v>1777</v>
      </c>
      <c r="E29" s="1633">
        <v>1770286.19</v>
      </c>
      <c r="F29" s="1636">
        <v>3500000</v>
      </c>
      <c r="G29" s="1619">
        <f t="shared" si="4"/>
        <v>5270286.1899999995</v>
      </c>
      <c r="H29" s="1633">
        <v>3500000</v>
      </c>
      <c r="I29" s="1636">
        <v>3500000</v>
      </c>
      <c r="J29" s="1619">
        <f t="shared" si="5"/>
        <v>7000000</v>
      </c>
      <c r="K29" s="1622">
        <f t="shared" si="2"/>
        <v>1729713.8100000005</v>
      </c>
    </row>
    <row r="30" spans="1:11" ht="22.5" x14ac:dyDescent="0.2">
      <c r="A30" s="1377" t="s">
        <v>1778</v>
      </c>
      <c r="B30" s="1396">
        <v>709.23</v>
      </c>
      <c r="C30" s="1632"/>
      <c r="D30" s="1380" t="s">
        <v>1777</v>
      </c>
      <c r="E30" s="1634"/>
      <c r="F30" s="1637"/>
      <c r="G30" s="1620"/>
      <c r="H30" s="1634"/>
      <c r="I30" s="1637"/>
      <c r="J30" s="1620"/>
      <c r="K30" s="1623"/>
    </row>
    <row r="31" spans="1:11" ht="22.5" x14ac:dyDescent="0.2">
      <c r="A31" s="1377" t="s">
        <v>1779</v>
      </c>
      <c r="B31" s="1396">
        <v>709.27</v>
      </c>
      <c r="C31" s="1626"/>
      <c r="D31" s="1380" t="s">
        <v>1780</v>
      </c>
      <c r="E31" s="1635"/>
      <c r="F31" s="1638"/>
      <c r="G31" s="1621"/>
      <c r="H31" s="1635"/>
      <c r="I31" s="1638"/>
      <c r="J31" s="1621"/>
      <c r="K31" s="1624"/>
    </row>
    <row r="32" spans="1:11" ht="12.95" customHeight="1" x14ac:dyDescent="0.2">
      <c r="A32" s="1377" t="s">
        <v>1781</v>
      </c>
      <c r="B32" s="1378" t="s">
        <v>1782</v>
      </c>
      <c r="C32" s="1395">
        <v>3074</v>
      </c>
      <c r="D32" s="1380" t="s">
        <v>1783</v>
      </c>
      <c r="E32" s="1400"/>
      <c r="F32" s="1401"/>
      <c r="G32" s="1383">
        <f t="shared" si="4"/>
        <v>0</v>
      </c>
      <c r="H32" s="1518">
        <v>65747000</v>
      </c>
      <c r="I32" s="1516">
        <v>63063000</v>
      </c>
      <c r="J32" s="1383">
        <f t="shared" si="5"/>
        <v>128810000</v>
      </c>
      <c r="K32" s="1383">
        <f t="shared" si="2"/>
        <v>128810000</v>
      </c>
    </row>
    <row r="33" spans="1:11" ht="12.95" customHeight="1" x14ac:dyDescent="0.2">
      <c r="A33" s="1369" t="s">
        <v>1784</v>
      </c>
      <c r="B33" s="1370"/>
      <c r="C33" s="1371">
        <v>4326</v>
      </c>
      <c r="D33" s="1404" t="s">
        <v>1785</v>
      </c>
      <c r="E33" s="1397">
        <v>2150274.4</v>
      </c>
      <c r="F33" s="1398">
        <v>10819000</v>
      </c>
      <c r="G33" s="1383">
        <f t="shared" si="4"/>
        <v>12969274.4</v>
      </c>
      <c r="H33" s="1405">
        <v>18569000</v>
      </c>
      <c r="I33" s="1398">
        <v>14540000</v>
      </c>
      <c r="J33" s="1383">
        <f t="shared" si="5"/>
        <v>33109000</v>
      </c>
      <c r="K33" s="1399">
        <f t="shared" si="2"/>
        <v>20139725.600000001</v>
      </c>
    </row>
    <row r="34" spans="1:11" ht="12.95" customHeight="1" x14ac:dyDescent="0.2">
      <c r="A34" s="1369" t="s">
        <v>1786</v>
      </c>
      <c r="B34" s="1370"/>
      <c r="C34" s="1371">
        <v>4781</v>
      </c>
      <c r="D34" s="1404" t="s">
        <v>1787</v>
      </c>
      <c r="E34" s="1397"/>
      <c r="F34" s="1398">
        <v>1267527.57</v>
      </c>
      <c r="G34" s="1383"/>
      <c r="H34" s="1405"/>
      <c r="I34" s="1398"/>
      <c r="J34" s="1383"/>
      <c r="K34" s="1399"/>
    </row>
    <row r="35" spans="1:11" ht="12.95" customHeight="1" x14ac:dyDescent="0.2">
      <c r="A35" s="1369" t="s">
        <v>1786</v>
      </c>
      <c r="B35" s="1370" t="s">
        <v>1788</v>
      </c>
      <c r="C35" s="1371">
        <v>4251</v>
      </c>
      <c r="D35" s="1404" t="s">
        <v>1407</v>
      </c>
      <c r="E35" s="1397">
        <v>876</v>
      </c>
      <c r="F35" s="1398">
        <v>900</v>
      </c>
      <c r="G35" s="1383">
        <f t="shared" ref="G35" si="6">E35+F35</f>
        <v>1776</v>
      </c>
      <c r="H35" s="1405">
        <v>900</v>
      </c>
      <c r="I35" s="1398">
        <v>900</v>
      </c>
      <c r="J35" s="1383">
        <f t="shared" ref="J35" si="7">H35+I35</f>
        <v>1800</v>
      </c>
      <c r="K35" s="1399">
        <f t="shared" ref="K35" si="8">J35-G35</f>
        <v>24</v>
      </c>
    </row>
    <row r="36" spans="1:11" ht="12.95" customHeight="1" thickBot="1" x14ac:dyDescent="0.25">
      <c r="A36" s="1406" t="s">
        <v>1789</v>
      </c>
      <c r="B36" s="1407"/>
      <c r="C36" s="1408">
        <v>42</v>
      </c>
      <c r="D36" s="1409" t="s">
        <v>1790</v>
      </c>
      <c r="E36" s="1410">
        <v>1396939483</v>
      </c>
      <c r="F36" s="1411">
        <v>1223780931</v>
      </c>
      <c r="G36" s="1412">
        <f t="shared" si="4"/>
        <v>2620720414</v>
      </c>
      <c r="H36" s="1422"/>
      <c r="I36" s="1411"/>
      <c r="J36" s="1412">
        <f t="shared" si="5"/>
        <v>0</v>
      </c>
      <c r="K36" s="1412">
        <f t="shared" si="2"/>
        <v>-2620720414</v>
      </c>
    </row>
    <row r="37" spans="1:11" s="1417" customFormat="1" ht="15.75" thickBot="1" x14ac:dyDescent="0.3">
      <c r="A37" s="1629" t="s">
        <v>1791</v>
      </c>
      <c r="B37" s="1630"/>
      <c r="C37" s="1630"/>
      <c r="D37" s="1631"/>
      <c r="E37" s="1413">
        <f>SUM(E6:E36)</f>
        <v>4322749780.8899994</v>
      </c>
      <c r="F37" s="1414">
        <f>SUM(F6:F36)</f>
        <v>5507751477.1900005</v>
      </c>
      <c r="G37" s="1415">
        <f t="shared" si="4"/>
        <v>9830501258.0799999</v>
      </c>
      <c r="H37" s="1416">
        <f>SUM(H6:H36)</f>
        <v>4049700900</v>
      </c>
      <c r="I37" s="1414">
        <f>SUM(I6:I36)</f>
        <v>4231844900</v>
      </c>
      <c r="J37" s="1415">
        <f t="shared" si="5"/>
        <v>8281545800</v>
      </c>
      <c r="K37" s="1415">
        <f t="shared" si="2"/>
        <v>-1548955458.0799999</v>
      </c>
    </row>
    <row r="38" spans="1:11" s="1417" customFormat="1" ht="15.75" thickBot="1" x14ac:dyDescent="0.3">
      <c r="A38" s="1629" t="s">
        <v>1792</v>
      </c>
      <c r="B38" s="1630"/>
      <c r="C38" s="1630"/>
      <c r="D38" s="1631"/>
      <c r="E38" s="1413">
        <f>SUM(E9:E35)</f>
        <v>3466288369.8899999</v>
      </c>
      <c r="F38" s="1414">
        <f>SUM(F9:F35)</f>
        <v>3732403427.5700002</v>
      </c>
      <c r="G38" s="1415">
        <f t="shared" si="4"/>
        <v>7198691797.46</v>
      </c>
      <c r="H38" s="1416">
        <f>SUM(H9:H35)</f>
        <v>4049700900</v>
      </c>
      <c r="I38" s="1414">
        <f>SUM(I9:I35)</f>
        <v>4231844900</v>
      </c>
      <c r="J38" s="1415">
        <f t="shared" si="5"/>
        <v>8281545800</v>
      </c>
      <c r="K38" s="1415">
        <f t="shared" si="2"/>
        <v>1082854002.54</v>
      </c>
    </row>
    <row r="39" spans="1:11" s="1417" customFormat="1" ht="12.75" customHeight="1" thickBot="1" x14ac:dyDescent="0.3">
      <c r="A39" s="1629" t="s">
        <v>1793</v>
      </c>
      <c r="B39" s="1630"/>
      <c r="C39" s="1630"/>
      <c r="D39" s="1631"/>
      <c r="E39" s="1413">
        <f>SUM(E9:E36)</f>
        <v>4863227852.8899994</v>
      </c>
      <c r="F39" s="1414">
        <f>SUM(F9:F36)</f>
        <v>4956184358.5699997</v>
      </c>
      <c r="G39" s="1415">
        <f t="shared" si="4"/>
        <v>9819412211.4599991</v>
      </c>
      <c r="H39" s="1416">
        <f>SUM(H9:H36)</f>
        <v>4049700900</v>
      </c>
      <c r="I39" s="1414">
        <f>SUM(I9:I36)</f>
        <v>4231844900</v>
      </c>
      <c r="J39" s="1415">
        <f t="shared" si="5"/>
        <v>8281545800</v>
      </c>
      <c r="K39" s="1415">
        <f t="shared" si="2"/>
        <v>-1537866411.4599991</v>
      </c>
    </row>
    <row r="40" spans="1:11" ht="3.95" customHeight="1" x14ac:dyDescent="0.2"/>
    <row r="42" spans="1:11" x14ac:dyDescent="0.2">
      <c r="F42" s="1423"/>
      <c r="H42" s="1423"/>
      <c r="I42" s="1423"/>
    </row>
  </sheetData>
  <sheetProtection algorithmName="SHA-512" hashValue="wHZi3Ie51Wr/zJhG9hC0dvU5vgXkvCXxIjCLQCUUfUO4Z1l7Jkl03ZpjjK7RqfhSWvhtKbUMawIleF5QG/lm1Q==" saltValue="vNpJ57BwX2d3BooRVXfSXw==" spinCount="100000" sheet="1" objects="1" scenarios="1"/>
  <mergeCells count="30">
    <mergeCell ref="A38:D38"/>
    <mergeCell ref="A39:D39"/>
    <mergeCell ref="C29:C31"/>
    <mergeCell ref="E29:E31"/>
    <mergeCell ref="I21:I22"/>
    <mergeCell ref="F29:F31"/>
    <mergeCell ref="G29:G31"/>
    <mergeCell ref="H29:H31"/>
    <mergeCell ref="I29:I31"/>
    <mergeCell ref="A37:D37"/>
    <mergeCell ref="J21:J22"/>
    <mergeCell ref="K21:K22"/>
    <mergeCell ref="J29:J31"/>
    <mergeCell ref="K29:K31"/>
    <mergeCell ref="C21:C22"/>
    <mergeCell ref="E21:E22"/>
    <mergeCell ref="F21:F22"/>
    <mergeCell ref="G21:G22"/>
    <mergeCell ref="H21:H22"/>
    <mergeCell ref="E4:G4"/>
    <mergeCell ref="H4:J4"/>
    <mergeCell ref="K4:K5"/>
    <mergeCell ref="C15:C16"/>
    <mergeCell ref="E15:E16"/>
    <mergeCell ref="F15:F16"/>
    <mergeCell ref="G15:G16"/>
    <mergeCell ref="H15:H16"/>
    <mergeCell ref="I15:I16"/>
    <mergeCell ref="J15:J16"/>
    <mergeCell ref="K15:K16"/>
  </mergeCells>
  <pageMargins left="0.17" right="0.17" top="0.31" bottom="0.36" header="0.3" footer="0.17"/>
  <pageSetup paperSize="17" pageOrder="overThenDown" orientation="landscape" r:id="rId1"/>
  <headerFooter>
    <oddFooter>&amp;L&amp;8Prepared by the Fiscal Analysis Division&amp;C&amp;8Budget/Fiscal December 2022 Consensus Forecast: Page &amp;P of &amp;N&amp;R&amp;8December 17, 2022 - 7:30 AM</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CFD97-7D49-4362-A0A0-D293D6C0B99C}">
  <sheetPr>
    <tabColor theme="7" tint="0.39997558519241921"/>
    <pageSetUpPr fitToPage="1"/>
  </sheetPr>
  <dimension ref="A1:K47"/>
  <sheetViews>
    <sheetView workbookViewId="0">
      <selection activeCell="N25" sqref="N25"/>
    </sheetView>
  </sheetViews>
  <sheetFormatPr defaultColWidth="11.42578125" defaultRowHeight="11.25" x14ac:dyDescent="0.2"/>
  <cols>
    <col min="1" max="1" width="17" style="1356" customWidth="1"/>
    <col min="2" max="2" width="11.7109375" style="1356" customWidth="1"/>
    <col min="3" max="3" width="4.85546875" style="1356" customWidth="1"/>
    <col min="4" max="4" width="78.140625" style="1355" customWidth="1"/>
    <col min="5" max="9" width="12.140625" style="1356" bestFit="1" customWidth="1"/>
    <col min="10" max="10" width="13" style="1356" bestFit="1" customWidth="1"/>
    <col min="11" max="11" width="14.5703125" style="1356" bestFit="1" customWidth="1"/>
    <col min="12" max="16384" width="11.42578125" style="1356"/>
  </cols>
  <sheetData>
    <row r="1" spans="1:11" ht="12" x14ac:dyDescent="0.2">
      <c r="A1" s="1354" t="s">
        <v>1716</v>
      </c>
      <c r="B1" s="1354"/>
      <c r="C1" s="1354"/>
    </row>
    <row r="2" spans="1:11" ht="12" x14ac:dyDescent="0.2">
      <c r="A2" s="1354" t="s">
        <v>1717</v>
      </c>
      <c r="B2" s="1354"/>
      <c r="C2" s="1354"/>
    </row>
    <row r="3" spans="1:11" ht="3.95" customHeight="1" thickBot="1" x14ac:dyDescent="0.25">
      <c r="A3" s="1357"/>
      <c r="B3" s="1357"/>
      <c r="C3" s="1357"/>
      <c r="D3" s="1357"/>
    </row>
    <row r="4" spans="1:11" x14ac:dyDescent="0.2">
      <c r="A4" s="1358"/>
      <c r="B4" s="1359"/>
      <c r="C4" s="1359"/>
      <c r="D4" s="1360"/>
      <c r="E4" s="1604" t="s">
        <v>1718</v>
      </c>
      <c r="F4" s="1605"/>
      <c r="G4" s="1606"/>
      <c r="H4" s="1607" t="s">
        <v>1719</v>
      </c>
      <c r="I4" s="1605"/>
      <c r="J4" s="1606"/>
      <c r="K4" s="1608" t="s">
        <v>1720</v>
      </c>
    </row>
    <row r="5" spans="1:11" s="1368" customFormat="1" ht="46.5" customHeight="1" thickBot="1" x14ac:dyDescent="0.3">
      <c r="A5" s="1361" t="s">
        <v>1721</v>
      </c>
      <c r="B5" s="1362" t="s">
        <v>1722</v>
      </c>
      <c r="C5" s="1362" t="s">
        <v>1723</v>
      </c>
      <c r="D5" s="1363" t="s">
        <v>1477</v>
      </c>
      <c r="E5" s="1364" t="s">
        <v>1724</v>
      </c>
      <c r="F5" s="1365" t="s">
        <v>1725</v>
      </c>
      <c r="G5" s="1366" t="s">
        <v>1726</v>
      </c>
      <c r="H5" s="1367" t="s">
        <v>1361</v>
      </c>
      <c r="I5" s="1365" t="s">
        <v>1727</v>
      </c>
      <c r="J5" s="1366" t="s">
        <v>1728</v>
      </c>
      <c r="K5" s="1609"/>
    </row>
    <row r="6" spans="1:11" ht="12.95" customHeight="1" x14ac:dyDescent="0.2">
      <c r="A6" s="1369"/>
      <c r="B6" s="1370"/>
      <c r="C6" s="1371">
        <v>45</v>
      </c>
      <c r="D6" s="1372" t="s">
        <v>1729</v>
      </c>
      <c r="E6" s="1373">
        <v>-549478081</v>
      </c>
      <c r="F6" s="1374"/>
      <c r="G6" s="1375">
        <f t="shared" ref="G6:G15" si="0">E6+F6</f>
        <v>-549478081</v>
      </c>
      <c r="H6" s="1376"/>
      <c r="I6" s="1374"/>
      <c r="J6" s="1375">
        <f t="shared" ref="J6:J15" si="1">H6+I6</f>
        <v>0</v>
      </c>
      <c r="K6" s="1375">
        <f t="shared" ref="K6:K37" si="2">J6-G6</f>
        <v>549478081</v>
      </c>
    </row>
    <row r="7" spans="1:11" ht="12.95" customHeight="1" x14ac:dyDescent="0.2">
      <c r="A7" s="1377"/>
      <c r="B7" s="1378"/>
      <c r="C7" s="1379">
        <v>47</v>
      </c>
      <c r="D7" s="1380" t="s">
        <v>1730</v>
      </c>
      <c r="E7" s="1381">
        <v>9000009</v>
      </c>
      <c r="F7" s="1382">
        <v>549478081</v>
      </c>
      <c r="G7" s="1383">
        <f t="shared" si="0"/>
        <v>558478090</v>
      </c>
      <c r="H7" s="1384"/>
      <c r="I7" s="1382"/>
      <c r="J7" s="1383">
        <f t="shared" si="1"/>
        <v>0</v>
      </c>
      <c r="K7" s="1383">
        <f t="shared" si="2"/>
        <v>-558478090</v>
      </c>
    </row>
    <row r="8" spans="1:11" ht="12.95" customHeight="1" x14ac:dyDescent="0.2">
      <c r="A8" s="1385"/>
      <c r="B8" s="1386"/>
      <c r="C8" s="1387">
        <v>4203</v>
      </c>
      <c r="D8" s="1388" t="s">
        <v>1731</v>
      </c>
      <c r="E8" s="1389"/>
      <c r="F8" s="1390">
        <v>2089037.62</v>
      </c>
      <c r="G8" s="1383">
        <f t="shared" si="0"/>
        <v>2089037.62</v>
      </c>
      <c r="H8" s="1384"/>
      <c r="I8" s="1382"/>
      <c r="J8" s="1383">
        <f t="shared" si="1"/>
        <v>0</v>
      </c>
      <c r="K8" s="1383">
        <f t="shared" si="2"/>
        <v>-2089037.62</v>
      </c>
    </row>
    <row r="9" spans="1:11" ht="12.95" customHeight="1" x14ac:dyDescent="0.2">
      <c r="A9" s="1385" t="s">
        <v>1732</v>
      </c>
      <c r="B9" s="1391">
        <v>387.03</v>
      </c>
      <c r="C9" s="1387">
        <v>4869</v>
      </c>
      <c r="D9" s="1388" t="s">
        <v>1733</v>
      </c>
      <c r="E9" s="1389">
        <v>10674992.609999999</v>
      </c>
      <c r="F9" s="1392">
        <v>12000000</v>
      </c>
      <c r="G9" s="1393">
        <f t="shared" si="0"/>
        <v>22674992.609999999</v>
      </c>
      <c r="H9" s="1394">
        <v>12000000</v>
      </c>
      <c r="I9" s="1392">
        <v>11000000</v>
      </c>
      <c r="J9" s="1393">
        <f t="shared" si="1"/>
        <v>23000000</v>
      </c>
      <c r="K9" s="1393">
        <f t="shared" si="2"/>
        <v>325007.3900000006</v>
      </c>
    </row>
    <row r="10" spans="1:11" ht="12.95" customHeight="1" x14ac:dyDescent="0.2">
      <c r="A10" s="1369" t="s">
        <v>1734</v>
      </c>
      <c r="B10" s="1370">
        <v>244.33561</v>
      </c>
      <c r="C10" s="1371">
        <v>3335</v>
      </c>
      <c r="D10" s="1372" t="s">
        <v>1735</v>
      </c>
      <c r="E10" s="1373">
        <v>192343898.16</v>
      </c>
      <c r="F10" s="1374">
        <v>221394000</v>
      </c>
      <c r="G10" s="1375">
        <f t="shared" si="0"/>
        <v>413737898.15999997</v>
      </c>
      <c r="H10" s="1376">
        <v>247988000</v>
      </c>
      <c r="I10" s="1374">
        <v>240785000</v>
      </c>
      <c r="J10" s="1375">
        <f t="shared" si="1"/>
        <v>488773000</v>
      </c>
      <c r="K10" s="1375">
        <f t="shared" si="2"/>
        <v>75035101.840000033</v>
      </c>
    </row>
    <row r="11" spans="1:11" ht="12.95" customHeight="1" x14ac:dyDescent="0.2">
      <c r="A11" s="1377" t="s">
        <v>1736</v>
      </c>
      <c r="B11" s="1378">
        <v>387.19499999999999</v>
      </c>
      <c r="C11" s="1379">
        <v>3340</v>
      </c>
      <c r="D11" s="1380" t="s">
        <v>1737</v>
      </c>
      <c r="E11" s="1381">
        <v>866967710.97000003</v>
      </c>
      <c r="F11" s="1382">
        <f>ROUND(939636815,-3)</f>
        <v>939637000</v>
      </c>
      <c r="G11" s="1383">
        <f t="shared" si="0"/>
        <v>1806604710.97</v>
      </c>
      <c r="H11" s="1384">
        <f>ROUND(1003860622,-3)</f>
        <v>1003861000</v>
      </c>
      <c r="I11" s="1382">
        <f>ROUND(1071136071,-3)</f>
        <v>1071136000</v>
      </c>
      <c r="J11" s="1383">
        <f t="shared" si="1"/>
        <v>2074997000</v>
      </c>
      <c r="K11" s="1383">
        <f t="shared" si="2"/>
        <v>268392289.02999997</v>
      </c>
    </row>
    <row r="12" spans="1:11" ht="12.95" customHeight="1" x14ac:dyDescent="0.2">
      <c r="A12" s="1377" t="s">
        <v>1738</v>
      </c>
      <c r="B12" s="1378" t="s">
        <v>1739</v>
      </c>
      <c r="C12" s="1395">
        <v>4621</v>
      </c>
      <c r="D12" s="1380" t="s">
        <v>1740</v>
      </c>
      <c r="E12" s="1381">
        <v>0</v>
      </c>
      <c r="F12" s="1382">
        <v>68000</v>
      </c>
      <c r="G12" s="1383">
        <f t="shared" si="0"/>
        <v>68000</v>
      </c>
      <c r="H12" s="1384">
        <v>34000</v>
      </c>
      <c r="I12" s="1382">
        <v>34000</v>
      </c>
      <c r="J12" s="1383">
        <f t="shared" si="1"/>
        <v>68000</v>
      </c>
      <c r="K12" s="1383">
        <f t="shared" si="2"/>
        <v>0</v>
      </c>
    </row>
    <row r="13" spans="1:11" ht="12.95" customHeight="1" x14ac:dyDescent="0.2">
      <c r="A13" s="1377" t="s">
        <v>1741</v>
      </c>
      <c r="B13" s="1378">
        <v>179.11869999999999</v>
      </c>
      <c r="C13" s="1395">
        <v>4152</v>
      </c>
      <c r="D13" s="1380" t="s">
        <v>1742</v>
      </c>
      <c r="E13" s="1381">
        <v>740368.57</v>
      </c>
      <c r="F13" s="1382">
        <v>740000</v>
      </c>
      <c r="G13" s="1383">
        <f t="shared" si="0"/>
        <v>1480368.5699999998</v>
      </c>
      <c r="H13" s="1384">
        <v>740000</v>
      </c>
      <c r="I13" s="1382">
        <v>740000</v>
      </c>
      <c r="J13" s="1383">
        <f t="shared" si="1"/>
        <v>1480000</v>
      </c>
      <c r="K13" s="1383">
        <f t="shared" si="2"/>
        <v>-368.56999999983236</v>
      </c>
    </row>
    <row r="14" spans="1:11" ht="12.95" customHeight="1" x14ac:dyDescent="0.2">
      <c r="A14" s="1377" t="s">
        <v>1743</v>
      </c>
      <c r="B14" s="1378" t="s">
        <v>1744</v>
      </c>
      <c r="C14" s="1395"/>
      <c r="D14" s="1380" t="s">
        <v>1745</v>
      </c>
      <c r="E14" s="1381">
        <v>0</v>
      </c>
      <c r="F14" s="1382">
        <v>0</v>
      </c>
      <c r="G14" s="1383">
        <f t="shared" si="0"/>
        <v>0</v>
      </c>
      <c r="H14" s="1384">
        <v>0</v>
      </c>
      <c r="I14" s="1382">
        <v>0</v>
      </c>
      <c r="J14" s="1383">
        <f t="shared" si="1"/>
        <v>0</v>
      </c>
      <c r="K14" s="1383">
        <f t="shared" si="2"/>
        <v>0</v>
      </c>
    </row>
    <row r="15" spans="1:11" ht="12.95" customHeight="1" x14ac:dyDescent="0.2">
      <c r="A15" s="1377" t="s">
        <v>1746</v>
      </c>
      <c r="B15" s="1396">
        <v>328.45</v>
      </c>
      <c r="C15" s="1610">
        <v>3536</v>
      </c>
      <c r="D15" s="1380" t="s">
        <v>1747</v>
      </c>
      <c r="E15" s="1612">
        <v>6260380.5899999999</v>
      </c>
      <c r="F15" s="1614">
        <v>6300000</v>
      </c>
      <c r="G15" s="1616">
        <f t="shared" si="0"/>
        <v>12560380.59</v>
      </c>
      <c r="H15" s="1612">
        <v>6300000</v>
      </c>
      <c r="I15" s="1614">
        <v>6300000</v>
      </c>
      <c r="J15" s="1616">
        <f t="shared" si="1"/>
        <v>12600000</v>
      </c>
      <c r="K15" s="1616">
        <f t="shared" si="2"/>
        <v>39619.410000000149</v>
      </c>
    </row>
    <row r="16" spans="1:11" ht="12.95" customHeight="1" x14ac:dyDescent="0.2">
      <c r="A16" s="1377" t="s">
        <v>1748</v>
      </c>
      <c r="B16" s="1396">
        <v>328.46</v>
      </c>
      <c r="C16" s="1611"/>
      <c r="D16" s="1380" t="s">
        <v>1747</v>
      </c>
      <c r="E16" s="1613"/>
      <c r="F16" s="1615"/>
      <c r="G16" s="1617"/>
      <c r="H16" s="1613"/>
      <c r="I16" s="1615"/>
      <c r="J16" s="1617"/>
      <c r="K16" s="1617">
        <f t="shared" si="2"/>
        <v>0</v>
      </c>
    </row>
    <row r="17" spans="1:11" ht="33.75" x14ac:dyDescent="0.2">
      <c r="A17" s="1377" t="s">
        <v>1749</v>
      </c>
      <c r="B17" s="1396">
        <v>360.85</v>
      </c>
      <c r="C17" s="1395"/>
      <c r="D17" s="1380" t="s">
        <v>1750</v>
      </c>
      <c r="E17" s="1381">
        <v>0</v>
      </c>
      <c r="F17" s="1382">
        <v>0</v>
      </c>
      <c r="G17" s="1383">
        <f>E17+F17</f>
        <v>0</v>
      </c>
      <c r="H17" s="1384">
        <v>0</v>
      </c>
      <c r="I17" s="1382">
        <v>0</v>
      </c>
      <c r="J17" s="1383">
        <f>H17+I17</f>
        <v>0</v>
      </c>
      <c r="K17" s="1383">
        <f t="shared" si="2"/>
        <v>0</v>
      </c>
    </row>
    <row r="18" spans="1:11" ht="45" x14ac:dyDescent="0.2">
      <c r="A18" s="1377" t="s">
        <v>1751</v>
      </c>
      <c r="B18" s="1378">
        <v>360.85500000000002</v>
      </c>
      <c r="C18" s="1395"/>
      <c r="D18" s="1380" t="s">
        <v>1752</v>
      </c>
      <c r="E18" s="1381">
        <v>0</v>
      </c>
      <c r="F18" s="1382">
        <v>0</v>
      </c>
      <c r="G18" s="1383">
        <f>E18+F18</f>
        <v>0</v>
      </c>
      <c r="H18" s="1384">
        <v>0</v>
      </c>
      <c r="I18" s="1382">
        <v>0</v>
      </c>
      <c r="J18" s="1383">
        <f>H18+I18</f>
        <v>0</v>
      </c>
      <c r="K18" s="1383">
        <f t="shared" si="2"/>
        <v>0</v>
      </c>
    </row>
    <row r="19" spans="1:11" ht="12.95" customHeight="1" x14ac:dyDescent="0.2">
      <c r="A19" s="1377" t="s">
        <v>1753</v>
      </c>
      <c r="B19" s="1396">
        <v>362.1</v>
      </c>
      <c r="C19" s="1379">
        <v>3064</v>
      </c>
      <c r="D19" s="1380" t="s">
        <v>1754</v>
      </c>
      <c r="E19" s="1400"/>
      <c r="F19" s="1401"/>
      <c r="G19" s="1383">
        <f>E19+F19</f>
        <v>0</v>
      </c>
      <c r="H19" s="1384">
        <v>0</v>
      </c>
      <c r="I19" s="1382">
        <v>67306000</v>
      </c>
      <c r="J19" s="1383">
        <f>H19+I19</f>
        <v>67306000</v>
      </c>
      <c r="K19" s="1383">
        <f t="shared" si="2"/>
        <v>67306000</v>
      </c>
    </row>
    <row r="20" spans="1:11" ht="12.95" customHeight="1" x14ac:dyDescent="0.2">
      <c r="A20" s="1377" t="s">
        <v>1755</v>
      </c>
      <c r="B20" s="1396">
        <v>362.17</v>
      </c>
      <c r="C20" s="1379">
        <v>3868</v>
      </c>
      <c r="D20" s="1380" t="s">
        <v>1756</v>
      </c>
      <c r="E20" s="1381">
        <v>22214870.98</v>
      </c>
      <c r="F20" s="1402">
        <v>25531000</v>
      </c>
      <c r="G20" s="1383">
        <f>E20+F20</f>
        <v>47745870.980000004</v>
      </c>
      <c r="H20" s="1403">
        <v>23463000</v>
      </c>
      <c r="I20" s="1382">
        <v>23039000</v>
      </c>
      <c r="J20" s="1383">
        <f>H20+I20</f>
        <v>46502000</v>
      </c>
      <c r="K20" s="1383">
        <f t="shared" si="2"/>
        <v>-1243870.9800000042</v>
      </c>
    </row>
    <row r="21" spans="1:11" ht="12.95" customHeight="1" x14ac:dyDescent="0.2">
      <c r="A21" s="1377" t="s">
        <v>1757</v>
      </c>
      <c r="B21" s="1378" t="s">
        <v>1758</v>
      </c>
      <c r="C21" s="1625">
        <v>4771</v>
      </c>
      <c r="D21" s="1380" t="s">
        <v>1759</v>
      </c>
      <c r="E21" s="1612">
        <v>58886476.310000002</v>
      </c>
      <c r="F21" s="1614">
        <v>46226000</v>
      </c>
      <c r="G21" s="1616">
        <f>E21+F21</f>
        <v>105112476.31</v>
      </c>
      <c r="H21" s="1612">
        <v>39837595</v>
      </c>
      <c r="I21" s="1614">
        <v>41741945</v>
      </c>
      <c r="J21" s="1616">
        <f>H21+I21</f>
        <v>81579540</v>
      </c>
      <c r="K21" s="1616">
        <f t="shared" si="2"/>
        <v>-23532936.310000002</v>
      </c>
    </row>
    <row r="22" spans="1:11" ht="22.5" x14ac:dyDescent="0.2">
      <c r="A22" s="1377" t="s">
        <v>1760</v>
      </c>
      <c r="B22" s="1378" t="s">
        <v>1761</v>
      </c>
      <c r="C22" s="1626"/>
      <c r="D22" s="1380" t="s">
        <v>1762</v>
      </c>
      <c r="E22" s="1627"/>
      <c r="F22" s="1628"/>
      <c r="G22" s="1618"/>
      <c r="H22" s="1627"/>
      <c r="I22" s="1628"/>
      <c r="J22" s="1618"/>
      <c r="K22" s="1618">
        <f t="shared" si="2"/>
        <v>0</v>
      </c>
    </row>
    <row r="23" spans="1:11" ht="12.95" customHeight="1" x14ac:dyDescent="0.2">
      <c r="A23" s="1377" t="s">
        <v>1763</v>
      </c>
      <c r="B23" s="1396">
        <v>372.29</v>
      </c>
      <c r="C23" s="1379">
        <v>3325</v>
      </c>
      <c r="D23" s="1380" t="s">
        <v>1764</v>
      </c>
      <c r="E23" s="1381">
        <v>89314456.219999999</v>
      </c>
      <c r="F23" s="1382">
        <v>77382000</v>
      </c>
      <c r="G23" s="1383">
        <f>E23+F23</f>
        <v>166696456.22</v>
      </c>
      <c r="H23" s="1384">
        <v>74715000</v>
      </c>
      <c r="I23" s="1382">
        <v>74055000</v>
      </c>
      <c r="J23" s="1383">
        <f>H23+I23</f>
        <v>148770000</v>
      </c>
      <c r="K23" s="1383">
        <f t="shared" si="2"/>
        <v>-17926456.219999999</v>
      </c>
    </row>
    <row r="24" spans="1:11" ht="12.95" customHeight="1" x14ac:dyDescent="0.2">
      <c r="A24" s="1377" t="s">
        <v>1765</v>
      </c>
      <c r="B24" s="1378">
        <v>374.78500000000003</v>
      </c>
      <c r="C24" s="1379">
        <v>3328</v>
      </c>
      <c r="D24" s="1380" t="s">
        <v>1766</v>
      </c>
      <c r="E24" s="1381">
        <v>2066588989.8299999</v>
      </c>
      <c r="F24" s="1382">
        <v>2216464000</v>
      </c>
      <c r="G24" s="1383">
        <f>E24+F24</f>
        <v>4283052989.8299999</v>
      </c>
      <c r="H24" s="1384">
        <v>2361698000</v>
      </c>
      <c r="I24" s="1382">
        <v>2466828000</v>
      </c>
      <c r="J24" s="1383">
        <f t="shared" ref="J24:J25" si="3">H24+I24</f>
        <v>4828526000</v>
      </c>
      <c r="K24" s="1383">
        <f t="shared" si="2"/>
        <v>545473010.17000008</v>
      </c>
    </row>
    <row r="25" spans="1:11" ht="12.95" customHeight="1" x14ac:dyDescent="0.2">
      <c r="A25" s="1377" t="s">
        <v>1767</v>
      </c>
      <c r="B25" s="1378" t="s">
        <v>1768</v>
      </c>
      <c r="C25" s="1379">
        <v>4157</v>
      </c>
      <c r="D25" s="1380" t="s">
        <v>1769</v>
      </c>
      <c r="E25" s="1381">
        <v>7000</v>
      </c>
      <c r="F25" s="1382">
        <v>50000</v>
      </c>
      <c r="G25" s="1383">
        <f>E25+F25</f>
        <v>57000</v>
      </c>
      <c r="H25" s="1384">
        <v>50000</v>
      </c>
      <c r="I25" s="1382">
        <v>50000</v>
      </c>
      <c r="J25" s="1383">
        <f t="shared" si="3"/>
        <v>100000</v>
      </c>
      <c r="K25" s="1383">
        <f t="shared" si="2"/>
        <v>43000</v>
      </c>
    </row>
    <row r="26" spans="1:11" ht="12.95" customHeight="1" x14ac:dyDescent="0.2">
      <c r="A26" s="1377" t="s">
        <v>1770</v>
      </c>
      <c r="B26" s="1378">
        <v>463.38499999999999</v>
      </c>
      <c r="C26" s="1379">
        <v>3329</v>
      </c>
      <c r="D26" s="1380" t="s">
        <v>1771</v>
      </c>
      <c r="E26" s="1381">
        <v>23296449.850000001</v>
      </c>
      <c r="F26" s="1382">
        <f>ROUND(24343553,-3)</f>
        <v>24344000</v>
      </c>
      <c r="G26" s="1383">
        <f>E26+F26</f>
        <v>47640449.850000001</v>
      </c>
      <c r="H26" s="1384">
        <f>ROUND(24357979,-3)</f>
        <v>24358000</v>
      </c>
      <c r="I26" s="1382">
        <f>ROUND(24381128,-3)</f>
        <v>24381000</v>
      </c>
      <c r="J26" s="1383">
        <f>H26+I26</f>
        <v>48739000</v>
      </c>
      <c r="K26" s="1383">
        <f t="shared" si="2"/>
        <v>1098550.1499999985</v>
      </c>
    </row>
    <row r="27" spans="1:11" ht="12.95" customHeight="1" x14ac:dyDescent="0.2">
      <c r="A27" s="1377" t="s">
        <v>1772</v>
      </c>
      <c r="B27" s="1378">
        <v>482.18099999999998</v>
      </c>
      <c r="C27" s="1379">
        <v>3324</v>
      </c>
      <c r="D27" s="1380" t="s">
        <v>1773</v>
      </c>
      <c r="E27" s="1381">
        <v>124174029.20999999</v>
      </c>
      <c r="F27" s="1382">
        <v>129154000</v>
      </c>
      <c r="G27" s="1383">
        <f t="shared" ref="G27:G38" si="4">E27+F27</f>
        <v>253328029.20999998</v>
      </c>
      <c r="H27" s="1384">
        <v>132230000</v>
      </c>
      <c r="I27" s="1382">
        <v>135480000</v>
      </c>
      <c r="J27" s="1383">
        <f t="shared" ref="J27:J38" si="5">H27+I27</f>
        <v>267710000</v>
      </c>
      <c r="K27" s="1383">
        <f t="shared" si="2"/>
        <v>14381970.790000021</v>
      </c>
    </row>
    <row r="28" spans="1:11" ht="12.95" customHeight="1" x14ac:dyDescent="0.2">
      <c r="A28" s="1377" t="s">
        <v>1774</v>
      </c>
      <c r="B28" s="1370">
        <v>488.07499999999999</v>
      </c>
      <c r="C28" s="1371">
        <v>4770</v>
      </c>
      <c r="D28" s="1404" t="s">
        <v>1775</v>
      </c>
      <c r="E28" s="1397">
        <v>897310</v>
      </c>
      <c r="F28" s="1398">
        <v>900000</v>
      </c>
      <c r="G28" s="1399">
        <f t="shared" si="4"/>
        <v>1797310</v>
      </c>
      <c r="H28" s="1405">
        <v>900000</v>
      </c>
      <c r="I28" s="1398">
        <v>900000</v>
      </c>
      <c r="J28" s="1383">
        <f>H28+I28</f>
        <v>1800000</v>
      </c>
      <c r="K28" s="1383">
        <f>J28-G28</f>
        <v>2690</v>
      </c>
    </row>
    <row r="29" spans="1:11" ht="22.5" x14ac:dyDescent="0.2">
      <c r="A29" s="1377" t="s">
        <v>1776</v>
      </c>
      <c r="B29" s="1396">
        <v>709.11</v>
      </c>
      <c r="C29" s="1625">
        <v>3867</v>
      </c>
      <c r="D29" s="1380" t="s">
        <v>1777</v>
      </c>
      <c r="E29" s="1651">
        <v>1770286.19</v>
      </c>
      <c r="F29" s="1654">
        <v>3500000</v>
      </c>
      <c r="G29" s="1642">
        <f t="shared" si="4"/>
        <v>5270286.1899999995</v>
      </c>
      <c r="H29" s="1651">
        <v>3500000</v>
      </c>
      <c r="I29" s="1654">
        <v>3500000</v>
      </c>
      <c r="J29" s="1642">
        <f t="shared" si="5"/>
        <v>7000000</v>
      </c>
      <c r="K29" s="1645">
        <f t="shared" si="2"/>
        <v>1729713.8100000005</v>
      </c>
    </row>
    <row r="30" spans="1:11" ht="22.5" x14ac:dyDescent="0.2">
      <c r="A30" s="1377" t="s">
        <v>1778</v>
      </c>
      <c r="B30" s="1396">
        <v>709.23</v>
      </c>
      <c r="C30" s="1632"/>
      <c r="D30" s="1380" t="s">
        <v>1777</v>
      </c>
      <c r="E30" s="1652"/>
      <c r="F30" s="1655"/>
      <c r="G30" s="1643"/>
      <c r="H30" s="1652"/>
      <c r="I30" s="1655"/>
      <c r="J30" s="1643"/>
      <c r="K30" s="1646"/>
    </row>
    <row r="31" spans="1:11" ht="22.5" x14ac:dyDescent="0.2">
      <c r="A31" s="1377" t="s">
        <v>1779</v>
      </c>
      <c r="B31" s="1396">
        <v>709.27</v>
      </c>
      <c r="C31" s="1626"/>
      <c r="D31" s="1380" t="s">
        <v>1780</v>
      </c>
      <c r="E31" s="1653"/>
      <c r="F31" s="1656"/>
      <c r="G31" s="1644"/>
      <c r="H31" s="1653"/>
      <c r="I31" s="1656"/>
      <c r="J31" s="1644"/>
      <c r="K31" s="1647"/>
    </row>
    <row r="32" spans="1:11" ht="12.95" customHeight="1" x14ac:dyDescent="0.2">
      <c r="A32" s="1377" t="s">
        <v>1781</v>
      </c>
      <c r="B32" s="1378" t="s">
        <v>1782</v>
      </c>
      <c r="C32" s="1395">
        <v>3074</v>
      </c>
      <c r="D32" s="1380" t="s">
        <v>1783</v>
      </c>
      <c r="E32" s="1400"/>
      <c r="F32" s="1401"/>
      <c r="G32" s="1383">
        <f t="shared" si="4"/>
        <v>0</v>
      </c>
      <c r="H32" s="1384">
        <v>69906000</v>
      </c>
      <c r="I32" s="1382">
        <v>70905000</v>
      </c>
      <c r="J32" s="1383">
        <f t="shared" si="5"/>
        <v>140811000</v>
      </c>
      <c r="K32" s="1383">
        <f t="shared" si="2"/>
        <v>140811000</v>
      </c>
    </row>
    <row r="33" spans="1:11" ht="12.95" customHeight="1" x14ac:dyDescent="0.2">
      <c r="A33" s="1369" t="s">
        <v>1784</v>
      </c>
      <c r="B33" s="1370"/>
      <c r="C33" s="1371">
        <v>4326</v>
      </c>
      <c r="D33" s="1404" t="s">
        <v>1785</v>
      </c>
      <c r="E33" s="1397">
        <v>2150274.4</v>
      </c>
      <c r="F33" s="1398">
        <f>ROUND(4977838,-3)</f>
        <v>4978000</v>
      </c>
      <c r="G33" s="1383">
        <f t="shared" si="4"/>
        <v>7128274.4000000004</v>
      </c>
      <c r="H33" s="1405">
        <f>ROUND(8281172,-3)</f>
        <v>8281000</v>
      </c>
      <c r="I33" s="1398">
        <f>ROUND(7438273,-3)</f>
        <v>7438000</v>
      </c>
      <c r="J33" s="1383">
        <f t="shared" si="5"/>
        <v>15719000</v>
      </c>
      <c r="K33" s="1399">
        <f t="shared" si="2"/>
        <v>8590725.5999999996</v>
      </c>
    </row>
    <row r="34" spans="1:11" ht="12.95" customHeight="1" x14ac:dyDescent="0.2">
      <c r="A34" s="1369" t="s">
        <v>1786</v>
      </c>
      <c r="B34" s="1370"/>
      <c r="C34" s="1371">
        <v>4781</v>
      </c>
      <c r="D34" s="1404" t="s">
        <v>1787</v>
      </c>
      <c r="E34" s="1397"/>
      <c r="F34" s="1398">
        <v>1267527.57</v>
      </c>
      <c r="G34" s="1383"/>
      <c r="H34" s="1405"/>
      <c r="I34" s="1398"/>
      <c r="J34" s="1383"/>
      <c r="K34" s="1399"/>
    </row>
    <row r="35" spans="1:11" ht="12.95" customHeight="1" x14ac:dyDescent="0.2">
      <c r="A35" s="1369" t="s">
        <v>1786</v>
      </c>
      <c r="B35" s="1370" t="s">
        <v>1788</v>
      </c>
      <c r="C35" s="1371">
        <v>4251</v>
      </c>
      <c r="D35" s="1404" t="s">
        <v>1407</v>
      </c>
      <c r="E35" s="1397">
        <v>876</v>
      </c>
      <c r="F35" s="1398">
        <v>900</v>
      </c>
      <c r="G35" s="1383">
        <f t="shared" ref="G35" si="6">E35+F35</f>
        <v>1776</v>
      </c>
      <c r="H35" s="1405">
        <v>900</v>
      </c>
      <c r="I35" s="1398">
        <v>900</v>
      </c>
      <c r="J35" s="1383">
        <f t="shared" ref="J35" si="7">H35+I35</f>
        <v>1800</v>
      </c>
      <c r="K35" s="1399">
        <f t="shared" ref="K35" si="8">J35-G35</f>
        <v>24</v>
      </c>
    </row>
    <row r="36" spans="1:11" ht="12.95" customHeight="1" thickBot="1" x14ac:dyDescent="0.25">
      <c r="A36" s="1406" t="s">
        <v>1789</v>
      </c>
      <c r="B36" s="1407"/>
      <c r="C36" s="1408">
        <v>42</v>
      </c>
      <c r="D36" s="1409" t="s">
        <v>1790</v>
      </c>
      <c r="E36" s="1410">
        <v>1396939483</v>
      </c>
      <c r="F36" s="1411">
        <v>1223780931</v>
      </c>
      <c r="G36" s="1412">
        <f t="shared" si="4"/>
        <v>2620720414</v>
      </c>
      <c r="H36" s="1437">
        <f>G36/2</f>
        <v>1310360207</v>
      </c>
      <c r="I36" s="1438">
        <f>G36/2</f>
        <v>1310360207</v>
      </c>
      <c r="J36" s="1412">
        <f t="shared" si="5"/>
        <v>2620720414</v>
      </c>
      <c r="K36" s="1412">
        <f>J36-G36</f>
        <v>0</v>
      </c>
    </row>
    <row r="37" spans="1:11" s="1417" customFormat="1" ht="15.75" thickBot="1" x14ac:dyDescent="0.3">
      <c r="A37" s="1629" t="s">
        <v>1791</v>
      </c>
      <c r="B37" s="1630"/>
      <c r="C37" s="1630"/>
      <c r="D37" s="1631"/>
      <c r="E37" s="1413">
        <f>SUM(E6:E36)</f>
        <v>4322749780.8899994</v>
      </c>
      <c r="F37" s="1414">
        <f>SUM(F6:F36)</f>
        <v>5485284477.1900005</v>
      </c>
      <c r="G37" s="1415">
        <f t="shared" si="4"/>
        <v>9808034258.0799999</v>
      </c>
      <c r="H37" s="1416">
        <f>SUM(H6:H36)</f>
        <v>5320222702</v>
      </c>
      <c r="I37" s="1414">
        <f>SUM(I6:I36)</f>
        <v>5555980052</v>
      </c>
      <c r="J37" s="1415">
        <f t="shared" si="5"/>
        <v>10876202754</v>
      </c>
      <c r="K37" s="1415">
        <f t="shared" si="2"/>
        <v>1068168495.9200001</v>
      </c>
    </row>
    <row r="38" spans="1:11" s="1417" customFormat="1" ht="15.75" thickBot="1" x14ac:dyDescent="0.3">
      <c r="A38" s="1629" t="s">
        <v>1792</v>
      </c>
      <c r="B38" s="1630"/>
      <c r="C38" s="1630"/>
      <c r="D38" s="1631"/>
      <c r="E38" s="1413">
        <f>SUM(E9:E35)</f>
        <v>3466288369.8899999</v>
      </c>
      <c r="F38" s="1414">
        <f>SUM(F9:F35)</f>
        <v>3709936427.5700002</v>
      </c>
      <c r="G38" s="1415">
        <f t="shared" si="4"/>
        <v>7176224797.46</v>
      </c>
      <c r="H38" s="1416">
        <f>SUM(H9:H35)</f>
        <v>4009862495</v>
      </c>
      <c r="I38" s="1414">
        <f>SUM(I9:I35)</f>
        <v>4245619845</v>
      </c>
      <c r="J38" s="1415">
        <f t="shared" si="5"/>
        <v>8255482340</v>
      </c>
      <c r="K38" s="1415">
        <f>J38-G38</f>
        <v>1079257542.54</v>
      </c>
    </row>
    <row r="39" spans="1:11" s="1417" customFormat="1" ht="12.75" customHeight="1" thickBot="1" x14ac:dyDescent="0.3">
      <c r="A39" s="1629" t="s">
        <v>1793</v>
      </c>
      <c r="B39" s="1630"/>
      <c r="C39" s="1630"/>
      <c r="D39" s="1631"/>
      <c r="E39" s="1413">
        <f>SUM(E9:E36)</f>
        <v>4863227852.8899994</v>
      </c>
      <c r="F39" s="1414">
        <f>SUM(F9:F36)</f>
        <v>4933717358.5699997</v>
      </c>
      <c r="G39" s="1415">
        <f>E39+F39</f>
        <v>9796945211.4599991</v>
      </c>
      <c r="H39" s="1416">
        <f>SUM(H9:H36)</f>
        <v>5320222702</v>
      </c>
      <c r="I39" s="1414">
        <f>SUM(I9:I36)</f>
        <v>5555980052</v>
      </c>
      <c r="J39" s="1415">
        <f>H39+I39</f>
        <v>10876202754</v>
      </c>
      <c r="K39" s="1415">
        <f>J39-G39</f>
        <v>1079257542.5400009</v>
      </c>
    </row>
    <row r="40" spans="1:11" ht="3.95" customHeight="1" thickBot="1" x14ac:dyDescent="0.25"/>
    <row r="41" spans="1:11" ht="12" customHeight="1" x14ac:dyDescent="0.2">
      <c r="A41" s="1648" t="s">
        <v>1794</v>
      </c>
      <c r="B41" s="1649"/>
      <c r="C41" s="1649"/>
      <c r="D41" s="1650"/>
      <c r="E41" s="1418"/>
      <c r="F41" s="1419"/>
      <c r="G41" s="1420">
        <f t="shared" ref="G41:G43" si="9">E41+F41</f>
        <v>0</v>
      </c>
      <c r="H41" s="1421"/>
      <c r="I41" s="1419"/>
      <c r="J41" s="1420">
        <f t="shared" ref="J41:J43" si="10">H41+I41</f>
        <v>0</v>
      </c>
      <c r="K41" s="1420">
        <f>J41-G41</f>
        <v>0</v>
      </c>
    </row>
    <row r="42" spans="1:11" ht="12" customHeight="1" x14ac:dyDescent="0.2">
      <c r="A42" s="1657" t="s">
        <v>1795</v>
      </c>
      <c r="B42" s="1658"/>
      <c r="C42" s="1658"/>
      <c r="D42" s="1659"/>
      <c r="E42" s="1381"/>
      <c r="F42" s="1382"/>
      <c r="G42" s="1383">
        <f t="shared" si="9"/>
        <v>0</v>
      </c>
      <c r="H42" s="1384"/>
      <c r="I42" s="1382"/>
      <c r="J42" s="1383">
        <f t="shared" si="10"/>
        <v>0</v>
      </c>
      <c r="K42" s="1383">
        <f>J42-G42</f>
        <v>0</v>
      </c>
    </row>
    <row r="43" spans="1:11" ht="12" customHeight="1" thickBot="1" x14ac:dyDescent="0.25">
      <c r="A43" s="1639" t="s">
        <v>1796</v>
      </c>
      <c r="B43" s="1640"/>
      <c r="C43" s="1640"/>
      <c r="D43" s="1641"/>
      <c r="E43" s="1410">
        <f>E41+E42</f>
        <v>0</v>
      </c>
      <c r="F43" s="1411">
        <f>F41+F42</f>
        <v>0</v>
      </c>
      <c r="G43" s="1412">
        <f t="shared" si="9"/>
        <v>0</v>
      </c>
      <c r="H43" s="1422">
        <f>H41+H42</f>
        <v>0</v>
      </c>
      <c r="I43" s="1411">
        <f>I41+I42</f>
        <v>0</v>
      </c>
      <c r="J43" s="1412">
        <f t="shared" si="10"/>
        <v>0</v>
      </c>
      <c r="K43" s="1412">
        <f>J43-G43</f>
        <v>0</v>
      </c>
    </row>
    <row r="45" spans="1:11" x14ac:dyDescent="0.2">
      <c r="G45" s="1356" t="s">
        <v>1797</v>
      </c>
      <c r="H45" s="1423">
        <f>H39-H20+F20</f>
        <v>5322290702</v>
      </c>
      <c r="I45" s="1423">
        <f>I39-I20+H20</f>
        <v>5556404052</v>
      </c>
    </row>
    <row r="46" spans="1:11" x14ac:dyDescent="0.2">
      <c r="H46" s="1423"/>
    </row>
    <row r="47" spans="1:11" x14ac:dyDescent="0.2">
      <c r="H47" s="1423">
        <f>H39-F39</f>
        <v>386505343.43000031</v>
      </c>
    </row>
  </sheetData>
  <sheetProtection algorithmName="SHA-512" hashValue="pTTnZ72JUJmScZS+ffn54Ow069/NOyPyaAQ70/LsHWT4bu9O+LRUYLXGhUeBHMSN+Vkiedn/aLj3Da1Sxxcfvw==" saltValue="ZLDmmQiZwW2OfnI5UiW7Zg==" spinCount="100000" sheet="1" objects="1" scenarios="1"/>
  <mergeCells count="33">
    <mergeCell ref="I21:I22"/>
    <mergeCell ref="J21:J22"/>
    <mergeCell ref="K21:K22"/>
    <mergeCell ref="A42:D42"/>
    <mergeCell ref="C21:C22"/>
    <mergeCell ref="E21:E22"/>
    <mergeCell ref="F21:F22"/>
    <mergeCell ref="G21:G22"/>
    <mergeCell ref="H21:H22"/>
    <mergeCell ref="A43:D43"/>
    <mergeCell ref="J29:J31"/>
    <mergeCell ref="K29:K31"/>
    <mergeCell ref="A37:D37"/>
    <mergeCell ref="A38:D38"/>
    <mergeCell ref="A39:D39"/>
    <mergeCell ref="A41:D41"/>
    <mergeCell ref="C29:C31"/>
    <mergeCell ref="E29:E31"/>
    <mergeCell ref="F29:F31"/>
    <mergeCell ref="G29:G31"/>
    <mergeCell ref="H29:H31"/>
    <mergeCell ref="I29:I31"/>
    <mergeCell ref="E4:G4"/>
    <mergeCell ref="H4:J4"/>
    <mergeCell ref="K4:K5"/>
    <mergeCell ref="C15:C16"/>
    <mergeCell ref="E15:E16"/>
    <mergeCell ref="F15:F16"/>
    <mergeCell ref="G15:G16"/>
    <mergeCell ref="H15:H16"/>
    <mergeCell ref="I15:I16"/>
    <mergeCell ref="J15:J16"/>
    <mergeCell ref="K15:K16"/>
  </mergeCells>
  <pageMargins left="0.25" right="0.25" top="0.75" bottom="0.75" header="0.3" footer="0.3"/>
  <pageSetup scale="65" fitToWidth="0" pageOrder="overThenDown" orientation="landscape" r:id="rId1"/>
  <headerFooter>
    <oddFooter>&amp;L&amp;8Prepared by the Fiscal Analysis Division&amp;C&amp;8Budget/Fiscal December 2022 Consensus Forecast: Page &amp;P of &amp;N&amp;R&amp;8December 17, 2022 - 7:30 AM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52</vt:i4>
      </vt:variant>
    </vt:vector>
  </HeadingPairs>
  <TitlesOfParts>
    <vt:vector size="89" baseType="lpstr">
      <vt:lpstr>Summary Model Revisions</vt:lpstr>
      <vt:lpstr>Table of Contents</vt:lpstr>
      <vt:lpstr>1.1 Assumption Control YR1</vt:lpstr>
      <vt:lpstr>1.2 Budgeted Enrollment YR1</vt:lpstr>
      <vt:lpstr>1.3 Budgeted Revenues YR1</vt:lpstr>
      <vt:lpstr>1.4 FY 2020 Revenue Received</vt:lpstr>
      <vt:lpstr>2.1 Auxiliary Services YR1</vt:lpstr>
      <vt:lpstr>2.2 Spec Ed Local YR1</vt:lpstr>
      <vt:lpstr>2.3 Statewide Base Funding YR1</vt:lpstr>
      <vt:lpstr>2.4 District Size Adj. YR1</vt:lpstr>
      <vt:lpstr>2.5 NCEI Adj. YR1</vt:lpstr>
      <vt:lpstr>2.6 Adj. Base Summary YR1</vt:lpstr>
      <vt:lpstr>2.7 Weighted Funding YR1</vt:lpstr>
      <vt:lpstr>2.8 Alloc of Residual Rev. YR1</vt:lpstr>
      <vt:lpstr>2.9 PCFP Funding Comparison YR1</vt:lpstr>
      <vt:lpstr>3.1a Initial Allocations YR1</vt:lpstr>
      <vt:lpstr>3.1b Allocation Adj. YR1 </vt:lpstr>
      <vt:lpstr>4.0 PCFP Allocation Summary</vt:lpstr>
      <vt:lpstr>5.1 Assumption Control YR2</vt:lpstr>
      <vt:lpstr>5.2 Budgeted Enrollment YR2</vt:lpstr>
      <vt:lpstr>5.3 Budgeted Revenues YR2</vt:lpstr>
      <vt:lpstr>6.1 Auxiliary Services YR2</vt:lpstr>
      <vt:lpstr>6.2 Spec Ed Local YR2</vt:lpstr>
      <vt:lpstr>6.3 Statewide Base Funding YR2</vt:lpstr>
      <vt:lpstr>6.4 District Size Adj. YR2</vt:lpstr>
      <vt:lpstr>6.5 NCEI Adj. YR2</vt:lpstr>
      <vt:lpstr>6.6 Adj. Base Summary YR2</vt:lpstr>
      <vt:lpstr>6.7 Weighted Funding YR2</vt:lpstr>
      <vt:lpstr>6.8 Alloc of Residual Rev. YR2</vt:lpstr>
      <vt:lpstr>6.9 PCFP Funding Comparison YR2</vt:lpstr>
      <vt:lpstr>7.1a Initial Allocations YR2</vt:lpstr>
      <vt:lpstr>7.1b Allocation Adj. YR2</vt:lpstr>
      <vt:lpstr>8.0 Mid biennial weighted adj.</vt:lpstr>
      <vt:lpstr>Biennial Comparison</vt:lpstr>
      <vt:lpstr>BA by DU</vt:lpstr>
      <vt:lpstr>SEF-FY23FY24FY25 Forecast-May23</vt:lpstr>
      <vt:lpstr>SEF-FY23FY24FY25 Forecast-Dec22</vt:lpstr>
      <vt:lpstr>'1.1 Assumption Control YR1'!Print_Area</vt:lpstr>
      <vt:lpstr>'1.2 Budgeted Enrollment YR1'!Print_Area</vt:lpstr>
      <vt:lpstr>'1.3 Budgeted Revenues YR1'!Print_Area</vt:lpstr>
      <vt:lpstr>'1.4 FY 2020 Revenue Received'!Print_Area</vt:lpstr>
      <vt:lpstr>'2.1 Auxiliary Services YR1'!Print_Area</vt:lpstr>
      <vt:lpstr>'2.2 Spec Ed Local YR1'!Print_Area</vt:lpstr>
      <vt:lpstr>'2.3 Statewide Base Funding YR1'!Print_Area</vt:lpstr>
      <vt:lpstr>'2.4 District Size Adj. YR1'!Print_Area</vt:lpstr>
      <vt:lpstr>'2.7 Weighted Funding YR1'!Print_Area</vt:lpstr>
      <vt:lpstr>'2.9 PCFP Funding Comparison YR1'!Print_Area</vt:lpstr>
      <vt:lpstr>'3.1a Initial Allocations YR1'!Print_Area</vt:lpstr>
      <vt:lpstr>'3.1b Allocation Adj. YR1 '!Print_Area</vt:lpstr>
      <vt:lpstr>'5.1 Assumption Control YR2'!Print_Area</vt:lpstr>
      <vt:lpstr>'5.2 Budgeted Enrollment YR2'!Print_Area</vt:lpstr>
      <vt:lpstr>'5.3 Budgeted Revenues YR2'!Print_Area</vt:lpstr>
      <vt:lpstr>'6.1 Auxiliary Services YR2'!Print_Area</vt:lpstr>
      <vt:lpstr>'6.2 Spec Ed Local YR2'!Print_Area</vt:lpstr>
      <vt:lpstr>'6.3 Statewide Base Funding YR2'!Print_Area</vt:lpstr>
      <vt:lpstr>'6.4 District Size Adj. YR2'!Print_Area</vt:lpstr>
      <vt:lpstr>'6.7 Weighted Funding YR2'!Print_Area</vt:lpstr>
      <vt:lpstr>'6.9 PCFP Funding Comparison YR2'!Print_Area</vt:lpstr>
      <vt:lpstr>'7.1a Initial Allocations YR2'!Print_Area</vt:lpstr>
      <vt:lpstr>'7.1b Allocation Adj. YR2'!Print_Area</vt:lpstr>
      <vt:lpstr>'SEF-FY23FY24FY25 Forecast-May23'!Print_Area</vt:lpstr>
      <vt:lpstr>'Summary Model Revisions'!Print_Area</vt:lpstr>
      <vt:lpstr>'Table of Contents'!Print_Area</vt:lpstr>
      <vt:lpstr>'1.2 Budgeted Enrollment YR1'!Print_Titles</vt:lpstr>
      <vt:lpstr>'1.4 FY 2020 Revenue Received'!Print_Titles</vt:lpstr>
      <vt:lpstr>'2.1 Auxiliary Services YR1'!Print_Titles</vt:lpstr>
      <vt:lpstr>'2.2 Spec Ed Local YR1'!Print_Titles</vt:lpstr>
      <vt:lpstr>'2.3 Statewide Base Funding YR1'!Print_Titles</vt:lpstr>
      <vt:lpstr>'2.4 District Size Adj. YR1'!Print_Titles</vt:lpstr>
      <vt:lpstr>'2.5 NCEI Adj. YR1'!Print_Titles</vt:lpstr>
      <vt:lpstr>'2.6 Adj. Base Summary YR1'!Print_Titles</vt:lpstr>
      <vt:lpstr>'2.7 Weighted Funding YR1'!Print_Titles</vt:lpstr>
      <vt:lpstr>'2.8 Alloc of Residual Rev. YR1'!Print_Titles</vt:lpstr>
      <vt:lpstr>'3.1a Initial Allocations YR1'!Print_Titles</vt:lpstr>
      <vt:lpstr>'3.1b Allocation Adj. YR1 '!Print_Titles</vt:lpstr>
      <vt:lpstr>'5.2 Budgeted Enrollment YR2'!Print_Titles</vt:lpstr>
      <vt:lpstr>'6.1 Auxiliary Services YR2'!Print_Titles</vt:lpstr>
      <vt:lpstr>'6.2 Spec Ed Local YR2'!Print_Titles</vt:lpstr>
      <vt:lpstr>'6.3 Statewide Base Funding YR2'!Print_Titles</vt:lpstr>
      <vt:lpstr>'6.4 District Size Adj. YR2'!Print_Titles</vt:lpstr>
      <vt:lpstr>'6.5 NCEI Adj. YR2'!Print_Titles</vt:lpstr>
      <vt:lpstr>'6.6 Adj. Base Summary YR2'!Print_Titles</vt:lpstr>
      <vt:lpstr>'6.7 Weighted Funding YR2'!Print_Titles</vt:lpstr>
      <vt:lpstr>'6.8 Alloc of Residual Rev. YR2'!Print_Titles</vt:lpstr>
      <vt:lpstr>'7.1b Allocation Adj. YR2'!Print_Titles</vt:lpstr>
      <vt:lpstr>'BA by DU'!Print_Titles</vt:lpstr>
      <vt:lpstr>'SEF-FY23FY24FY25 Forecast-Dec22'!Print_Titles</vt:lpstr>
      <vt:lpstr>'SEF-FY23FY24FY25 Forecast-May23'!Print_Titles</vt:lpstr>
      <vt:lpstr>'Table of Contents'!Print_Titles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Hanke</dc:creator>
  <cp:lastModifiedBy>Andrew Feuling</cp:lastModifiedBy>
  <cp:lastPrinted>2023-01-08T21:18:27Z</cp:lastPrinted>
  <dcterms:created xsi:type="dcterms:W3CDTF">2018-11-20T15:42:27Z</dcterms:created>
  <dcterms:modified xsi:type="dcterms:W3CDTF">2023-06-05T15:50:33Z</dcterms:modified>
</cp:coreProperties>
</file>